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8160" activeTab="3"/>
  </bookViews>
  <sheets>
    <sheet name="Sheet2 (2)" sheetId="6" r:id="rId1"/>
    <sheet name="Sheet2" sheetId="2" r:id="rId2"/>
    <sheet name="Sheet3" sheetId="3" r:id="rId3"/>
    <sheet name="Sheet1 (3)" sheetId="5" r:id="rId4"/>
    <sheet name="Sheet1" sheetId="1" r:id="rId5"/>
    <sheet name="Sheet1 (2)" sheetId="4" r:id="rId6"/>
  </sheets>
  <calcPr calcId="124519"/>
  <fileRecoveryPr repairLoad="1"/>
</workbook>
</file>

<file path=xl/calcChain.xml><?xml version="1.0" encoding="utf-8"?>
<calcChain xmlns="http://schemas.openxmlformats.org/spreadsheetml/2006/main">
  <c r="AG8" i="5"/>
  <c r="AG4"/>
  <c r="AG5"/>
  <c r="AG6"/>
  <c r="AG7"/>
  <c r="AG3"/>
  <c r="AF4"/>
  <c r="AF5"/>
  <c r="AF6"/>
  <c r="AF7"/>
  <c r="AF3"/>
  <c r="AE13"/>
  <c r="AE12"/>
  <c r="AE11"/>
  <c r="AE10"/>
  <c r="AE9"/>
  <c r="AE8"/>
  <c r="U8"/>
  <c r="U4"/>
  <c r="U5"/>
  <c r="U6"/>
  <c r="U7"/>
  <c r="U3"/>
  <c r="T4"/>
  <c r="T5"/>
  <c r="T6"/>
  <c r="T7"/>
  <c r="T3"/>
  <c r="P31" i="6"/>
  <c r="P21"/>
  <c r="P17"/>
  <c r="P18"/>
  <c r="P19"/>
  <c r="P20"/>
  <c r="P26"/>
  <c r="P27"/>
  <c r="P28"/>
  <c r="P29"/>
  <c r="P30"/>
  <c r="P16"/>
  <c r="Q17"/>
  <c r="Q18"/>
  <c r="Q19"/>
  <c r="Q20"/>
  <c r="Q16"/>
  <c r="R24"/>
  <c r="R23"/>
  <c r="R22"/>
  <c r="Q27"/>
  <c r="Q28"/>
  <c r="Q29"/>
  <c r="Q30"/>
  <c r="R36"/>
  <c r="R35"/>
  <c r="R34"/>
  <c r="R33"/>
  <c r="R32"/>
  <c r="Q26"/>
  <c r="R31"/>
  <c r="H23" i="4" l="1"/>
  <c r="G23" s="1"/>
  <c r="F23" s="1"/>
  <c r="K20" s="1"/>
  <c r="J20" s="1"/>
  <c r="G20" s="1"/>
  <c r="F20" s="1"/>
  <c r="K19" s="1"/>
  <c r="J19" s="1"/>
  <c r="G19" s="1"/>
  <c r="F19" s="1"/>
  <c r="C19"/>
  <c r="A19" s="1"/>
  <c r="K18" s="1"/>
  <c r="J18" s="1"/>
  <c r="G18" s="1"/>
  <c r="F18" s="1"/>
  <c r="C18"/>
  <c r="A18" s="1"/>
  <c r="K17" s="1"/>
  <c r="J17" s="1"/>
  <c r="G17" s="1"/>
  <c r="F17" s="1"/>
  <c r="C17"/>
  <c r="A17" s="1"/>
  <c r="K16" s="1"/>
  <c r="J16" s="1"/>
  <c r="G16" s="1"/>
  <c r="F16" s="1"/>
  <c r="C16"/>
  <c r="A16" s="1"/>
  <c r="K15" s="1"/>
  <c r="J15" s="1"/>
  <c r="G15" s="1"/>
  <c r="F15" s="1"/>
  <c r="C15"/>
  <c r="A15"/>
  <c r="X12" s="1"/>
  <c r="L11"/>
  <c r="H11"/>
  <c r="T10" s="1"/>
  <c r="AB8" s="1"/>
  <c r="AA8" s="1"/>
  <c r="U8" s="1"/>
  <c r="T8" s="1"/>
  <c r="I8"/>
  <c r="H8"/>
  <c r="E8"/>
  <c r="D8"/>
  <c r="AK7"/>
  <c r="AJ7"/>
  <c r="AI7" s="1"/>
  <c r="AH7"/>
  <c r="AG7"/>
  <c r="AD7"/>
  <c r="AC7"/>
  <c r="AA7"/>
  <c r="Z7"/>
  <c r="Y7" s="1"/>
  <c r="X7"/>
  <c r="U7"/>
  <c r="P7" s="1"/>
  <c r="O7"/>
  <c r="N7"/>
  <c r="K7"/>
  <c r="J7"/>
  <c r="G7"/>
  <c r="F7"/>
  <c r="AK6"/>
  <c r="AJ6"/>
  <c r="AI6" s="1"/>
  <c r="AH6"/>
  <c r="AG6"/>
  <c r="AD6"/>
  <c r="AC6"/>
  <c r="AA6"/>
  <c r="Z6"/>
  <c r="Y6" s="1"/>
  <c r="X6"/>
  <c r="U6"/>
  <c r="P6" s="1"/>
  <c r="O6"/>
  <c r="N6"/>
  <c r="K6"/>
  <c r="J6"/>
  <c r="G6"/>
  <c r="F6"/>
  <c r="AK5"/>
  <c r="AJ5"/>
  <c r="AI5" s="1"/>
  <c r="AH5"/>
  <c r="AG5"/>
  <c r="AD5"/>
  <c r="AC5"/>
  <c r="AA5"/>
  <c r="Z5"/>
  <c r="Y5" s="1"/>
  <c r="X5"/>
  <c r="U5"/>
  <c r="P5" s="1"/>
  <c r="O5"/>
  <c r="N5"/>
  <c r="K5"/>
  <c r="J5"/>
  <c r="G5"/>
  <c r="F5"/>
  <c r="AK4"/>
  <c r="AJ4"/>
  <c r="AI4" s="1"/>
  <c r="AH4"/>
  <c r="AG4"/>
  <c r="AD4"/>
  <c r="AC4"/>
  <c r="AA4"/>
  <c r="Z4"/>
  <c r="Y4" s="1"/>
  <c r="X4"/>
  <c r="U4"/>
  <c r="P4" s="1"/>
  <c r="O4"/>
  <c r="N4"/>
  <c r="K4"/>
  <c r="J4"/>
  <c r="G4"/>
  <c r="F4"/>
  <c r="AK3"/>
  <c r="AJ3"/>
  <c r="AI3" s="1"/>
  <c r="AH3"/>
  <c r="AG3"/>
  <c r="AD3" s="1"/>
  <c r="AC3"/>
  <c r="AA3"/>
  <c r="Z3"/>
  <c r="Y3" s="1"/>
  <c r="X3"/>
  <c r="U3"/>
  <c r="P3" s="1"/>
  <c r="O3" s="1"/>
  <c r="N3"/>
  <c r="K3"/>
  <c r="J3"/>
  <c r="G3"/>
  <c r="F3"/>
  <c r="AG2"/>
  <c r="AD2"/>
  <c r="Z2"/>
  <c r="Y2" s="1"/>
  <c r="X2"/>
  <c r="U2"/>
  <c r="X12" i="1" s="1"/>
  <c r="I11"/>
  <c r="G11"/>
  <c r="Q10" s="1"/>
  <c r="X8" s="1"/>
  <c r="W8"/>
  <c r="Q8" s="1"/>
  <c r="P8" s="1"/>
  <c r="G8"/>
  <c r="F8"/>
  <c r="E8"/>
  <c r="D8"/>
  <c r="AC7"/>
  <c r="AB7"/>
  <c r="AA7" s="1"/>
  <c r="Z7" s="1"/>
  <c r="Y7"/>
  <c r="V7"/>
  <c r="U7"/>
  <c r="S7"/>
  <c r="R7"/>
  <c r="Q7" s="1"/>
  <c r="P7"/>
  <c r="O7"/>
  <c r="K7"/>
  <c r="J7"/>
  <c r="AC6"/>
  <c r="AB6"/>
  <c r="AA6" s="1"/>
  <c r="Z6" s="1"/>
  <c r="Y6"/>
  <c r="V6"/>
  <c r="U6"/>
  <c r="S6"/>
  <c r="R6"/>
  <c r="Q6" s="1"/>
  <c r="P6" s="1"/>
  <c r="O6"/>
  <c r="K6"/>
  <c r="J6"/>
  <c r="AC5"/>
  <c r="AB5"/>
  <c r="AA5" s="1"/>
  <c r="Z5" s="1"/>
  <c r="Y5"/>
  <c r="V5"/>
  <c r="U5"/>
  <c r="S5"/>
  <c r="R5"/>
  <c r="Q5" s="1"/>
  <c r="P5" s="1"/>
  <c r="O5"/>
  <c r="K5"/>
  <c r="J5"/>
  <c r="AC4"/>
  <c r="AB4"/>
  <c r="AA4" s="1"/>
  <c r="Z4" s="1"/>
  <c r="Y4"/>
  <c r="V4"/>
  <c r="U4"/>
  <c r="S4"/>
  <c r="R4"/>
  <c r="Q4" s="1"/>
  <c r="P4" s="1"/>
  <c r="O4"/>
  <c r="K4"/>
  <c r="J4"/>
  <c r="AC3"/>
  <c r="AB3"/>
  <c r="AA3" s="1"/>
  <c r="Z3" s="1"/>
  <c r="Y3"/>
  <c r="V3"/>
  <c r="U3"/>
  <c r="S3"/>
  <c r="R3"/>
  <c r="Q3" s="1"/>
  <c r="P3"/>
  <c r="O3"/>
  <c r="K3" s="1"/>
  <c r="J3"/>
  <c r="Y2"/>
  <c r="V2"/>
  <c r="R2"/>
  <c r="Q2" s="1"/>
  <c r="P2"/>
  <c r="O2"/>
  <c r="G8" i="5" l="1"/>
  <c r="F8"/>
  <c r="E8"/>
  <c r="D8"/>
  <c r="AA7" l="1"/>
  <c r="W7"/>
  <c r="M7"/>
  <c r="J7" l="1"/>
  <c r="AA6"/>
  <c r="W6"/>
  <c r="M6"/>
  <c r="J6"/>
  <c r="AA5"/>
  <c r="W5"/>
  <c r="M5"/>
  <c r="J5"/>
  <c r="AA4"/>
  <c r="W4"/>
  <c r="M4"/>
  <c r="J4"/>
  <c r="AA3"/>
  <c r="W3"/>
  <c r="M3"/>
  <c r="J3"/>
  <c r="AA2"/>
  <c r="X2"/>
  <c r="M2"/>
  <c r="R39" i="2" s="1"/>
  <c r="Q39" s="1"/>
  <c r="P39"/>
  <c r="N39"/>
  <c r="R38" s="1"/>
  <c r="Q38" s="1"/>
  <c r="P38"/>
  <c r="N38"/>
  <c r="R37" s="1"/>
  <c r="Q37" s="1"/>
  <c r="P37"/>
  <c r="N37"/>
  <c r="R36" s="1"/>
  <c r="Q36" s="1"/>
  <c r="P36"/>
  <c r="N36"/>
  <c r="R35" s="1"/>
  <c r="Q35" s="1"/>
  <c r="P35"/>
  <c r="N35"/>
  <c r="L35" s="1"/>
  <c r="L32" s="1"/>
  <c r="K32" s="1"/>
  <c r="L31" s="1"/>
  <c r="K31" s="1"/>
  <c r="L30" s="1"/>
  <c r="K30"/>
  <c r="I30"/>
  <c r="H30" s="1"/>
  <c r="G30"/>
  <c r="E30"/>
  <c r="D30"/>
  <c r="L29" s="1"/>
  <c r="K29"/>
  <c r="I29" s="1"/>
  <c r="H29" s="1"/>
  <c r="G29"/>
  <c r="E29"/>
  <c r="D29"/>
  <c r="R28" s="1"/>
  <c r="Q28" s="1"/>
  <c r="P28"/>
  <c r="N28"/>
  <c r="L28" s="1"/>
  <c r="K28"/>
  <c r="I28" s="1"/>
  <c r="H28" s="1"/>
  <c r="G28"/>
  <c r="E28"/>
  <c r="D28"/>
  <c r="R27" s="1"/>
  <c r="Q27" s="1"/>
  <c r="P27"/>
  <c r="N27"/>
  <c r="L27" s="1"/>
  <c r="K27"/>
  <c r="I27" s="1"/>
  <c r="H27" s="1"/>
  <c r="G27"/>
  <c r="E27"/>
  <c r="D27"/>
  <c r="R26" s="1"/>
  <c r="Q26" s="1"/>
  <c r="P26"/>
  <c r="N26"/>
  <c r="L26"/>
  <c r="K26"/>
  <c r="I26" s="1"/>
  <c r="H26" s="1"/>
  <c r="G26"/>
  <c r="E26" s="1"/>
  <c r="D26"/>
  <c r="R25" s="1"/>
  <c r="Q25" s="1"/>
  <c r="P25"/>
  <c r="N25"/>
  <c r="L25"/>
  <c r="K25"/>
  <c r="R24" s="1"/>
  <c r="Q24" s="1"/>
  <c r="P24"/>
  <c r="N24"/>
  <c r="L24" s="1"/>
  <c r="K24"/>
  <c r="L23"/>
  <c r="K23"/>
  <c r="L22" s="1"/>
  <c r="K22" s="1"/>
  <c r="L21" s="1"/>
  <c r="K21" s="1"/>
  <c r="L20" s="1"/>
  <c r="K20" s="1"/>
  <c r="I20" s="1"/>
  <c r="H20" s="1"/>
  <c r="G20"/>
  <c r="E20"/>
  <c r="D20"/>
  <c r="O19"/>
  <c r="L19" s="1"/>
  <c r="K19" s="1"/>
  <c r="I19" s="1"/>
  <c r="H19" s="1"/>
  <c r="G19"/>
  <c r="E19"/>
  <c r="D19"/>
  <c r="L18" s="1"/>
  <c r="K18" s="1"/>
  <c r="I18" s="1"/>
  <c r="H18" s="1"/>
  <c r="G18"/>
  <c r="E18"/>
  <c r="D18"/>
  <c r="L17" s="1"/>
  <c r="K17" s="1"/>
  <c r="I17" s="1"/>
  <c r="H17" s="1"/>
  <c r="G17"/>
  <c r="E17"/>
  <c r="D17"/>
  <c r="Q16"/>
  <c r="P16"/>
  <c r="O16" s="1"/>
  <c r="M16"/>
  <c r="L16"/>
  <c r="K16"/>
  <c r="I16" s="1"/>
  <c r="H16" s="1"/>
  <c r="G16"/>
  <c r="E16" s="1"/>
  <c r="D16"/>
  <c r="Q15"/>
  <c r="O15" s="1"/>
  <c r="M15"/>
  <c r="K15"/>
  <c r="Q14" s="1"/>
  <c r="P14" s="1"/>
  <c r="O14"/>
  <c r="N14" s="1"/>
  <c r="M14" s="1"/>
  <c r="L14" s="1"/>
  <c r="K14" s="1"/>
  <c r="Q13" s="1"/>
  <c r="P13" s="1"/>
  <c r="O13"/>
  <c r="N13" s="1"/>
  <c r="M13" s="1"/>
  <c r="L13" s="1"/>
  <c r="K13" s="1"/>
  <c r="Q12" s="1"/>
  <c r="P12" s="1"/>
  <c r="O12"/>
  <c r="N12" s="1"/>
  <c r="M12" s="1"/>
  <c r="L12" s="1"/>
  <c r="K12" s="1"/>
  <c r="Q11" s="1"/>
  <c r="P11" s="1"/>
  <c r="O11"/>
  <c r="N11" s="1"/>
  <c r="M11" s="1"/>
  <c r="L11" s="1"/>
  <c r="K11" s="1"/>
  <c r="Q10" s="1"/>
  <c r="P10" s="1"/>
  <c r="O10"/>
  <c r="N10" s="1"/>
  <c r="M10" s="1"/>
  <c r="L10" s="1"/>
  <c r="K10" s="1"/>
  <c r="P8" s="1"/>
  <c r="N8" s="1"/>
  <c r="L8" s="1"/>
  <c r="K8" s="1"/>
  <c r="J8" s="1"/>
  <c r="H8"/>
  <c r="G8"/>
  <c r="F8"/>
  <c r="E8"/>
  <c r="Q7"/>
  <c r="P7"/>
  <c r="O7"/>
  <c r="N7"/>
  <c r="M7"/>
  <c r="L7"/>
  <c r="K7" s="1"/>
  <c r="J7"/>
  <c r="Q6"/>
  <c r="P6"/>
  <c r="O6"/>
  <c r="N6"/>
  <c r="M6"/>
  <c r="L6"/>
  <c r="K6" s="1"/>
  <c r="J6"/>
  <c r="Q5"/>
  <c r="P5"/>
  <c r="O5"/>
  <c r="N5"/>
  <c r="M5"/>
  <c r="L5"/>
  <c r="K5" s="1"/>
  <c r="J5"/>
  <c r="Q4"/>
  <c r="P4"/>
  <c r="O4"/>
  <c r="N4"/>
  <c r="M4"/>
  <c r="L4"/>
  <c r="K4" s="1"/>
  <c r="J4"/>
  <c r="Q3"/>
  <c r="P3"/>
  <c r="O3"/>
  <c r="N3"/>
  <c r="M3"/>
  <c r="L3"/>
  <c r="K3" s="1"/>
  <c r="J3"/>
  <c r="W39" i="6" s="1"/>
  <c r="V39" s="1"/>
  <c r="U39"/>
  <c r="U38"/>
  <c r="U37"/>
  <c r="E37"/>
  <c r="C37"/>
  <c r="W36" s="1"/>
  <c r="V36" s="1"/>
  <c r="U36"/>
  <c r="E36"/>
  <c r="C36"/>
  <c r="W35" s="1"/>
  <c r="V35" s="1"/>
  <c r="U35"/>
  <c r="E35"/>
  <c r="C35"/>
  <c r="E34" s="1"/>
  <c r="C34"/>
  <c r="E33" s="1"/>
  <c r="C33" s="1"/>
  <c r="Q32"/>
  <c r="N32"/>
  <c r="P2" i="5" l="1"/>
  <c r="K3"/>
  <c r="P3"/>
  <c r="X3"/>
  <c r="Q31" i="6"/>
  <c r="T30" s="1"/>
  <c r="S30"/>
  <c r="R30" s="1"/>
  <c r="O30"/>
  <c r="M30"/>
  <c r="L30" s="1"/>
  <c r="X4" i="5" l="1"/>
  <c r="AE3"/>
  <c r="AB3"/>
  <c r="K4"/>
  <c r="S3"/>
  <c r="K30" i="6"/>
  <c r="J30"/>
  <c r="F30"/>
  <c r="E30"/>
  <c r="D30"/>
  <c r="T29" s="1"/>
  <c r="K5" i="5" l="1"/>
  <c r="S4"/>
  <c r="P4"/>
  <c r="X5"/>
  <c r="AE4"/>
  <c r="AB4"/>
  <c r="S29" i="6"/>
  <c r="R29" s="1"/>
  <c r="O29"/>
  <c r="M29"/>
  <c r="L29" s="1"/>
  <c r="K29"/>
  <c r="J29"/>
  <c r="F29" s="1"/>
  <c r="E29"/>
  <c r="D29"/>
  <c r="Z28" s="1"/>
  <c r="Y28" s="1"/>
  <c r="X28"/>
  <c r="X6" i="5" l="1"/>
  <c r="AE5"/>
  <c r="AB5"/>
  <c r="K6"/>
  <c r="S5"/>
  <c r="P5"/>
  <c r="V28" i="6"/>
  <c r="T28" s="1"/>
  <c r="S28"/>
  <c r="R28" s="1"/>
  <c r="O28"/>
  <c r="M28"/>
  <c r="L28" s="1"/>
  <c r="K28"/>
  <c r="J28"/>
  <c r="F28" s="1"/>
  <c r="E28"/>
  <c r="D28"/>
  <c r="Z27" s="1"/>
  <c r="Y27" s="1"/>
  <c r="X27"/>
  <c r="V27"/>
  <c r="T27" s="1"/>
  <c r="K7" i="5" l="1"/>
  <c r="S6"/>
  <c r="P6"/>
  <c r="X7"/>
  <c r="AE6"/>
  <c r="AB6"/>
  <c r="S27" i="6"/>
  <c r="R27" s="1"/>
  <c r="O27"/>
  <c r="M27"/>
  <c r="L27" s="1"/>
  <c r="K27"/>
  <c r="J27"/>
  <c r="F27" s="1"/>
  <c r="E27"/>
  <c r="D27"/>
  <c r="Z26" s="1"/>
  <c r="Y26" s="1"/>
  <c r="X26"/>
  <c r="V26"/>
  <c r="T26"/>
  <c r="S26"/>
  <c r="R26" s="1"/>
  <c r="O26"/>
  <c r="M26"/>
  <c r="L26" s="1"/>
  <c r="K26"/>
  <c r="J26"/>
  <c r="F26" s="1"/>
  <c r="E26" s="1"/>
  <c r="D26"/>
  <c r="Z25" s="1"/>
  <c r="Y25" s="1"/>
  <c r="X25"/>
  <c r="V25"/>
  <c r="T25"/>
  <c r="S25"/>
  <c r="K25"/>
  <c r="Z24" s="1"/>
  <c r="Y24" s="1"/>
  <c r="X24"/>
  <c r="V24"/>
  <c r="T24" s="1"/>
  <c r="S24"/>
  <c r="T23"/>
  <c r="S23"/>
  <c r="T22" s="1"/>
  <c r="S22"/>
  <c r="T21" s="1"/>
  <c r="S21"/>
  <c r="R21"/>
  <c r="T20" s="1"/>
  <c r="AE7" i="5" l="1"/>
  <c r="AB7"/>
  <c r="S7"/>
  <c r="S8" s="1"/>
  <c r="P7"/>
  <c r="S20" i="6"/>
  <c r="R20" s="1"/>
  <c r="O20"/>
  <c r="M20"/>
  <c r="L20" s="1"/>
  <c r="K20"/>
  <c r="J20"/>
  <c r="F20"/>
  <c r="E20"/>
  <c r="D20"/>
  <c r="S19"/>
  <c r="R19" s="1"/>
  <c r="O19"/>
  <c r="M19"/>
  <c r="L19" s="1"/>
  <c r="K19"/>
  <c r="J19"/>
  <c r="F19" s="1"/>
  <c r="E19"/>
  <c r="D19"/>
  <c r="T18" s="1"/>
  <c r="S9" i="5" l="1"/>
  <c r="S18" i="6"/>
  <c r="R18" s="1"/>
  <c r="O18"/>
  <c r="M18"/>
  <c r="L18" s="1"/>
  <c r="K18"/>
  <c r="J18"/>
  <c r="F18" s="1"/>
  <c r="E18"/>
  <c r="D18"/>
  <c r="T17" s="1"/>
  <c r="S17"/>
  <c r="R17" s="1"/>
  <c r="O17"/>
  <c r="M17"/>
  <c r="L17" s="1"/>
  <c r="K17"/>
  <c r="J17"/>
  <c r="F17" s="1"/>
  <c r="E17"/>
  <c r="D17"/>
  <c r="Y16" s="1"/>
  <c r="X16"/>
  <c r="W16" s="1"/>
  <c r="U16" s="1"/>
  <c r="T16"/>
  <c r="S16" s="1"/>
  <c r="R16" s="1"/>
  <c r="O16"/>
  <c r="M16"/>
  <c r="L16"/>
  <c r="K16" s="1"/>
  <c r="J16"/>
  <c r="F16" s="1"/>
  <c r="E16"/>
  <c r="D16"/>
  <c r="Y15"/>
  <c r="W15"/>
  <c r="U15"/>
  <c r="S15" s="1"/>
  <c r="Y14" s="1"/>
  <c r="X14" s="1"/>
  <c r="W14" s="1"/>
  <c r="V14" s="1"/>
  <c r="U14" s="1"/>
  <c r="T14" s="1"/>
  <c r="S14" s="1"/>
  <c r="Y13" s="1"/>
  <c r="X13" s="1"/>
  <c r="W13" s="1"/>
  <c r="V13" s="1"/>
  <c r="U13" s="1"/>
  <c r="T13" s="1"/>
  <c r="S13" s="1"/>
  <c r="Y12" s="1"/>
  <c r="X12" s="1"/>
  <c r="W12" s="1"/>
  <c r="V12" s="1"/>
  <c r="U12" s="1"/>
  <c r="T12" s="1"/>
  <c r="S12" s="1"/>
  <c r="X11" s="1"/>
  <c r="W11" s="1"/>
  <c r="V11" s="1"/>
  <c r="U11" s="1"/>
  <c r="T11" s="1"/>
  <c r="S11" s="1"/>
  <c r="N11" s="1"/>
  <c r="X10" s="1"/>
  <c r="W10" s="1"/>
  <c r="V10" s="1"/>
  <c r="U10" s="1"/>
  <c r="T10" s="1"/>
  <c r="S10" s="1"/>
  <c r="N10" s="1"/>
  <c r="U8" s="1"/>
  <c r="S8" s="1"/>
  <c r="Q8" s="1"/>
  <c r="N8" s="1"/>
  <c r="M8"/>
  <c r="J8"/>
  <c r="H8"/>
  <c r="F8"/>
  <c r="E8"/>
  <c r="V7"/>
  <c r="U7"/>
  <c r="T7"/>
  <c r="S7"/>
  <c r="R7"/>
  <c r="Q7"/>
  <c r="N7" s="1"/>
  <c r="M7"/>
  <c r="V6"/>
  <c r="U6"/>
  <c r="T6"/>
  <c r="S6"/>
  <c r="R6"/>
  <c r="Q6"/>
  <c r="N6" s="1"/>
  <c r="M6"/>
  <c r="V5"/>
  <c r="U5"/>
  <c r="T5"/>
  <c r="S5"/>
  <c r="R5"/>
  <c r="Q5"/>
  <c r="N5" s="1"/>
  <c r="M5"/>
  <c r="V4"/>
  <c r="U4"/>
  <c r="T4"/>
  <c r="S4"/>
  <c r="R4"/>
  <c r="Q4"/>
  <c r="N4" s="1"/>
  <c r="M4"/>
  <c r="V3"/>
  <c r="U3"/>
  <c r="T3"/>
  <c r="S3"/>
  <c r="R3"/>
  <c r="Q3"/>
  <c r="N3" s="1"/>
  <c r="M3"/>
  <c r="Q35"/>
  <c r="W19"/>
  <c r="T19"/>
  <c r="S35"/>
  <c r="S36"/>
  <c r="S37"/>
  <c r="S38"/>
  <c r="W37"/>
  <c r="V37"/>
  <c r="S39"/>
  <c r="W38"/>
  <c r="V38"/>
  <c r="S10" i="5" l="1"/>
  <c r="S11"/>
  <c r="S12"/>
  <c r="S13" s="1"/>
  <c r="S14" s="1"/>
  <c r="P8"/>
  <c r="Q2"/>
  <c r="Q3"/>
  <c r="Q4"/>
  <c r="Q5"/>
  <c r="Q6"/>
  <c r="Q7"/>
  <c r="Q8"/>
  <c r="Q10"/>
  <c r="R2"/>
  <c r="R3"/>
  <c r="R4"/>
  <c r="R5"/>
  <c r="R6"/>
  <c r="R7"/>
  <c r="G11"/>
  <c r="AC3"/>
  <c r="AC4"/>
  <c r="AC5"/>
  <c r="AC6"/>
  <c r="AC7"/>
  <c r="X8"/>
  <c r="W8"/>
  <c r="X12"/>
  <c r="AD3"/>
  <c r="AD4"/>
  <c r="AD5"/>
  <c r="AD6"/>
  <c r="AD7"/>
  <c r="I11"/>
  <c r="Q1048576"/>
</calcChain>
</file>

<file path=xl/sharedStrings.xml><?xml version="1.0" encoding="utf-8"?>
<sst xmlns="http://schemas.openxmlformats.org/spreadsheetml/2006/main" count="185" uniqueCount="35">
  <si>
    <t>A1</t>
    <phoneticPr fontId="1"/>
  </si>
  <si>
    <t>A2</t>
  </si>
  <si>
    <t>A3</t>
  </si>
  <si>
    <t>A4</t>
  </si>
  <si>
    <t>A5</t>
  </si>
  <si>
    <t>幅b（mm）</t>
    <rPh sb="0" eb="1">
      <t>ハバ</t>
    </rPh>
    <phoneticPr fontId="1"/>
  </si>
  <si>
    <t>厚さd(mm)</t>
    <rPh sb="0" eb="1">
      <t>アツ</t>
    </rPh>
    <phoneticPr fontId="1"/>
  </si>
  <si>
    <t>回数</t>
    <rPh sb="0" eb="2">
      <t>カイスウ</t>
    </rPh>
    <phoneticPr fontId="1"/>
  </si>
  <si>
    <t>平均</t>
    <rPh sb="0" eb="2">
      <t>ヘイキン</t>
    </rPh>
    <phoneticPr fontId="1"/>
  </si>
  <si>
    <t>おもり</t>
    <phoneticPr fontId="1"/>
  </si>
  <si>
    <t>荷重F/N</t>
    <rPh sb="0" eb="1">
      <t>ニ</t>
    </rPh>
    <rPh sb="1" eb="2">
      <t>ジュウ</t>
    </rPh>
    <phoneticPr fontId="1"/>
  </si>
  <si>
    <t>なし</t>
    <phoneticPr fontId="1"/>
  </si>
  <si>
    <t>レーザーの目盛り</t>
    <rPh sb="5" eb="7">
      <t>メモ</t>
    </rPh>
    <phoneticPr fontId="1"/>
  </si>
  <si>
    <t>真鍮</t>
    <rPh sb="0" eb="2">
      <t>シンチュウ</t>
    </rPh>
    <phoneticPr fontId="1"/>
  </si>
  <si>
    <t>変位h(mm)</t>
    <rPh sb="0" eb="2">
      <t>ヘンイ</t>
    </rPh>
    <phoneticPr fontId="1"/>
  </si>
  <si>
    <t>A1+A2</t>
    <phoneticPr fontId="1"/>
  </si>
  <si>
    <t>A1+A2+A3</t>
    <phoneticPr fontId="1"/>
  </si>
  <si>
    <t>A1+A2+A3+A4</t>
    <phoneticPr fontId="1"/>
  </si>
  <si>
    <t>A1+A2+A3+A4+A5</t>
    <phoneticPr fontId="1"/>
  </si>
  <si>
    <t>銅</t>
    <rPh sb="0" eb="1">
      <t>ドウ</t>
    </rPh>
    <phoneticPr fontId="1"/>
  </si>
  <si>
    <t>ヤング率E</t>
    <rPh sb="3" eb="4">
      <t>リツ</t>
    </rPh>
    <phoneticPr fontId="1"/>
  </si>
  <si>
    <t>l (cm)</t>
    <phoneticPr fontId="1"/>
  </si>
  <si>
    <t>直径2a(mm)</t>
    <rPh sb="0" eb="2">
      <t>チョッケイ</t>
    </rPh>
    <phoneticPr fontId="1"/>
  </si>
  <si>
    <t>溝のふちの距離r</t>
    <rPh sb="0" eb="1">
      <t>ミゾ</t>
    </rPh>
    <rPh sb="5" eb="7">
      <t>キョリ</t>
    </rPh>
    <phoneticPr fontId="1"/>
  </si>
  <si>
    <t>中心とレーザーの距離</t>
    <rPh sb="0" eb="2">
      <t>チュウシン</t>
    </rPh>
    <rPh sb="8" eb="10">
      <t>キョリ</t>
    </rPh>
    <phoneticPr fontId="1"/>
  </si>
  <si>
    <t>変位(mm)</t>
    <rPh sb="0" eb="2">
      <t>ヘンイ</t>
    </rPh>
    <phoneticPr fontId="1"/>
  </si>
  <si>
    <t>レーザーの目盛(mm)</t>
    <rPh sb="5" eb="7">
      <t>メモリ</t>
    </rPh>
    <phoneticPr fontId="1"/>
  </si>
  <si>
    <t>回転角θ(rad)</t>
    <rPh sb="0" eb="2">
      <t>カイテン</t>
    </rPh>
    <rPh sb="2" eb="3">
      <t>カク</t>
    </rPh>
    <phoneticPr fontId="1"/>
  </si>
  <si>
    <t>F(N)</t>
    <phoneticPr fontId="1"/>
  </si>
  <si>
    <t>モーメントN(N・mm)</t>
    <phoneticPr fontId="1"/>
  </si>
  <si>
    <t xml:space="preserve">dou </t>
    <phoneticPr fontId="1"/>
  </si>
  <si>
    <t>sinntyuu</t>
    <phoneticPr fontId="1"/>
  </si>
  <si>
    <t>b</t>
    <phoneticPr fontId="1"/>
  </si>
  <si>
    <t>d</t>
    <phoneticPr fontId="1"/>
  </si>
  <si>
    <t>/</t>
    <phoneticPr fontId="1"/>
  </si>
</sst>
</file>

<file path=xl/styles.xml><?xml version="1.0" encoding="utf-8"?>
<styleSheet xmlns="http://schemas.openxmlformats.org/spreadsheetml/2006/main">
  <numFmts count="2">
    <numFmt numFmtId="176" formatCode="0.000_ "/>
    <numFmt numFmtId="179" formatCode="0.000000_);[Red]\(0.000000\)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 sz="1050"/>
              <a:t>グラフ４</a:t>
            </a:r>
            <a:r>
              <a:rPr lang="en-US" altLang="ja-JP" sz="1050"/>
              <a:t>..</a:t>
            </a:r>
            <a:r>
              <a:rPr lang="ja-JP" altLang="en-US" sz="1050"/>
              <a:t>銅のモーメントと回転角の関係</a:t>
            </a:r>
          </a:p>
        </c:rich>
      </c:tx>
      <c:layout>
        <c:manualLayout>
          <c:xMode val="edge"/>
          <c:yMode val="edge"/>
          <c:x val="0.47871522309711284"/>
          <c:y val="0.88888888888888884"/>
        </c:manualLayout>
      </c:layout>
    </c:title>
    <c:plotArea>
      <c:layout>
        <c:manualLayout>
          <c:layoutTarget val="inner"/>
          <c:xMode val="edge"/>
          <c:yMode val="edge"/>
          <c:x val="0.11801618547681543"/>
          <c:y val="7.2928331875182273E-2"/>
          <c:w val="0.59591447944007003"/>
          <c:h val="0.68315543890347052"/>
        </c:manualLayout>
      </c:layout>
      <c:scatterChart>
        <c:scatterStyle val="lineMarker"/>
        <c:ser>
          <c:idx val="1"/>
          <c:order val="1"/>
          <c:tx>
            <c:v>測定値</c:v>
          </c:tx>
          <c:spPr>
            <a:ln w="28575">
              <a:noFill/>
            </a:ln>
          </c:spPr>
          <c:xVal>
            <c:numRef>
              <c:f>Sheet2!$R$34:$R$39</c:f>
              <c:numCache>
                <c:formatCode>General</c:formatCode>
                <c:ptCount val="6"/>
                <c:pt idx="0">
                  <c:v>0</c:v>
                </c:pt>
                <c:pt idx="1">
                  <c:v>8.6942675159234449E-3</c:v>
                </c:pt>
                <c:pt idx="2">
                  <c:v>1.8439490445859668E-2</c:v>
                </c:pt>
                <c:pt idx="3">
                  <c:v>2.8980891719745116E-2</c:v>
                </c:pt>
                <c:pt idx="4">
                  <c:v>3.949044585987245E-2</c:v>
                </c:pt>
                <c:pt idx="5">
                  <c:v>4.8917197452229118E-2</c:v>
                </c:pt>
              </c:numCache>
            </c:numRef>
          </c:xVal>
          <c:yVal>
            <c:numRef>
              <c:f>Sheet2!$I$25:$I$30</c:f>
              <c:numCache>
                <c:formatCode>General</c:formatCode>
                <c:ptCount val="6"/>
                <c:pt idx="0">
                  <c:v>0</c:v>
                </c:pt>
                <c:pt idx="1">
                  <c:v>69.438934161474862</c:v>
                </c:pt>
                <c:pt idx="2">
                  <c:v>139.83238541725993</c:v>
                </c:pt>
                <c:pt idx="3">
                  <c:v>210.25834128299405</c:v>
                </c:pt>
                <c:pt idx="4">
                  <c:v>280.58957941436051</c:v>
                </c:pt>
                <c:pt idx="5">
                  <c:v>351.23922291845366</c:v>
                </c:pt>
              </c:numCache>
            </c:numRef>
          </c:yVal>
        </c:ser>
        <c:axId val="72940928"/>
        <c:axId val="73147904"/>
      </c:scatterChart>
      <c:scatterChart>
        <c:scatterStyle val="smoothMarker"/>
        <c:ser>
          <c:idx val="0"/>
          <c:order val="0"/>
          <c:tx>
            <c:v>最小自乗法によって求めたグラフ</c:v>
          </c:tx>
          <c:marker>
            <c:symbol val="none"/>
          </c:marker>
          <c:xVal>
            <c:numRef>
              <c:f>Sheet2!$R$34:$R$39</c:f>
              <c:numCache>
                <c:formatCode>General</c:formatCode>
                <c:ptCount val="6"/>
                <c:pt idx="0">
                  <c:v>0</c:v>
                </c:pt>
                <c:pt idx="1">
                  <c:v>8.6942675159234449E-3</c:v>
                </c:pt>
                <c:pt idx="2">
                  <c:v>1.8439490445859668E-2</c:v>
                </c:pt>
                <c:pt idx="3">
                  <c:v>2.8980891719745116E-2</c:v>
                </c:pt>
                <c:pt idx="4">
                  <c:v>3.949044585987245E-2</c:v>
                </c:pt>
                <c:pt idx="5">
                  <c:v>4.8917197452229118E-2</c:v>
                </c:pt>
              </c:numCache>
            </c:numRef>
          </c:xVal>
          <c:yVal>
            <c:numRef>
              <c:f>Sheet2!$N$34:$N$39</c:f>
              <c:numCache>
                <c:formatCode>General</c:formatCode>
                <c:ptCount val="6"/>
                <c:pt idx="0">
                  <c:v>0</c:v>
                </c:pt>
                <c:pt idx="1">
                  <c:v>62.667355241913711</c:v>
                </c:pt>
                <c:pt idx="2">
                  <c:v>132.9098852932899</c:v>
                </c:pt>
                <c:pt idx="3">
                  <c:v>208.89118413971454</c:v>
                </c:pt>
                <c:pt idx="4">
                  <c:v>284.64293223433617</c:v>
                </c:pt>
                <c:pt idx="5">
                  <c:v>352.589954767694</c:v>
                </c:pt>
              </c:numCache>
            </c:numRef>
          </c:yVal>
          <c:smooth val="1"/>
        </c:ser>
        <c:axId val="72940928"/>
        <c:axId val="73147904"/>
      </c:scatterChart>
      <c:valAx>
        <c:axId val="729409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θ/rad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1507742782152237"/>
              <c:y val="0.87500000000000011"/>
            </c:manualLayout>
          </c:layout>
        </c:title>
        <c:numFmt formatCode="General" sourceLinked="1"/>
        <c:majorTickMark val="none"/>
        <c:tickLblPos val="nextTo"/>
        <c:crossAx val="73147904"/>
        <c:crosses val="autoZero"/>
        <c:crossBetween val="midCat"/>
      </c:valAx>
      <c:valAx>
        <c:axId val="731479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N/N</a:t>
                </a:r>
                <a:r>
                  <a:rPr lang="ja-JP" altLang="en-US"/>
                  <a:t>・</a:t>
                </a:r>
                <a:r>
                  <a:rPr lang="en-US" altLang="ja-JP"/>
                  <a:t>mm</a:t>
                </a:r>
                <a:endParaRPr lang="ja-JP" altLang="en-US"/>
              </a:p>
            </c:rich>
          </c:tx>
        </c:title>
        <c:numFmt formatCode="General" sourceLinked="1"/>
        <c:majorTickMark val="none"/>
        <c:tickLblPos val="nextTo"/>
        <c:crossAx val="72940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022222222222222"/>
          <c:y val="0.31555154564012833"/>
          <c:w val="0.25311111111111106"/>
          <c:h val="0.37653543307086618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style val="18"/>
  <c:chart>
    <c:title>
      <c:tx>
        <c:rich>
          <a:bodyPr/>
          <a:lstStyle/>
          <a:p>
            <a:pPr>
              <a:defRPr sz="1100"/>
            </a:pPr>
            <a:r>
              <a:rPr lang="ja-JP" sz="1100"/>
              <a:t>グラフ</a:t>
            </a:r>
            <a:r>
              <a:rPr lang="en-US" sz="1100"/>
              <a:t>3.</a:t>
            </a:r>
            <a:r>
              <a:rPr lang="ja-JP" sz="1100"/>
              <a:t>真鍮のモーメントと回転角の関係</a:t>
            </a:r>
          </a:p>
        </c:rich>
      </c:tx>
      <c:layout>
        <c:manualLayout>
          <c:xMode val="edge"/>
          <c:yMode val="edge"/>
          <c:x val="0.41954078146823198"/>
          <c:y val="0.89411764705882368"/>
        </c:manualLayout>
      </c:layout>
    </c:title>
    <c:plotArea>
      <c:layout/>
      <c:scatterChart>
        <c:scatterStyle val="smoothMarker"/>
        <c:ser>
          <c:idx val="0"/>
          <c:order val="0"/>
          <c:tx>
            <c:v>真鍮</c:v>
          </c:tx>
          <c:marker>
            <c:symbol val="none"/>
          </c:marker>
          <c:xVal>
            <c:numRef>
              <c:f>Sheet2!$R$23:$R$28</c:f>
              <c:numCache>
                <c:formatCode>General</c:formatCode>
                <c:ptCount val="6"/>
                <c:pt idx="0">
                  <c:v>0</c:v>
                </c:pt>
                <c:pt idx="1">
                  <c:v>1.1774193548387161E-2</c:v>
                </c:pt>
                <c:pt idx="2">
                  <c:v>2.6161290322580643E-2</c:v>
                </c:pt>
                <c:pt idx="3">
                  <c:v>3.8354838709677423E-2</c:v>
                </c:pt>
                <c:pt idx="4">
                  <c:v>5.1483870967742054E-2</c:v>
                </c:pt>
                <c:pt idx="5">
                  <c:v>6.3741935483871165E-2</c:v>
                </c:pt>
              </c:numCache>
            </c:numRef>
          </c:xVal>
          <c:yVal>
            <c:numRef>
              <c:f>Sheet2!$N$23:$N$28</c:f>
              <c:numCache>
                <c:formatCode>General</c:formatCode>
                <c:ptCount val="6"/>
                <c:pt idx="0">
                  <c:v>0</c:v>
                </c:pt>
                <c:pt idx="1">
                  <c:v>72.301820430790855</c:v>
                </c:pt>
                <c:pt idx="2">
                  <c:v>160.64870238183852</c:v>
                </c:pt>
                <c:pt idx="3">
                  <c:v>235.52565614304072</c:v>
                </c:pt>
                <c:pt idx="4">
                  <c:v>316.14713810285434</c:v>
                </c:pt>
                <c:pt idx="5">
                  <c:v>391.42026622258186</c:v>
                </c:pt>
              </c:numCache>
            </c:numRef>
          </c:yVal>
          <c:smooth val="1"/>
        </c:ser>
        <c:ser>
          <c:idx val="2"/>
          <c:order val="2"/>
          <c:tx>
            <c:v>銅</c:v>
          </c:tx>
          <c:marker>
            <c:symbol val="none"/>
          </c:marker>
          <c:xVal>
            <c:numRef>
              <c:f>Sheet2!$R$34:$R$39</c:f>
              <c:numCache>
                <c:formatCode>General</c:formatCode>
                <c:ptCount val="6"/>
                <c:pt idx="0">
                  <c:v>0</c:v>
                </c:pt>
                <c:pt idx="1">
                  <c:v>8.6942675159234449E-3</c:v>
                </c:pt>
                <c:pt idx="2">
                  <c:v>1.8439490445859668E-2</c:v>
                </c:pt>
                <c:pt idx="3">
                  <c:v>2.8980891719745116E-2</c:v>
                </c:pt>
                <c:pt idx="4">
                  <c:v>3.949044585987245E-2</c:v>
                </c:pt>
                <c:pt idx="5">
                  <c:v>4.8917197452229118E-2</c:v>
                </c:pt>
              </c:numCache>
            </c:numRef>
          </c:xVal>
          <c:yVal>
            <c:numRef>
              <c:f>Sheet2!$N$34:$N$39</c:f>
              <c:numCache>
                <c:formatCode>General</c:formatCode>
                <c:ptCount val="6"/>
                <c:pt idx="0">
                  <c:v>0</c:v>
                </c:pt>
                <c:pt idx="1">
                  <c:v>62.667355241913711</c:v>
                </c:pt>
                <c:pt idx="2">
                  <c:v>132.9098852932899</c:v>
                </c:pt>
                <c:pt idx="3">
                  <c:v>208.89118413971454</c:v>
                </c:pt>
                <c:pt idx="4">
                  <c:v>284.64293223433617</c:v>
                </c:pt>
                <c:pt idx="5">
                  <c:v>352.589954767694</c:v>
                </c:pt>
              </c:numCache>
            </c:numRef>
          </c:yVal>
          <c:smooth val="1"/>
        </c:ser>
        <c:axId val="73205632"/>
        <c:axId val="73220096"/>
      </c:scatterChart>
      <c:scatterChart>
        <c:scatterStyle val="lineMarker"/>
        <c:ser>
          <c:idx val="1"/>
          <c:order val="1"/>
          <c:tx>
            <c:v>測定値　真鍮</c:v>
          </c:tx>
          <c:spPr>
            <a:ln w="47625">
              <a:noFill/>
            </a:ln>
          </c:spPr>
          <c:xVal>
            <c:numRef>
              <c:f>Sheet2!$R$23:$R$28</c:f>
              <c:numCache>
                <c:formatCode>General</c:formatCode>
                <c:ptCount val="6"/>
                <c:pt idx="0">
                  <c:v>0</c:v>
                </c:pt>
                <c:pt idx="1">
                  <c:v>1.1774193548387161E-2</c:v>
                </c:pt>
                <c:pt idx="2">
                  <c:v>2.6161290322580643E-2</c:v>
                </c:pt>
                <c:pt idx="3">
                  <c:v>3.8354838709677423E-2</c:v>
                </c:pt>
                <c:pt idx="4">
                  <c:v>5.1483870967742054E-2</c:v>
                </c:pt>
                <c:pt idx="5">
                  <c:v>6.3741935483871165E-2</c:v>
                </c:pt>
              </c:numCache>
            </c:numRef>
          </c:xVal>
          <c:yVal>
            <c:numRef>
              <c:f>Sheet2!$I$15:$I$20</c:f>
              <c:numCache>
                <c:formatCode>General</c:formatCode>
                <c:ptCount val="6"/>
                <c:pt idx="0">
                  <c:v>0</c:v>
                </c:pt>
                <c:pt idx="1">
                  <c:v>77.791726153190794</c:v>
                </c:pt>
                <c:pt idx="2">
                  <c:v>156.65278802280326</c:v>
                </c:pt>
                <c:pt idx="3">
                  <c:v>235.55026447375124</c:v>
                </c:pt>
                <c:pt idx="4">
                  <c:v>314.34162961779685</c:v>
                </c:pt>
                <c:pt idx="5">
                  <c:v>393.48970103707506</c:v>
                </c:pt>
              </c:numCache>
            </c:numRef>
          </c:yVal>
        </c:ser>
        <c:ser>
          <c:idx val="3"/>
          <c:order val="3"/>
          <c:tx>
            <c:v>測定値　銅</c:v>
          </c:tx>
          <c:spPr>
            <a:ln w="47625">
              <a:noFill/>
            </a:ln>
          </c:spPr>
          <c:xVal>
            <c:numRef>
              <c:f>Sheet2!$R$34:$R$39</c:f>
              <c:numCache>
                <c:formatCode>General</c:formatCode>
                <c:ptCount val="6"/>
                <c:pt idx="0">
                  <c:v>0</c:v>
                </c:pt>
                <c:pt idx="1">
                  <c:v>8.6942675159234449E-3</c:v>
                </c:pt>
                <c:pt idx="2">
                  <c:v>1.8439490445859668E-2</c:v>
                </c:pt>
                <c:pt idx="3">
                  <c:v>2.8980891719745116E-2</c:v>
                </c:pt>
                <c:pt idx="4">
                  <c:v>3.949044585987245E-2</c:v>
                </c:pt>
                <c:pt idx="5">
                  <c:v>4.8917197452229118E-2</c:v>
                </c:pt>
              </c:numCache>
            </c:numRef>
          </c:xVal>
          <c:yVal>
            <c:numRef>
              <c:f>Sheet2!$I$25:$I$30</c:f>
              <c:numCache>
                <c:formatCode>General</c:formatCode>
                <c:ptCount val="6"/>
                <c:pt idx="0">
                  <c:v>0</c:v>
                </c:pt>
                <c:pt idx="1">
                  <c:v>69.438934161474862</c:v>
                </c:pt>
                <c:pt idx="2">
                  <c:v>139.83238541725993</c:v>
                </c:pt>
                <c:pt idx="3">
                  <c:v>210.25834128299405</c:v>
                </c:pt>
                <c:pt idx="4">
                  <c:v>280.58957941436051</c:v>
                </c:pt>
                <c:pt idx="5">
                  <c:v>351.23922291845366</c:v>
                </c:pt>
              </c:numCache>
            </c:numRef>
          </c:yVal>
        </c:ser>
        <c:axId val="73205632"/>
        <c:axId val="73220096"/>
      </c:scatterChart>
      <c:valAx>
        <c:axId val="73205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θ/rad</a:t>
                </a:r>
                <a:endParaRPr lang="ja-JP"/>
              </a:p>
            </c:rich>
          </c:tx>
        </c:title>
        <c:numFmt formatCode="General" sourceLinked="1"/>
        <c:majorTickMark val="none"/>
        <c:tickLblPos val="nextTo"/>
        <c:crossAx val="73220096"/>
        <c:crosses val="autoZero"/>
        <c:crossBetween val="midCat"/>
      </c:valAx>
      <c:valAx>
        <c:axId val="732200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N/N</a:t>
                </a:r>
                <a:r>
                  <a:rPr lang="ja-JP"/>
                  <a:t>・</a:t>
                </a:r>
                <a:r>
                  <a:rPr lang="en-US"/>
                  <a:t>mm</a:t>
                </a:r>
                <a:endParaRPr lang="ja-JP"/>
              </a:p>
            </c:rich>
          </c:tx>
        </c:title>
        <c:numFmt formatCode="General" sourceLinked="1"/>
        <c:majorTickMark val="none"/>
        <c:tickLblPos val="nextTo"/>
        <c:crossAx val="7320563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 sz="1100"/>
              <a:t>グラフ</a:t>
            </a:r>
            <a:r>
              <a:rPr lang="en-US" altLang="ja-JP" sz="1100"/>
              <a:t>Ⅱ</a:t>
            </a:r>
            <a:r>
              <a:rPr lang="ja-JP" altLang="en-US" sz="1100"/>
              <a:t>．銅のグラフ</a:t>
            </a:r>
          </a:p>
        </c:rich>
      </c:tx>
      <c:layout>
        <c:manualLayout>
          <c:xMode val="edge"/>
          <c:yMode val="edge"/>
          <c:x val="0.67222648625232551"/>
          <c:y val="0.92836676217764991"/>
        </c:manualLayout>
      </c:layout>
    </c:title>
    <c:plotArea>
      <c:layout>
        <c:manualLayout>
          <c:layoutTarget val="inner"/>
          <c:xMode val="edge"/>
          <c:yMode val="edge"/>
          <c:x val="0.10669989552276835"/>
          <c:y val="0.24839546026275799"/>
          <c:w val="0.61053747500034949"/>
          <c:h val="0.54633949149708094"/>
        </c:manualLayout>
      </c:layout>
      <c:scatterChart>
        <c:scatterStyle val="smoothMarker"/>
        <c:ser>
          <c:idx val="2"/>
          <c:order val="0"/>
          <c:tx>
            <c:v>最小自乗法により求めたグラフ</c:v>
          </c:tx>
          <c:marker>
            <c:symbol val="none"/>
          </c:marker>
          <c:xVal>
            <c:numRef>
              <c:f>Sheet1!$Y$2:$Y$7</c:f>
              <c:numCache>
                <c:formatCode>General</c:formatCode>
                <c:ptCount val="6"/>
                <c:pt idx="0">
                  <c:v>0</c:v>
                </c:pt>
                <c:pt idx="1">
                  <c:v>0.62399999999999878</c:v>
                </c:pt>
                <c:pt idx="2">
                  <c:v>1.2590000000000003</c:v>
                </c:pt>
                <c:pt idx="3">
                  <c:v>1.9310000000000009</c:v>
                </c:pt>
                <c:pt idx="4">
                  <c:v>2.5689999999999991</c:v>
                </c:pt>
                <c:pt idx="5">
                  <c:v>3.2139999999999986</c:v>
                </c:pt>
              </c:numCache>
            </c:numRef>
          </c:xVal>
          <c:yVal>
            <c:numRef>
              <c:f>Sheet1!$AB$2:$AB$7</c:f>
              <c:numCache>
                <c:formatCode>General</c:formatCode>
                <c:ptCount val="6"/>
                <c:pt idx="0">
                  <c:v>0</c:v>
                </c:pt>
                <c:pt idx="1">
                  <c:v>1.9129805527292616</c:v>
                </c:pt>
                <c:pt idx="2">
                  <c:v>3.8596835190483105</c:v>
                </c:pt>
                <c:pt idx="3">
                  <c:v>5.9198164219875213</c:v>
                </c:pt>
                <c:pt idx="4">
                  <c:v>7.8757164101946815</c:v>
                </c:pt>
                <c:pt idx="5">
                  <c:v>9.8530761161407963</c:v>
                </c:pt>
              </c:numCache>
            </c:numRef>
          </c:yVal>
          <c:smooth val="1"/>
        </c:ser>
        <c:axId val="73254400"/>
        <c:axId val="73256320"/>
      </c:scatterChart>
      <c:scatterChart>
        <c:scatterStyle val="lineMarker"/>
        <c:ser>
          <c:idx val="0"/>
          <c:order val="1"/>
          <c:tx>
            <c:v>測定値</c:v>
          </c:tx>
          <c:spPr>
            <a:ln w="28575">
              <a:noFill/>
            </a:ln>
          </c:spPr>
          <c:xVal>
            <c:numRef>
              <c:f>Sheet1!$Y$2:$Y$7</c:f>
              <c:numCache>
                <c:formatCode>General</c:formatCode>
                <c:ptCount val="6"/>
                <c:pt idx="0">
                  <c:v>0</c:v>
                </c:pt>
                <c:pt idx="1">
                  <c:v>0.62399999999999878</c:v>
                </c:pt>
                <c:pt idx="2">
                  <c:v>1.2590000000000003</c:v>
                </c:pt>
                <c:pt idx="3">
                  <c:v>1.9310000000000009</c:v>
                </c:pt>
                <c:pt idx="4">
                  <c:v>2.5689999999999991</c:v>
                </c:pt>
                <c:pt idx="5">
                  <c:v>3.2139999999999986</c:v>
                </c:pt>
              </c:numCache>
            </c:numRef>
          </c:xVal>
          <c:yVal>
            <c:numRef>
              <c:f>Sheet1!$V$2:$V$7</c:f>
              <c:numCache>
                <c:formatCode>0.000_ </c:formatCode>
                <c:ptCount val="6"/>
                <c:pt idx="0" formatCode="General">
                  <c:v>0</c:v>
                </c:pt>
                <c:pt idx="1">
                  <c:v>1.9465840111200001</c:v>
                </c:pt>
                <c:pt idx="2">
                  <c:v>3.9199260325200003</c:v>
                </c:pt>
                <c:pt idx="3">
                  <c:v>5.8941792567600002</c:v>
                </c:pt>
                <c:pt idx="4">
                  <c:v>7.8657772555200003</c:v>
                </c:pt>
                <c:pt idx="5">
                  <c:v>9.8463011229599999</c:v>
                </c:pt>
              </c:numCache>
            </c:numRef>
          </c:yVal>
        </c:ser>
        <c:axId val="73254400"/>
        <c:axId val="73256320"/>
      </c:scatterChart>
      <c:valAx>
        <c:axId val="73254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h.</a:t>
                </a:r>
                <a:r>
                  <a:rPr lang="ja-JP" altLang="en-US"/>
                  <a:t>変位</a:t>
                </a:r>
                <a:r>
                  <a:rPr lang="en-US" altLang="ja-JP"/>
                  <a:t>/mm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3256320"/>
        <c:crosses val="autoZero"/>
        <c:crossBetween val="midCat"/>
      </c:valAx>
      <c:valAx>
        <c:axId val="73256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F/N</a:t>
                </a:r>
                <a:endParaRPr lang="ja-JP" altLang="en-US"/>
              </a:p>
            </c:rich>
          </c:tx>
          <c:layout/>
        </c:title>
        <c:numFmt formatCode="General" sourceLinked="1"/>
        <c:majorTickMark val="none"/>
        <c:tickLblPos val="nextTo"/>
        <c:crossAx val="73254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07152813713571"/>
          <c:y val="0.37003918831475735"/>
          <c:w val="0.27723584285534469"/>
          <c:h val="0.23800728510044297"/>
        </c:manualLayout>
      </c:layout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 sz="1100"/>
              <a:t>グラフ</a:t>
            </a:r>
            <a:r>
              <a:rPr lang="en-US" altLang="ja-JP" sz="1100"/>
              <a:t>Ⅱ</a:t>
            </a:r>
            <a:r>
              <a:rPr lang="ja-JP" altLang="en-US" sz="1100"/>
              <a:t>．銅のグラフ</a:t>
            </a:r>
          </a:p>
        </c:rich>
      </c:tx>
      <c:layout>
        <c:manualLayout>
          <c:xMode val="edge"/>
          <c:yMode val="edge"/>
          <c:x val="0.67222648625232528"/>
          <c:y val="0.92836676217765035"/>
        </c:manualLayout>
      </c:layout>
    </c:title>
    <c:plotArea>
      <c:layout>
        <c:manualLayout>
          <c:layoutTarget val="inner"/>
          <c:xMode val="edge"/>
          <c:yMode val="edge"/>
          <c:x val="0.10669989552276837"/>
          <c:y val="0.24839546026275799"/>
          <c:w val="0.61053747500034949"/>
          <c:h val="0.54633949149708094"/>
        </c:manualLayout>
      </c:layout>
      <c:scatterChart>
        <c:scatterStyle val="smoothMarker"/>
        <c:ser>
          <c:idx val="2"/>
          <c:order val="0"/>
          <c:tx>
            <c:v>最小自乗法により求めたグラフ</c:v>
          </c:tx>
          <c:marker>
            <c:symbol val="none"/>
          </c:marker>
          <c:xVal>
            <c:numRef>
              <c:f>Sheet1!$Y$2:$Y$7</c:f>
              <c:numCache>
                <c:formatCode>General</c:formatCode>
                <c:ptCount val="6"/>
                <c:pt idx="0">
                  <c:v>0</c:v>
                </c:pt>
                <c:pt idx="1">
                  <c:v>0.62399999999999878</c:v>
                </c:pt>
                <c:pt idx="2">
                  <c:v>1.2590000000000003</c:v>
                </c:pt>
                <c:pt idx="3">
                  <c:v>1.9310000000000009</c:v>
                </c:pt>
                <c:pt idx="4">
                  <c:v>2.5689999999999991</c:v>
                </c:pt>
                <c:pt idx="5">
                  <c:v>3.2139999999999986</c:v>
                </c:pt>
              </c:numCache>
            </c:numRef>
          </c:xVal>
          <c:yVal>
            <c:numRef>
              <c:f>Sheet1!$AB$2:$AB$7</c:f>
              <c:numCache>
                <c:formatCode>General</c:formatCode>
                <c:ptCount val="6"/>
                <c:pt idx="0">
                  <c:v>0</c:v>
                </c:pt>
                <c:pt idx="1">
                  <c:v>1.9129805527292616</c:v>
                </c:pt>
                <c:pt idx="2">
                  <c:v>3.8596835190483105</c:v>
                </c:pt>
                <c:pt idx="3">
                  <c:v>5.9198164219875213</c:v>
                </c:pt>
                <c:pt idx="4">
                  <c:v>7.8757164101946815</c:v>
                </c:pt>
                <c:pt idx="5">
                  <c:v>9.8530761161407963</c:v>
                </c:pt>
              </c:numCache>
            </c:numRef>
          </c:yVal>
          <c:smooth val="1"/>
        </c:ser>
        <c:axId val="73319936"/>
        <c:axId val="73321856"/>
      </c:scatterChart>
      <c:scatterChart>
        <c:scatterStyle val="lineMarker"/>
        <c:ser>
          <c:idx val="0"/>
          <c:order val="1"/>
          <c:tx>
            <c:v>測定値</c:v>
          </c:tx>
          <c:spPr>
            <a:ln w="28575">
              <a:noFill/>
            </a:ln>
          </c:spPr>
          <c:xVal>
            <c:numRef>
              <c:f>Sheet1!$Y$2:$Y$7</c:f>
              <c:numCache>
                <c:formatCode>General</c:formatCode>
                <c:ptCount val="6"/>
                <c:pt idx="0">
                  <c:v>0</c:v>
                </c:pt>
                <c:pt idx="1">
                  <c:v>0.62399999999999878</c:v>
                </c:pt>
                <c:pt idx="2">
                  <c:v>1.2590000000000003</c:v>
                </c:pt>
                <c:pt idx="3">
                  <c:v>1.9310000000000009</c:v>
                </c:pt>
                <c:pt idx="4">
                  <c:v>2.5689999999999991</c:v>
                </c:pt>
                <c:pt idx="5">
                  <c:v>3.2139999999999986</c:v>
                </c:pt>
              </c:numCache>
            </c:numRef>
          </c:xVal>
          <c:yVal>
            <c:numRef>
              <c:f>Sheet1!$V$2:$V$7</c:f>
              <c:numCache>
                <c:formatCode>0.000_ </c:formatCode>
                <c:ptCount val="6"/>
                <c:pt idx="0" formatCode="General">
                  <c:v>0</c:v>
                </c:pt>
                <c:pt idx="1">
                  <c:v>1.9465840111200001</c:v>
                </c:pt>
                <c:pt idx="2">
                  <c:v>3.9199260325200003</c:v>
                </c:pt>
                <c:pt idx="3">
                  <c:v>5.8941792567600002</c:v>
                </c:pt>
                <c:pt idx="4">
                  <c:v>7.8657772555200003</c:v>
                </c:pt>
                <c:pt idx="5">
                  <c:v>9.8463011229599999</c:v>
                </c:pt>
              </c:numCache>
            </c:numRef>
          </c:yVal>
        </c:ser>
        <c:axId val="73319936"/>
        <c:axId val="73321856"/>
      </c:scatterChart>
      <c:valAx>
        <c:axId val="733199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h.</a:t>
                </a:r>
                <a:r>
                  <a:rPr lang="ja-JP" altLang="en-US"/>
                  <a:t>変位</a:t>
                </a:r>
                <a:r>
                  <a:rPr lang="en-US" altLang="ja-JP"/>
                  <a:t>/mm</a:t>
                </a:r>
              </a:p>
            </c:rich>
          </c:tx>
        </c:title>
        <c:numFmt formatCode="General" sourceLinked="1"/>
        <c:majorTickMark val="none"/>
        <c:tickLblPos val="nextTo"/>
        <c:crossAx val="73321856"/>
        <c:crosses val="autoZero"/>
        <c:crossBetween val="midCat"/>
      </c:valAx>
      <c:valAx>
        <c:axId val="733218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F/N</a:t>
                </a:r>
                <a:endParaRPr lang="ja-JP" altLang="en-US"/>
              </a:p>
            </c:rich>
          </c:tx>
        </c:title>
        <c:numFmt formatCode="General" sourceLinked="1"/>
        <c:majorTickMark val="none"/>
        <c:tickLblPos val="nextTo"/>
        <c:crossAx val="73319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07152813713571"/>
          <c:y val="0.37003918831475713"/>
          <c:w val="0.27723584285534469"/>
          <c:h val="0.23800728510044286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 sz="1100"/>
              <a:t>グラフ</a:t>
            </a:r>
            <a:r>
              <a:rPr lang="en-US" altLang="ja-JP" sz="1100"/>
              <a:t>Ⅰ</a:t>
            </a:r>
            <a:r>
              <a:rPr lang="ja-JP" altLang="en-US" sz="1100"/>
              <a:t>．真鍮のグラフ</a:t>
            </a:r>
          </a:p>
        </c:rich>
      </c:tx>
      <c:layout>
        <c:manualLayout>
          <c:xMode val="edge"/>
          <c:yMode val="edge"/>
          <c:x val="0.63143044619422573"/>
          <c:y val="0.88888888888888884"/>
        </c:manualLayout>
      </c:layout>
    </c:title>
    <c:plotArea>
      <c:layout>
        <c:manualLayout>
          <c:layoutTarget val="inner"/>
          <c:xMode val="edge"/>
          <c:yMode val="edge"/>
          <c:x val="0.14339129483814525"/>
          <c:y val="0.11297462817147859"/>
          <c:w val="0.60262270341207369"/>
          <c:h val="0.63479913969087243"/>
        </c:manualLayout>
      </c:layout>
      <c:scatterChart>
        <c:scatterStyle val="lineMarker"/>
        <c:ser>
          <c:idx val="0"/>
          <c:order val="0"/>
          <c:tx>
            <c:v>最小自乗法より求めたグラフ</c:v>
          </c:tx>
          <c:marker>
            <c:symbol val="none"/>
          </c:marker>
          <c:xVal>
            <c:numRef>
              <c:f>Sheet1!$O$2:$O$7</c:f>
              <c:numCache>
                <c:formatCode>General</c:formatCode>
                <c:ptCount val="6"/>
                <c:pt idx="0">
                  <c:v>0</c:v>
                </c:pt>
                <c:pt idx="1">
                  <c:v>0.65200000000000102</c:v>
                </c:pt>
                <c:pt idx="2">
                  <c:v>1.3949999999999996</c:v>
                </c:pt>
                <c:pt idx="3">
                  <c:v>1.9770000000000003</c:v>
                </c:pt>
                <c:pt idx="4">
                  <c:v>2.5779999999999994</c:v>
                </c:pt>
                <c:pt idx="5">
                  <c:v>3.2679999999999971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0</c:v>
                </c:pt>
                <c:pt idx="1">
                  <c:v>1.9568078975906691</c:v>
                </c:pt>
                <c:pt idx="2">
                  <c:v>4.1867285538941381</c:v>
                </c:pt>
                <c:pt idx="3">
                  <c:v>5.9334497140134159</c:v>
                </c:pt>
                <c:pt idx="4">
                  <c:v>7.7371944171606382</c:v>
                </c:pt>
                <c:pt idx="5">
                  <c:v>9.8080494008071941</c:v>
                </c:pt>
              </c:numCache>
            </c:numRef>
          </c:yVal>
        </c:ser>
        <c:ser>
          <c:idx val="1"/>
          <c:order val="1"/>
          <c:tx>
            <c:v>測定値</c:v>
          </c:tx>
          <c:spPr>
            <a:ln w="28575">
              <a:noFill/>
            </a:ln>
          </c:spPr>
          <c:xVal>
            <c:numRef>
              <c:f>Sheet1!$O$2:$O$7</c:f>
              <c:numCache>
                <c:formatCode>General</c:formatCode>
                <c:ptCount val="6"/>
                <c:pt idx="0">
                  <c:v>0</c:v>
                </c:pt>
                <c:pt idx="1">
                  <c:v>0.65200000000000102</c:v>
                </c:pt>
                <c:pt idx="2">
                  <c:v>1.3949999999999996</c:v>
                </c:pt>
                <c:pt idx="3">
                  <c:v>1.9770000000000003</c:v>
                </c:pt>
                <c:pt idx="4">
                  <c:v>2.5779999999999994</c:v>
                </c:pt>
                <c:pt idx="5">
                  <c:v>3.2679999999999971</c:v>
                </c:pt>
              </c:numCache>
            </c:numRef>
          </c:xVal>
          <c:yVal>
            <c:numRef>
              <c:f>Sheet1!$K$2:$K$7</c:f>
              <c:numCache>
                <c:formatCode>0.000_ </c:formatCode>
                <c:ptCount val="6"/>
                <c:pt idx="0" formatCode="General">
                  <c:v>0</c:v>
                </c:pt>
                <c:pt idx="1">
                  <c:v>1.9465840111200001</c:v>
                </c:pt>
                <c:pt idx="2">
                  <c:v>3.9199260325200003</c:v>
                </c:pt>
                <c:pt idx="3">
                  <c:v>5.8941792567600002</c:v>
                </c:pt>
                <c:pt idx="4">
                  <c:v>7.8657772555200003</c:v>
                </c:pt>
                <c:pt idx="5">
                  <c:v>9.8463011229599999</c:v>
                </c:pt>
              </c:numCache>
            </c:numRef>
          </c:yVal>
        </c:ser>
        <c:axId val="73380992"/>
        <c:axId val="73382912"/>
      </c:scatterChart>
      <c:valAx>
        <c:axId val="73380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h.</a:t>
                </a:r>
                <a:r>
                  <a:rPr lang="ja-JP" altLang="en-US"/>
                  <a:t>変位</a:t>
                </a:r>
                <a:r>
                  <a:rPr lang="en-US" altLang="ja-JP"/>
                  <a:t>/mm</a:t>
                </a:r>
                <a:endParaRPr lang="ja-JP" altLang="en-US"/>
              </a:p>
            </c:rich>
          </c:tx>
        </c:title>
        <c:numFmt formatCode="General" sourceLinked="1"/>
        <c:majorTickMark val="none"/>
        <c:tickLblPos val="nextTo"/>
        <c:crossAx val="73382912"/>
        <c:crosses val="autoZero"/>
        <c:crossBetween val="midCat"/>
      </c:valAx>
      <c:valAx>
        <c:axId val="73382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F/N</a:t>
                </a:r>
                <a:endParaRPr lang="ja-JP" altLang="en-US"/>
              </a:p>
            </c:rich>
          </c:tx>
        </c:title>
        <c:numFmt formatCode="General" sourceLinked="1"/>
        <c:majorTickMark val="none"/>
        <c:tickLblPos val="nextTo"/>
        <c:crossAx val="73380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805555555555579"/>
          <c:y val="0.33557487605715969"/>
          <c:w val="0.26916666666666672"/>
          <c:h val="0.26079469233012537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 sz="1100"/>
              <a:t>グラフ</a:t>
            </a:r>
            <a:r>
              <a:rPr lang="en-US" altLang="ja-JP" sz="1100"/>
              <a:t>Ⅱ</a:t>
            </a:r>
            <a:r>
              <a:rPr lang="ja-JP" altLang="en-US" sz="1100"/>
              <a:t>．銅のグラフ</a:t>
            </a:r>
          </a:p>
        </c:rich>
      </c:tx>
      <c:layout>
        <c:manualLayout>
          <c:xMode val="edge"/>
          <c:yMode val="edge"/>
          <c:x val="0.67222648625232551"/>
          <c:y val="0.92836676217764991"/>
        </c:manualLayout>
      </c:layout>
    </c:title>
    <c:plotArea>
      <c:layout>
        <c:manualLayout>
          <c:layoutTarget val="inner"/>
          <c:xMode val="edge"/>
          <c:yMode val="edge"/>
          <c:x val="0.10669989552276835"/>
          <c:y val="0.24839546026275799"/>
          <c:w val="0.61053747500034949"/>
          <c:h val="0.54633949149708094"/>
        </c:manualLayout>
      </c:layout>
      <c:scatterChart>
        <c:scatterStyle val="smoothMarker"/>
        <c:ser>
          <c:idx val="2"/>
          <c:order val="0"/>
          <c:tx>
            <c:v>最小自乗法により求めたグラフ</c:v>
          </c:tx>
          <c:marker>
            <c:symbol val="none"/>
          </c:marker>
          <c:xVal>
            <c:numRef>
              <c:f>Sheet1!$Y$2:$Y$7</c:f>
              <c:numCache>
                <c:formatCode>General</c:formatCode>
                <c:ptCount val="6"/>
                <c:pt idx="0">
                  <c:v>0</c:v>
                </c:pt>
                <c:pt idx="1">
                  <c:v>0.62399999999999878</c:v>
                </c:pt>
                <c:pt idx="2">
                  <c:v>1.2590000000000003</c:v>
                </c:pt>
                <c:pt idx="3">
                  <c:v>1.9310000000000009</c:v>
                </c:pt>
                <c:pt idx="4">
                  <c:v>2.5689999999999991</c:v>
                </c:pt>
                <c:pt idx="5">
                  <c:v>3.2139999999999986</c:v>
                </c:pt>
              </c:numCache>
            </c:numRef>
          </c:xVal>
          <c:yVal>
            <c:numRef>
              <c:f>Sheet1!$AB$2:$AB$7</c:f>
              <c:numCache>
                <c:formatCode>General</c:formatCode>
                <c:ptCount val="6"/>
                <c:pt idx="0">
                  <c:v>0</c:v>
                </c:pt>
                <c:pt idx="1">
                  <c:v>1.9129805527292616</c:v>
                </c:pt>
                <c:pt idx="2">
                  <c:v>3.8596835190483105</c:v>
                </c:pt>
                <c:pt idx="3">
                  <c:v>5.9198164219875213</c:v>
                </c:pt>
                <c:pt idx="4">
                  <c:v>7.8757164101946815</c:v>
                </c:pt>
                <c:pt idx="5">
                  <c:v>9.8530761161407963</c:v>
                </c:pt>
              </c:numCache>
            </c:numRef>
          </c:yVal>
          <c:smooth val="1"/>
        </c:ser>
        <c:axId val="73446144"/>
        <c:axId val="73448064"/>
      </c:scatterChart>
      <c:scatterChart>
        <c:scatterStyle val="lineMarker"/>
        <c:ser>
          <c:idx val="0"/>
          <c:order val="1"/>
          <c:tx>
            <c:v>測定値</c:v>
          </c:tx>
          <c:spPr>
            <a:ln w="28575">
              <a:noFill/>
            </a:ln>
          </c:spPr>
          <c:xVal>
            <c:numRef>
              <c:f>Sheet1!$Y$2:$Y$7</c:f>
              <c:numCache>
                <c:formatCode>General</c:formatCode>
                <c:ptCount val="6"/>
                <c:pt idx="0">
                  <c:v>0</c:v>
                </c:pt>
                <c:pt idx="1">
                  <c:v>0.62399999999999878</c:v>
                </c:pt>
                <c:pt idx="2">
                  <c:v>1.2590000000000003</c:v>
                </c:pt>
                <c:pt idx="3">
                  <c:v>1.9310000000000009</c:v>
                </c:pt>
                <c:pt idx="4">
                  <c:v>2.5689999999999991</c:v>
                </c:pt>
                <c:pt idx="5">
                  <c:v>3.2139999999999986</c:v>
                </c:pt>
              </c:numCache>
            </c:numRef>
          </c:xVal>
          <c:yVal>
            <c:numRef>
              <c:f>Sheet1!$V$2:$V$7</c:f>
              <c:numCache>
                <c:formatCode>0.000_ </c:formatCode>
                <c:ptCount val="6"/>
                <c:pt idx="0" formatCode="General">
                  <c:v>0</c:v>
                </c:pt>
                <c:pt idx="1">
                  <c:v>1.9465840111200001</c:v>
                </c:pt>
                <c:pt idx="2">
                  <c:v>3.9199260325200003</c:v>
                </c:pt>
                <c:pt idx="3">
                  <c:v>5.8941792567600002</c:v>
                </c:pt>
                <c:pt idx="4">
                  <c:v>7.8657772555200003</c:v>
                </c:pt>
                <c:pt idx="5">
                  <c:v>9.8463011229599999</c:v>
                </c:pt>
              </c:numCache>
            </c:numRef>
          </c:yVal>
        </c:ser>
        <c:axId val="73446144"/>
        <c:axId val="73448064"/>
      </c:scatterChart>
      <c:valAx>
        <c:axId val="73446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h.</a:t>
                </a:r>
                <a:r>
                  <a:rPr lang="ja-JP" altLang="en-US"/>
                  <a:t>変位</a:t>
                </a:r>
                <a:r>
                  <a:rPr lang="en-US" altLang="ja-JP"/>
                  <a:t>/mm</a:t>
                </a:r>
              </a:p>
            </c:rich>
          </c:tx>
        </c:title>
        <c:numFmt formatCode="General" sourceLinked="1"/>
        <c:majorTickMark val="none"/>
        <c:tickLblPos val="nextTo"/>
        <c:crossAx val="73448064"/>
        <c:crosses val="autoZero"/>
        <c:crossBetween val="midCat"/>
      </c:valAx>
      <c:valAx>
        <c:axId val="734480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F/N</a:t>
                </a:r>
                <a:endParaRPr lang="ja-JP" altLang="en-US"/>
              </a:p>
            </c:rich>
          </c:tx>
        </c:title>
        <c:numFmt formatCode="General" sourceLinked="1"/>
        <c:majorTickMark val="none"/>
        <c:tickLblPos val="nextTo"/>
        <c:crossAx val="73446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07152813713571"/>
          <c:y val="0.37003918831475735"/>
          <c:w val="0.27723584285534469"/>
          <c:h val="0.23800728510044297"/>
        </c:manualLayout>
      </c:layout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37</xdr:row>
      <xdr:rowOff>9525</xdr:rowOff>
    </xdr:from>
    <xdr:to>
      <xdr:col>12</xdr:col>
      <xdr:colOff>552450</xdr:colOff>
      <xdr:row>53</xdr:row>
      <xdr:rowOff>9525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526256</xdr:colOff>
      <xdr:row>25</xdr:row>
      <xdr:rowOff>40480</xdr:rowOff>
    </xdr:from>
    <xdr:to>
      <xdr:col>7</xdr:col>
      <xdr:colOff>297656</xdr:colOff>
      <xdr:row>41</xdr:row>
      <xdr:rowOff>40480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209550</xdr:colOff>
      <xdr:row>13</xdr:row>
      <xdr:rowOff>19050</xdr:rowOff>
    </xdr:from>
    <xdr:to>
      <xdr:col>28</xdr:col>
      <xdr:colOff>85725</xdr:colOff>
      <xdr:row>33</xdr:row>
      <xdr:rowOff>28575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209550</xdr:colOff>
      <xdr:row>13</xdr:row>
      <xdr:rowOff>19050</xdr:rowOff>
    </xdr:from>
    <xdr:to>
      <xdr:col>28</xdr:col>
      <xdr:colOff>85725</xdr:colOff>
      <xdr:row>33</xdr:row>
      <xdr:rowOff>28575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11</xdr:row>
      <xdr:rowOff>152400</xdr:rowOff>
    </xdr:from>
    <xdr:to>
      <xdr:col>17</xdr:col>
      <xdr:colOff>638175</xdr:colOff>
      <xdr:row>27</xdr:row>
      <xdr:rowOff>152400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209550</xdr:colOff>
      <xdr:row>13</xdr:row>
      <xdr:rowOff>19050</xdr:rowOff>
    </xdr:from>
    <xdr:to>
      <xdr:col>28</xdr:col>
      <xdr:colOff>85725</xdr:colOff>
      <xdr:row>33</xdr:row>
      <xdr:rowOff>28575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opLeftCell="K10" zoomScale="96" zoomScaleNormal="96" workbookViewId="0">
      <selection activeCell="R21" sqref="R21"/>
    </sheetView>
  </sheetViews>
  <sheetFormatPr defaultRowHeight="13.5"/>
  <cols>
    <col min="14" max="14" width="10.5" bestFit="1" customWidth="1"/>
    <col min="15" max="15" width="10.5" customWidth="1"/>
    <col min="16" max="16" width="10.5" style="3" customWidth="1"/>
    <col min="17" max="17" width="13.25" customWidth="1"/>
    <col min="20" max="20" width="12.75" bestFit="1" customWidth="1"/>
  </cols>
  <sheetData>
    <row r="1" spans="1:25">
      <c r="B1" t="s">
        <v>21</v>
      </c>
      <c r="E1" t="s">
        <v>22</v>
      </c>
      <c r="H1" s="2" t="s">
        <v>23</v>
      </c>
      <c r="I1" s="2"/>
    </row>
    <row r="2" spans="1:25">
      <c r="A2" t="s">
        <v>19</v>
      </c>
      <c r="B2">
        <v>36.4</v>
      </c>
      <c r="D2" t="s">
        <v>7</v>
      </c>
      <c r="E2" t="s">
        <v>19</v>
      </c>
      <c r="F2" t="s">
        <v>13</v>
      </c>
      <c r="H2" t="s">
        <v>19</v>
      </c>
      <c r="J2" t="s">
        <v>13</v>
      </c>
    </row>
    <row r="3" spans="1:25">
      <c r="A3" t="s">
        <v>13</v>
      </c>
      <c r="B3">
        <v>36.299999999999997</v>
      </c>
      <c r="D3">
        <v>1</v>
      </c>
      <c r="E3">
        <v>4.9779999999999998</v>
      </c>
      <c r="F3">
        <v>4.9850000000000003</v>
      </c>
      <c r="H3">
        <v>37.15</v>
      </c>
      <c r="J3">
        <v>37.5</v>
      </c>
      <c r="M3">
        <f t="shared" ref="M3:M8" si="0">E3/2</f>
        <v>2.4889999999999999</v>
      </c>
      <c r="N3">
        <f t="shared" ref="N3:N8" si="1">M3-2.4922</f>
        <v>-3.2000000000000917E-3</v>
      </c>
      <c r="Q3">
        <f t="shared" ref="Q3:Q8" si="2">F3/2</f>
        <v>2.4925000000000002</v>
      </c>
      <c r="R3">
        <f>Q3-2.4932</f>
        <v>-6.9999999999970086E-4</v>
      </c>
      <c r="S3">
        <f t="shared" ref="S3:S8" si="3">H3/2</f>
        <v>18.574999999999999</v>
      </c>
      <c r="T3">
        <f>S3-18.59</f>
        <v>-1.5000000000000568E-2</v>
      </c>
      <c r="U3">
        <f t="shared" ref="U3:U8" si="4">J3/2</f>
        <v>18.75</v>
      </c>
      <c r="V3">
        <f>U3-18.735</f>
        <v>1.5000000000000568E-2</v>
      </c>
    </row>
    <row r="4" spans="1:25">
      <c r="D4">
        <v>2</v>
      </c>
      <c r="E4">
        <v>4.9749999999999996</v>
      </c>
      <c r="F4">
        <v>4.9829999999999997</v>
      </c>
      <c r="H4">
        <v>37.299999999999997</v>
      </c>
      <c r="J4">
        <v>37.549999999999997</v>
      </c>
      <c r="M4">
        <f t="shared" si="0"/>
        <v>2.4874999999999998</v>
      </c>
      <c r="N4">
        <f t="shared" si="1"/>
        <v>-4.7000000000001485E-3</v>
      </c>
      <c r="Q4">
        <f t="shared" si="2"/>
        <v>2.4914999999999998</v>
      </c>
      <c r="R4">
        <f>Q4-2.4932</f>
        <v>-1.7000000000000348E-3</v>
      </c>
      <c r="S4">
        <f t="shared" si="3"/>
        <v>18.649999999999999</v>
      </c>
      <c r="T4">
        <f>S4-18.59</f>
        <v>5.9999999999998721E-2</v>
      </c>
      <c r="U4">
        <f t="shared" si="4"/>
        <v>18.774999999999999</v>
      </c>
      <c r="V4">
        <f>U4-18.735</f>
        <v>3.9999999999999147E-2</v>
      </c>
    </row>
    <row r="5" spans="1:25">
      <c r="D5">
        <v>3</v>
      </c>
      <c r="E5">
        <v>4.9809999999999999</v>
      </c>
      <c r="F5">
        <v>4.9950000000000001</v>
      </c>
      <c r="H5">
        <v>37.25</v>
      </c>
      <c r="J5">
        <v>37.5</v>
      </c>
      <c r="M5">
        <f t="shared" si="0"/>
        <v>2.4904999999999999</v>
      </c>
      <c r="N5">
        <f t="shared" si="1"/>
        <v>-1.7000000000000348E-3</v>
      </c>
      <c r="Q5">
        <f t="shared" si="2"/>
        <v>2.4975000000000001</v>
      </c>
      <c r="R5">
        <f>Q5-2.4932</f>
        <v>4.3000000000001926E-3</v>
      </c>
      <c r="S5">
        <f t="shared" si="3"/>
        <v>18.625</v>
      </c>
      <c r="T5">
        <f>S5-18.59</f>
        <v>3.5000000000000142E-2</v>
      </c>
      <c r="U5">
        <f t="shared" si="4"/>
        <v>18.75</v>
      </c>
      <c r="V5">
        <f>U5-18.735</f>
        <v>1.5000000000000568E-2</v>
      </c>
    </row>
    <row r="6" spans="1:25">
      <c r="D6">
        <v>4</v>
      </c>
      <c r="E6">
        <v>4.9889999999999999</v>
      </c>
      <c r="F6">
        <v>4.9870000000000001</v>
      </c>
      <c r="H6">
        <v>37.1</v>
      </c>
      <c r="J6">
        <v>37.5</v>
      </c>
      <c r="M6">
        <f t="shared" si="0"/>
        <v>2.4944999999999999</v>
      </c>
      <c r="N6">
        <f t="shared" si="1"/>
        <v>2.2999999999999687E-3</v>
      </c>
      <c r="Q6">
        <f t="shared" si="2"/>
        <v>2.4935</v>
      </c>
      <c r="R6">
        <f>Q6-2.4932</f>
        <v>3.00000000000189E-4</v>
      </c>
      <c r="S6">
        <f t="shared" si="3"/>
        <v>18.55</v>
      </c>
      <c r="T6">
        <f>S6-18.59</f>
        <v>-3.9999999999999147E-2</v>
      </c>
      <c r="U6">
        <f t="shared" si="4"/>
        <v>18.75</v>
      </c>
      <c r="V6">
        <f>U6-18.735</f>
        <v>1.5000000000000568E-2</v>
      </c>
    </row>
    <row r="7" spans="1:25">
      <c r="D7">
        <v>5</v>
      </c>
      <c r="E7">
        <v>4.9989999999999997</v>
      </c>
      <c r="F7">
        <v>4.9820000000000002</v>
      </c>
      <c r="H7">
        <v>37.1</v>
      </c>
      <c r="J7">
        <v>37.299999999999997</v>
      </c>
      <c r="M7">
        <f t="shared" si="0"/>
        <v>2.4994999999999998</v>
      </c>
      <c r="N7">
        <f t="shared" si="1"/>
        <v>7.2999999999998622E-3</v>
      </c>
      <c r="Q7">
        <f t="shared" si="2"/>
        <v>2.4910000000000001</v>
      </c>
      <c r="R7">
        <f>Q7-2.4932</f>
        <v>-2.1999999999997577E-3</v>
      </c>
      <c r="S7">
        <f t="shared" si="3"/>
        <v>18.55</v>
      </c>
      <c r="T7">
        <f>S7-18.59</f>
        <v>-3.9999999999999147E-2</v>
      </c>
      <c r="U7">
        <f t="shared" si="4"/>
        <v>18.649999999999999</v>
      </c>
      <c r="V7">
        <f>U7-18.735</f>
        <v>-8.5000000000000853E-2</v>
      </c>
    </row>
    <row r="8" spans="1:25">
      <c r="D8" t="s">
        <v>8</v>
      </c>
      <c r="E8">
        <f>AVERAGE(E3:E7)</f>
        <v>4.9843999999999991</v>
      </c>
      <c r="F8">
        <f>AVERAGE(F3:F7)</f>
        <v>4.9864000000000006</v>
      </c>
      <c r="H8">
        <f>AVERAGE(H3:H7)</f>
        <v>37.179999999999993</v>
      </c>
      <c r="J8">
        <f>AVERAGE(J3:J7)</f>
        <v>37.470000000000006</v>
      </c>
      <c r="M8">
        <f t="shared" si="0"/>
        <v>2.4921999999999995</v>
      </c>
      <c r="N8">
        <f t="shared" si="1"/>
        <v>0</v>
      </c>
      <c r="Q8">
        <f t="shared" si="2"/>
        <v>2.4932000000000003</v>
      </c>
      <c r="S8">
        <f t="shared" si="3"/>
        <v>18.589999999999996</v>
      </c>
      <c r="U8">
        <f t="shared" si="4"/>
        <v>18.735000000000003</v>
      </c>
    </row>
    <row r="10" spans="1:25">
      <c r="B10" t="s">
        <v>24</v>
      </c>
      <c r="N10">
        <f>N3^2</f>
        <v>1.0240000000000586E-5</v>
      </c>
      <c r="R10" s="1"/>
      <c r="S10">
        <f t="shared" ref="S10:X10" si="5">Q3^2</f>
        <v>6.2125562500000004</v>
      </c>
      <c r="T10">
        <f t="shared" si="5"/>
        <v>4.8999999999958122E-7</v>
      </c>
      <c r="U10">
        <f t="shared" si="5"/>
        <v>345.03062499999999</v>
      </c>
      <c r="V10">
        <f t="shared" si="5"/>
        <v>2.2500000000001704E-4</v>
      </c>
      <c r="W10">
        <f t="shared" si="5"/>
        <v>351.5625</v>
      </c>
      <c r="X10">
        <f t="shared" si="5"/>
        <v>2.2500000000001704E-4</v>
      </c>
    </row>
    <row r="11" spans="1:25">
      <c r="A11" t="s">
        <v>19</v>
      </c>
      <c r="B11">
        <v>31.4</v>
      </c>
      <c r="N11">
        <f>N4^2</f>
        <v>2.2090000000001396E-5</v>
      </c>
      <c r="R11" s="1"/>
      <c r="S11">
        <f t="shared" ref="S11:X11" si="6">Q4^2</f>
        <v>6.2075722499999992</v>
      </c>
      <c r="T11">
        <f t="shared" si="6"/>
        <v>2.8900000000001184E-6</v>
      </c>
      <c r="U11">
        <f t="shared" si="6"/>
        <v>347.82249999999993</v>
      </c>
      <c r="V11">
        <f t="shared" si="6"/>
        <v>3.5999999999998464E-3</v>
      </c>
      <c r="W11">
        <f t="shared" si="6"/>
        <v>352.50062499999996</v>
      </c>
      <c r="X11">
        <f t="shared" si="6"/>
        <v>1.5999999999999318E-3</v>
      </c>
    </row>
    <row r="12" spans="1:25">
      <c r="A12" t="s">
        <v>13</v>
      </c>
      <c r="B12">
        <v>31</v>
      </c>
      <c r="R12" s="1"/>
      <c r="S12">
        <f>N5^2</f>
        <v>2.8900000000001184E-6</v>
      </c>
      <c r="T12">
        <f t="shared" ref="T12:Y14" si="7">Q5^2</f>
        <v>6.23750625</v>
      </c>
      <c r="U12">
        <f t="shared" si="7"/>
        <v>1.8490000000001658E-5</v>
      </c>
      <c r="V12">
        <f t="shared" si="7"/>
        <v>346.890625</v>
      </c>
      <c r="W12">
        <f t="shared" si="7"/>
        <v>1.2250000000000099E-3</v>
      </c>
      <c r="X12">
        <f t="shared" si="7"/>
        <v>351.5625</v>
      </c>
      <c r="Y12">
        <f t="shared" si="7"/>
        <v>2.2500000000001704E-4</v>
      </c>
    </row>
    <row r="13" spans="1:25">
      <c r="R13" s="1"/>
      <c r="S13">
        <f>N6^2</f>
        <v>5.2899999999998562E-6</v>
      </c>
      <c r="T13">
        <f t="shared" si="7"/>
        <v>6.2175422500000002</v>
      </c>
      <c r="U13">
        <f t="shared" si="7"/>
        <v>9.0000000000113408E-8</v>
      </c>
      <c r="V13">
        <f t="shared" si="7"/>
        <v>344.10250000000002</v>
      </c>
      <c r="W13">
        <f t="shared" si="7"/>
        <v>1.5999999999999318E-3</v>
      </c>
      <c r="X13">
        <f t="shared" si="7"/>
        <v>351.5625</v>
      </c>
      <c r="Y13">
        <f t="shared" si="7"/>
        <v>2.2500000000001704E-4</v>
      </c>
    </row>
    <row r="14" spans="1:25">
      <c r="A14" t="s">
        <v>13</v>
      </c>
      <c r="E14" t="s">
        <v>28</v>
      </c>
      <c r="H14" t="s">
        <v>26</v>
      </c>
      <c r="J14" t="s">
        <v>25</v>
      </c>
      <c r="L14" t="s">
        <v>27</v>
      </c>
      <c r="M14" t="s">
        <v>29</v>
      </c>
      <c r="R14" s="1"/>
      <c r="S14">
        <f>N7^2</f>
        <v>5.3289999999997987E-5</v>
      </c>
      <c r="T14">
        <f t="shared" si="7"/>
        <v>6.2050810000000007</v>
      </c>
      <c r="U14">
        <f t="shared" si="7"/>
        <v>4.8399999999989338E-6</v>
      </c>
      <c r="V14">
        <f t="shared" si="7"/>
        <v>344.10250000000002</v>
      </c>
      <c r="W14">
        <f t="shared" si="7"/>
        <v>1.5999999999999318E-3</v>
      </c>
      <c r="X14">
        <f t="shared" si="7"/>
        <v>347.82249999999993</v>
      </c>
      <c r="Y14">
        <f t="shared" si="7"/>
        <v>7.2250000000001454E-3</v>
      </c>
    </row>
    <row r="15" spans="1:25">
      <c r="A15" t="s">
        <v>11</v>
      </c>
      <c r="D15">
        <v>0</v>
      </c>
      <c r="E15">
        <v>0</v>
      </c>
      <c r="H15">
        <v>35.834000000000003</v>
      </c>
      <c r="M15">
        <v>0</v>
      </c>
      <c r="R15" s="1">
        <v>0</v>
      </c>
      <c r="S15">
        <f>SUM(N10:N14)</f>
        <v>3.2330000000001983E-5</v>
      </c>
      <c r="U15">
        <f>SUM(T10:T14)</f>
        <v>18.660132879999999</v>
      </c>
      <c r="W15">
        <f>SUM(V10:V14)</f>
        <v>1035.0994499999999</v>
      </c>
      <c r="Y15">
        <f>SUM(X10:X14)</f>
        <v>1050.949325</v>
      </c>
    </row>
    <row r="16" spans="1:25">
      <c r="A16" t="s">
        <v>0</v>
      </c>
      <c r="C16">
        <v>198.67400000000001</v>
      </c>
      <c r="D16" s="1">
        <f>C16*9.79788*10^-3</f>
        <v>1.9465840111200001</v>
      </c>
      <c r="E16" s="1">
        <f>E15+D16</f>
        <v>1.9465840111200001</v>
      </c>
      <c r="F16" s="1">
        <f>E16/9.79788*1000</f>
        <v>198.67400000000001</v>
      </c>
      <c r="G16" s="1">
        <v>4.0000000000000001E-3</v>
      </c>
      <c r="H16">
        <v>35.469000000000001</v>
      </c>
      <c r="I16">
        <v>5.0000000000000001E-3</v>
      </c>
      <c r="J16">
        <f>H16-H15</f>
        <v>-0.36500000000000199</v>
      </c>
      <c r="K16">
        <f>-J16</f>
        <v>0.36500000000000199</v>
      </c>
      <c r="L16">
        <f>J16/31</f>
        <v>-1.1774193548387161E-2</v>
      </c>
      <c r="M16">
        <f>E16*(37.47+4.9864/2)</f>
        <v>77.791726153190794</v>
      </c>
      <c r="O16">
        <f>2*36.4*10*M16/(PI()*2.4932^4*(-L16))</f>
        <v>39623.72231746438</v>
      </c>
      <c r="P16" s="3">
        <f>Q16^2</f>
        <v>6.7683909314838878E-2</v>
      </c>
      <c r="Q16" s="1">
        <f>R16-R20</f>
        <v>0.26016131402427778</v>
      </c>
      <c r="R16" s="1">
        <f>O16*10^-4</f>
        <v>3.9623722317464383</v>
      </c>
      <c r="S16">
        <f>SQRT(S15/20+(2*10^-6)^2)</f>
        <v>1.2714181058959713E-3</v>
      </c>
      <c r="T16">
        <f>SQRT(T15/20+(2*10^-6)^2)</f>
        <v>1.9999999999999999E-6</v>
      </c>
      <c r="U16">
        <f>SQRT(U15/20+(2*10^-6)^2)</f>
        <v>0.96592269049028967</v>
      </c>
      <c r="W16">
        <f>SQRT(W15/20+0.05^2)</f>
        <v>7.1942666408745231</v>
      </c>
      <c r="X16">
        <f>SQRT(X15/20+0.05^2)</f>
        <v>0.05</v>
      </c>
      <c r="Y16">
        <f>SQRT(Y15/20+0.05^2)</f>
        <v>7.2491355519123797</v>
      </c>
    </row>
    <row r="17" spans="1:26">
      <c r="A17" t="s">
        <v>15</v>
      </c>
      <c r="C17">
        <v>201.405</v>
      </c>
      <c r="D17" s="1">
        <f>C17*9.79788*10^-3</f>
        <v>1.9733420213999999</v>
      </c>
      <c r="E17" s="1">
        <f>E16+D17</f>
        <v>3.9199260325200003</v>
      </c>
      <c r="F17" s="1">
        <f t="shared" ref="F17:F30" si="8">E17/9.79788*1000</f>
        <v>400.07900000000006</v>
      </c>
      <c r="G17" s="1">
        <v>8.9999999999999993E-3</v>
      </c>
      <c r="H17">
        <v>35.023000000000003</v>
      </c>
      <c r="I17">
        <v>1E-3</v>
      </c>
      <c r="J17">
        <f>H17-H15</f>
        <v>-0.81099999999999994</v>
      </c>
      <c r="K17">
        <f t="shared" ref="K17:K30" si="9">-J17</f>
        <v>0.81099999999999994</v>
      </c>
      <c r="L17">
        <f>J17/31</f>
        <v>-2.6161290322580643E-2</v>
      </c>
      <c r="M17">
        <f>E17*(37.47+4.9864/2)</f>
        <v>156.65278802280326</v>
      </c>
      <c r="O17">
        <f>2*36.4*10*M17/(PI()*2.4932^4*(-L17))</f>
        <v>35911.372351730541</v>
      </c>
      <c r="P17" s="3">
        <f t="shared" ref="P17:P30" si="10">Q17^2</f>
        <v>1.6634167283430788E-2</v>
      </c>
      <c r="Q17" s="1">
        <f t="shared" ref="Q17:Q20" si="11">R17-R21</f>
        <v>-0.12897351388339695</v>
      </c>
      <c r="R17" s="1">
        <f>O17*10^-4</f>
        <v>3.5911372351730542</v>
      </c>
      <c r="S17">
        <f t="shared" ref="S17:S26" si="12">-M16*L16</f>
        <v>0.91593484019079985</v>
      </c>
      <c r="T17">
        <f t="shared" ref="T17:T26" si="13">L16^2</f>
        <v>1.3863163371488185E-4</v>
      </c>
    </row>
    <row r="18" spans="1:26">
      <c r="A18" t="s">
        <v>16</v>
      </c>
      <c r="C18">
        <v>201.49799999999999</v>
      </c>
      <c r="D18" s="1">
        <f>C18*9.79788*10^-3</f>
        <v>1.9742532242399997</v>
      </c>
      <c r="E18" s="1">
        <f>E17+D18</f>
        <v>5.8941792567600002</v>
      </c>
      <c r="F18" s="1">
        <f t="shared" si="8"/>
        <v>601.577</v>
      </c>
      <c r="G18" s="1">
        <v>7.0000000000000001E-3</v>
      </c>
      <c r="H18">
        <v>34.645000000000003</v>
      </c>
      <c r="I18">
        <v>8.9999999999999993E-3</v>
      </c>
      <c r="J18">
        <f>H18-H15</f>
        <v>-1.1890000000000001</v>
      </c>
      <c r="K18">
        <f t="shared" si="9"/>
        <v>1.1890000000000001</v>
      </c>
      <c r="L18">
        <f>J18/31</f>
        <v>-3.8354838709677423E-2</v>
      </c>
      <c r="M18">
        <f>E18*(37.47+4.9864/2)</f>
        <v>235.55026447375124</v>
      </c>
      <c r="O18">
        <f>2*36.4*10*M18/(PI()*2.4932^4*(-L18))</f>
        <v>36831.250908448535</v>
      </c>
      <c r="P18" s="3">
        <f t="shared" si="10"/>
        <v>1.3679389133450927E-3</v>
      </c>
      <c r="Q18" s="1">
        <f t="shared" si="11"/>
        <v>-3.6985658211597272E-2</v>
      </c>
      <c r="R18" s="1">
        <f>O18*10^-4</f>
        <v>3.6831250908448538</v>
      </c>
      <c r="S18">
        <f t="shared" si="12"/>
        <v>4.0982390673062401</v>
      </c>
      <c r="T18">
        <f t="shared" si="13"/>
        <v>6.8441311134235161E-4</v>
      </c>
    </row>
    <row r="19" spans="1:26">
      <c r="A19" t="s">
        <v>17</v>
      </c>
      <c r="C19">
        <v>201.227</v>
      </c>
      <c r="D19" s="1">
        <f>C19*9.79788*10^-3</f>
        <v>1.9715979987599999</v>
      </c>
      <c r="E19" s="1">
        <f>E18+D19</f>
        <v>7.8657772555200003</v>
      </c>
      <c r="F19" s="1">
        <f t="shared" si="8"/>
        <v>802.80400000000009</v>
      </c>
      <c r="G19" s="1">
        <v>4.0000000000000001E-3</v>
      </c>
      <c r="H19">
        <v>34.238</v>
      </c>
      <c r="I19">
        <v>6.0000000000000001E-3</v>
      </c>
      <c r="J19">
        <f>H19-H15</f>
        <v>-1.5960000000000036</v>
      </c>
      <c r="K19">
        <f t="shared" si="9"/>
        <v>1.5960000000000036</v>
      </c>
      <c r="L19">
        <f>J19/31</f>
        <v>-5.1483870967742054E-2</v>
      </c>
      <c r="M19">
        <f>E19*(37.47+4.9864/2)</f>
        <v>314.34162961779685</v>
      </c>
      <c r="O19">
        <f>2*36.4*10*M19/(PI()*2.4932^4*(-L19))</f>
        <v>36617.082697957463</v>
      </c>
      <c r="P19" s="3">
        <f t="shared" si="10"/>
        <v>3.4108495837970217E-3</v>
      </c>
      <c r="Q19" s="1">
        <f t="shared" si="11"/>
        <v>-5.8402479260704521E-2</v>
      </c>
      <c r="R19" s="1">
        <f>O19*10^-4</f>
        <v>3.6617082697957466</v>
      </c>
      <c r="S19">
        <f t="shared" si="12"/>
        <v>9.0344924019125887</v>
      </c>
      <c r="T19">
        <f t="shared" si="13"/>
        <v>1.4710936524453698E-3</v>
      </c>
      <c r="W19">
        <f>2*36.3/(PI()*(E8/2)^4)*Q35*10^-3</f>
        <v>4.6088191285790576E-4</v>
      </c>
    </row>
    <row r="20" spans="1:26">
      <c r="A20" t="s">
        <v>18</v>
      </c>
      <c r="C20">
        <v>202.13800000000001</v>
      </c>
      <c r="D20" s="1">
        <f>C20*9.79788*10^-3</f>
        <v>1.9805238674400001</v>
      </c>
      <c r="E20" s="1">
        <f>E19+D20</f>
        <v>9.8463011229599999</v>
      </c>
      <c r="F20" s="1">
        <f t="shared" si="8"/>
        <v>1004.942</v>
      </c>
      <c r="G20" s="1">
        <v>2E-3</v>
      </c>
      <c r="H20">
        <v>33.857999999999997</v>
      </c>
      <c r="I20">
        <v>6.0000000000000001E-3</v>
      </c>
      <c r="J20">
        <f>H20-H15</f>
        <v>-1.9760000000000062</v>
      </c>
      <c r="K20">
        <f t="shared" si="9"/>
        <v>1.9760000000000062</v>
      </c>
      <c r="L20">
        <f>J20/31</f>
        <v>-6.3741935483871165E-2</v>
      </c>
      <c r="M20">
        <f>E20*(37.47+4.9864/2)</f>
        <v>393.48970103707506</v>
      </c>
      <c r="O20">
        <f>2*36.4*10*M20/(PI()*2.4932^4*(-L20))</f>
        <v>37022.109177221602</v>
      </c>
      <c r="P20" s="3">
        <f t="shared" si="10"/>
        <v>3.2040396179606849E-4</v>
      </c>
      <c r="Q20" s="1">
        <f t="shared" si="11"/>
        <v>-1.7899831334291072E-2</v>
      </c>
      <c r="R20" s="1">
        <f>O20*10^-4</f>
        <v>3.7022109177221605</v>
      </c>
      <c r="S20">
        <f t="shared" si="12"/>
        <v>16.183523899032416</v>
      </c>
      <c r="T20">
        <f t="shared" si="13"/>
        <v>2.650588969823113E-3</v>
      </c>
    </row>
    <row r="21" spans="1:26">
      <c r="F21" s="1"/>
      <c r="G21" s="1"/>
      <c r="P21" s="3">
        <f>SUM(P16:P20)</f>
        <v>8.9417269057207843E-2</v>
      </c>
      <c r="R21" s="1">
        <f>AVERAGE(R16:R20)</f>
        <v>3.7201107490564511</v>
      </c>
      <c r="S21">
        <f t="shared" si="12"/>
        <v>25.081795137072991</v>
      </c>
      <c r="T21">
        <f t="shared" si="13"/>
        <v>4.063034339229994E-3</v>
      </c>
    </row>
    <row r="22" spans="1:26">
      <c r="F22" s="1"/>
      <c r="G22" s="1"/>
      <c r="R22" s="1">
        <f>AVERAGE(R16:R20)</f>
        <v>3.7201107490564511</v>
      </c>
      <c r="S22">
        <f>SUM(S17:S21)</f>
        <v>55.313985345515036</v>
      </c>
      <c r="T22">
        <f>SUM(T17:T21)</f>
        <v>9.0077617065557093E-3</v>
      </c>
    </row>
    <row r="23" spans="1:26">
      <c r="F23" s="1"/>
      <c r="G23" s="1"/>
      <c r="R23" s="1">
        <f>AVERAGE(R16:R21)</f>
        <v>3.7201107490564511</v>
      </c>
      <c r="S23">
        <f t="shared" si="12"/>
        <v>0</v>
      </c>
      <c r="T23">
        <f t="shared" si="13"/>
        <v>0</v>
      </c>
      <c r="V23">
        <v>0</v>
      </c>
      <c r="W23">
        <v>35.834000000000003</v>
      </c>
      <c r="Z23">
        <v>0</v>
      </c>
    </row>
    <row r="24" spans="1:26">
      <c r="A24" t="s">
        <v>19</v>
      </c>
      <c r="E24" t="s">
        <v>28</v>
      </c>
      <c r="F24" s="1"/>
      <c r="G24" s="1"/>
      <c r="H24" t="s">
        <v>26</v>
      </c>
      <c r="J24" t="s">
        <v>25</v>
      </c>
      <c r="L24" t="s">
        <v>27</v>
      </c>
      <c r="M24" t="s">
        <v>29</v>
      </c>
      <c r="R24" s="1">
        <f>AVERAGE(R16:R22)</f>
        <v>3.7201107490564516</v>
      </c>
      <c r="S24">
        <f t="shared" si="12"/>
        <v>0</v>
      </c>
      <c r="T24">
        <f>S22/T22</f>
        <v>6140.702557135628</v>
      </c>
      <c r="V24">
        <f>-T24*L16</f>
        <v>72.301820430790855</v>
      </c>
      <c r="W24">
        <v>35.469000000000001</v>
      </c>
      <c r="X24">
        <f>W24-W23</f>
        <v>-0.36500000000000199</v>
      </c>
      <c r="Y24">
        <f>X24/31</f>
        <v>-1.1774193548387161E-2</v>
      </c>
      <c r="Z24">
        <f>-Y24</f>
        <v>1.1774193548387161E-2</v>
      </c>
    </row>
    <row r="25" spans="1:26">
      <c r="A25" t="s">
        <v>11</v>
      </c>
      <c r="F25" s="1"/>
      <c r="G25" s="1"/>
      <c r="H25">
        <v>37.473999999999997</v>
      </c>
      <c r="K25">
        <f t="shared" si="9"/>
        <v>0</v>
      </c>
      <c r="L25" t="s">
        <v>34</v>
      </c>
      <c r="M25">
        <v>0</v>
      </c>
      <c r="R25" s="1">
        <v>0</v>
      </c>
      <c r="S25" t="e">
        <f t="shared" si="12"/>
        <v>#VALUE!</v>
      </c>
      <c r="T25" t="e">
        <f t="shared" si="13"/>
        <v>#VALUE!</v>
      </c>
      <c r="V25">
        <f>-T24*L17</f>
        <v>160.64870238183852</v>
      </c>
      <c r="W25">
        <v>35.023000000000003</v>
      </c>
      <c r="X25">
        <f>W25-W23</f>
        <v>-0.81099999999999994</v>
      </c>
      <c r="Y25">
        <f>X25/31</f>
        <v>-2.6161290322580643E-2</v>
      </c>
      <c r="Z25">
        <f>-Y25</f>
        <v>2.6161290322580643E-2</v>
      </c>
    </row>
    <row r="26" spans="1:26">
      <c r="A26" t="s">
        <v>0</v>
      </c>
      <c r="C26">
        <v>198.67400000000001</v>
      </c>
      <c r="D26" s="1">
        <f>C26*9.79788*10^-3</f>
        <v>1.9465840111200001</v>
      </c>
      <c r="E26" s="1">
        <f>E25+D26</f>
        <v>1.9465840111200001</v>
      </c>
      <c r="F26" s="1">
        <f t="shared" si="8"/>
        <v>198.67400000000001</v>
      </c>
      <c r="G26" s="1"/>
      <c r="H26">
        <v>37.201000000000001</v>
      </c>
      <c r="I26">
        <v>3.0000000000000001E-3</v>
      </c>
      <c r="J26">
        <f>H26-H25</f>
        <v>-0.27299999999999613</v>
      </c>
      <c r="K26">
        <f t="shared" si="9"/>
        <v>0.27299999999999613</v>
      </c>
      <c r="L26">
        <f>J26/31.4</f>
        <v>-8.6942675159234449E-3</v>
      </c>
      <c r="M26">
        <f>E26*(33.18+4.9844/2)</f>
        <v>69.438934161474862</v>
      </c>
      <c r="O26">
        <f>2*36.3*10*M26/(PI()*2.4922^4*(-L26))</f>
        <v>47843.751766265705</v>
      </c>
      <c r="P26" s="3">
        <f t="shared" si="10"/>
        <v>0.11439794103968609</v>
      </c>
      <c r="Q26" s="1">
        <f>R26-R31</f>
        <v>0.33822764677016881</v>
      </c>
      <c r="R26" s="1">
        <f>O26*10^-4</f>
        <v>4.784375176626571</v>
      </c>
      <c r="S26" t="e">
        <f t="shared" si="12"/>
        <v>#VALUE!</v>
      </c>
      <c r="T26" t="e">
        <f t="shared" si="13"/>
        <v>#VALUE!</v>
      </c>
      <c r="V26">
        <f>-T24*L18</f>
        <v>235.52565614304072</v>
      </c>
      <c r="W26">
        <v>34.645000000000003</v>
      </c>
      <c r="X26">
        <f>W26-W23</f>
        <v>-1.1890000000000001</v>
      </c>
      <c r="Y26">
        <f>X26/31</f>
        <v>-3.8354838709677423E-2</v>
      </c>
      <c r="Z26">
        <f>-Y26</f>
        <v>3.8354838709677423E-2</v>
      </c>
    </row>
    <row r="27" spans="1:26">
      <c r="A27" t="s">
        <v>15</v>
      </c>
      <c r="C27">
        <v>201.405</v>
      </c>
      <c r="D27" s="1">
        <f>C27*9.79788*10^-3</f>
        <v>1.9733420213999999</v>
      </c>
      <c r="E27" s="1">
        <f>E26+D27</f>
        <v>3.9199260325200003</v>
      </c>
      <c r="F27" s="1">
        <f t="shared" si="8"/>
        <v>400.07900000000006</v>
      </c>
      <c r="G27" s="1"/>
      <c r="H27">
        <v>36.895000000000003</v>
      </c>
      <c r="I27">
        <v>8.9999999999999993E-3</v>
      </c>
      <c r="J27">
        <f>H27-H25</f>
        <v>-0.57899999999999352</v>
      </c>
      <c r="K27">
        <f t="shared" si="9"/>
        <v>0.57899999999999352</v>
      </c>
      <c r="L27">
        <f>J27/31.4</f>
        <v>-1.8439490445859668E-2</v>
      </c>
      <c r="M27">
        <f>E27*(33.18+4.9844/2)</f>
        <v>139.83238541725993</v>
      </c>
      <c r="O27">
        <f>2*36.3*10*M27/(PI()*2.4922^4*(-L27))</f>
        <v>45426.997392283745</v>
      </c>
      <c r="P27" s="3">
        <f t="shared" si="10"/>
        <v>9.3223291346091509E-3</v>
      </c>
      <c r="Q27" s="1">
        <f t="shared" ref="Q27:Q30" si="14">R27-R32</f>
        <v>9.6552209371972175E-2</v>
      </c>
      <c r="R27" s="1">
        <f>O27*10^-4</f>
        <v>4.5426997392283743</v>
      </c>
      <c r="S27">
        <f>-M26*L26</f>
        <v>0.60372066962045767</v>
      </c>
      <c r="T27">
        <f>L26^2</f>
        <v>7.5590287638441629E-5</v>
      </c>
      <c r="V27">
        <f>-T24*L19</f>
        <v>316.14713810285434</v>
      </c>
      <c r="W27">
        <v>34.238</v>
      </c>
      <c r="X27">
        <f>W27-W23</f>
        <v>-1.5960000000000036</v>
      </c>
      <c r="Y27">
        <f>X27/31</f>
        <v>-5.1483870967742054E-2</v>
      </c>
      <c r="Z27">
        <f>-Y27</f>
        <v>5.1483870967742054E-2</v>
      </c>
    </row>
    <row r="28" spans="1:26">
      <c r="A28" t="s">
        <v>16</v>
      </c>
      <c r="C28">
        <v>201.49799999999999</v>
      </c>
      <c r="D28" s="1">
        <f>C28*9.79788*10^-3</f>
        <v>1.9742532242399997</v>
      </c>
      <c r="E28" s="1">
        <f>E27+D28</f>
        <v>5.8941792567600002</v>
      </c>
      <c r="F28" s="1">
        <f t="shared" si="8"/>
        <v>601.577</v>
      </c>
      <c r="G28" s="1"/>
      <c r="H28">
        <v>36.564</v>
      </c>
      <c r="I28">
        <v>0.01</v>
      </c>
      <c r="J28">
        <f>H28-H25</f>
        <v>-0.90999999999999659</v>
      </c>
      <c r="K28">
        <f t="shared" si="9"/>
        <v>0.90999999999999659</v>
      </c>
      <c r="L28">
        <f>J28/31.4</f>
        <v>-2.8980891719745116E-2</v>
      </c>
      <c r="M28">
        <f>E28*(33.18+4.9844/2)</f>
        <v>210.25834128299405</v>
      </c>
      <c r="O28">
        <f>2*36.3*10*M28/(PI()*2.4922^4*(-L28))</f>
        <v>43460.695394910043</v>
      </c>
      <c r="P28" s="3">
        <f t="shared" si="10"/>
        <v>1.0015604155576405E-2</v>
      </c>
      <c r="Q28" s="1">
        <f t="shared" si="14"/>
        <v>-0.10007799036539655</v>
      </c>
      <c r="R28" s="1">
        <f>O28*10^-4</f>
        <v>4.3460695394910047</v>
      </c>
      <c r="S28">
        <f>-M27*L27</f>
        <v>2.5784379349233313</v>
      </c>
      <c r="T28">
        <f>L27^2</f>
        <v>3.4001480790294997E-4</v>
      </c>
      <c r="V28">
        <f>-T24*L20</f>
        <v>391.42026622258186</v>
      </c>
      <c r="W28">
        <v>33.857999999999997</v>
      </c>
      <c r="X28">
        <f>W28-W23</f>
        <v>-1.9760000000000062</v>
      </c>
      <c r="Y28">
        <f>X28/31</f>
        <v>-6.3741935483871165E-2</v>
      </c>
      <c r="Z28">
        <f>-Y28</f>
        <v>6.3741935483871165E-2</v>
      </c>
    </row>
    <row r="29" spans="1:26">
      <c r="A29" t="s">
        <v>17</v>
      </c>
      <c r="C29">
        <v>201.227</v>
      </c>
      <c r="D29" s="1">
        <f>C29*9.79788*10^-3</f>
        <v>1.9715979987599999</v>
      </c>
      <c r="E29" s="1">
        <f>E28+D29</f>
        <v>7.8657772555200003</v>
      </c>
      <c r="F29" s="1">
        <f t="shared" si="8"/>
        <v>802.80400000000009</v>
      </c>
      <c r="G29" s="1"/>
      <c r="H29">
        <v>36.234000000000002</v>
      </c>
      <c r="I29">
        <v>0.04</v>
      </c>
      <c r="J29">
        <f>H29-H25</f>
        <v>-1.2399999999999949</v>
      </c>
      <c r="K29">
        <f t="shared" si="9"/>
        <v>1.2399999999999949</v>
      </c>
      <c r="L29">
        <f>J29/31.4</f>
        <v>-3.949044585987245E-2</v>
      </c>
      <c r="M29">
        <f>E29*(33.18+4.9844/2)</f>
        <v>280.58957941436051</v>
      </c>
      <c r="O29">
        <f>2*36.3*10*M29/(PI()*2.4922^4*(-L29))</f>
        <v>42563.240230223906</v>
      </c>
      <c r="P29" s="3">
        <f t="shared" si="10"/>
        <v>3.6032963746762098E-2</v>
      </c>
      <c r="Q29" s="1">
        <f t="shared" si="14"/>
        <v>-0.18982350683401172</v>
      </c>
      <c r="R29" s="1">
        <f>O29*10^-4</f>
        <v>4.2563240230223904</v>
      </c>
      <c r="S29">
        <f>-M28*L28</f>
        <v>6.093474221895665</v>
      </c>
      <c r="T29">
        <f>L28^2</f>
        <v>8.3989208487159105E-4</v>
      </c>
    </row>
    <row r="30" spans="1:26">
      <c r="A30" t="s">
        <v>18</v>
      </c>
      <c r="C30">
        <v>202.13800000000001</v>
      </c>
      <c r="D30" s="1">
        <f>C30*9.79788*10^-3</f>
        <v>1.9805238674400001</v>
      </c>
      <c r="E30" s="1">
        <f>E29+D30</f>
        <v>9.8463011229599999</v>
      </c>
      <c r="F30" s="1">
        <f t="shared" si="8"/>
        <v>1004.942</v>
      </c>
      <c r="G30" s="1"/>
      <c r="H30">
        <v>35.938000000000002</v>
      </c>
      <c r="I30">
        <v>6.0000000000000001E-3</v>
      </c>
      <c r="J30">
        <f>H30-H25</f>
        <v>-1.5359999999999943</v>
      </c>
      <c r="K30">
        <f t="shared" si="9"/>
        <v>1.5359999999999943</v>
      </c>
      <c r="L30">
        <f>J30/31.4</f>
        <v>-4.8917197452229118E-2</v>
      </c>
      <c r="M30">
        <f>E30*(33.18+4.9844/2)</f>
        <v>351.23922291845366</v>
      </c>
      <c r="O30">
        <f>2*36.3*10*M30/(PI()*2.4922^4*(-L30))</f>
        <v>43012.69170913667</v>
      </c>
      <c r="P30" s="3">
        <f t="shared" si="10"/>
        <v>2.0989738889939814E-2</v>
      </c>
      <c r="Q30" s="1">
        <f t="shared" si="14"/>
        <v>-0.14487835894273449</v>
      </c>
      <c r="R30" s="1">
        <f>O30*10^-4</f>
        <v>4.3012691709136677</v>
      </c>
      <c r="S30">
        <f>-M29*L29</f>
        <v>11.080607594707185</v>
      </c>
      <c r="T30">
        <f>L29^2</f>
        <v>1.5594953142115172E-3</v>
      </c>
    </row>
    <row r="31" spans="1:26">
      <c r="P31" s="3">
        <f>SUM(P26:P30)</f>
        <v>0.19075857696657356</v>
      </c>
      <c r="Q31">
        <f>-M30*L30</f>
        <v>17.181638420469518</v>
      </c>
      <c r="R31" s="1">
        <f>AVERAGE(R26:R30)</f>
        <v>4.4461475298564022</v>
      </c>
    </row>
    <row r="32" spans="1:26">
      <c r="N32">
        <f>SUM(Q27:Q31)</f>
        <v>16.843410773699347</v>
      </c>
      <c r="Q32">
        <f>SUM(R27:R31)</f>
        <v>21.892510002511841</v>
      </c>
      <c r="R32" s="1">
        <f>AVERAGE(R26:R30)</f>
        <v>4.4461475298564022</v>
      </c>
    </row>
    <row r="33" spans="3:23">
      <c r="C33">
        <f>3.68*(4*0.0012/2.4932+0.05/36.4+G16/F16+I16/K16+0.05/37.47+0.05/31)</f>
        <v>7.3470945046332073E-2</v>
      </c>
      <c r="E33">
        <f>4.312*(4*0.0021/2.4922+0.05/36.3+G16/F16+I26/K26+0.05/37.18+0.005/31.4)</f>
        <v>7.442993071813199E-2</v>
      </c>
      <c r="R33" s="1">
        <f>AVERAGE(R26:R31)</f>
        <v>4.4461475298564013</v>
      </c>
    </row>
    <row r="34" spans="3:23">
      <c r="C34">
        <f>3.68*(4*0.0012/2.4932+0.05/36.4+G17/F17+I17/K17+0.05/37.47+0.05/31)</f>
        <v>2.7606286459123244E-2</v>
      </c>
      <c r="E34">
        <f>4.312*(4*0.0021/2.4922+0.05/36.3+G17/F17+I27/K27+0.05/37.18+0.005/31.4)</f>
        <v>9.4081407324257529E-2</v>
      </c>
      <c r="R34" s="1">
        <f>AVERAGE(R26:R32)</f>
        <v>4.4461475298564022</v>
      </c>
      <c r="S34">
        <v>0</v>
      </c>
      <c r="T34">
        <v>37.473999999999997</v>
      </c>
      <c r="W34">
        <v>0</v>
      </c>
    </row>
    <row r="35" spans="3:23">
      <c r="C35">
        <f>3.68*(4*0.0012/2.4932+0.05/36.4+G18/F18+I18/K18+0.05/37.47+0.05/31)</f>
        <v>5.0884056325807954E-2</v>
      </c>
      <c r="E35">
        <f>4.312*(4*0.0021/2.4922+0.05/36.3+G18/F18+I28/K28+0.05/37.18+0.005/31.4)</f>
        <v>7.4393289921379474E-2</v>
      </c>
      <c r="Q35">
        <f>N32/Q32</f>
        <v>0.76936864579560837</v>
      </c>
      <c r="R35" s="1">
        <f>AVERAGE(R26:R33)</f>
        <v>4.4461475298564022</v>
      </c>
      <c r="S35">
        <f>-Q35*L26</f>
        <v>6.6890968249107684E-3</v>
      </c>
      <c r="T35">
        <v>37.201000000000001</v>
      </c>
      <c r="U35">
        <f>T35-T34</f>
        <v>-0.27299999999999613</v>
      </c>
      <c r="V35">
        <f>U35/31.4</f>
        <v>-8.6942675159234449E-3</v>
      </c>
      <c r="W35">
        <f>-V35</f>
        <v>8.6942675159234449E-3</v>
      </c>
    </row>
    <row r="36" spans="3:23">
      <c r="C36">
        <f>3.68*(4*0.0012/2.4932+0.05/36.4+G19/F19+I19/K19+0.05/37.47+0.05/31)</f>
        <v>3.6838817116822506E-2</v>
      </c>
      <c r="E36">
        <f>4.312*(4*0.0021/2.4922+0.05/36.3+G19/F19+I29/K29+0.05/37.18+0.005/31.4)</f>
        <v>0.16607675863586083</v>
      </c>
      <c r="R36" s="1">
        <f>AVERAGE(R26:R34)</f>
        <v>4.4461475298564022</v>
      </c>
      <c r="S36">
        <f>-Q35*L27</f>
        <v>1.4186765793492111E-2</v>
      </c>
      <c r="T36">
        <v>36.895000000000003</v>
      </c>
      <c r="U36">
        <f>T36-T34</f>
        <v>-0.57899999999999352</v>
      </c>
      <c r="V36">
        <f>U36/31.4</f>
        <v>-1.8439490445859668E-2</v>
      </c>
      <c r="W36">
        <f>-V36</f>
        <v>1.8439490445859668E-2</v>
      </c>
    </row>
    <row r="37" spans="3:23">
      <c r="C37">
        <f>3.68*(4*0.0012/2.4932+0.05/36.4+G20/F20+I20/K20+0.05/37.47+0.05/31)</f>
        <v>3.4167307791980031E-2</v>
      </c>
      <c r="E37">
        <f>4.312*(4*0.0021/2.4922+0.05/36.3+G20/F20+I30/K30+0.05/37.18+0.005/31.4)</f>
        <v>4.381083133595521E-2</v>
      </c>
      <c r="R37" s="1"/>
      <c r="S37">
        <f>-Q35*L28</f>
        <v>2.2296989416369459E-2</v>
      </c>
      <c r="T37">
        <v>36.564</v>
      </c>
      <c r="U37">
        <f>T37-T34</f>
        <v>-0.90999999999999659</v>
      </c>
      <c r="V37">
        <f>U37/31.4</f>
        <v>-2.8980891719745116E-2</v>
      </c>
      <c r="W37">
        <f>-V37</f>
        <v>2.8980891719745116E-2</v>
      </c>
    </row>
    <row r="38" spans="3:23">
      <c r="S38">
        <f>-Q35*L29</f>
        <v>3.0382710853074858E-2</v>
      </c>
      <c r="T38">
        <v>36.234000000000002</v>
      </c>
      <c r="U38">
        <f>T38-T34</f>
        <v>-1.2399999999999949</v>
      </c>
      <c r="V38">
        <f>U38/31.4</f>
        <v>-3.949044585987245E-2</v>
      </c>
      <c r="W38">
        <f>-V38</f>
        <v>3.949044585987245E-2</v>
      </c>
    </row>
    <row r="39" spans="3:23">
      <c r="S39">
        <f>-Q35*L30</f>
        <v>3.7635357959937901E-2</v>
      </c>
      <c r="T39">
        <v>35.938000000000002</v>
      </c>
      <c r="U39">
        <f>T39-T34</f>
        <v>-1.5359999999999943</v>
      </c>
      <c r="V39">
        <f>U39/31.4</f>
        <v>-4.8917197452229118E-2</v>
      </c>
      <c r="W39">
        <f>-V39</f>
        <v>4.8917197452229118E-2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"/>
  <sheetViews>
    <sheetView topLeftCell="A12" zoomScale="96" zoomScaleNormal="96" workbookViewId="0">
      <selection activeCell="Q19" sqref="Q19"/>
    </sheetView>
  </sheetViews>
  <sheetFormatPr defaultRowHeight="13.5"/>
  <cols>
    <col min="11" max="11" width="10.5" bestFit="1" customWidth="1"/>
    <col min="12" max="12" width="12.75" bestFit="1" customWidth="1"/>
    <col min="15" max="15" width="12.75" bestFit="1" customWidth="1"/>
  </cols>
  <sheetData>
    <row r="1" spans="1:17">
      <c r="B1" t="s">
        <v>21</v>
      </c>
      <c r="E1" t="s">
        <v>22</v>
      </c>
      <c r="G1" s="2" t="s">
        <v>23</v>
      </c>
    </row>
    <row r="2" spans="1:17">
      <c r="A2" t="s">
        <v>19</v>
      </c>
      <c r="B2">
        <v>36.4</v>
      </c>
      <c r="D2" t="s">
        <v>7</v>
      </c>
      <c r="E2" t="s">
        <v>19</v>
      </c>
      <c r="F2" t="s">
        <v>13</v>
      </c>
      <c r="G2" t="s">
        <v>19</v>
      </c>
      <c r="H2" t="s">
        <v>13</v>
      </c>
    </row>
    <row r="3" spans="1:17">
      <c r="A3" t="s">
        <v>13</v>
      </c>
      <c r="B3">
        <v>36.299999999999997</v>
      </c>
      <c r="D3">
        <v>1</v>
      </c>
      <c r="E3">
        <v>4.9779999999999998</v>
      </c>
      <c r="F3">
        <v>4.9850000000000003</v>
      </c>
      <c r="G3">
        <v>37.15</v>
      </c>
      <c r="H3">
        <v>37.5</v>
      </c>
      <c r="J3">
        <f t="shared" ref="J3:J8" si="0">E3/2</f>
        <v>2.4889999999999999</v>
      </c>
      <c r="K3">
        <f t="shared" ref="K3:K8" si="1">J3-2.4922</f>
        <v>-3.2000000000000917E-3</v>
      </c>
      <c r="L3">
        <f t="shared" ref="L3:L8" si="2">F3/2</f>
        <v>2.4925000000000002</v>
      </c>
      <c r="M3">
        <f>L3-2.4932</f>
        <v>-6.9999999999970086E-4</v>
      </c>
      <c r="N3">
        <f t="shared" ref="N3:N8" si="3">G3/2</f>
        <v>18.574999999999999</v>
      </c>
      <c r="O3">
        <f>N3-18.59</f>
        <v>-1.5000000000000568E-2</v>
      </c>
      <c r="P3">
        <f t="shared" ref="P3:P8" si="4">H3/2</f>
        <v>18.75</v>
      </c>
      <c r="Q3">
        <f>P3-18.735</f>
        <v>1.5000000000000568E-2</v>
      </c>
    </row>
    <row r="4" spans="1:17">
      <c r="D4">
        <v>2</v>
      </c>
      <c r="E4">
        <v>4.9749999999999996</v>
      </c>
      <c r="F4">
        <v>4.9829999999999997</v>
      </c>
      <c r="G4">
        <v>37.299999999999997</v>
      </c>
      <c r="H4">
        <v>37.549999999999997</v>
      </c>
      <c r="J4">
        <f t="shared" si="0"/>
        <v>2.4874999999999998</v>
      </c>
      <c r="K4">
        <f t="shared" si="1"/>
        <v>-4.7000000000001485E-3</v>
      </c>
      <c r="L4">
        <f t="shared" si="2"/>
        <v>2.4914999999999998</v>
      </c>
      <c r="M4">
        <f>L4-2.4932</f>
        <v>-1.7000000000000348E-3</v>
      </c>
      <c r="N4">
        <f t="shared" si="3"/>
        <v>18.649999999999999</v>
      </c>
      <c r="O4">
        <f>N4-18.59</f>
        <v>5.9999999999998721E-2</v>
      </c>
      <c r="P4">
        <f t="shared" si="4"/>
        <v>18.774999999999999</v>
      </c>
      <c r="Q4">
        <f>P4-18.735</f>
        <v>3.9999999999999147E-2</v>
      </c>
    </row>
    <row r="5" spans="1:17">
      <c r="D5">
        <v>3</v>
      </c>
      <c r="E5">
        <v>4.9809999999999999</v>
      </c>
      <c r="F5">
        <v>4.9950000000000001</v>
      </c>
      <c r="G5">
        <v>37.25</v>
      </c>
      <c r="H5">
        <v>37.5</v>
      </c>
      <c r="J5">
        <f t="shared" si="0"/>
        <v>2.4904999999999999</v>
      </c>
      <c r="K5">
        <f t="shared" si="1"/>
        <v>-1.7000000000000348E-3</v>
      </c>
      <c r="L5">
        <f t="shared" si="2"/>
        <v>2.4975000000000001</v>
      </c>
      <c r="M5">
        <f>L5-2.4932</f>
        <v>4.3000000000001926E-3</v>
      </c>
      <c r="N5">
        <f t="shared" si="3"/>
        <v>18.625</v>
      </c>
      <c r="O5">
        <f>N5-18.59</f>
        <v>3.5000000000000142E-2</v>
      </c>
      <c r="P5">
        <f t="shared" si="4"/>
        <v>18.75</v>
      </c>
      <c r="Q5">
        <f>P5-18.735</f>
        <v>1.5000000000000568E-2</v>
      </c>
    </row>
    <row r="6" spans="1:17">
      <c r="D6">
        <v>4</v>
      </c>
      <c r="E6">
        <v>4.9889999999999999</v>
      </c>
      <c r="F6">
        <v>4.9870000000000001</v>
      </c>
      <c r="G6">
        <v>37.1</v>
      </c>
      <c r="H6">
        <v>37.5</v>
      </c>
      <c r="J6">
        <f t="shared" si="0"/>
        <v>2.4944999999999999</v>
      </c>
      <c r="K6">
        <f t="shared" si="1"/>
        <v>2.2999999999999687E-3</v>
      </c>
      <c r="L6">
        <f t="shared" si="2"/>
        <v>2.4935</v>
      </c>
      <c r="M6">
        <f>L6-2.4932</f>
        <v>3.00000000000189E-4</v>
      </c>
      <c r="N6">
        <f t="shared" si="3"/>
        <v>18.55</v>
      </c>
      <c r="O6">
        <f>N6-18.59</f>
        <v>-3.9999999999999147E-2</v>
      </c>
      <c r="P6">
        <f t="shared" si="4"/>
        <v>18.75</v>
      </c>
      <c r="Q6">
        <f>P6-18.735</f>
        <v>1.5000000000000568E-2</v>
      </c>
    </row>
    <row r="7" spans="1:17">
      <c r="D7">
        <v>5</v>
      </c>
      <c r="E7">
        <v>4.9989999999999997</v>
      </c>
      <c r="F7">
        <v>4.9820000000000002</v>
      </c>
      <c r="G7">
        <v>37.1</v>
      </c>
      <c r="H7">
        <v>37.299999999999997</v>
      </c>
      <c r="J7">
        <f t="shared" si="0"/>
        <v>2.4994999999999998</v>
      </c>
      <c r="K7">
        <f t="shared" si="1"/>
        <v>7.2999999999998622E-3</v>
      </c>
      <c r="L7">
        <f t="shared" si="2"/>
        <v>2.4910000000000001</v>
      </c>
      <c r="M7">
        <f>L7-2.4932</f>
        <v>-2.1999999999997577E-3</v>
      </c>
      <c r="N7">
        <f t="shared" si="3"/>
        <v>18.55</v>
      </c>
      <c r="O7">
        <f>N7-18.59</f>
        <v>-3.9999999999999147E-2</v>
      </c>
      <c r="P7">
        <f t="shared" si="4"/>
        <v>18.649999999999999</v>
      </c>
      <c r="Q7">
        <f>P7-18.735</f>
        <v>-8.5000000000000853E-2</v>
      </c>
    </row>
    <row r="8" spans="1:17">
      <c r="D8" t="s">
        <v>8</v>
      </c>
      <c r="E8">
        <f>AVERAGE(E3:E7)</f>
        <v>4.9843999999999991</v>
      </c>
      <c r="F8">
        <f>AVERAGE(F3:F7)</f>
        <v>4.9864000000000006</v>
      </c>
      <c r="G8">
        <f>AVERAGE(G3:G7)</f>
        <v>37.179999999999993</v>
      </c>
      <c r="H8">
        <f>AVERAGE(H3:H7)</f>
        <v>37.470000000000006</v>
      </c>
      <c r="J8">
        <f t="shared" si="0"/>
        <v>2.4921999999999995</v>
      </c>
      <c r="K8">
        <f t="shared" si="1"/>
        <v>0</v>
      </c>
      <c r="L8">
        <f t="shared" si="2"/>
        <v>2.4932000000000003</v>
      </c>
      <c r="N8">
        <f t="shared" si="3"/>
        <v>18.589999999999996</v>
      </c>
      <c r="P8">
        <f t="shared" si="4"/>
        <v>18.735000000000003</v>
      </c>
    </row>
    <row r="10" spans="1:17">
      <c r="B10" t="s">
        <v>24</v>
      </c>
      <c r="K10">
        <f>K3^2</f>
        <v>1.0240000000000586E-5</v>
      </c>
      <c r="L10">
        <f t="shared" ref="L10:Q10" si="5">L3^2</f>
        <v>6.2125562500000004</v>
      </c>
      <c r="M10">
        <f t="shared" si="5"/>
        <v>4.8999999999958122E-7</v>
      </c>
      <c r="N10">
        <f t="shared" si="5"/>
        <v>345.03062499999999</v>
      </c>
      <c r="O10">
        <f t="shared" si="5"/>
        <v>2.2500000000001704E-4</v>
      </c>
      <c r="P10">
        <f t="shared" si="5"/>
        <v>351.5625</v>
      </c>
      <c r="Q10">
        <f t="shared" si="5"/>
        <v>2.2500000000001704E-4</v>
      </c>
    </row>
    <row r="11" spans="1:17">
      <c r="A11" t="s">
        <v>19</v>
      </c>
      <c r="B11">
        <v>31.4</v>
      </c>
      <c r="K11">
        <f t="shared" ref="K11:Q14" si="6">K4^2</f>
        <v>2.2090000000001396E-5</v>
      </c>
      <c r="L11">
        <f t="shared" si="6"/>
        <v>6.2075722499999992</v>
      </c>
      <c r="M11">
        <f t="shared" si="6"/>
        <v>2.8900000000001184E-6</v>
      </c>
      <c r="N11">
        <f t="shared" si="6"/>
        <v>347.82249999999993</v>
      </c>
      <c r="O11">
        <f t="shared" si="6"/>
        <v>3.5999999999998464E-3</v>
      </c>
      <c r="P11">
        <f t="shared" si="6"/>
        <v>352.50062499999996</v>
      </c>
      <c r="Q11">
        <f t="shared" si="6"/>
        <v>1.5999999999999318E-3</v>
      </c>
    </row>
    <row r="12" spans="1:17">
      <c r="A12" t="s">
        <v>13</v>
      </c>
      <c r="B12">
        <v>31</v>
      </c>
      <c r="K12">
        <f t="shared" si="6"/>
        <v>2.8900000000001184E-6</v>
      </c>
      <c r="L12">
        <f t="shared" si="6"/>
        <v>6.23750625</v>
      </c>
      <c r="M12">
        <f t="shared" si="6"/>
        <v>1.8490000000001658E-5</v>
      </c>
      <c r="N12">
        <f t="shared" si="6"/>
        <v>346.890625</v>
      </c>
      <c r="O12">
        <f t="shared" si="6"/>
        <v>1.2250000000000099E-3</v>
      </c>
      <c r="P12">
        <f t="shared" si="6"/>
        <v>351.5625</v>
      </c>
      <c r="Q12">
        <f t="shared" si="6"/>
        <v>2.2500000000001704E-4</v>
      </c>
    </row>
    <row r="13" spans="1:17">
      <c r="K13">
        <f t="shared" si="6"/>
        <v>5.2899999999998562E-6</v>
      </c>
      <c r="L13">
        <f t="shared" si="6"/>
        <v>6.2175422500000002</v>
      </c>
      <c r="M13">
        <f t="shared" si="6"/>
        <v>9.0000000000113408E-8</v>
      </c>
      <c r="N13">
        <f t="shared" si="6"/>
        <v>344.10250000000002</v>
      </c>
      <c r="O13">
        <f t="shared" si="6"/>
        <v>1.5999999999999318E-3</v>
      </c>
      <c r="P13">
        <f t="shared" si="6"/>
        <v>351.5625</v>
      </c>
      <c r="Q13">
        <f t="shared" si="6"/>
        <v>2.2500000000001704E-4</v>
      </c>
    </row>
    <row r="14" spans="1:17">
      <c r="A14" t="s">
        <v>13</v>
      </c>
      <c r="E14" t="s">
        <v>28</v>
      </c>
      <c r="F14" t="s">
        <v>26</v>
      </c>
      <c r="G14" t="s">
        <v>25</v>
      </c>
      <c r="H14" t="s">
        <v>27</v>
      </c>
      <c r="I14" t="s">
        <v>29</v>
      </c>
      <c r="K14">
        <f t="shared" si="6"/>
        <v>5.3289999999997987E-5</v>
      </c>
      <c r="L14">
        <f t="shared" si="6"/>
        <v>6.2050810000000007</v>
      </c>
      <c r="M14">
        <f t="shared" si="6"/>
        <v>4.8399999999989338E-6</v>
      </c>
      <c r="N14">
        <f t="shared" si="6"/>
        <v>344.10250000000002</v>
      </c>
      <c r="O14">
        <f t="shared" si="6"/>
        <v>1.5999999999999318E-3</v>
      </c>
      <c r="P14">
        <f t="shared" si="6"/>
        <v>347.82249999999993</v>
      </c>
      <c r="Q14">
        <f t="shared" si="6"/>
        <v>7.2250000000001454E-3</v>
      </c>
    </row>
    <row r="15" spans="1:17">
      <c r="A15" t="s">
        <v>11</v>
      </c>
      <c r="D15">
        <v>0</v>
      </c>
      <c r="E15">
        <v>0</v>
      </c>
      <c r="F15">
        <v>35.834000000000003</v>
      </c>
      <c r="I15">
        <v>0</v>
      </c>
      <c r="K15">
        <f>SUM(K10:K14)</f>
        <v>9.3799999999999949E-5</v>
      </c>
      <c r="M15">
        <f>SUM(M10:M14)</f>
        <v>2.6800000000000404E-5</v>
      </c>
      <c r="O15">
        <f>SUM(O10:O14)</f>
        <v>8.2499999999997367E-3</v>
      </c>
      <c r="Q15">
        <f>SUM(Q10:Q14)</f>
        <v>9.5000000000001281E-3</v>
      </c>
    </row>
    <row r="16" spans="1:17">
      <c r="A16" t="s">
        <v>0</v>
      </c>
      <c r="C16">
        <v>198.67400000000001</v>
      </c>
      <c r="D16" s="1">
        <f>C16*9.79788*10^-3</f>
        <v>1.9465840111200001</v>
      </c>
      <c r="E16" s="1">
        <f>E15+D16</f>
        <v>1.9465840111200001</v>
      </c>
      <c r="F16">
        <v>35.469000000000001</v>
      </c>
      <c r="G16">
        <f>F16-F15</f>
        <v>-0.36500000000000199</v>
      </c>
      <c r="H16">
        <f>G16/31</f>
        <v>-1.1774193548387161E-2</v>
      </c>
      <c r="I16">
        <f>E16*(37.47+4.9864/2)</f>
        <v>77.791726153190794</v>
      </c>
      <c r="K16">
        <f>SQRT(K15/20+(2*10^-6)^2)</f>
        <v>2.165641706284767E-3</v>
      </c>
      <c r="L16">
        <f>SQRT(L15/20+(2*10^-6)^2)</f>
        <v>1.9999999999999999E-6</v>
      </c>
      <c r="M16">
        <f>SQRT(M15/20+(2*10^-6)^2)</f>
        <v>1.157585418014593E-3</v>
      </c>
      <c r="O16">
        <f>SQRT(O15/20+0.05^2)</f>
        <v>5.3967582862307135E-2</v>
      </c>
      <c r="P16">
        <f>SQRT(P15/20+0.05^2)</f>
        <v>0.05</v>
      </c>
      <c r="Q16">
        <f>SQRT(Q15/20+0.05^2)</f>
        <v>5.4543560573178634E-2</v>
      </c>
    </row>
    <row r="17" spans="1:18">
      <c r="A17" t="s">
        <v>15</v>
      </c>
      <c r="C17">
        <v>201.405</v>
      </c>
      <c r="D17" s="1">
        <f>C17*9.79788*10^-3</f>
        <v>1.9733420213999999</v>
      </c>
      <c r="E17" s="1">
        <f>E16+D17</f>
        <v>3.9199260325200003</v>
      </c>
      <c r="F17">
        <v>35.023000000000003</v>
      </c>
      <c r="G17">
        <f>F17-F15</f>
        <v>-0.81099999999999994</v>
      </c>
      <c r="H17">
        <f>G17/31</f>
        <v>-2.6161290322580643E-2</v>
      </c>
      <c r="I17">
        <f>E17*(37.47+4.9864/2)</f>
        <v>156.65278802280326</v>
      </c>
      <c r="K17">
        <f t="shared" ref="K17:K26" si="7">-I16*H16</f>
        <v>0.91593484019079985</v>
      </c>
      <c r="L17">
        <f t="shared" ref="L17:L26" si="8">H16^2</f>
        <v>1.3863163371488185E-4</v>
      </c>
    </row>
    <row r="18" spans="1:18">
      <c r="A18" t="s">
        <v>16</v>
      </c>
      <c r="C18">
        <v>201.49799999999999</v>
      </c>
      <c r="D18" s="1">
        <f>C18*9.79788*10^-3</f>
        <v>1.9742532242399997</v>
      </c>
      <c r="E18" s="1">
        <f>E17+D18</f>
        <v>5.8941792567600002</v>
      </c>
      <c r="F18">
        <v>34.645000000000003</v>
      </c>
      <c r="G18">
        <f>F18-F15</f>
        <v>-1.1890000000000001</v>
      </c>
      <c r="H18">
        <f>G18/31</f>
        <v>-3.8354838709677423E-2</v>
      </c>
      <c r="I18">
        <f>E18*(37.47+4.9864/2)</f>
        <v>235.55026447375124</v>
      </c>
      <c r="K18">
        <f t="shared" si="7"/>
        <v>4.0982390673062401</v>
      </c>
      <c r="L18">
        <f t="shared" si="8"/>
        <v>6.8441311134235161E-4</v>
      </c>
    </row>
    <row r="19" spans="1:18">
      <c r="A19" t="s">
        <v>17</v>
      </c>
      <c r="C19">
        <v>201.227</v>
      </c>
      <c r="D19" s="1">
        <f>C19*9.79788*10^-3</f>
        <v>1.9715979987599999</v>
      </c>
      <c r="E19" s="1">
        <f>E18+D19</f>
        <v>7.8657772555200003</v>
      </c>
      <c r="F19">
        <v>34.238</v>
      </c>
      <c r="G19">
        <f>F19-F15</f>
        <v>-1.5960000000000036</v>
      </c>
      <c r="H19">
        <f>G19/31</f>
        <v>-5.1483870967742054E-2</v>
      </c>
      <c r="I19">
        <f>E19*(37.47+4.9864/2)</f>
        <v>314.34162961779685</v>
      </c>
      <c r="K19">
        <f t="shared" si="7"/>
        <v>9.0344924019125887</v>
      </c>
      <c r="L19">
        <f t="shared" si="8"/>
        <v>1.4710936524453698E-3</v>
      </c>
      <c r="O19">
        <f>2*36.3/(PI()*(E8/2)^4)*L35*10^-3</f>
        <v>4.3178102087084653</v>
      </c>
    </row>
    <row r="20" spans="1:18">
      <c r="A20" t="s">
        <v>18</v>
      </c>
      <c r="C20">
        <v>202.13800000000001</v>
      </c>
      <c r="D20" s="1">
        <f>C20*9.79788*10^-3</f>
        <v>1.9805238674400001</v>
      </c>
      <c r="E20" s="1">
        <f>E19+D20</f>
        <v>9.8463011229599999</v>
      </c>
      <c r="F20">
        <v>33.857999999999997</v>
      </c>
      <c r="G20">
        <f>F20-F15</f>
        <v>-1.9760000000000062</v>
      </c>
      <c r="H20">
        <f>G20/31</f>
        <v>-6.3741935483871165E-2</v>
      </c>
      <c r="I20">
        <f>E20*(37.47+4.9864/2)</f>
        <v>393.48970103707506</v>
      </c>
      <c r="K20">
        <f t="shared" si="7"/>
        <v>16.183523899032416</v>
      </c>
      <c r="L20">
        <f t="shared" si="8"/>
        <v>2.650588969823113E-3</v>
      </c>
    </row>
    <row r="21" spans="1:18">
      <c r="K21">
        <f t="shared" si="7"/>
        <v>25.081795137072991</v>
      </c>
      <c r="L21">
        <f t="shared" si="8"/>
        <v>4.063034339229994E-3</v>
      </c>
    </row>
    <row r="22" spans="1:18">
      <c r="K22">
        <f>SUM(K17:K21)</f>
        <v>55.313985345515036</v>
      </c>
      <c r="L22">
        <f>SUM(L17:L21)</f>
        <v>9.0077617065557093E-3</v>
      </c>
    </row>
    <row r="23" spans="1:18">
      <c r="K23">
        <f t="shared" si="7"/>
        <v>0</v>
      </c>
      <c r="L23">
        <f t="shared" si="8"/>
        <v>0</v>
      </c>
      <c r="N23">
        <v>0</v>
      </c>
      <c r="O23">
        <v>35.834000000000003</v>
      </c>
      <c r="R23">
        <v>0</v>
      </c>
    </row>
    <row r="24" spans="1:18">
      <c r="A24" t="s">
        <v>19</v>
      </c>
      <c r="E24" t="s">
        <v>28</v>
      </c>
      <c r="F24" t="s">
        <v>26</v>
      </c>
      <c r="G24" t="s">
        <v>25</v>
      </c>
      <c r="H24" t="s">
        <v>27</v>
      </c>
      <c r="I24" t="s">
        <v>29</v>
      </c>
      <c r="K24">
        <f t="shared" si="7"/>
        <v>0</v>
      </c>
      <c r="L24">
        <f>K22/L22</f>
        <v>6140.702557135628</v>
      </c>
      <c r="N24">
        <f>-L24*H16</f>
        <v>72.301820430790855</v>
      </c>
      <c r="O24">
        <v>35.469000000000001</v>
      </c>
      <c r="P24">
        <f>O24-O23</f>
        <v>-0.36500000000000199</v>
      </c>
      <c r="Q24">
        <f>P24/31</f>
        <v>-1.1774193548387161E-2</v>
      </c>
      <c r="R24">
        <f>-Q24</f>
        <v>1.1774193548387161E-2</v>
      </c>
    </row>
    <row r="25" spans="1:18">
      <c r="A25" t="s">
        <v>11</v>
      </c>
      <c r="F25">
        <v>37.473999999999997</v>
      </c>
      <c r="I25">
        <v>0</v>
      </c>
      <c r="K25" t="e">
        <f t="shared" si="7"/>
        <v>#VALUE!</v>
      </c>
      <c r="L25" t="e">
        <f t="shared" si="8"/>
        <v>#VALUE!</v>
      </c>
      <c r="N25">
        <f>-L24*H17</f>
        <v>160.64870238183852</v>
      </c>
      <c r="O25">
        <v>35.023000000000003</v>
      </c>
      <c r="P25">
        <f>O25-O23</f>
        <v>-0.81099999999999994</v>
      </c>
      <c r="Q25">
        <f>P25/31</f>
        <v>-2.6161290322580643E-2</v>
      </c>
      <c r="R25">
        <f>-Q25</f>
        <v>2.6161290322580643E-2</v>
      </c>
    </row>
    <row r="26" spans="1:18">
      <c r="A26" t="s">
        <v>0</v>
      </c>
      <c r="C26">
        <v>198.67400000000001</v>
      </c>
      <c r="D26" s="1">
        <f>C26*9.79788*10^-3</f>
        <v>1.9465840111200001</v>
      </c>
      <c r="E26" s="1">
        <f>E25+D26</f>
        <v>1.9465840111200001</v>
      </c>
      <c r="F26">
        <v>37.201000000000001</v>
      </c>
      <c r="G26">
        <f>F26-F25</f>
        <v>-0.27299999999999613</v>
      </c>
      <c r="H26">
        <f>G26/31.4</f>
        <v>-8.6942675159234449E-3</v>
      </c>
      <c r="I26">
        <f>E26*(33.18+4.9844/2)</f>
        <v>69.438934161474862</v>
      </c>
      <c r="K26">
        <f t="shared" si="7"/>
        <v>0</v>
      </c>
      <c r="L26">
        <f t="shared" si="8"/>
        <v>0</v>
      </c>
      <c r="N26">
        <f>-L24*H18</f>
        <v>235.52565614304072</v>
      </c>
      <c r="O26">
        <v>34.645000000000003</v>
      </c>
      <c r="P26">
        <f>O26-O23</f>
        <v>-1.1890000000000001</v>
      </c>
      <c r="Q26">
        <f>P26/31</f>
        <v>-3.8354838709677423E-2</v>
      </c>
      <c r="R26">
        <f>-Q26</f>
        <v>3.8354838709677423E-2</v>
      </c>
    </row>
    <row r="27" spans="1:18">
      <c r="A27" t="s">
        <v>15</v>
      </c>
      <c r="C27">
        <v>201.405</v>
      </c>
      <c r="D27" s="1">
        <f>C27*9.79788*10^-3</f>
        <v>1.9733420213999999</v>
      </c>
      <c r="E27" s="1">
        <f>E26+D27</f>
        <v>3.9199260325200003</v>
      </c>
      <c r="F27">
        <v>36.895000000000003</v>
      </c>
      <c r="G27">
        <f>F27-F25</f>
        <v>-0.57899999999999352</v>
      </c>
      <c r="H27">
        <f>G27/31.4</f>
        <v>-1.8439490445859668E-2</v>
      </c>
      <c r="I27">
        <f>E27*(33.18+4.9844/2)</f>
        <v>139.83238541725993</v>
      </c>
      <c r="K27">
        <f>-I26*H26</f>
        <v>0.60372066962045767</v>
      </c>
      <c r="L27">
        <f>H26^2</f>
        <v>7.5590287638441629E-5</v>
      </c>
      <c r="N27">
        <f>-L24*H19</f>
        <v>316.14713810285434</v>
      </c>
      <c r="O27">
        <v>34.238</v>
      </c>
      <c r="P27">
        <f>O27-O23</f>
        <v>-1.5960000000000036</v>
      </c>
      <c r="Q27">
        <f>P27/31</f>
        <v>-5.1483870967742054E-2</v>
      </c>
      <c r="R27">
        <f>-Q27</f>
        <v>5.1483870967742054E-2</v>
      </c>
    </row>
    <row r="28" spans="1:18">
      <c r="A28" t="s">
        <v>16</v>
      </c>
      <c r="C28">
        <v>201.49799999999999</v>
      </c>
      <c r="D28" s="1">
        <f>C28*9.79788*10^-3</f>
        <v>1.9742532242399997</v>
      </c>
      <c r="E28" s="1">
        <f>E27+D28</f>
        <v>5.8941792567600002</v>
      </c>
      <c r="F28">
        <v>36.564</v>
      </c>
      <c r="G28">
        <f>F28-F25</f>
        <v>-0.90999999999999659</v>
      </c>
      <c r="H28">
        <f>G28/31.4</f>
        <v>-2.8980891719745116E-2</v>
      </c>
      <c r="I28">
        <f>E28*(33.18+4.9844/2)</f>
        <v>210.25834128299405</v>
      </c>
      <c r="K28">
        <f>-I27*H27</f>
        <v>2.5784379349233313</v>
      </c>
      <c r="L28">
        <f>H27^2</f>
        <v>3.4001480790294997E-4</v>
      </c>
      <c r="N28">
        <f>-L24*H20</f>
        <v>391.42026622258186</v>
      </c>
      <c r="O28">
        <v>33.857999999999997</v>
      </c>
      <c r="P28">
        <f>O28-O23</f>
        <v>-1.9760000000000062</v>
      </c>
      <c r="Q28">
        <f>P28/31</f>
        <v>-6.3741935483871165E-2</v>
      </c>
      <c r="R28">
        <f>-Q28</f>
        <v>6.3741935483871165E-2</v>
      </c>
    </row>
    <row r="29" spans="1:18">
      <c r="A29" t="s">
        <v>17</v>
      </c>
      <c r="C29">
        <v>201.227</v>
      </c>
      <c r="D29" s="1">
        <f>C29*9.79788*10^-3</f>
        <v>1.9715979987599999</v>
      </c>
      <c r="E29" s="1">
        <f>E28+D29</f>
        <v>7.8657772555200003</v>
      </c>
      <c r="F29">
        <v>36.234000000000002</v>
      </c>
      <c r="G29">
        <f>F29-F25</f>
        <v>-1.2399999999999949</v>
      </c>
      <c r="H29">
        <f>G29/31.4</f>
        <v>-3.949044585987245E-2</v>
      </c>
      <c r="I29">
        <f>E29*(33.18+4.9844/2)</f>
        <v>280.58957941436051</v>
      </c>
      <c r="K29">
        <f>-I28*H28</f>
        <v>6.093474221895665</v>
      </c>
      <c r="L29">
        <f>H28^2</f>
        <v>8.3989208487159105E-4</v>
      </c>
    </row>
    <row r="30" spans="1:18">
      <c r="A30" t="s">
        <v>18</v>
      </c>
      <c r="C30">
        <v>202.13800000000001</v>
      </c>
      <c r="D30" s="1">
        <f>C30*9.79788*10^-3</f>
        <v>1.9805238674400001</v>
      </c>
      <c r="E30" s="1">
        <f>E29+D30</f>
        <v>9.8463011229599999</v>
      </c>
      <c r="F30">
        <v>35.938000000000002</v>
      </c>
      <c r="G30">
        <f>F30-F25</f>
        <v>-1.5359999999999943</v>
      </c>
      <c r="H30">
        <f>G30/31.4</f>
        <v>-4.8917197452229118E-2</v>
      </c>
      <c r="I30">
        <f>E30*(33.18+4.9844/2)</f>
        <v>351.23922291845366</v>
      </c>
      <c r="K30">
        <f>-I29*H29</f>
        <v>11.080607594707185</v>
      </c>
      <c r="L30">
        <f>H29^2</f>
        <v>1.5594953142115172E-3</v>
      </c>
    </row>
    <row r="31" spans="1:18">
      <c r="K31">
        <f>-I30*H30</f>
        <v>17.181638420469518</v>
      </c>
      <c r="L31">
        <f>H30^2</f>
        <v>2.3928922065803711E-3</v>
      </c>
    </row>
    <row r="32" spans="1:18">
      <c r="K32">
        <f>SUM(K27:K31)</f>
        <v>37.537878841616156</v>
      </c>
      <c r="L32">
        <f>SUM(L27:L31)</f>
        <v>5.2078847012048714E-3</v>
      </c>
    </row>
    <row r="34" spans="12:18">
      <c r="N34">
        <v>0</v>
      </c>
      <c r="O34">
        <v>37.473999999999997</v>
      </c>
      <c r="R34">
        <v>0</v>
      </c>
    </row>
    <row r="35" spans="12:18">
      <c r="L35">
        <f>K32/L32</f>
        <v>7207.8936065791877</v>
      </c>
      <c r="N35">
        <f>-L35*H26</f>
        <v>62.667355241913711</v>
      </c>
      <c r="O35">
        <v>37.201000000000001</v>
      </c>
      <c r="P35">
        <f>O35-O34</f>
        <v>-0.27299999999999613</v>
      </c>
      <c r="Q35">
        <f>P35/31.4</f>
        <v>-8.6942675159234449E-3</v>
      </c>
      <c r="R35">
        <f>-Q35</f>
        <v>8.6942675159234449E-3</v>
      </c>
    </row>
    <row r="36" spans="12:18">
      <c r="N36">
        <f>-L35*H27</f>
        <v>132.9098852932899</v>
      </c>
      <c r="O36">
        <v>36.895000000000003</v>
      </c>
      <c r="P36">
        <f>O36-O34</f>
        <v>-0.57899999999999352</v>
      </c>
      <c r="Q36">
        <f>P36/31.4</f>
        <v>-1.8439490445859668E-2</v>
      </c>
      <c r="R36">
        <f>-Q36</f>
        <v>1.8439490445859668E-2</v>
      </c>
    </row>
    <row r="37" spans="12:18">
      <c r="N37">
        <f>-L35*H28</f>
        <v>208.89118413971454</v>
      </c>
      <c r="O37">
        <v>36.564</v>
      </c>
      <c r="P37">
        <f>O37-O34</f>
        <v>-0.90999999999999659</v>
      </c>
      <c r="Q37">
        <f>P37/31.4</f>
        <v>-2.8980891719745116E-2</v>
      </c>
      <c r="R37">
        <f>-Q37</f>
        <v>2.8980891719745116E-2</v>
      </c>
    </row>
    <row r="38" spans="12:18">
      <c r="N38">
        <f>-L35*H29</f>
        <v>284.64293223433617</v>
      </c>
      <c r="O38">
        <v>36.234000000000002</v>
      </c>
      <c r="P38">
        <f>O38-O34</f>
        <v>-1.2399999999999949</v>
      </c>
      <c r="Q38">
        <f>P38/31.4</f>
        <v>-3.949044585987245E-2</v>
      </c>
      <c r="R38">
        <f>-Q38</f>
        <v>3.949044585987245E-2</v>
      </c>
    </row>
    <row r="39" spans="12:18">
      <c r="N39">
        <f>-L35*H30</f>
        <v>352.589954767694</v>
      </c>
      <c r="O39">
        <v>35.938000000000002</v>
      </c>
      <c r="P39">
        <f>O39-O34</f>
        <v>-1.5359999999999943</v>
      </c>
      <c r="Q39">
        <f>P39/31.4</f>
        <v>-4.8917197452229118E-2</v>
      </c>
      <c r="R39">
        <f>-Q39</f>
        <v>4.8917197452229118E-2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048576"/>
  <sheetViews>
    <sheetView tabSelected="1" topLeftCell="X1" workbookViewId="0">
      <selection activeCell="AG8" sqref="AG8"/>
    </sheetView>
  </sheetViews>
  <sheetFormatPr defaultRowHeight="13.5"/>
  <cols>
    <col min="10" max="10" width="10" customWidth="1"/>
    <col min="14" max="14" width="12.75" bestFit="1" customWidth="1"/>
    <col min="16" max="16" width="9.5" bestFit="1" customWidth="1"/>
  </cols>
  <sheetData>
    <row r="1" spans="1:33">
      <c r="H1" t="s">
        <v>13</v>
      </c>
      <c r="I1" t="s">
        <v>9</v>
      </c>
      <c r="K1" t="s">
        <v>10</v>
      </c>
      <c r="L1" t="s">
        <v>12</v>
      </c>
      <c r="M1" t="s">
        <v>14</v>
      </c>
      <c r="S1" t="s">
        <v>20</v>
      </c>
      <c r="V1" t="s">
        <v>9</v>
      </c>
      <c r="X1" t="s">
        <v>10</v>
      </c>
      <c r="Y1" t="s">
        <v>12</v>
      </c>
      <c r="AA1" t="s">
        <v>14</v>
      </c>
      <c r="AE1" t="s">
        <v>20</v>
      </c>
    </row>
    <row r="2" spans="1:33">
      <c r="C2" t="s">
        <v>7</v>
      </c>
      <c r="D2" t="s">
        <v>5</v>
      </c>
      <c r="E2" t="s">
        <v>6</v>
      </c>
      <c r="F2" t="s">
        <v>5</v>
      </c>
      <c r="G2" t="s">
        <v>6</v>
      </c>
      <c r="I2" t="s">
        <v>11</v>
      </c>
      <c r="J2">
        <v>0</v>
      </c>
      <c r="K2">
        <v>0</v>
      </c>
      <c r="L2">
        <v>31.202999999999999</v>
      </c>
      <c r="M2">
        <f>L2-L2</f>
        <v>0</v>
      </c>
      <c r="P2">
        <f t="shared" ref="P2:P7" si="0">M2*K2</f>
        <v>0</v>
      </c>
      <c r="Q2">
        <f t="shared" ref="Q2:Q7" si="1">M2^2</f>
        <v>0</v>
      </c>
      <c r="R2">
        <f>Q10*M2</f>
        <v>0</v>
      </c>
      <c r="V2" t="s">
        <v>11</v>
      </c>
      <c r="W2">
        <v>0</v>
      </c>
      <c r="X2">
        <f>0</f>
        <v>0</v>
      </c>
      <c r="Y2">
        <v>29.137</v>
      </c>
      <c r="AA2">
        <f>Y2-Y2</f>
        <v>0</v>
      </c>
      <c r="AD2">
        <v>0</v>
      </c>
    </row>
    <row r="3" spans="1:33">
      <c r="A3" t="s">
        <v>0</v>
      </c>
      <c r="B3">
        <v>198.67400000000001</v>
      </c>
      <c r="C3">
        <v>1</v>
      </c>
      <c r="D3">
        <v>15.04</v>
      </c>
      <c r="E3">
        <v>3.31</v>
      </c>
      <c r="F3">
        <v>14.973000000000001</v>
      </c>
      <c r="G3">
        <v>2.9870000000000001</v>
      </c>
      <c r="I3" t="s">
        <v>0</v>
      </c>
      <c r="J3" s="1">
        <f>B3*9.79788*10^-3</f>
        <v>1.9465840111200001</v>
      </c>
      <c r="K3" s="1">
        <f>K2+J3</f>
        <v>1.9465840111200001</v>
      </c>
      <c r="L3">
        <v>31.855</v>
      </c>
      <c r="M3">
        <f>L3-L2</f>
        <v>0.65200000000000102</v>
      </c>
      <c r="P3">
        <f t="shared" si="0"/>
        <v>1.269172775250242</v>
      </c>
      <c r="Q3">
        <f t="shared" si="1"/>
        <v>0.42510400000000131</v>
      </c>
      <c r="R3">
        <f>Q10*M3</f>
        <v>1.9568078975906691</v>
      </c>
      <c r="S3">
        <f>0.4005^3*K3/(4*15.043*3.072^3*M3)*10^5</f>
        <v>10.994488679908944</v>
      </c>
      <c r="T3">
        <f>S3-S8</f>
        <v>6.3940098717214511E-2</v>
      </c>
      <c r="U3">
        <f>T3^2</f>
        <v>4.0883362239671371E-3</v>
      </c>
      <c r="V3" t="s">
        <v>0</v>
      </c>
      <c r="W3" s="1">
        <f>B3*9.79788*10^-3</f>
        <v>1.9465840111200001</v>
      </c>
      <c r="X3" s="1">
        <f>X2+W3</f>
        <v>1.9465840111200001</v>
      </c>
      <c r="Y3">
        <v>29.760999999999999</v>
      </c>
      <c r="AA3">
        <f>Y3-Y2</f>
        <v>0.62399999999999878</v>
      </c>
      <c r="AB3">
        <f>X3*AA3</f>
        <v>1.2146684229388778</v>
      </c>
      <c r="AC3">
        <f>AA3^2</f>
        <v>0.3893759999999985</v>
      </c>
      <c r="AD3">
        <f>X12*AA3</f>
        <v>1.9129805527292616</v>
      </c>
      <c r="AE3">
        <f>0.4005^3*X3/(4*14.9732*2.98^3*AA3)*10^5</f>
        <v>12.643657250120864</v>
      </c>
      <c r="AF3">
        <f>AE3-AE8</f>
        <v>0.15143143415106231</v>
      </c>
      <c r="AG3">
        <f>AF3^2</f>
        <v>2.293147924904752E-2</v>
      </c>
    </row>
    <row r="4" spans="1:33">
      <c r="A4" t="s">
        <v>1</v>
      </c>
      <c r="B4">
        <v>201.405</v>
      </c>
      <c r="C4">
        <v>2</v>
      </c>
      <c r="D4">
        <v>15.06</v>
      </c>
      <c r="E4">
        <v>3.01</v>
      </c>
      <c r="F4">
        <v>14.972</v>
      </c>
      <c r="G4">
        <v>2.9790000000000001</v>
      </c>
      <c r="I4" t="s">
        <v>15</v>
      </c>
      <c r="J4" s="1">
        <f>B4*9.79788*10^-3</f>
        <v>1.9733420213999999</v>
      </c>
      <c r="K4" s="1">
        <f>K3+J4</f>
        <v>3.9199260325200003</v>
      </c>
      <c r="L4">
        <v>32.597999999999999</v>
      </c>
      <c r="M4">
        <f>L4-L2</f>
        <v>1.3949999999999996</v>
      </c>
      <c r="P4">
        <f t="shared" si="0"/>
        <v>5.4682968153653988</v>
      </c>
      <c r="Q4">
        <f t="shared" si="1"/>
        <v>1.9460249999999988</v>
      </c>
      <c r="R4">
        <f>Q10*M4</f>
        <v>4.1867285538941381</v>
      </c>
      <c r="S4">
        <f>0.4005^3*K4/(4*15.043*3.072^3*M4)*10^5</f>
        <v>10.347921962190622</v>
      </c>
      <c r="T4">
        <f t="shared" ref="T4:T7" si="2">S4-S9</f>
        <v>-0.58262661900110757</v>
      </c>
      <c r="U4">
        <f t="shared" ref="U4:U7" si="3">T4^2</f>
        <v>0.33945377716866176</v>
      </c>
      <c r="V4" t="s">
        <v>15</v>
      </c>
      <c r="W4" s="1">
        <f>B4*9.79788*10^-3</f>
        <v>1.9733420213999999</v>
      </c>
      <c r="X4" s="1">
        <f>X3+W4</f>
        <v>3.9199260325200003</v>
      </c>
      <c r="Y4">
        <v>30.396000000000001</v>
      </c>
      <c r="AA4">
        <f>Y4-Y2</f>
        <v>1.2590000000000003</v>
      </c>
      <c r="AB4">
        <f>X4*AA4</f>
        <v>4.9351868749426817</v>
      </c>
      <c r="AC4">
        <f>AA4^2</f>
        <v>1.5850810000000009</v>
      </c>
      <c r="AD4">
        <f>X12*AA4</f>
        <v>3.8596835190483105</v>
      </c>
      <c r="AE4">
        <f>0.4005^3*X4/(4*14.9732*2.98^3*AA4)*10^5</f>
        <v>12.619329903719015</v>
      </c>
      <c r="AF4">
        <f t="shared" ref="AF4:AF7" si="4">AE4-AE9</f>
        <v>0.12710408774921333</v>
      </c>
      <c r="AG4">
        <f t="shared" ref="AG4:AG7" si="5">AF4^2</f>
        <v>1.6155449122559722E-2</v>
      </c>
    </row>
    <row r="5" spans="1:33">
      <c r="A5" t="s">
        <v>2</v>
      </c>
      <c r="B5">
        <v>201.49799999999999</v>
      </c>
      <c r="C5">
        <v>3</v>
      </c>
      <c r="D5">
        <v>15.04</v>
      </c>
      <c r="E5">
        <v>3.0179999999999998</v>
      </c>
      <c r="F5">
        <v>14.972</v>
      </c>
      <c r="G5">
        <v>2.98</v>
      </c>
      <c r="I5" t="s">
        <v>16</v>
      </c>
      <c r="J5" s="1">
        <f>B5*9.79788*10^-3</f>
        <v>1.9742532242399997</v>
      </c>
      <c r="K5" s="1">
        <f>K4+J5</f>
        <v>5.8941792567600002</v>
      </c>
      <c r="L5">
        <v>33.18</v>
      </c>
      <c r="M5">
        <f>L5-L2</f>
        <v>1.9770000000000003</v>
      </c>
      <c r="P5">
        <f t="shared" si="0"/>
        <v>11.652792390614522</v>
      </c>
      <c r="Q5">
        <f t="shared" si="1"/>
        <v>3.908529000000001</v>
      </c>
      <c r="R5">
        <f>Q10*M5</f>
        <v>5.9334497140134159</v>
      </c>
      <c r="S5">
        <f>0.4005^3*K5/(4*15.043*3.072^3*M5)*10^5</f>
        <v>10.97908508428336</v>
      </c>
      <c r="T5">
        <f t="shared" si="2"/>
        <v>4.8536503091630934E-2</v>
      </c>
      <c r="U5">
        <f t="shared" si="3"/>
        <v>2.3557921323638991E-3</v>
      </c>
      <c r="V5" t="s">
        <v>16</v>
      </c>
      <c r="W5" s="1">
        <f>B5*9.79788*10^-3</f>
        <v>1.9742532242399997</v>
      </c>
      <c r="X5" s="1">
        <f>X4+W5</f>
        <v>5.8941792567600002</v>
      </c>
      <c r="Y5">
        <v>31.068000000000001</v>
      </c>
      <c r="AA5">
        <f>Y5-Y2</f>
        <v>1.9310000000000009</v>
      </c>
      <c r="AB5">
        <f>X5*AA5</f>
        <v>11.381660144803567</v>
      </c>
      <c r="AC5">
        <f>AA5^2</f>
        <v>3.7287610000000035</v>
      </c>
      <c r="AD5">
        <f>X12*AA5</f>
        <v>5.9198164219875213</v>
      </c>
      <c r="AE5">
        <f>0.4005^3*X5/(4*14.9732*2.98^3*AA5)*10^5</f>
        <v>12.371581430755686</v>
      </c>
      <c r="AF5">
        <f t="shared" si="4"/>
        <v>-0.12064438521411525</v>
      </c>
      <c r="AG5">
        <f t="shared" si="5"/>
        <v>1.455506768369183E-2</v>
      </c>
    </row>
    <row r="6" spans="1:33">
      <c r="A6" t="s">
        <v>3</v>
      </c>
      <c r="B6">
        <v>201.227</v>
      </c>
      <c r="C6">
        <v>4</v>
      </c>
      <c r="D6">
        <v>15.04</v>
      </c>
      <c r="E6">
        <v>3.01</v>
      </c>
      <c r="F6">
        <v>14.978</v>
      </c>
      <c r="G6">
        <v>2.9750000000000001</v>
      </c>
      <c r="I6" t="s">
        <v>17</v>
      </c>
      <c r="J6" s="1">
        <f>B6*9.79788*10^-3</f>
        <v>1.9715979987599999</v>
      </c>
      <c r="K6" s="1">
        <f>K5+J6</f>
        <v>7.8657772555200003</v>
      </c>
      <c r="L6">
        <v>33.780999999999999</v>
      </c>
      <c r="M6">
        <f>L6-L2</f>
        <v>2.5779999999999994</v>
      </c>
      <c r="P6">
        <f t="shared" si="0"/>
        <v>20.277973764730557</v>
      </c>
      <c r="Q6">
        <f t="shared" si="1"/>
        <v>6.6460839999999965</v>
      </c>
      <c r="R6">
        <f>Q10*M6</f>
        <v>7.7371944171606382</v>
      </c>
      <c r="S6">
        <f>0.4005^3*K6/(4*15.043*3.072^3*M6)*10^5</f>
        <v>11.235908947542208</v>
      </c>
      <c r="T6">
        <f t="shared" si="2"/>
        <v>0.30536036635047914</v>
      </c>
      <c r="U6">
        <f t="shared" si="3"/>
        <v>9.3244953337698833E-2</v>
      </c>
      <c r="V6" t="s">
        <v>17</v>
      </c>
      <c r="W6" s="1">
        <f>B6*9.79788*10^-3</f>
        <v>1.9715979987599999</v>
      </c>
      <c r="X6" s="1">
        <f>X5+W6</f>
        <v>7.8657772555200003</v>
      </c>
      <c r="Y6">
        <v>31.706</v>
      </c>
      <c r="AA6">
        <f>Y6-Y2</f>
        <v>2.5689999999999991</v>
      </c>
      <c r="AB6">
        <f>X6*AA6</f>
        <v>20.207181769430875</v>
      </c>
      <c r="AC6">
        <f>AA6^2</f>
        <v>6.5997609999999955</v>
      </c>
      <c r="AD6">
        <f>X12*AA6</f>
        <v>7.8757164101946815</v>
      </c>
      <c r="AE6">
        <f>0.4005^3*X6/(4*14.9732*2.98^3*AA6)*10^5</f>
        <v>12.409711685822732</v>
      </c>
      <c r="AF6">
        <f t="shared" si="4"/>
        <v>-8.2514130147069764E-2</v>
      </c>
      <c r="AG6">
        <f t="shared" si="5"/>
        <v>6.8085816739275676E-3</v>
      </c>
    </row>
    <row r="7" spans="1:33">
      <c r="A7" t="s">
        <v>4</v>
      </c>
      <c r="B7">
        <v>202.13800000000001</v>
      </c>
      <c r="C7">
        <v>5</v>
      </c>
      <c r="D7">
        <v>15.035</v>
      </c>
      <c r="E7">
        <v>3.01</v>
      </c>
      <c r="F7">
        <v>14.971</v>
      </c>
      <c r="G7">
        <v>2.9769999999999999</v>
      </c>
      <c r="I7" t="s">
        <v>18</v>
      </c>
      <c r="J7" s="1">
        <f>B7*9.79788*10^-3</f>
        <v>1.9805238674400001</v>
      </c>
      <c r="K7" s="1">
        <f>K6+J7</f>
        <v>9.8463011229599999</v>
      </c>
      <c r="L7">
        <v>34.470999999999997</v>
      </c>
      <c r="M7">
        <f>L7-L2</f>
        <v>3.2679999999999971</v>
      </c>
      <c r="P7">
        <f t="shared" si="0"/>
        <v>32.177712069833248</v>
      </c>
      <c r="Q7">
        <f t="shared" si="1"/>
        <v>10.67982399999998</v>
      </c>
      <c r="R7">
        <f>Q10*M7</f>
        <v>9.8080494008071941</v>
      </c>
      <c r="S7">
        <f>0.4005^3*K7/(4*15.043*3.072^3*M7)*10^5</f>
        <v>11.095338232033511</v>
      </c>
      <c r="T7">
        <f t="shared" si="2"/>
        <v>0.16478965084178121</v>
      </c>
      <c r="U7">
        <f t="shared" si="3"/>
        <v>2.7155629024556163E-2</v>
      </c>
      <c r="V7" t="s">
        <v>18</v>
      </c>
      <c r="W7" s="1">
        <f>B7*9.79788*10^-3</f>
        <v>1.9805238674400001</v>
      </c>
      <c r="X7" s="1">
        <f>X6+W7</f>
        <v>9.8463011229599999</v>
      </c>
      <c r="Y7">
        <v>32.350999999999999</v>
      </c>
      <c r="AA7">
        <f>Y7-Y2</f>
        <v>3.2139999999999986</v>
      </c>
      <c r="AB7">
        <f>X7*AA7</f>
        <v>31.646011809193425</v>
      </c>
      <c r="AC7">
        <f>AA7^2</f>
        <v>10.329795999999991</v>
      </c>
      <c r="AD7">
        <f>X12*AA7</f>
        <v>9.8530761161407963</v>
      </c>
      <c r="AE7">
        <f>0.4005^3*X7/(4*14.9732*2.98^3*AA7)*10^5</f>
        <v>12.416848809430713</v>
      </c>
      <c r="AF7">
        <f t="shared" si="4"/>
        <v>-7.5377006539088853E-2</v>
      </c>
      <c r="AG7">
        <f t="shared" si="5"/>
        <v>5.6816931147938435E-3</v>
      </c>
    </row>
    <row r="8" spans="1:33">
      <c r="C8" t="s">
        <v>8</v>
      </c>
      <c r="D8">
        <f>AVERAGE(D3:D7)</f>
        <v>15.043000000000001</v>
      </c>
      <c r="E8">
        <f>AVERAGE(E3:E7)</f>
        <v>3.0716000000000001</v>
      </c>
      <c r="F8">
        <f>AVERAGE(F3:F7)</f>
        <v>14.9732</v>
      </c>
      <c r="G8">
        <f>AVERAGE(G3:G7)</f>
        <v>2.9796</v>
      </c>
      <c r="J8" s="1"/>
      <c r="P8">
        <f>SUM(P2:P7)</f>
        <v>70.845947815793963</v>
      </c>
      <c r="Q8">
        <f>SUM(Q2:Q7)</f>
        <v>23.605565999999978</v>
      </c>
      <c r="S8">
        <f>AVERAGE(S3:S7)</f>
        <v>10.930548581191729</v>
      </c>
      <c r="U8">
        <f>SUM(U3:U7)</f>
        <v>0.46629848788724781</v>
      </c>
      <c r="W8">
        <f>SUM(AB3:AB7)</f>
        <v>69.384709021309419</v>
      </c>
      <c r="X8">
        <f>SUM(AC3:AC7)</f>
        <v>22.632774999999988</v>
      </c>
      <c r="AE8">
        <f>AVERAGE(AE3:AE7)</f>
        <v>12.492225815969801</v>
      </c>
      <c r="AG8">
        <f>SUM(AG3:AG7)</f>
        <v>6.6132270844020485E-2</v>
      </c>
    </row>
    <row r="9" spans="1:33">
      <c r="S9">
        <f>AVERAGE(S3:S8)</f>
        <v>10.930548581191729</v>
      </c>
      <c r="AE9">
        <f>AVERAGE(AE3:AE8)</f>
        <v>12.492225815969801</v>
      </c>
    </row>
    <row r="10" spans="1:33">
      <c r="Q10">
        <f>P8/Q8</f>
        <v>3.0012391067341504</v>
      </c>
      <c r="S10">
        <f>AVERAGE(S3:S9)</f>
        <v>10.930548581191729</v>
      </c>
      <c r="AE10">
        <f>AVERAGE(AE3:AE9)</f>
        <v>12.492225815969801</v>
      </c>
    </row>
    <row r="11" spans="1:33">
      <c r="G11">
        <f>40.05^3*Q10/(4*F8*G8^3)</f>
        <v>121.69133186077508</v>
      </c>
      <c r="I11">
        <f>40.05^3*X12/(4*D8*E8^3)</f>
        <v>112.93930296012056</v>
      </c>
      <c r="S11">
        <f>AVERAGE(S3:S10)</f>
        <v>10.930548581191729</v>
      </c>
      <c r="AE11">
        <f>AVERAGE(AE3:AE10)</f>
        <v>12.492225815969801</v>
      </c>
    </row>
    <row r="12" spans="1:33">
      <c r="S12">
        <f>AVERAGE(S3:S11)</f>
        <v>10.930548581191729</v>
      </c>
      <c r="X12">
        <f>W8/X8</f>
        <v>3.0656739627071561</v>
      </c>
      <c r="AE12">
        <f>AVERAGE(AE3:AE11)</f>
        <v>12.492225815969801</v>
      </c>
    </row>
    <row r="13" spans="1:33">
      <c r="S13">
        <f>AVERAGE(S3:S12)</f>
        <v>10.930548581191729</v>
      </c>
      <c r="AE13">
        <f>AVERAGE(AE3:AE12)</f>
        <v>12.492225815969801</v>
      </c>
    </row>
    <row r="14" spans="1:33">
      <c r="S14">
        <f>AVERAGE(S3:S13)</f>
        <v>10.930548581191729</v>
      </c>
    </row>
    <row r="1048576" spans="17:17">
      <c r="Q1048576">
        <f>AVERAGE(Q1:Q1048575)</f>
        <v>6.2765463883417638</v>
      </c>
    </row>
  </sheetData>
  <phoneticPr fontId="1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2"/>
  <sheetViews>
    <sheetView topLeftCell="C1" workbookViewId="0">
      <selection activeCell="M12" sqref="M12"/>
    </sheetView>
  </sheetViews>
  <sheetFormatPr defaultRowHeight="13.5"/>
  <cols>
    <col min="10" max="10" width="10" customWidth="1"/>
    <col min="14" max="14" width="12.75" bestFit="1" customWidth="1"/>
    <col min="16" max="16" width="9.5" bestFit="1" customWidth="1"/>
  </cols>
  <sheetData>
    <row r="1" spans="1:29">
      <c r="H1" t="s">
        <v>13</v>
      </c>
      <c r="I1" t="s">
        <v>9</v>
      </c>
      <c r="K1" t="s">
        <v>10</v>
      </c>
      <c r="M1" t="s">
        <v>12</v>
      </c>
      <c r="O1" t="s">
        <v>14</v>
      </c>
      <c r="S1" t="s">
        <v>20</v>
      </c>
      <c r="T1" t="s">
        <v>9</v>
      </c>
      <c r="V1" t="s">
        <v>10</v>
      </c>
      <c r="W1" t="s">
        <v>12</v>
      </c>
      <c r="Y1" t="s">
        <v>14</v>
      </c>
      <c r="AC1" t="s">
        <v>20</v>
      </c>
    </row>
    <row r="2" spans="1:29">
      <c r="C2" t="s">
        <v>7</v>
      </c>
      <c r="D2" t="s">
        <v>5</v>
      </c>
      <c r="E2" t="s">
        <v>6</v>
      </c>
      <c r="F2" t="s">
        <v>5</v>
      </c>
      <c r="G2" t="s">
        <v>6</v>
      </c>
      <c r="I2" t="s">
        <v>11</v>
      </c>
      <c r="J2">
        <v>0</v>
      </c>
      <c r="K2">
        <v>0</v>
      </c>
      <c r="M2">
        <v>31.202999999999999</v>
      </c>
      <c r="O2">
        <f>M2-M2</f>
        <v>0</v>
      </c>
      <c r="P2">
        <f t="shared" ref="P2:P7" si="0">O2*K2</f>
        <v>0</v>
      </c>
      <c r="Q2">
        <f t="shared" ref="Q2:Q7" si="1">O2^2</f>
        <v>0</v>
      </c>
      <c r="R2">
        <f>Q10*O2</f>
        <v>0</v>
      </c>
      <c r="T2" t="s">
        <v>11</v>
      </c>
      <c r="U2">
        <v>0</v>
      </c>
      <c r="V2">
        <f>0</f>
        <v>0</v>
      </c>
      <c r="W2">
        <v>29.137</v>
      </c>
      <c r="Y2">
        <f>W2-W2</f>
        <v>0</v>
      </c>
      <c r="AB2">
        <v>0</v>
      </c>
    </row>
    <row r="3" spans="1:29">
      <c r="A3" t="s">
        <v>0</v>
      </c>
      <c r="B3">
        <v>198.67400000000001</v>
      </c>
      <c r="C3">
        <v>1</v>
      </c>
      <c r="D3">
        <v>15.04</v>
      </c>
      <c r="E3">
        <v>3.31</v>
      </c>
      <c r="F3">
        <v>14.973000000000001</v>
      </c>
      <c r="G3">
        <v>2.9870000000000001</v>
      </c>
      <c r="I3" t="s">
        <v>0</v>
      </c>
      <c r="J3" s="1">
        <f>B3*9.79788*10^-3</f>
        <v>1.9465840111200001</v>
      </c>
      <c r="K3" s="1">
        <f>K2+J3</f>
        <v>1.9465840111200001</v>
      </c>
      <c r="L3" s="1"/>
      <c r="M3">
        <v>31.855</v>
      </c>
      <c r="O3">
        <f>M3-M2</f>
        <v>0.65200000000000102</v>
      </c>
      <c r="P3">
        <f t="shared" si="0"/>
        <v>1.269172775250242</v>
      </c>
      <c r="Q3">
        <f t="shared" si="1"/>
        <v>0.42510400000000131</v>
      </c>
      <c r="R3">
        <f>Q10*O3</f>
        <v>1.9568078975906691</v>
      </c>
      <c r="S3">
        <f>0.4005^3*K3/(4*15.043*3.072^3*O3)*10^5</f>
        <v>10.994488679908944</v>
      </c>
      <c r="T3" t="s">
        <v>0</v>
      </c>
      <c r="U3" s="1">
        <f>B3*9.79788*10^-3</f>
        <v>1.9465840111200001</v>
      </c>
      <c r="V3" s="1">
        <f>V2+U3</f>
        <v>1.9465840111200001</v>
      </c>
      <c r="W3">
        <v>29.760999999999999</v>
      </c>
      <c r="Y3">
        <f>W3-W2</f>
        <v>0.62399999999999878</v>
      </c>
      <c r="Z3">
        <f>V3*Y3</f>
        <v>1.2146684229388778</v>
      </c>
      <c r="AA3">
        <f>Y3^2</f>
        <v>0.3893759999999985</v>
      </c>
      <c r="AB3">
        <f>X12*Y3</f>
        <v>1.9129805527292616</v>
      </c>
      <c r="AC3">
        <f>0.4005^3*V3/(4*14.9732*2.98^3*Y3)*10^5</f>
        <v>12.643657250120864</v>
      </c>
    </row>
    <row r="4" spans="1:29">
      <c r="A4" t="s">
        <v>1</v>
      </c>
      <c r="B4">
        <v>201.405</v>
      </c>
      <c r="C4">
        <v>2</v>
      </c>
      <c r="D4">
        <v>15.06</v>
      </c>
      <c r="E4">
        <v>3.01</v>
      </c>
      <c r="F4">
        <v>14.972</v>
      </c>
      <c r="G4">
        <v>2.9790000000000001</v>
      </c>
      <c r="I4" t="s">
        <v>15</v>
      </c>
      <c r="J4" s="1">
        <f>B4*9.79788*10^-3</f>
        <v>1.9733420213999999</v>
      </c>
      <c r="K4" s="1">
        <f>K3+J4</f>
        <v>3.9199260325200003</v>
      </c>
      <c r="L4" s="1"/>
      <c r="M4">
        <v>32.597999999999999</v>
      </c>
      <c r="O4">
        <f>M4-M2</f>
        <v>1.3949999999999996</v>
      </c>
      <c r="P4">
        <f t="shared" si="0"/>
        <v>5.4682968153653988</v>
      </c>
      <c r="Q4">
        <f t="shared" si="1"/>
        <v>1.9460249999999988</v>
      </c>
      <c r="R4">
        <f>Q10*O4</f>
        <v>4.1867285538941381</v>
      </c>
      <c r="S4">
        <f>0.4005^3*K4/(4*15.043*3.072^3*O4)*10^5</f>
        <v>10.347921962190622</v>
      </c>
      <c r="T4" t="s">
        <v>15</v>
      </c>
      <c r="U4" s="1">
        <f>B4*9.79788*10^-3</f>
        <v>1.9733420213999999</v>
      </c>
      <c r="V4" s="1">
        <f>V3+U4</f>
        <v>3.9199260325200003</v>
      </c>
      <c r="W4">
        <v>30.396000000000001</v>
      </c>
      <c r="Y4">
        <f>W4-W2</f>
        <v>1.2590000000000003</v>
      </c>
      <c r="Z4">
        <f>V4*Y4</f>
        <v>4.9351868749426817</v>
      </c>
      <c r="AA4">
        <f>Y4^2</f>
        <v>1.5850810000000009</v>
      </c>
      <c r="AB4">
        <f>X12*Y4</f>
        <v>3.8596835190483105</v>
      </c>
      <c r="AC4">
        <f>0.4005^3*V4/(4*14.9732*2.98^3*Y4)*10^5</f>
        <v>12.619329903719015</v>
      </c>
    </row>
    <row r="5" spans="1:29">
      <c r="A5" t="s">
        <v>2</v>
      </c>
      <c r="B5">
        <v>201.49799999999999</v>
      </c>
      <c r="C5">
        <v>3</v>
      </c>
      <c r="D5">
        <v>15.04</v>
      </c>
      <c r="E5">
        <v>3.0179999999999998</v>
      </c>
      <c r="F5">
        <v>14.972</v>
      </c>
      <c r="G5">
        <v>2.98</v>
      </c>
      <c r="I5" t="s">
        <v>16</v>
      </c>
      <c r="J5" s="1">
        <f>B5*9.79788*10^-3</f>
        <v>1.9742532242399997</v>
      </c>
      <c r="K5" s="1">
        <f>K4+J5</f>
        <v>5.8941792567600002</v>
      </c>
      <c r="L5" s="1"/>
      <c r="M5">
        <v>33.18</v>
      </c>
      <c r="O5">
        <f>M5-M2</f>
        <v>1.9770000000000003</v>
      </c>
      <c r="P5">
        <f t="shared" si="0"/>
        <v>11.652792390614522</v>
      </c>
      <c r="Q5">
        <f t="shared" si="1"/>
        <v>3.908529000000001</v>
      </c>
      <c r="R5">
        <f>Q10*O5</f>
        <v>5.9334497140134159</v>
      </c>
      <c r="S5">
        <f>0.4005^3*K5/(4*15.043*3.072^3*O5)*10^5</f>
        <v>10.97908508428336</v>
      </c>
      <c r="T5" t="s">
        <v>16</v>
      </c>
      <c r="U5" s="1">
        <f>B5*9.79788*10^-3</f>
        <v>1.9742532242399997</v>
      </c>
      <c r="V5" s="1">
        <f>V4+U5</f>
        <v>5.8941792567600002</v>
      </c>
      <c r="W5">
        <v>31.068000000000001</v>
      </c>
      <c r="Y5">
        <f>W5-W2</f>
        <v>1.9310000000000009</v>
      </c>
      <c r="Z5">
        <f>V5*Y5</f>
        <v>11.381660144803567</v>
      </c>
      <c r="AA5">
        <f>Y5^2</f>
        <v>3.7287610000000035</v>
      </c>
      <c r="AB5">
        <f>X12*Y5</f>
        <v>5.9198164219875213</v>
      </c>
      <c r="AC5">
        <f>0.4005^3*V5/(4*14.9732*2.98^3*Y5)*10^5</f>
        <v>12.371581430755686</v>
      </c>
    </row>
    <row r="6" spans="1:29">
      <c r="A6" t="s">
        <v>3</v>
      </c>
      <c r="B6">
        <v>201.227</v>
      </c>
      <c r="C6">
        <v>4</v>
      </c>
      <c r="D6">
        <v>15.04</v>
      </c>
      <c r="E6">
        <v>3.01</v>
      </c>
      <c r="F6">
        <v>14.978</v>
      </c>
      <c r="G6">
        <v>2.9750000000000001</v>
      </c>
      <c r="I6" t="s">
        <v>17</v>
      </c>
      <c r="J6" s="1">
        <f>B6*9.79788*10^-3</f>
        <v>1.9715979987599999</v>
      </c>
      <c r="K6" s="1">
        <f>K5+J6</f>
        <v>7.8657772555200003</v>
      </c>
      <c r="L6" s="1"/>
      <c r="M6">
        <v>33.780999999999999</v>
      </c>
      <c r="O6">
        <f>M6-M2</f>
        <v>2.5779999999999994</v>
      </c>
      <c r="P6">
        <f t="shared" si="0"/>
        <v>20.277973764730557</v>
      </c>
      <c r="Q6">
        <f t="shared" si="1"/>
        <v>6.6460839999999965</v>
      </c>
      <c r="R6">
        <f>Q10*O6</f>
        <v>7.7371944171606382</v>
      </c>
      <c r="S6">
        <f>0.4005^3*K6/(4*15.043*3.072^3*O6)*10^5</f>
        <v>11.235908947542208</v>
      </c>
      <c r="T6" t="s">
        <v>17</v>
      </c>
      <c r="U6" s="1">
        <f>B6*9.79788*10^-3</f>
        <v>1.9715979987599999</v>
      </c>
      <c r="V6" s="1">
        <f>V5+U6</f>
        <v>7.8657772555200003</v>
      </c>
      <c r="W6">
        <v>31.706</v>
      </c>
      <c r="Y6">
        <f>W6-W2</f>
        <v>2.5689999999999991</v>
      </c>
      <c r="Z6">
        <f>V6*Y6</f>
        <v>20.207181769430875</v>
      </c>
      <c r="AA6">
        <f>Y6^2</f>
        <v>6.5997609999999955</v>
      </c>
      <c r="AB6">
        <f>X12*Y6</f>
        <v>7.8757164101946815</v>
      </c>
      <c r="AC6">
        <f>0.4005^3*V6/(4*14.9732*2.98^3*Y6)*10^5</f>
        <v>12.409711685822732</v>
      </c>
    </row>
    <row r="7" spans="1:29">
      <c r="A7" t="s">
        <v>4</v>
      </c>
      <c r="B7">
        <v>202.13800000000001</v>
      </c>
      <c r="C7">
        <v>5</v>
      </c>
      <c r="D7">
        <v>15.035</v>
      </c>
      <c r="E7">
        <v>3.01</v>
      </c>
      <c r="F7">
        <v>14.971</v>
      </c>
      <c r="G7">
        <v>2.9769999999999999</v>
      </c>
      <c r="I7" t="s">
        <v>18</v>
      </c>
      <c r="J7" s="1">
        <f>B7*9.79788*10^-3</f>
        <v>1.9805238674400001</v>
      </c>
      <c r="K7" s="1">
        <f>K6+J7</f>
        <v>9.8463011229599999</v>
      </c>
      <c r="L7" s="1"/>
      <c r="M7">
        <v>34.470999999999997</v>
      </c>
      <c r="O7">
        <f>M7-M2</f>
        <v>3.2679999999999971</v>
      </c>
      <c r="P7">
        <f t="shared" si="0"/>
        <v>32.177712069833248</v>
      </c>
      <c r="Q7">
        <f t="shared" si="1"/>
        <v>10.67982399999998</v>
      </c>
      <c r="R7">
        <f>Q10*O7</f>
        <v>9.8080494008071941</v>
      </c>
      <c r="S7">
        <f>0.4005^3*K7/(4*15.043*3.072^3*O7)*10^5</f>
        <v>11.095338232033511</v>
      </c>
      <c r="T7" t="s">
        <v>18</v>
      </c>
      <c r="U7" s="1">
        <f>B7*9.79788*10^-3</f>
        <v>1.9805238674400001</v>
      </c>
      <c r="V7" s="1">
        <f>V6+U7</f>
        <v>9.8463011229599999</v>
      </c>
      <c r="W7">
        <v>32.350999999999999</v>
      </c>
      <c r="Y7">
        <f>W7-W2</f>
        <v>3.2139999999999986</v>
      </c>
      <c r="Z7">
        <f>V7*Y7</f>
        <v>31.646011809193425</v>
      </c>
      <c r="AA7">
        <f>Y7^2</f>
        <v>10.329795999999991</v>
      </c>
      <c r="AB7">
        <f>X12*Y7</f>
        <v>9.8530761161407963</v>
      </c>
      <c r="AC7">
        <f>0.4005^3*V7/(4*14.9732*2.98^3*Y7)*10^5</f>
        <v>12.416848809430713</v>
      </c>
    </row>
    <row r="8" spans="1:29">
      <c r="C8" t="s">
        <v>8</v>
      </c>
      <c r="D8">
        <f>AVERAGE(D3:D7)</f>
        <v>15.043000000000001</v>
      </c>
      <c r="E8">
        <f>AVERAGE(E3:E7)</f>
        <v>3.0716000000000001</v>
      </c>
      <c r="F8">
        <f>AVERAGE(F3:F7)</f>
        <v>14.9732</v>
      </c>
      <c r="G8">
        <f>AVERAGE(G3:G7)</f>
        <v>2.9796</v>
      </c>
      <c r="J8" s="1"/>
      <c r="P8">
        <f>SUM(P2:P7)</f>
        <v>70.845947815793963</v>
      </c>
      <c r="Q8">
        <f>SUM(Q2:Q7)</f>
        <v>23.605565999999978</v>
      </c>
      <c r="W8">
        <f>SUM(Z3:Z7)</f>
        <v>69.384709021309419</v>
      </c>
      <c r="X8">
        <f>SUM(AA3:AA7)</f>
        <v>22.632774999999988</v>
      </c>
    </row>
    <row r="10" spans="1:29">
      <c r="Q10">
        <f>P8/Q8</f>
        <v>3.0012391067341504</v>
      </c>
    </row>
    <row r="11" spans="1:29">
      <c r="G11">
        <f>40.05^3*Q10/(4*F8*G8^3)</f>
        <v>121.69133186077508</v>
      </c>
      <c r="I11">
        <f>40.05^3*X12/(4*D8*E8^3)</f>
        <v>112.93930296012056</v>
      </c>
    </row>
    <row r="12" spans="1:29">
      <c r="X12">
        <f>W8/X8</f>
        <v>3.0656739627071561</v>
      </c>
    </row>
  </sheetData>
  <phoneticPr fontId="1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>
      <selection activeCell="Q16" sqref="Q16"/>
    </sheetView>
  </sheetViews>
  <sheetFormatPr defaultRowHeight="13.5"/>
  <cols>
    <col min="1" max="1" width="11.625" bestFit="1" customWidth="1"/>
    <col min="8" max="8" width="9.5" bestFit="1" customWidth="1"/>
    <col min="10" max="10" width="10" customWidth="1"/>
    <col min="11" max="11" width="10.5" bestFit="1" customWidth="1"/>
    <col min="14" max="14" width="12.75" bestFit="1" customWidth="1"/>
    <col min="16" max="16" width="9.5" bestFit="1" customWidth="1"/>
  </cols>
  <sheetData>
    <row r="1" spans="1:37">
      <c r="D1" t="s">
        <v>30</v>
      </c>
      <c r="H1" t="s">
        <v>31</v>
      </c>
      <c r="L1" t="s">
        <v>13</v>
      </c>
      <c r="M1" t="s">
        <v>9</v>
      </c>
      <c r="O1" t="s">
        <v>10</v>
      </c>
      <c r="S1" t="s">
        <v>12</v>
      </c>
      <c r="U1" t="s">
        <v>14</v>
      </c>
      <c r="Y1" t="s">
        <v>20</v>
      </c>
      <c r="Z1" t="s">
        <v>9</v>
      </c>
      <c r="AB1" t="s">
        <v>10</v>
      </c>
      <c r="AC1" t="s">
        <v>12</v>
      </c>
      <c r="AE1" t="s">
        <v>14</v>
      </c>
      <c r="AI1" t="s">
        <v>20</v>
      </c>
    </row>
    <row r="2" spans="1:37">
      <c r="C2" t="s">
        <v>7</v>
      </c>
      <c r="D2" t="s">
        <v>5</v>
      </c>
      <c r="E2" t="s">
        <v>6</v>
      </c>
      <c r="H2" t="s">
        <v>5</v>
      </c>
      <c r="I2" t="s">
        <v>6</v>
      </c>
      <c r="M2" t="s">
        <v>11</v>
      </c>
      <c r="N2">
        <v>0</v>
      </c>
      <c r="O2">
        <v>0</v>
      </c>
      <c r="S2">
        <v>31.202999999999999</v>
      </c>
      <c r="U2">
        <f>S2-S2</f>
        <v>0</v>
      </c>
      <c r="X2">
        <f t="shared" ref="X2:X7" si="0">U2*O2</f>
        <v>0</v>
      </c>
      <c r="Y2">
        <f t="shared" ref="Y2:Y7" si="1">U2^2</f>
        <v>0</v>
      </c>
      <c r="Z2">
        <f>T10*U2</f>
        <v>0</v>
      </c>
      <c r="AB2" t="s">
        <v>11</v>
      </c>
      <c r="AC2">
        <v>0</v>
      </c>
      <c r="AD2">
        <f>0</f>
        <v>0</v>
      </c>
      <c r="AE2">
        <v>29.137</v>
      </c>
      <c r="AG2">
        <f>AE2-AE2</f>
        <v>0</v>
      </c>
      <c r="AJ2">
        <v>0</v>
      </c>
    </row>
    <row r="3" spans="1:37">
      <c r="A3" t="s">
        <v>0</v>
      </c>
      <c r="B3">
        <v>198.67400000000001</v>
      </c>
      <c r="C3">
        <v>1</v>
      </c>
      <c r="D3">
        <v>15.04</v>
      </c>
      <c r="E3">
        <v>3.31</v>
      </c>
      <c r="F3">
        <f>D3-15.043</f>
        <v>-3.0000000000001137E-3</v>
      </c>
      <c r="G3">
        <f>E3-3.0716</f>
        <v>0.23839999999999995</v>
      </c>
      <c r="H3">
        <v>14.973000000000001</v>
      </c>
      <c r="I3">
        <v>2.9870000000000001</v>
      </c>
      <c r="J3">
        <f>H3-14.9732</f>
        <v>-1.9999999999953388E-4</v>
      </c>
      <c r="K3">
        <f>I3-2.9796</f>
        <v>7.4000000000000732E-3</v>
      </c>
      <c r="M3" t="s">
        <v>0</v>
      </c>
      <c r="N3" s="1">
        <f>B3*9.79788*10^-3</f>
        <v>1.9465840111200001</v>
      </c>
      <c r="O3" s="1">
        <f>O2+N3</f>
        <v>1.9465840111200001</v>
      </c>
      <c r="P3" s="1">
        <f>O3/9.79788*1000</f>
        <v>198.67400000000001</v>
      </c>
      <c r="Q3" s="1">
        <v>4.0000000000000001E-3</v>
      </c>
      <c r="R3" s="1"/>
      <c r="S3">
        <v>31.855</v>
      </c>
      <c r="U3">
        <f>S3-S2</f>
        <v>0.65200000000000102</v>
      </c>
      <c r="V3">
        <v>2E-3</v>
      </c>
      <c r="X3">
        <f t="shared" si="0"/>
        <v>1.269172775250242</v>
      </c>
      <c r="Y3">
        <f t="shared" si="1"/>
        <v>0.42510400000000131</v>
      </c>
      <c r="Z3">
        <f>T10*U3</f>
        <v>1.9568078975906691</v>
      </c>
      <c r="AA3">
        <f>0.4005^3*O3/(4*15.043*3.072^3*U3)*10^5</f>
        <v>10.994488679908944</v>
      </c>
      <c r="AB3" t="s">
        <v>0</v>
      </c>
      <c r="AC3" s="1">
        <f>B3*9.79788*10^-3</f>
        <v>1.9465840111200001</v>
      </c>
      <c r="AD3" s="1">
        <f>AD2+AC3</f>
        <v>1.9465840111200001</v>
      </c>
      <c r="AE3">
        <v>29.760999999999999</v>
      </c>
      <c r="AG3">
        <f>AE3-AE2</f>
        <v>0.62399999999999878</v>
      </c>
      <c r="AH3">
        <f>AD3*AG3</f>
        <v>1.2146684229388778</v>
      </c>
      <c r="AI3">
        <f>AG3^2</f>
        <v>0.3893759999999985</v>
      </c>
      <c r="AJ3">
        <f>X12*AG3</f>
        <v>1.9129805527292616</v>
      </c>
      <c r="AK3">
        <f>0.4005^3*AD3/(4*14.9732*2.98^3*AG3)*10^5</f>
        <v>12.643657250120864</v>
      </c>
    </row>
    <row r="4" spans="1:37">
      <c r="A4" t="s">
        <v>1</v>
      </c>
      <c r="B4">
        <v>201.405</v>
      </c>
      <c r="C4">
        <v>2</v>
      </c>
      <c r="D4">
        <v>15.06</v>
      </c>
      <c r="E4">
        <v>3.01</v>
      </c>
      <c r="F4">
        <f>D4-15.043</f>
        <v>1.7000000000001236E-2</v>
      </c>
      <c r="G4">
        <f>E4-3.0716</f>
        <v>-6.1600000000000321E-2</v>
      </c>
      <c r="H4">
        <v>14.972</v>
      </c>
      <c r="I4">
        <v>2.9790000000000001</v>
      </c>
      <c r="J4">
        <f>H4-14.9732</f>
        <v>-1.200000000000756E-3</v>
      </c>
      <c r="K4">
        <f>I4-2.9796</f>
        <v>-5.9999999999993392E-4</v>
      </c>
      <c r="M4" t="s">
        <v>15</v>
      </c>
      <c r="N4" s="1">
        <f>B4*9.79788*10^-3</f>
        <v>1.9733420213999999</v>
      </c>
      <c r="O4" s="1">
        <f>O3+N4</f>
        <v>3.9199260325200003</v>
      </c>
      <c r="P4" s="1">
        <f>O4/9.79788*1000</f>
        <v>400.07900000000006</v>
      </c>
      <c r="Q4" s="1">
        <v>8.9999999999999993E-3</v>
      </c>
      <c r="R4" s="1"/>
      <c r="S4">
        <v>32.597999999999999</v>
      </c>
      <c r="U4">
        <f>S4-S2</f>
        <v>1.3949999999999996</v>
      </c>
      <c r="V4">
        <v>5.0000000000000001E-3</v>
      </c>
      <c r="X4">
        <f t="shared" si="0"/>
        <v>5.4682968153653988</v>
      </c>
      <c r="Y4">
        <f t="shared" si="1"/>
        <v>1.9460249999999988</v>
      </c>
      <c r="Z4">
        <f>T10*U4</f>
        <v>4.1867285538941381</v>
      </c>
      <c r="AA4">
        <f>0.4005^3*O4/(4*15.043*3.072^3*U4)*10^5</f>
        <v>10.347921962190622</v>
      </c>
      <c r="AB4" t="s">
        <v>15</v>
      </c>
      <c r="AC4" s="1">
        <f>B4*9.79788*10^-3</f>
        <v>1.9733420213999999</v>
      </c>
      <c r="AD4" s="1">
        <f>AD3+AC4</f>
        <v>3.9199260325200003</v>
      </c>
      <c r="AE4">
        <v>30.396000000000001</v>
      </c>
      <c r="AG4">
        <f>AE4-AE2</f>
        <v>1.2590000000000003</v>
      </c>
      <c r="AH4">
        <f>AD4*AG4</f>
        <v>4.9351868749426817</v>
      </c>
      <c r="AI4">
        <f>AG4^2</f>
        <v>1.5850810000000009</v>
      </c>
      <c r="AJ4">
        <f>X12*AG4</f>
        <v>3.8596835190483105</v>
      </c>
      <c r="AK4">
        <f>0.4005^3*AD4/(4*14.9732*2.98^3*AG4)*10^5</f>
        <v>12.619329903719015</v>
      </c>
    </row>
    <row r="5" spans="1:37">
      <c r="A5" t="s">
        <v>2</v>
      </c>
      <c r="B5">
        <v>201.49799999999999</v>
      </c>
      <c r="C5">
        <v>3</v>
      </c>
      <c r="D5">
        <v>15.04</v>
      </c>
      <c r="E5">
        <v>3.0179999999999998</v>
      </c>
      <c r="F5">
        <f>D5-15.043</f>
        <v>-3.0000000000001137E-3</v>
      </c>
      <c r="G5">
        <f>E5-3.0716</f>
        <v>-5.3600000000000314E-2</v>
      </c>
      <c r="H5">
        <v>14.972</v>
      </c>
      <c r="I5">
        <v>2.98</v>
      </c>
      <c r="J5">
        <f>H5-14.9732</f>
        <v>-1.200000000000756E-3</v>
      </c>
      <c r="K5">
        <f>I5-2.9796</f>
        <v>3.9999999999995595E-4</v>
      </c>
      <c r="M5" t="s">
        <v>16</v>
      </c>
      <c r="N5" s="1">
        <f>B5*9.79788*10^-3</f>
        <v>1.9742532242399997</v>
      </c>
      <c r="O5" s="1">
        <f>O4+N5</f>
        <v>5.8941792567600002</v>
      </c>
      <c r="P5" s="1">
        <f>O5/9.79788*1000</f>
        <v>601.577</v>
      </c>
      <c r="Q5" s="1">
        <v>7.0000000000000001E-3</v>
      </c>
      <c r="R5" s="1"/>
      <c r="S5">
        <v>33.18</v>
      </c>
      <c r="U5">
        <f>S5-S2</f>
        <v>1.9770000000000003</v>
      </c>
      <c r="V5">
        <v>7.0000000000000001E-3</v>
      </c>
      <c r="X5">
        <f t="shared" si="0"/>
        <v>11.652792390614522</v>
      </c>
      <c r="Y5">
        <f t="shared" si="1"/>
        <v>3.908529000000001</v>
      </c>
      <c r="Z5">
        <f>T10*U5</f>
        <v>5.9334497140134159</v>
      </c>
      <c r="AA5">
        <f>0.4005^3*O5/(4*15.043*3.072^3*U5)*10^5</f>
        <v>10.97908508428336</v>
      </c>
      <c r="AB5" t="s">
        <v>16</v>
      </c>
      <c r="AC5" s="1">
        <f>B5*9.79788*10^-3</f>
        <v>1.9742532242399997</v>
      </c>
      <c r="AD5" s="1">
        <f>AD4+AC5</f>
        <v>5.8941792567600002</v>
      </c>
      <c r="AE5">
        <v>31.068000000000001</v>
      </c>
      <c r="AG5">
        <f>AE5-AE2</f>
        <v>1.9310000000000009</v>
      </c>
      <c r="AH5">
        <f>AD5*AG5</f>
        <v>11.381660144803567</v>
      </c>
      <c r="AI5">
        <f>AG5^2</f>
        <v>3.7287610000000035</v>
      </c>
      <c r="AJ5">
        <f>X12*AG5</f>
        <v>5.9198164219875213</v>
      </c>
      <c r="AK5">
        <f>0.4005^3*AD5/(4*14.9732*2.98^3*AG5)*10^5</f>
        <v>12.371581430755686</v>
      </c>
    </row>
    <row r="6" spans="1:37">
      <c r="A6" t="s">
        <v>3</v>
      </c>
      <c r="B6">
        <v>201.227</v>
      </c>
      <c r="C6">
        <v>4</v>
      </c>
      <c r="D6">
        <v>15.04</v>
      </c>
      <c r="E6">
        <v>3.01</v>
      </c>
      <c r="F6">
        <f>D6-15.043</f>
        <v>-3.0000000000001137E-3</v>
      </c>
      <c r="G6">
        <f>E6-3.0716</f>
        <v>-6.1600000000000321E-2</v>
      </c>
      <c r="H6">
        <v>14.978</v>
      </c>
      <c r="I6">
        <v>2.9750000000000001</v>
      </c>
      <c r="J6">
        <f>H6-14.9732</f>
        <v>4.7999999999994714E-3</v>
      </c>
      <c r="K6">
        <f>I6-2.9796</f>
        <v>-4.5999999999999375E-3</v>
      </c>
      <c r="M6" t="s">
        <v>17</v>
      </c>
      <c r="N6" s="1">
        <f>B6*9.79788*10^-3</f>
        <v>1.9715979987599999</v>
      </c>
      <c r="O6" s="1">
        <f>O5+N6</f>
        <v>7.8657772555200003</v>
      </c>
      <c r="P6" s="1">
        <f>O6/9.79788*1000</f>
        <v>802.80400000000009</v>
      </c>
      <c r="Q6" s="1">
        <v>4.0000000000000001E-3</v>
      </c>
      <c r="R6" s="1"/>
      <c r="S6">
        <v>33.780999999999999</v>
      </c>
      <c r="U6">
        <f>S6-S2</f>
        <v>2.5779999999999994</v>
      </c>
      <c r="V6">
        <v>8.0000000000000002E-3</v>
      </c>
      <c r="X6">
        <f t="shared" si="0"/>
        <v>20.277973764730557</v>
      </c>
      <c r="Y6">
        <f t="shared" si="1"/>
        <v>6.6460839999999965</v>
      </c>
      <c r="Z6">
        <f>T10*U6</f>
        <v>7.7371944171606382</v>
      </c>
      <c r="AA6">
        <f>0.4005^3*O6/(4*15.043*3.072^3*U6)*10^5</f>
        <v>11.235908947542208</v>
      </c>
      <c r="AB6" t="s">
        <v>17</v>
      </c>
      <c r="AC6" s="1">
        <f>B6*9.79788*10^-3</f>
        <v>1.9715979987599999</v>
      </c>
      <c r="AD6" s="1">
        <f>AD5+AC6</f>
        <v>7.8657772555200003</v>
      </c>
      <c r="AE6">
        <v>31.706</v>
      </c>
      <c r="AG6">
        <f>AE6-AE2</f>
        <v>2.5689999999999991</v>
      </c>
      <c r="AH6">
        <f>AD6*AG6</f>
        <v>20.207181769430875</v>
      </c>
      <c r="AI6">
        <f>AG6^2</f>
        <v>6.5997609999999955</v>
      </c>
      <c r="AJ6">
        <f>X12*AG6</f>
        <v>7.8757164101946815</v>
      </c>
      <c r="AK6">
        <f>0.4005^3*AD6/(4*14.9732*2.98^3*AG6)*10^5</f>
        <v>12.409711685822732</v>
      </c>
    </row>
    <row r="7" spans="1:37">
      <c r="A7" t="s">
        <v>4</v>
      </c>
      <c r="B7">
        <v>202.13800000000001</v>
      </c>
      <c r="C7">
        <v>5</v>
      </c>
      <c r="D7">
        <v>15.035</v>
      </c>
      <c r="E7">
        <v>3.01</v>
      </c>
      <c r="F7">
        <f>D7-15.043</f>
        <v>-7.9999999999991189E-3</v>
      </c>
      <c r="G7">
        <f>E7-3.0716</f>
        <v>-6.1600000000000321E-2</v>
      </c>
      <c r="H7">
        <v>14.971</v>
      </c>
      <c r="I7">
        <v>2.9769999999999999</v>
      </c>
      <c r="J7">
        <f>H7-14.9732</f>
        <v>-2.2000000000002018E-3</v>
      </c>
      <c r="K7">
        <f>I7-2.9796</f>
        <v>-2.6000000000001577E-3</v>
      </c>
      <c r="M7" t="s">
        <v>18</v>
      </c>
      <c r="N7" s="1">
        <f>B7*9.79788*10^-3</f>
        <v>1.9805238674400001</v>
      </c>
      <c r="O7" s="1">
        <f>O6+N7</f>
        <v>9.8463011229599999</v>
      </c>
      <c r="P7" s="1">
        <f>O7/9.79788*1000</f>
        <v>1004.942</v>
      </c>
      <c r="Q7" s="1">
        <v>2E-3</v>
      </c>
      <c r="R7" s="1"/>
      <c r="S7">
        <v>34.470999999999997</v>
      </c>
      <c r="U7">
        <f>S7-S2</f>
        <v>3.2679999999999971</v>
      </c>
      <c r="V7">
        <v>8.0000000000000002E-3</v>
      </c>
      <c r="X7">
        <f t="shared" si="0"/>
        <v>32.177712069833248</v>
      </c>
      <c r="Y7">
        <f t="shared" si="1"/>
        <v>10.67982399999998</v>
      </c>
      <c r="Z7">
        <f>T10*U7</f>
        <v>9.8080494008071941</v>
      </c>
      <c r="AA7">
        <f>0.4005^3*O7/(4*15.043*3.072^3*U7)*10^5</f>
        <v>11.095338232033511</v>
      </c>
      <c r="AB7" t="s">
        <v>18</v>
      </c>
      <c r="AC7" s="1">
        <f>B7*9.79788*10^-3</f>
        <v>1.9805238674400001</v>
      </c>
      <c r="AD7" s="1">
        <f>AD6+AC7</f>
        <v>9.8463011229599999</v>
      </c>
      <c r="AE7">
        <v>32.350999999999999</v>
      </c>
      <c r="AG7">
        <f>AE7-AE2</f>
        <v>3.2139999999999986</v>
      </c>
      <c r="AH7">
        <f>AD7*AG7</f>
        <v>31.646011809193425</v>
      </c>
      <c r="AI7">
        <f>AG7^2</f>
        <v>10.329795999999991</v>
      </c>
      <c r="AJ7">
        <f>X12*AG7</f>
        <v>9.8530761161407963</v>
      </c>
      <c r="AK7">
        <f>0.4005^3*AD7/(4*14.9732*2.98^3*AG7)*10^5</f>
        <v>12.416848809430713</v>
      </c>
    </row>
    <row r="8" spans="1:37">
      <c r="C8" t="s">
        <v>8</v>
      </c>
      <c r="D8">
        <f>AVERAGE(D3:D7)</f>
        <v>15.043000000000001</v>
      </c>
      <c r="E8">
        <f>AVERAGE(E3:E7)</f>
        <v>3.0716000000000001</v>
      </c>
      <c r="H8">
        <f>AVERAGE(H3:H7)</f>
        <v>14.9732</v>
      </c>
      <c r="I8">
        <f>AVERAGE(I3:I7)</f>
        <v>2.9796</v>
      </c>
      <c r="N8" s="1"/>
      <c r="T8">
        <f>SUM(X2:X7)</f>
        <v>70.845947815793963</v>
      </c>
      <c r="U8">
        <f>SUM(Y2:Y7)</f>
        <v>23.605565999999978</v>
      </c>
      <c r="AA8">
        <f>SUM(AH3:AH7)</f>
        <v>69.384709021309419</v>
      </c>
      <c r="AB8">
        <f>SUM(AI3:AI7)</f>
        <v>22.632774999999988</v>
      </c>
    </row>
    <row r="10" spans="1:37">
      <c r="T10">
        <f>T8/U8</f>
        <v>3.0012391067341504</v>
      </c>
    </row>
    <row r="11" spans="1:37">
      <c r="H11">
        <f>40.05^3*T10/(4*H8*I8^3)</f>
        <v>121.69133186077508</v>
      </c>
      <c r="L11">
        <f>40.05^3*X12/(4*D8*E8^3)</f>
        <v>112.93930296012056</v>
      </c>
    </row>
    <row r="12" spans="1:37">
      <c r="X12">
        <f>AA8/AB8</f>
        <v>3.0656739627071561</v>
      </c>
    </row>
    <row r="14" spans="1:37">
      <c r="F14" t="s">
        <v>32</v>
      </c>
      <c r="G14" t="s">
        <v>33</v>
      </c>
      <c r="J14" t="s">
        <v>32</v>
      </c>
      <c r="K14" t="s">
        <v>33</v>
      </c>
    </row>
    <row r="15" spans="1:37">
      <c r="A15">
        <f>11.29*(F23/D8+3*G23/E8+3*0.05/40.05+0.07/P3+0.004/AG3)</f>
        <v>0.77932656611679085</v>
      </c>
      <c r="C15">
        <f>12.17*(0.001241/14.9732+3*0.0020396/2.9796+3*0.05/40.05+Q3/P3+V3/U3)</f>
        <v>0.10915738078067524</v>
      </c>
      <c r="F15">
        <f>F3^2</f>
        <v>9.0000000000006829E-6</v>
      </c>
      <c r="G15">
        <f>G3^2</f>
        <v>5.6834559999999971E-2</v>
      </c>
      <c r="J15">
        <f t="shared" ref="J15:K19" si="2">J3^2</f>
        <v>3.9999999999813554E-8</v>
      </c>
      <c r="K15">
        <f t="shared" si="2"/>
        <v>5.4760000000001082E-5</v>
      </c>
    </row>
    <row r="16" spans="1:37">
      <c r="A16">
        <f>11.29*(0.004359/15.043+3*0.005962/3.0716+3*0.05/40.05+0.09/P4+0.009/AG4)</f>
        <v>0.19454473760753058</v>
      </c>
      <c r="C16">
        <f>12.17*(0.001241/14.9732+3*0.0020396/2.9796+3*0.05/40.05+Q4/P4+V4/U4)</f>
        <v>0.11547491053942813</v>
      </c>
      <c r="F16">
        <f t="shared" ref="F16:G19" si="3">F4^2</f>
        <v>2.8900000000004204E-4</v>
      </c>
      <c r="G16">
        <f t="shared" si="3"/>
        <v>3.7945600000000397E-3</v>
      </c>
      <c r="J16">
        <f t="shared" si="2"/>
        <v>1.4400000000018145E-6</v>
      </c>
      <c r="K16">
        <f t="shared" si="2"/>
        <v>3.5999999999992069E-7</v>
      </c>
    </row>
    <row r="17" spans="1:11">
      <c r="A17">
        <f>11.29*(0.004359/15.043+3*0.005962/3.0716+3*0.05/40.05+0.07/P5+0.001/AG5)</f>
        <v>0.11845850429895764</v>
      </c>
      <c r="C17">
        <f>12.17*(0.001241/14.9732+3*0.0020396/2.9796+3*0.05/40.05+Q5/P5+V5/U5)</f>
        <v>0.11481322028075042</v>
      </c>
      <c r="F17">
        <f t="shared" si="3"/>
        <v>9.0000000000006829E-6</v>
      </c>
      <c r="G17">
        <f t="shared" si="3"/>
        <v>2.8729600000000338E-3</v>
      </c>
      <c r="J17">
        <f t="shared" si="2"/>
        <v>1.4400000000018145E-6</v>
      </c>
      <c r="K17">
        <f t="shared" si="2"/>
        <v>1.5999999999996475E-7</v>
      </c>
    </row>
    <row r="18" spans="1:11">
      <c r="A18">
        <f>11.29*(0.004359/15.043+3*0.005962/3.0716+3*0.05/40.05+0.04/P6+0.009/AG6)</f>
        <v>0.15141296230173337</v>
      </c>
      <c r="C18">
        <f>12.17*(0.001241/14.9732+3*0.0020396/2.9796+3*0.05/40.05+Q6/P6+V6/U6)</f>
        <v>0.10940741524288074</v>
      </c>
      <c r="F18">
        <f t="shared" si="3"/>
        <v>9.0000000000006829E-6</v>
      </c>
      <c r="G18">
        <f t="shared" si="3"/>
        <v>3.7945600000000397E-3</v>
      </c>
      <c r="J18">
        <f t="shared" si="2"/>
        <v>2.3039999999994924E-5</v>
      </c>
      <c r="K18">
        <f t="shared" si="2"/>
        <v>2.1159999999999425E-5</v>
      </c>
    </row>
    <row r="19" spans="1:11">
      <c r="A19">
        <f>11.29*(0.004359/15.043+3*0.005962/3.0716+3*0.05/40.05+0.07/P7+0.004/AG7)</f>
        <v>0.12613551926381067</v>
      </c>
      <c r="C19">
        <f>12.17*(0.001241/14.9732+3*0.0020396/2.9796+3*0.05/40.05+Q7/P7+V7/U7)</f>
        <v>0.10139720989248702</v>
      </c>
      <c r="F19">
        <f t="shared" si="3"/>
        <v>6.3999999999985902E-5</v>
      </c>
      <c r="G19">
        <f t="shared" si="3"/>
        <v>3.7945600000000397E-3</v>
      </c>
      <c r="J19">
        <f t="shared" si="2"/>
        <v>4.8400000000008879E-6</v>
      </c>
      <c r="K19">
        <f t="shared" si="2"/>
        <v>6.7600000000008204E-6</v>
      </c>
    </row>
    <row r="20" spans="1:11">
      <c r="F20">
        <f>SUM(F15:F19)</f>
        <v>3.8000000000003005E-4</v>
      </c>
      <c r="G20">
        <f>SUM(G15:G19)</f>
        <v>7.1091200000000132E-2</v>
      </c>
      <c r="J20">
        <f>SUM(J15:J19)</f>
        <v>3.0799999999999251E-5</v>
      </c>
      <c r="K20">
        <f>SUM(K15:K19)</f>
        <v>8.3200000000001223E-5</v>
      </c>
    </row>
    <row r="23" spans="1:11">
      <c r="F23">
        <f>SQRT(F20/20+(2*10^-6)^2)</f>
        <v>4.3588994023722894E-3</v>
      </c>
      <c r="G23">
        <f>SQRT(G20/20+(2*10^-6)^2)</f>
        <v>5.9620130861983242E-2</v>
      </c>
      <c r="H23">
        <f>SQRT(H20/20+(2*10^-6)^2)</f>
        <v>1.9999999999999999E-6</v>
      </c>
      <c r="J23">
        <f>SQRT(J20/20+(2*10^-6)^2)</f>
        <v>1.2409689762439521E-3</v>
      </c>
      <c r="K23">
        <f>SQRT(K20/20+(2*10^-6)^2)</f>
        <v>2.0396087860175688E-3</v>
      </c>
    </row>
  </sheetData>
  <phoneticPr fontId="1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Sheet2 (2)</vt:lpstr>
      <vt:lpstr>Sheet2</vt:lpstr>
      <vt:lpstr>Sheet3</vt:lpstr>
      <vt:lpstr>Sheet1 (3)</vt:lpstr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2009-10-25T09:48:03Z</dcterms:created>
  <dcterms:modified xsi:type="dcterms:W3CDTF">2009-10-28T15:21:49Z</dcterms:modified>
</cp:coreProperties>
</file>