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0" windowHeight="13065" tabRatio="838" firstSheet="1" activeTab="2"/>
  </bookViews>
  <sheets>
    <sheet name="リンク不正ファイル" sheetId="2" state="hidden" r:id="rId1"/>
    <sheet name="2020年3月リニューアル 静的ページ一覧（特商法以外）" sheetId="11" r:id="rId2"/>
    <sheet name="2020年3月リニューアル 静的ページ一覧（特商法ショップ）" sheetId="15" r:id="rId3"/>
  </sheets>
  <calcPr calcId="144525"/>
</workbook>
</file>

<file path=xl/sharedStrings.xml><?xml version="1.0" encoding="utf-8"?>
<sst xmlns="http://schemas.openxmlformats.org/spreadsheetml/2006/main" count="1212">
  <si>
    <t>ファイル名</t>
  </si>
  <si>
    <t>シート</t>
  </si>
  <si>
    <t>セル</t>
  </si>
  <si>
    <t>2020年3月リニューアル 静的ページ一覧（特商法ショップ以外）</t>
  </si>
  <si>
    <t>No</t>
  </si>
  <si>
    <t>名前</t>
  </si>
  <si>
    <t>画面ID</t>
  </si>
  <si>
    <t>ソフィア開発環境</t>
  </si>
  <si>
    <t>検証環境3URL</t>
  </si>
  <si>
    <t>本番用URL</t>
  </si>
  <si>
    <t>サイトマップ</t>
  </si>
  <si>
    <t>mspf1369</t>
  </si>
  <si>
    <t>ご利用規約</t>
  </si>
  <si>
    <t>mspf1373</t>
  </si>
  <si>
    <t>特定商取引法に基づく表示</t>
  </si>
  <si>
    <t>mspf1375</t>
  </si>
  <si>
    <t>&amp;mallのお得な使い方</t>
  </si>
  <si>
    <t>mspf1377</t>
  </si>
  <si>
    <t>よくある質問／トップページ</t>
  </si>
  <si>
    <t>mspf1378</t>
  </si>
  <si>
    <t>よくある質問／利用環境について</t>
  </si>
  <si>
    <t>faq01_01</t>
  </si>
  <si>
    <t>よくある質問／閲覧履歴について</t>
  </si>
  <si>
    <t>faq01_04</t>
  </si>
  <si>
    <t>よくある質問／禁則文字について</t>
  </si>
  <si>
    <t>faq01_05</t>
  </si>
  <si>
    <t>よくある質問／特定商取引法について</t>
  </si>
  <si>
    <t>faq01_06</t>
  </si>
  <si>
    <t>よくある質問／商品のサイズについて</t>
  </si>
  <si>
    <t>faq02_01</t>
  </si>
  <si>
    <t>よくある質問／商品のサイズ表記について</t>
  </si>
  <si>
    <t>faq02_02</t>
  </si>
  <si>
    <t>よくある質問／商品の価格について</t>
  </si>
  <si>
    <t>faq02_03</t>
  </si>
  <si>
    <t>よくある質問／商品の在庫について</t>
  </si>
  <si>
    <t>faq02_04</t>
  </si>
  <si>
    <t>よくある質問／予約商品について</t>
  </si>
  <si>
    <t>faq02_05</t>
  </si>
  <si>
    <t>よくある質問／施設での取扱について</t>
  </si>
  <si>
    <t>faq02_06</t>
  </si>
  <si>
    <t>よくある質問／利用登録をしない注文について</t>
  </si>
  <si>
    <t>faq03_01</t>
  </si>
  <si>
    <t>よくある質問／ショッピングカートについて</t>
  </si>
  <si>
    <t>faq03_02</t>
  </si>
  <si>
    <t>よくある質問／お支払方法について</t>
  </si>
  <si>
    <t>faq04_01</t>
  </si>
  <si>
    <t>よくある質問／クレジット払いについて</t>
  </si>
  <si>
    <t>faq04_02</t>
  </si>
  <si>
    <t>よくある質問／コンビニ支払いについて</t>
  </si>
  <si>
    <t>faq04_04</t>
  </si>
  <si>
    <t>よくある質問／ペイジー払いについて</t>
  </si>
  <si>
    <t>faq04_05</t>
  </si>
  <si>
    <t>よくある質問／手数料について</t>
  </si>
  <si>
    <t>faq05_01</t>
  </si>
  <si>
    <t>よくある質問／代引き手数料について</t>
  </si>
  <si>
    <t>faq05_02</t>
  </si>
  <si>
    <t>よくある質問／返品手数料について</t>
  </si>
  <si>
    <t>faq05_03</t>
  </si>
  <si>
    <t>よくある質問／返金について</t>
  </si>
  <si>
    <t>faq05_04</t>
  </si>
  <si>
    <t>よくある質問／配送料について</t>
  </si>
  <si>
    <t>faq05_05</t>
  </si>
  <si>
    <t>よくある質問／配送方法・配送先について</t>
  </si>
  <si>
    <t>faq06_01</t>
  </si>
  <si>
    <t>よくある質問／配送日時・配送状況について</t>
  </si>
  <si>
    <t>faq06_02</t>
  </si>
  <si>
    <t>よくある質問／商品の複数購入について</t>
  </si>
  <si>
    <t>faq06_03</t>
  </si>
  <si>
    <t>よくある質問／商品の受取について</t>
  </si>
  <si>
    <t>faq06_04</t>
  </si>
  <si>
    <t>よくある質問／再配送・誤配送について</t>
  </si>
  <si>
    <t>faq06_05</t>
  </si>
  <si>
    <t>よくある質問／注文履歴について</t>
  </si>
  <si>
    <t>faq07_01</t>
  </si>
  <si>
    <t>よくある質問／領収書について</t>
  </si>
  <si>
    <t>faq07_02</t>
  </si>
  <si>
    <t>よくある質問／返品・交換について</t>
  </si>
  <si>
    <t>faq08_01</t>
  </si>
  <si>
    <t>よくある質問／注文内容変更・キャンセルについて</t>
  </si>
  <si>
    <t>faq08_02</t>
  </si>
  <si>
    <t>よくある質問／（再入荷リクエストについて）</t>
  </si>
  <si>
    <t>faq09_01</t>
  </si>
  <si>
    <t>よくある質問／メール配信の内容について</t>
  </si>
  <si>
    <t>faq10_01</t>
  </si>
  <si>
    <t>よくある質問／メール配信の申し込み・停止について</t>
  </si>
  <si>
    <t>faq10_02</t>
  </si>
  <si>
    <t>よくある質問／メールの受信について</t>
  </si>
  <si>
    <t>faq10_03</t>
  </si>
  <si>
    <t>よくある質問／（クーポンの利用について）</t>
  </si>
  <si>
    <t>faq11_01</t>
  </si>
  <si>
    <t>よくある質問／（アプリについて）</t>
  </si>
  <si>
    <t>faq12_01</t>
  </si>
  <si>
    <t>よくある質問／利用登録について</t>
  </si>
  <si>
    <t>faq13_01</t>
  </si>
  <si>
    <t>よくある質問／利用情報変更について</t>
  </si>
  <si>
    <t>faq13_02</t>
  </si>
  <si>
    <t>よくある質問／ログインについて</t>
  </si>
  <si>
    <t>faq13_03</t>
  </si>
  <si>
    <t>よくある質問／会員サービスについて</t>
  </si>
  <si>
    <t>faq13_05</t>
  </si>
  <si>
    <t>よくある質問／三井ショッピングパーク スペシャルメンバーについて</t>
  </si>
  <si>
    <t>faq13_06</t>
  </si>
  <si>
    <t>よくある質問／退会について</t>
  </si>
  <si>
    <t>faq13_07</t>
  </si>
  <si>
    <t>よくある質問／ポイント取得・付与について</t>
  </si>
  <si>
    <t>faq14_01</t>
  </si>
  <si>
    <t>よくある質問／ポイント利用について</t>
  </si>
  <si>
    <t>faq14_02</t>
  </si>
  <si>
    <t>よくある質問／ポイントカードについて</t>
  </si>
  <si>
    <t>faq14_03</t>
  </si>
  <si>
    <t>よくある質問／ショップポイントについて</t>
  </si>
  <si>
    <t>faq14_04</t>
  </si>
  <si>
    <t>よくある質問／（お気に入りにアイテムついて）</t>
  </si>
  <si>
    <t>faq15_02</t>
  </si>
  <si>
    <t>よくある質問／（店舗での取置について）</t>
  </si>
  <si>
    <t>faq15_03</t>
  </si>
  <si>
    <t>よくある質問／（修理について）</t>
  </si>
  <si>
    <t>faq15_04</t>
  </si>
  <si>
    <t>よくある質問／お直しについて</t>
  </si>
  <si>
    <t>faq15_10</t>
  </si>
  <si>
    <t>よくある質問／（ラッピングについて）</t>
  </si>
  <si>
    <t>faq15_05</t>
  </si>
  <si>
    <t>よくある質問／（駐車サービスについて）</t>
  </si>
  <si>
    <t>faq15_06</t>
  </si>
  <si>
    <t>よくある質問／（お買い上げ明細書について）</t>
  </si>
  <si>
    <t>faq15_07</t>
  </si>
  <si>
    <t>よくある質問／&amp;mallデスクについて</t>
  </si>
  <si>
    <t>faq15_08</t>
  </si>
  <si>
    <t>よくある質問／レビューについて</t>
  </si>
  <si>
    <t>faq15_09</t>
  </si>
  <si>
    <t>オンライン試着(VIRTUSIZE) ご利用ガイド</t>
  </si>
  <si>
    <t>mspf1391</t>
  </si>
  <si>
    <t>&amp;mallデスクのご案内</t>
  </si>
  <si>
    <t>mspf1392</t>
  </si>
  <si>
    <t>会社概要</t>
  </si>
  <si>
    <t>mspf1382</t>
  </si>
  <si>
    <t>カテゴリー一覧</t>
  </si>
  <si>
    <t>mspf0708</t>
  </si>
  <si>
    <t>2020年3月リニューアル 静的ページ一覧（特商法ショップ）</t>
  </si>
  <si>
    <t>17201</t>
  </si>
  <si>
    <t>モルガンドゥトワ</t>
  </si>
  <si>
    <t>MORGANDETOI</t>
  </si>
  <si>
    <t>17200</t>
  </si>
  <si>
    <t>キャサリンハムネット</t>
  </si>
  <si>
    <t>katharinehamnett</t>
  </si>
  <si>
    <t>16900</t>
  </si>
  <si>
    <t>エスペランサ</t>
  </si>
  <si>
    <t>ESPERANZA</t>
  </si>
  <si>
    <t>11100</t>
  </si>
  <si>
    <t>MIKIHOUSE MUM&amp;BABY</t>
  </si>
  <si>
    <t>mikihousemum-baby</t>
  </si>
  <si>
    <t>11101</t>
  </si>
  <si>
    <t>MIKIHOUSE MUM&amp;BABY Furniture Item</t>
  </si>
  <si>
    <t>mikihousemum-babyFI</t>
  </si>
  <si>
    <t>18800</t>
  </si>
  <si>
    <t>INTERIOR VILLAGE 986 by 三井デザインテック</t>
  </si>
  <si>
    <t>mdt-interior986</t>
  </si>
  <si>
    <t>18801</t>
  </si>
  <si>
    <t>INTERIOR VILLAGE 149 by 三井デザインテック</t>
  </si>
  <si>
    <t>mdt-interior149</t>
  </si>
  <si>
    <t>18000</t>
  </si>
  <si>
    <t>マリークヮント</t>
  </si>
  <si>
    <t>MARYQUANT</t>
  </si>
  <si>
    <t>10902</t>
  </si>
  <si>
    <t>洋服の青山</t>
  </si>
  <si>
    <t>Yofuku-no-Aoyama</t>
  </si>
  <si>
    <t>10903</t>
  </si>
  <si>
    <t>UNIVERSAL LANGUAGE</t>
  </si>
  <si>
    <t>UNIVERSALLANGUAGE</t>
  </si>
  <si>
    <t>10901</t>
  </si>
  <si>
    <t>THE SUIT COMPANY</t>
  </si>
  <si>
    <t>THESUITCOMPANY</t>
  </si>
  <si>
    <t>10900</t>
  </si>
  <si>
    <t>NEXT BLUE</t>
  </si>
  <si>
    <t>NEXTBLUE</t>
  </si>
  <si>
    <t>11400</t>
  </si>
  <si>
    <t>AVIREX</t>
  </si>
  <si>
    <t>10600</t>
  </si>
  <si>
    <t>好日山荘</t>
  </si>
  <si>
    <t>kojitusanso</t>
  </si>
  <si>
    <t>10000</t>
  </si>
  <si>
    <t>ﾜｼﾝﾄﾝ</t>
  </si>
  <si>
    <t>WASHINGTON</t>
  </si>
  <si>
    <t>10001</t>
  </si>
  <si>
    <t>WASH</t>
  </si>
  <si>
    <t>16034</t>
  </si>
  <si>
    <t>UNTITLED</t>
  </si>
  <si>
    <t>16032</t>
  </si>
  <si>
    <t>tk.TAKEO KIKUCHI</t>
  </si>
  <si>
    <t>tkTAKEOKIKUCHI</t>
  </si>
  <si>
    <t>16002</t>
  </si>
  <si>
    <t>THE SHOP TK</t>
  </si>
  <si>
    <t>THESHOPTK</t>
  </si>
  <si>
    <t>16031</t>
  </si>
  <si>
    <t>THE SHOP TK (Kids)</t>
  </si>
  <si>
    <t>THESHOPTK-Kids</t>
  </si>
  <si>
    <t>16030</t>
  </si>
  <si>
    <t>TAKEO KIKUCHI</t>
  </si>
  <si>
    <t>TAKEOKIKUCHI</t>
  </si>
  <si>
    <t>16029</t>
  </si>
  <si>
    <t>SunaUna</t>
  </si>
  <si>
    <t>16028</t>
  </si>
  <si>
    <t>SOUP</t>
  </si>
  <si>
    <t>16027</t>
  </si>
  <si>
    <t>smart pink</t>
  </si>
  <si>
    <t>smartpink</t>
  </si>
  <si>
    <t>16005</t>
  </si>
  <si>
    <t>SHOO・LA・RUE</t>
  </si>
  <si>
    <t>SHOO-LA-RUE</t>
  </si>
  <si>
    <t>16026</t>
  </si>
  <si>
    <t>Risa Magli</t>
  </si>
  <si>
    <t>RisaMagli</t>
  </si>
  <si>
    <t>16025</t>
  </si>
  <si>
    <t>Reflect</t>
  </si>
  <si>
    <t>16024</t>
  </si>
  <si>
    <t>PINK-latte</t>
  </si>
  <si>
    <t>16023</t>
  </si>
  <si>
    <t>pink adobe</t>
  </si>
  <si>
    <t>pinkadobe</t>
  </si>
  <si>
    <t>16004</t>
  </si>
  <si>
    <t>OZOC</t>
  </si>
  <si>
    <t>16001</t>
  </si>
  <si>
    <t>OPAQUE.CLIP</t>
  </si>
  <si>
    <t>OPAQUECLIP</t>
  </si>
  <si>
    <t>16022</t>
  </si>
  <si>
    <t>Modify</t>
  </si>
  <si>
    <t>16021</t>
  </si>
  <si>
    <t>JET</t>
  </si>
  <si>
    <t>16020</t>
  </si>
  <si>
    <t>INDIVI</t>
  </si>
  <si>
    <t>16006</t>
  </si>
  <si>
    <t>index</t>
  </si>
  <si>
    <t>16019</t>
  </si>
  <si>
    <t>HusHusH</t>
  </si>
  <si>
    <t>16018</t>
  </si>
  <si>
    <t>HIROKO HAYASHI</t>
  </si>
  <si>
    <t>HIROKOHAYASHI</t>
  </si>
  <si>
    <t>16017</t>
  </si>
  <si>
    <t>grove</t>
  </si>
  <si>
    <t>16033</t>
  </si>
  <si>
    <t>esche</t>
  </si>
  <si>
    <t>16016</t>
  </si>
  <si>
    <t>DRESSTERIOR</t>
  </si>
  <si>
    <t>16003</t>
  </si>
  <si>
    <t>Couture brooch</t>
  </si>
  <si>
    <t>Couturebrooch</t>
  </si>
  <si>
    <t>16015</t>
  </si>
  <si>
    <t>COUP DE CHANCE</t>
  </si>
  <si>
    <t>COUPDECHANCE</t>
  </si>
  <si>
    <t>16014</t>
  </si>
  <si>
    <t>COCOSHNIK</t>
  </si>
  <si>
    <t>16013</t>
  </si>
  <si>
    <t>BASE STATION</t>
  </si>
  <si>
    <t>BASESTATION</t>
  </si>
  <si>
    <t>16012</t>
  </si>
  <si>
    <t>aquagirl</t>
  </si>
  <si>
    <t>16011</t>
  </si>
  <si>
    <t>anatelier</t>
  </si>
  <si>
    <t>16010</t>
  </si>
  <si>
    <t>Airpapel</t>
  </si>
  <si>
    <t>16009</t>
  </si>
  <si>
    <t>AG by aquagirl</t>
  </si>
  <si>
    <t>AGbyaquagirl</t>
  </si>
  <si>
    <t>16008</t>
  </si>
  <si>
    <t>adabat</t>
  </si>
  <si>
    <t>16000</t>
  </si>
  <si>
    <t>3can4on</t>
  </si>
  <si>
    <t>12001</t>
  </si>
  <si>
    <t>ROSEBUD</t>
  </si>
  <si>
    <t>RB</t>
  </si>
  <si>
    <t>17500</t>
  </si>
  <si>
    <t>レモンツリー</t>
  </si>
  <si>
    <t>lemontree</t>
  </si>
  <si>
    <t>17501</t>
  </si>
  <si>
    <t>ピンクレモンツリー</t>
  </si>
  <si>
    <t>Pinklemontree</t>
  </si>
  <si>
    <t>10300</t>
  </si>
  <si>
    <t>LAZY SUSAN</t>
  </si>
  <si>
    <t>LAZYSUSAN</t>
  </si>
  <si>
    <t>11700</t>
  </si>
  <si>
    <t>LACOSTE</t>
  </si>
  <si>
    <t>12702</t>
  </si>
  <si>
    <t>ﾕﾅｲﾃｯﾄﾞｱﾛｰｽﾞ ｸﾞﾘｰﾝﾚｰﾍﾞﾙﾘﾗｸｼﾝｸﾞ</t>
  </si>
  <si>
    <t>UNITEDARROWSglr</t>
  </si>
  <si>
    <t>12700</t>
  </si>
  <si>
    <t>UNITED ARROWS</t>
  </si>
  <si>
    <t>UNITEDARROWS</t>
  </si>
  <si>
    <t>12701</t>
  </si>
  <si>
    <t>BEAUTY&amp;YOUTH UNITED ARROWS</t>
  </si>
  <si>
    <t>byUNITEDARROWS</t>
  </si>
  <si>
    <t>18100</t>
  </si>
  <si>
    <t>ete</t>
  </si>
  <si>
    <t>18200</t>
  </si>
  <si>
    <t>ﾏｰﾚﾏｰﾚﾃﾞｲﾘｰﾏｰｹｯﾄ</t>
  </si>
  <si>
    <t>maRemaReDAILYMARKET</t>
  </si>
  <si>
    <t>11600</t>
  </si>
  <si>
    <t>ﾋﾞﾙｹﾝｼｭﾄｯｸ</t>
  </si>
  <si>
    <t>BIRKENSTOCK</t>
  </si>
  <si>
    <t>14600</t>
  </si>
  <si>
    <t>cepo</t>
  </si>
  <si>
    <t>12600</t>
  </si>
  <si>
    <t>Folli Follie</t>
  </si>
  <si>
    <t>FolliFollie</t>
  </si>
  <si>
    <t>13304</t>
  </si>
  <si>
    <t>Purple&amp;Yellow</t>
  </si>
  <si>
    <t>Purple-Yellow</t>
  </si>
  <si>
    <t>13305</t>
  </si>
  <si>
    <t>MONO COMME CA</t>
  </si>
  <si>
    <t>MONOCOMMECA</t>
  </si>
  <si>
    <t>13308</t>
  </si>
  <si>
    <t>LUMINOSO COMMECA</t>
  </si>
  <si>
    <t>LUMINOSOCOMMECA</t>
  </si>
  <si>
    <t>13307</t>
  </si>
  <si>
    <t>Gabardine K.T</t>
  </si>
  <si>
    <t>GabardineKT</t>
  </si>
  <si>
    <t>13306</t>
  </si>
  <si>
    <t>COMME CA</t>
  </si>
  <si>
    <t>COMMECA</t>
  </si>
  <si>
    <t>13310</t>
  </si>
  <si>
    <t>COMME CA MEN</t>
  </si>
  <si>
    <t>COMMECAMEN</t>
  </si>
  <si>
    <t>13302</t>
  </si>
  <si>
    <t>Comme ca Mature</t>
  </si>
  <si>
    <t>CommecaMature</t>
  </si>
  <si>
    <t>13300</t>
  </si>
  <si>
    <t>COMME CA ISM</t>
  </si>
  <si>
    <t>COMMECAISM</t>
  </si>
  <si>
    <t>13311</t>
  </si>
  <si>
    <t>COMME CA FILLE</t>
  </si>
  <si>
    <t>COMMECAFILLE</t>
  </si>
  <si>
    <t>13303</t>
  </si>
  <si>
    <t>COMME CA COMMUNE</t>
  </si>
  <si>
    <t>COMMECACOMMUNE</t>
  </si>
  <si>
    <t>13309</t>
  </si>
  <si>
    <t>COMME CA BLANC D'OEUF</t>
  </si>
  <si>
    <t>COMMECABLANCDOEUF</t>
  </si>
  <si>
    <t>10803</t>
  </si>
  <si>
    <t>B MING LIFE STORE by BEAMS</t>
  </si>
  <si>
    <t>BMINGLIFESTORE</t>
  </si>
  <si>
    <t>18600</t>
  </si>
  <si>
    <t>PEACH JOHN</t>
  </si>
  <si>
    <t>PEACHJOHN</t>
  </si>
  <si>
    <t>16100</t>
  </si>
  <si>
    <t>XLARGE</t>
  </si>
  <si>
    <t>16101</t>
  </si>
  <si>
    <t>X-girl</t>
  </si>
  <si>
    <t>16103</t>
  </si>
  <si>
    <t>SILAS</t>
  </si>
  <si>
    <t>16102</t>
  </si>
  <si>
    <t>MILKFED.</t>
  </si>
  <si>
    <t>MILKFED</t>
  </si>
  <si>
    <t>12506</t>
  </si>
  <si>
    <t>SLY</t>
  </si>
  <si>
    <t>12507</t>
  </si>
  <si>
    <t>RODEO CROWNS</t>
  </si>
  <si>
    <t>RodeoCrowns-RCWB</t>
  </si>
  <si>
    <t>12504</t>
  </si>
  <si>
    <t>rienda</t>
  </si>
  <si>
    <t>12502</t>
  </si>
  <si>
    <t>MOUSSY</t>
  </si>
  <si>
    <t>12501</t>
  </si>
  <si>
    <t>AZUL by moussy</t>
  </si>
  <si>
    <t>AZULbymoussy</t>
  </si>
  <si>
    <t>12500</t>
  </si>
  <si>
    <t>Avan Lily</t>
  </si>
  <si>
    <t>AvanLily</t>
  </si>
  <si>
    <t>14202</t>
  </si>
  <si>
    <t>salut!</t>
  </si>
  <si>
    <t>salut</t>
  </si>
  <si>
    <t>14200</t>
  </si>
  <si>
    <t>russet</t>
  </si>
  <si>
    <t>14201</t>
  </si>
  <si>
    <t>Daily russet</t>
  </si>
  <si>
    <t>Dailyrusset</t>
  </si>
  <si>
    <t>12901</t>
  </si>
  <si>
    <t>ﾌﾚﾃﾞｨ&amp;ｸﾞﾛｽﾀｰ</t>
  </si>
  <si>
    <t>FREDY-GLOSTER</t>
  </si>
  <si>
    <t>12900</t>
  </si>
  <si>
    <t>ﾉｰﾘｰｽﾞ&amp;ｸﾞｯﾄﾞﾏﾝ</t>
  </si>
  <si>
    <t>NOLLEYS-goodman</t>
  </si>
  <si>
    <t>10700</t>
  </si>
  <si>
    <t>NICOLE</t>
  </si>
  <si>
    <t>14300</t>
  </si>
  <si>
    <t>ﾆｰﾙｽﾞﾔｰﾄﾞﾚﾒﾃﾞｨｰｽﾞ</t>
  </si>
  <si>
    <t>NYR</t>
  </si>
  <si>
    <t>14400</t>
  </si>
  <si>
    <t>nano・universe</t>
  </si>
  <si>
    <t>nano-universe</t>
  </si>
  <si>
    <t>10200</t>
  </si>
  <si>
    <t>TAKE-UP</t>
  </si>
  <si>
    <t>TU</t>
  </si>
  <si>
    <t>18700</t>
  </si>
  <si>
    <t>TATRAS＆STRADA EST</t>
  </si>
  <si>
    <t>tatras-stradaest</t>
  </si>
  <si>
    <t>17604</t>
  </si>
  <si>
    <t xml:space="preserve">Green Parks </t>
  </si>
  <si>
    <t>GreenParks</t>
  </si>
  <si>
    <t>17600</t>
  </si>
  <si>
    <t>earth music&amp;ecology</t>
  </si>
  <si>
    <t>earthmusic-ecology</t>
  </si>
  <si>
    <t>17601</t>
  </si>
  <si>
    <t>E hyphen world gallery</t>
  </si>
  <si>
    <t>Ehyphenworldgallery</t>
  </si>
  <si>
    <t>18500</t>
  </si>
  <si>
    <t>ストーンマーケット</t>
  </si>
  <si>
    <t>STONEMARKET</t>
  </si>
  <si>
    <t>11300</t>
  </si>
  <si>
    <t>ViS</t>
  </si>
  <si>
    <t>11301</t>
  </si>
  <si>
    <t>ROPE PICNIC</t>
  </si>
  <si>
    <t>RopePicnic</t>
  </si>
  <si>
    <t>11303</t>
  </si>
  <si>
    <t>ADAM ET ROPE</t>
  </si>
  <si>
    <t>ADAMETROPE</t>
  </si>
  <si>
    <t>16700</t>
  </si>
  <si>
    <t>MAJESTIC LEGON</t>
  </si>
  <si>
    <t>majesticlegon</t>
  </si>
  <si>
    <t>11500</t>
  </si>
  <si>
    <t>SHIPS</t>
  </si>
  <si>
    <t>12102</t>
  </si>
  <si>
    <t>JILL STUART</t>
  </si>
  <si>
    <t>JS</t>
  </si>
  <si>
    <t>12100</t>
  </si>
  <si>
    <t>HUMAN WOMAN</t>
  </si>
  <si>
    <t>HW</t>
  </si>
  <si>
    <t>12104</t>
  </si>
  <si>
    <t>Hstandard</t>
  </si>
  <si>
    <t>HS</t>
  </si>
  <si>
    <t>12103</t>
  </si>
  <si>
    <t>DIANE von FURSTENBERG</t>
  </si>
  <si>
    <t>DVF</t>
  </si>
  <si>
    <t>12101</t>
  </si>
  <si>
    <t>ADORE</t>
  </si>
  <si>
    <t>ADR</t>
  </si>
  <si>
    <t>15303</t>
  </si>
  <si>
    <t>PROPORTION BODY DRESSING</t>
  </si>
  <si>
    <t>PBD</t>
  </si>
  <si>
    <t>15301</t>
  </si>
  <si>
    <t>NATURAL BEAUTY BASIC</t>
  </si>
  <si>
    <t>NBB</t>
  </si>
  <si>
    <t>15305</t>
  </si>
  <si>
    <t>N. NATURAL BEAUTY BASIC</t>
  </si>
  <si>
    <t>N</t>
  </si>
  <si>
    <t>15300</t>
  </si>
  <si>
    <t>JILL by JILL STUART</t>
  </si>
  <si>
    <t>JJ</t>
  </si>
  <si>
    <t>15302</t>
  </si>
  <si>
    <t>FREE'S MART</t>
  </si>
  <si>
    <t>MFM</t>
  </si>
  <si>
    <t>10400</t>
  </si>
  <si>
    <t>THE KISS</t>
  </si>
  <si>
    <t>THEKISS</t>
  </si>
  <si>
    <t>17300</t>
  </si>
  <si>
    <t>Manhattan Portage</t>
  </si>
  <si>
    <t>ManhattanPortage</t>
  </si>
  <si>
    <t>13200</t>
  </si>
  <si>
    <t>coen</t>
  </si>
  <si>
    <t>17801</t>
  </si>
  <si>
    <t>Te chichi</t>
  </si>
  <si>
    <t>Techichi</t>
  </si>
  <si>
    <t>17800</t>
  </si>
  <si>
    <t>Samansa Mos2</t>
  </si>
  <si>
    <t>SamansaMos2</t>
  </si>
  <si>
    <t>12805</t>
  </si>
  <si>
    <t>組曲</t>
  </si>
  <si>
    <t>kumikyoku</t>
  </si>
  <si>
    <t>12803</t>
  </si>
  <si>
    <t>SHARE PARK MENS</t>
  </si>
  <si>
    <t>SHAREPARKMENS</t>
  </si>
  <si>
    <t>12802</t>
  </si>
  <si>
    <t>SHARE PARK LADIES</t>
  </si>
  <si>
    <t>SHAREPARKLADIES</t>
  </si>
  <si>
    <t>12801</t>
  </si>
  <si>
    <t>any SiS</t>
  </si>
  <si>
    <t>anySiS</t>
  </si>
  <si>
    <t>12800</t>
  </si>
  <si>
    <t>any FAM</t>
  </si>
  <si>
    <t>anyFAM</t>
  </si>
  <si>
    <t>12804</t>
  </si>
  <si>
    <t>23区</t>
  </si>
  <si>
    <t>23ku</t>
  </si>
  <si>
    <t>11800</t>
  </si>
  <si>
    <t>canal4℃</t>
  </si>
  <si>
    <t>canal4c</t>
  </si>
  <si>
    <t>10100</t>
  </si>
  <si>
    <t>ABC-MART</t>
  </si>
  <si>
    <t>16200</t>
  </si>
  <si>
    <t>snidel</t>
  </si>
  <si>
    <t>16205</t>
  </si>
  <si>
    <t>Mila Owen</t>
  </si>
  <si>
    <t>milaowen</t>
  </si>
  <si>
    <t>16203</t>
  </si>
  <si>
    <t>Lily Brown</t>
  </si>
  <si>
    <t>lilybrown</t>
  </si>
  <si>
    <t>16201</t>
  </si>
  <si>
    <t>gelato pique</t>
  </si>
  <si>
    <t>gelatopique</t>
  </si>
  <si>
    <t>16202</t>
  </si>
  <si>
    <t>FRAY I.D</t>
  </si>
  <si>
    <t>frayid</t>
  </si>
  <si>
    <t>16207</t>
  </si>
  <si>
    <t>emmi</t>
  </si>
  <si>
    <t>15200</t>
  </si>
  <si>
    <t>INGNI</t>
  </si>
  <si>
    <t>14101</t>
  </si>
  <si>
    <t>Rouge vif cle</t>
  </si>
  <si>
    <t>RougevifLacle</t>
  </si>
  <si>
    <t>14102</t>
  </si>
  <si>
    <t>qualite</t>
  </si>
  <si>
    <t>14105</t>
  </si>
  <si>
    <t>Piche Abahouse</t>
  </si>
  <si>
    <t>PicheAbahouse</t>
  </si>
  <si>
    <t>14111</t>
  </si>
  <si>
    <t>MYSELF ABAHOUSE</t>
  </si>
  <si>
    <t>MYSELFABAHOUSE</t>
  </si>
  <si>
    <t>14106</t>
  </si>
  <si>
    <t>interstaple</t>
  </si>
  <si>
    <t>14104</t>
  </si>
  <si>
    <t>AU BANNISTER</t>
  </si>
  <si>
    <t>AUBANNISTER</t>
  </si>
  <si>
    <t>14110</t>
  </si>
  <si>
    <t>alfredo BANNISTER</t>
  </si>
  <si>
    <t>alfredoBANNISTER</t>
  </si>
  <si>
    <t>14108</t>
  </si>
  <si>
    <t>ABAHOUSE</t>
  </si>
  <si>
    <t>14100</t>
  </si>
  <si>
    <t>Abahouse Devinette</t>
  </si>
  <si>
    <t>AbahouseDevinette</t>
  </si>
  <si>
    <t>14109</t>
  </si>
  <si>
    <t>5351POUR LES HOMMES</t>
  </si>
  <si>
    <t>5351POURLESHOMMES</t>
  </si>
  <si>
    <t>12301</t>
  </si>
  <si>
    <t>TIMELESS COMFORT</t>
  </si>
  <si>
    <t>TIMELESSCOMFORT</t>
  </si>
  <si>
    <t>12302</t>
  </si>
  <si>
    <t>TIMELESS COMFORT FURNITURE</t>
  </si>
  <si>
    <t>TCFurniture</t>
  </si>
  <si>
    <t>12300</t>
  </si>
  <si>
    <t>212 KITCHEN STORE</t>
  </si>
  <si>
    <t>212KITCHENSTORE</t>
  </si>
  <si>
    <t>17000</t>
  </si>
  <si>
    <t>LOGOS SHOP</t>
  </si>
  <si>
    <t>LOGOSSHOP</t>
  </si>
  <si>
    <t>16500</t>
  </si>
  <si>
    <t>URBAN RESEARCH</t>
  </si>
  <si>
    <t>URBANRESEARCH</t>
  </si>
  <si>
    <t>10500</t>
  </si>
  <si>
    <t>goa THE STORE</t>
  </si>
  <si>
    <t>goaTHESTORE</t>
  </si>
  <si>
    <t>17100</t>
  </si>
  <si>
    <t>ランドリー</t>
  </si>
  <si>
    <t>LAUNDRY</t>
  </si>
  <si>
    <t>14702</t>
  </si>
  <si>
    <t>Factor=</t>
  </si>
  <si>
    <t>Factor</t>
  </si>
  <si>
    <t>14701</t>
  </si>
  <si>
    <t>AULI</t>
  </si>
  <si>
    <t>14700</t>
  </si>
  <si>
    <t>ANAP</t>
  </si>
  <si>
    <t>14500</t>
  </si>
  <si>
    <t>STRASBURGO</t>
  </si>
  <si>
    <t>14502</t>
  </si>
  <si>
    <t>LARDINI</t>
  </si>
  <si>
    <t>14501</t>
  </si>
  <si>
    <t>Cruciani</t>
  </si>
  <si>
    <t>17400</t>
  </si>
  <si>
    <t>ブランシェス</t>
  </si>
  <si>
    <t>BRANSHES</t>
  </si>
  <si>
    <t>15600</t>
  </si>
  <si>
    <t>AMO'S STYLE &amp; Triumph</t>
  </si>
  <si>
    <t>AMOSSTYLE-Triumph</t>
  </si>
  <si>
    <t>11000</t>
  </si>
  <si>
    <t>タビオ</t>
  </si>
  <si>
    <t>Tabio</t>
  </si>
  <si>
    <t>17700</t>
  </si>
  <si>
    <t>アルマーニエクスチェンジ</t>
  </si>
  <si>
    <t>AXArmaniExchange</t>
  </si>
  <si>
    <t>16800</t>
  </si>
  <si>
    <t>G-Star RAW</t>
  </si>
  <si>
    <t>G-Star</t>
  </si>
  <si>
    <t>15800</t>
  </si>
  <si>
    <t>サムソナイト</t>
  </si>
  <si>
    <t>SAMSONITE</t>
  </si>
  <si>
    <t>15801</t>
  </si>
  <si>
    <t>グレゴリー</t>
  </si>
  <si>
    <t>GREGORY</t>
  </si>
  <si>
    <t>15901</t>
  </si>
  <si>
    <t>Samantha Vega</t>
  </si>
  <si>
    <t>samanthavega</t>
  </si>
  <si>
    <t>15903</t>
  </si>
  <si>
    <t>Samantha Thavasa</t>
  </si>
  <si>
    <t>samanthathavasa</t>
  </si>
  <si>
    <t>15900</t>
  </si>
  <si>
    <t>Samantha Thavasa Petit Choice</t>
  </si>
  <si>
    <t>stpetitchoice</t>
  </si>
  <si>
    <t>15904</t>
  </si>
  <si>
    <t>Samantha Thavasa Deluxe</t>
  </si>
  <si>
    <t>stdeluxe</t>
  </si>
  <si>
    <t>15902</t>
  </si>
  <si>
    <t>＆Chouette</t>
  </si>
  <si>
    <t>andchouette</t>
  </si>
  <si>
    <t>15000</t>
  </si>
  <si>
    <t>コンビミニ</t>
  </si>
  <si>
    <t>Combimini</t>
  </si>
  <si>
    <t>15401</t>
  </si>
  <si>
    <t>Victoria Surf&amp;Snow</t>
  </si>
  <si>
    <t>VictoriaSurf-Snow</t>
  </si>
  <si>
    <t>15403</t>
  </si>
  <si>
    <t>Victoria L-Breath</t>
  </si>
  <si>
    <t>VictoriaL-Breath</t>
  </si>
  <si>
    <t>15402</t>
  </si>
  <si>
    <t>Victoria Golf</t>
  </si>
  <si>
    <t>VictoriaGolf</t>
  </si>
  <si>
    <t>15400</t>
  </si>
  <si>
    <t>Super Sports XEBIO</t>
  </si>
  <si>
    <t>SuperSportsXEBIO</t>
  </si>
  <si>
    <t>11200</t>
  </si>
  <si>
    <t>クイックシルバー</t>
  </si>
  <si>
    <t>QUIKSILVER</t>
  </si>
  <si>
    <t>12401</t>
  </si>
  <si>
    <t>ｼﾞｭｴﾙﾅﾛｰｽﾞ</t>
  </si>
  <si>
    <t>JewelnaRose</t>
  </si>
  <si>
    <t>12400</t>
  </si>
  <si>
    <t>ace.</t>
  </si>
  <si>
    <t>ace</t>
  </si>
  <si>
    <t>16600</t>
  </si>
  <si>
    <t>enchainement mignon</t>
  </si>
  <si>
    <t>DUN</t>
  </si>
  <si>
    <t>16404</t>
  </si>
  <si>
    <t>Ungrid</t>
  </si>
  <si>
    <t>16401</t>
  </si>
  <si>
    <t>EMODA</t>
  </si>
  <si>
    <t>15500</t>
  </si>
  <si>
    <t>M・A・C</t>
  </si>
  <si>
    <t>MAC</t>
  </si>
  <si>
    <t>15502</t>
  </si>
  <si>
    <t>CLINIQUE</t>
  </si>
  <si>
    <t>CL</t>
  </si>
  <si>
    <t>12806</t>
  </si>
  <si>
    <t>J.PRESS MEN</t>
  </si>
  <si>
    <t>JPRESSMEN</t>
  </si>
  <si>
    <t>12807</t>
  </si>
  <si>
    <t>J.PRESS LADIES</t>
  </si>
  <si>
    <t>JPRESSLADIES</t>
  </si>
  <si>
    <t>12808</t>
  </si>
  <si>
    <t>23区 GOLF</t>
  </si>
  <si>
    <t>23kuGOLF</t>
  </si>
  <si>
    <t>12809</t>
  </si>
  <si>
    <t>ICB</t>
  </si>
  <si>
    <t>12810</t>
  </si>
  <si>
    <t>五大陸</t>
  </si>
  <si>
    <t>gotairiku</t>
  </si>
  <si>
    <t>12811</t>
  </si>
  <si>
    <t>自由区</t>
  </si>
  <si>
    <t>jiyuku</t>
  </si>
  <si>
    <t>12812</t>
  </si>
  <si>
    <t>BEIGE,</t>
  </si>
  <si>
    <t>BEIGE</t>
  </si>
  <si>
    <t>12813</t>
  </si>
  <si>
    <t>Feroux</t>
  </si>
  <si>
    <t>19100</t>
  </si>
  <si>
    <t>kipling</t>
  </si>
  <si>
    <t>18400</t>
  </si>
  <si>
    <t>DADWAY</t>
  </si>
  <si>
    <t>19200</t>
  </si>
  <si>
    <t>TENERITA</t>
  </si>
  <si>
    <t>19500</t>
  </si>
  <si>
    <t>福助</t>
  </si>
  <si>
    <t>fukuske</t>
  </si>
  <si>
    <t>16405</t>
  </si>
  <si>
    <t>GYDA</t>
  </si>
  <si>
    <t>19900</t>
  </si>
  <si>
    <t>FOSSIL</t>
  </si>
  <si>
    <t>fossil</t>
  </si>
  <si>
    <t>19901</t>
  </si>
  <si>
    <t>SKAGEN</t>
  </si>
  <si>
    <t>skagen</t>
  </si>
  <si>
    <t>19300</t>
  </si>
  <si>
    <t>COMECHATTO&amp;CLOSE</t>
  </si>
  <si>
    <t>COMECHATTOCLOSET</t>
  </si>
  <si>
    <t>20700</t>
  </si>
  <si>
    <t>CHARLES &amp; KEITH</t>
  </si>
  <si>
    <t>CHARLESKEITH</t>
  </si>
  <si>
    <t>21100</t>
  </si>
  <si>
    <t>instant skateboard</t>
  </si>
  <si>
    <t>instant</t>
  </si>
  <si>
    <t>22400</t>
  </si>
  <si>
    <t>genten</t>
  </si>
  <si>
    <t>22401</t>
  </si>
  <si>
    <t>MONONISTA</t>
  </si>
  <si>
    <t>21800</t>
  </si>
  <si>
    <t>MERVEILLE H.</t>
  </si>
  <si>
    <t>MH</t>
  </si>
  <si>
    <t>23100</t>
  </si>
  <si>
    <t>ROCKPORT</t>
  </si>
  <si>
    <t>21200</t>
  </si>
  <si>
    <t>ザ・クロックハウス</t>
  </si>
  <si>
    <t>THECLOCKHOUSE</t>
  </si>
  <si>
    <t>21600</t>
  </si>
  <si>
    <t>GUILD PRIME</t>
  </si>
  <si>
    <t>GP</t>
  </si>
  <si>
    <t>21601</t>
  </si>
  <si>
    <t>TO BE CHIC</t>
  </si>
  <si>
    <t>TBC</t>
  </si>
  <si>
    <t>21602</t>
  </si>
  <si>
    <t>AMACA</t>
  </si>
  <si>
    <t>AMA</t>
  </si>
  <si>
    <t>21603</t>
  </si>
  <si>
    <t>TRANS WORK</t>
  </si>
  <si>
    <t>TW</t>
  </si>
  <si>
    <t>21604</t>
  </si>
  <si>
    <t>EVEX by KRIZIA</t>
  </si>
  <si>
    <t>EX</t>
  </si>
  <si>
    <t>21605</t>
  </si>
  <si>
    <t>EPOCA UOMO</t>
  </si>
  <si>
    <t>EPU</t>
  </si>
  <si>
    <t>21606</t>
  </si>
  <si>
    <t>EPOCA</t>
  </si>
  <si>
    <t>EP</t>
  </si>
  <si>
    <t>21607</t>
  </si>
  <si>
    <t>SANYO</t>
  </si>
  <si>
    <t>SC</t>
  </si>
  <si>
    <t>21608</t>
  </si>
  <si>
    <t>SANYO ESSENTIALS</t>
  </si>
  <si>
    <t>SE</t>
  </si>
  <si>
    <t>21609</t>
  </si>
  <si>
    <t>三陽山長</t>
  </si>
  <si>
    <t>YC</t>
  </si>
  <si>
    <t>21610</t>
  </si>
  <si>
    <t>MACKINTOSH PHILOSOPHY</t>
  </si>
  <si>
    <t>MP</t>
  </si>
  <si>
    <t>19600</t>
  </si>
  <si>
    <t>archives</t>
  </si>
  <si>
    <t>19601</t>
  </si>
  <si>
    <t>Doux archives</t>
  </si>
  <si>
    <t>Douxarchives</t>
  </si>
  <si>
    <t>19602</t>
  </si>
  <si>
    <t>Cheek</t>
  </si>
  <si>
    <t>22100</t>
  </si>
  <si>
    <t>Blumarine</t>
  </si>
  <si>
    <t>21500</t>
  </si>
  <si>
    <t>ANTEPRIMA</t>
  </si>
  <si>
    <t>23500</t>
  </si>
  <si>
    <t>グラニフ</t>
  </si>
  <si>
    <t>graniph</t>
  </si>
  <si>
    <t>21000</t>
  </si>
  <si>
    <t>MINNETONKA</t>
  </si>
  <si>
    <t>22700</t>
  </si>
  <si>
    <t>BEBE ONLINE STORE</t>
  </si>
  <si>
    <t>bebeonline</t>
  </si>
  <si>
    <t>19400</t>
  </si>
  <si>
    <t>SpRay</t>
  </si>
  <si>
    <t>spray</t>
  </si>
  <si>
    <t>20900</t>
  </si>
  <si>
    <t>ROOTOTE GALLERY</t>
  </si>
  <si>
    <t>ROOTOTEGALLERY</t>
  </si>
  <si>
    <t>19800</t>
  </si>
  <si>
    <t>mugpop</t>
  </si>
  <si>
    <t>Mugpop</t>
  </si>
  <si>
    <t>21700</t>
  </si>
  <si>
    <t>Chut! INTIMATES</t>
  </si>
  <si>
    <t>ChutINTIMATES</t>
  </si>
  <si>
    <t>23700</t>
  </si>
  <si>
    <t>エスメラルダ</t>
  </si>
  <si>
    <t>Esmeralda</t>
  </si>
  <si>
    <t>21900</t>
  </si>
  <si>
    <t>NAVAL</t>
  </si>
  <si>
    <t>20500</t>
  </si>
  <si>
    <t>Cross Charm</t>
  </si>
  <si>
    <t>CC</t>
  </si>
  <si>
    <t>23900</t>
  </si>
  <si>
    <t>SKINFOOD</t>
  </si>
  <si>
    <t>22600</t>
  </si>
  <si>
    <t>STRAWBERRY-FIELDS</t>
  </si>
  <si>
    <t>20200</t>
  </si>
  <si>
    <t>SUPRA</t>
  </si>
  <si>
    <t>20600</t>
  </si>
  <si>
    <t>Douxmiere bijou SOPHIA</t>
  </si>
  <si>
    <t>DouxmierebijouSOPHIA</t>
  </si>
  <si>
    <t>20601</t>
  </si>
  <si>
    <t>FESTARIA voyage</t>
  </si>
  <si>
    <t>festariavoyage</t>
  </si>
  <si>
    <t>22500</t>
  </si>
  <si>
    <t>GOSTAR DE FUGA</t>
  </si>
  <si>
    <t>GOSTARDEFUGA</t>
  </si>
  <si>
    <t>20800</t>
  </si>
  <si>
    <t>KATOJI</t>
  </si>
  <si>
    <t>21400</t>
  </si>
  <si>
    <t>THE WATCH SHOP.</t>
  </si>
  <si>
    <t>TWS</t>
  </si>
  <si>
    <t>24300</t>
  </si>
  <si>
    <t>titivate</t>
  </si>
  <si>
    <t>24301</t>
  </si>
  <si>
    <t>ur's</t>
  </si>
  <si>
    <t>urs</t>
  </si>
  <si>
    <t>24500</t>
  </si>
  <si>
    <t>メンズビギ</t>
  </si>
  <si>
    <t>MENSBIGI</t>
  </si>
  <si>
    <t>24400</t>
  </si>
  <si>
    <t>Yogibo</t>
  </si>
  <si>
    <t>yogibo</t>
  </si>
  <si>
    <t>24600</t>
  </si>
  <si>
    <t>Ane mone</t>
  </si>
  <si>
    <t>AneMone</t>
  </si>
  <si>
    <t>24601</t>
  </si>
  <si>
    <t>SIENA ROSE</t>
  </si>
  <si>
    <t>SIENAROSE</t>
  </si>
  <si>
    <t>21300</t>
  </si>
  <si>
    <t>BICASA</t>
  </si>
  <si>
    <t>21301</t>
  </si>
  <si>
    <t>BICASA furniture</t>
  </si>
  <si>
    <t>BICASAfurniture</t>
  </si>
  <si>
    <t>22300</t>
  </si>
  <si>
    <t>J Lounge</t>
  </si>
  <si>
    <t>JLounge</t>
  </si>
  <si>
    <t>19700</t>
  </si>
  <si>
    <t>TOPKAPI</t>
  </si>
  <si>
    <t>22900</t>
  </si>
  <si>
    <t>GRACE CONTINENTAL</t>
  </si>
  <si>
    <t>GRACECONTINENTAL</t>
  </si>
  <si>
    <t>22901</t>
  </si>
  <si>
    <t>WYTHECHARM</t>
  </si>
  <si>
    <t>20100</t>
  </si>
  <si>
    <t>NISHIKAWA ｽﾄｱ</t>
  </si>
  <si>
    <t>nishikawa-store</t>
  </si>
  <si>
    <t>20400</t>
  </si>
  <si>
    <t>TAKA-Q</t>
  </si>
  <si>
    <t>taka-q</t>
  </si>
  <si>
    <t>22200</t>
  </si>
  <si>
    <t>マルイのシューズ＆バッグ</t>
  </si>
  <si>
    <t>maruishoesandbag</t>
  </si>
  <si>
    <t>23300</t>
  </si>
  <si>
    <t>Lee</t>
  </si>
  <si>
    <t>23200</t>
  </si>
  <si>
    <t>EDWIN</t>
  </si>
  <si>
    <t>23400</t>
  </si>
  <si>
    <t>REPLAY</t>
  </si>
  <si>
    <t>24700</t>
  </si>
  <si>
    <t>タオル美術館</t>
  </si>
  <si>
    <t>TowelMuseum</t>
  </si>
  <si>
    <t>19000</t>
  </si>
  <si>
    <t>Desigual</t>
  </si>
  <si>
    <t>18900</t>
  </si>
  <si>
    <t>COACH</t>
  </si>
  <si>
    <t>Coach</t>
  </si>
  <si>
    <t>24900</t>
  </si>
  <si>
    <t>AddElm</t>
  </si>
  <si>
    <t>23600</t>
  </si>
  <si>
    <t>carcru</t>
  </si>
  <si>
    <t>20401</t>
  </si>
  <si>
    <t>semantic design</t>
  </si>
  <si>
    <t>semanticdesign</t>
  </si>
  <si>
    <t>20402</t>
  </si>
  <si>
    <t>m.f.editorial</t>
  </si>
  <si>
    <t>mfeditorial</t>
  </si>
  <si>
    <t>20403</t>
  </si>
  <si>
    <t>GRAND-BACK</t>
  </si>
  <si>
    <t>GRANDBACK</t>
  </si>
  <si>
    <t>20404</t>
  </si>
  <si>
    <t>on the day</t>
  </si>
  <si>
    <t>ontheday</t>
  </si>
  <si>
    <t>20405</t>
  </si>
  <si>
    <t>around the shoes</t>
  </si>
  <si>
    <t>aroundtheshoes</t>
  </si>
  <si>
    <t>24200</t>
  </si>
  <si>
    <t>モリス・ラグス　ロンドン</t>
  </si>
  <si>
    <t>morrisrugslondon</t>
  </si>
  <si>
    <t>21611</t>
  </si>
  <si>
    <t>BLUE LABEL BLACK LABEL CRESTBRIDGE</t>
  </si>
  <si>
    <t>BLCBKC</t>
  </si>
  <si>
    <t>23800</t>
  </si>
  <si>
    <t>F.O.Online Store</t>
  </si>
  <si>
    <t>foonline</t>
  </si>
  <si>
    <t>25800</t>
  </si>
  <si>
    <t>RETRO GIRL</t>
  </si>
  <si>
    <t>RETROGIRL</t>
  </si>
  <si>
    <t>26100</t>
  </si>
  <si>
    <t>Jelly Beans</t>
  </si>
  <si>
    <t>JellyBeans</t>
  </si>
  <si>
    <t>25200</t>
  </si>
  <si>
    <t>MARcourt</t>
  </si>
  <si>
    <t>24000</t>
  </si>
  <si>
    <t>CRASH GATE</t>
  </si>
  <si>
    <t>CRASHGATE</t>
  </si>
  <si>
    <t>23000</t>
  </si>
  <si>
    <t>WATOSA</t>
  </si>
  <si>
    <t>26000</t>
  </si>
  <si>
    <t>Zeal Market</t>
  </si>
  <si>
    <t>ZM</t>
  </si>
  <si>
    <t>25400</t>
  </si>
  <si>
    <t>SmaPla</t>
  </si>
  <si>
    <t>25100</t>
  </si>
  <si>
    <t>KU-CROISSANT</t>
  </si>
  <si>
    <t>25900</t>
  </si>
  <si>
    <t>BUDDYZ</t>
  </si>
  <si>
    <t>25300</t>
  </si>
  <si>
    <t>TOMS</t>
  </si>
  <si>
    <t>26400</t>
  </si>
  <si>
    <t>Angelsole</t>
  </si>
  <si>
    <t>20300</t>
  </si>
  <si>
    <t>PATTERN fiona</t>
  </si>
  <si>
    <t>ffiona</t>
  </si>
  <si>
    <t>20301</t>
  </si>
  <si>
    <t>Cherite by PRIME PATTERN</t>
  </si>
  <si>
    <t>Cherite</t>
  </si>
  <si>
    <t>27100</t>
  </si>
  <si>
    <t>FABRIC TOKYO</t>
  </si>
  <si>
    <t>FABRICTOKYO</t>
  </si>
  <si>
    <t>24800</t>
  </si>
  <si>
    <t>improves</t>
  </si>
  <si>
    <t>26700</t>
  </si>
  <si>
    <t>fran de lingerie</t>
  </si>
  <si>
    <t>frandelingerie</t>
  </si>
  <si>
    <t>25600</t>
  </si>
  <si>
    <t>EMU Australia</t>
  </si>
  <si>
    <t>EMU</t>
  </si>
  <si>
    <t>26600</t>
  </si>
  <si>
    <t>AGATHA PARIS</t>
  </si>
  <si>
    <t>AGATHAPARIS</t>
  </si>
  <si>
    <t>27300</t>
  </si>
  <si>
    <t>Schoffel</t>
  </si>
  <si>
    <t>26500</t>
  </si>
  <si>
    <t>marmelo</t>
  </si>
  <si>
    <t>27400</t>
  </si>
  <si>
    <t>MELO</t>
  </si>
  <si>
    <t>melo</t>
  </si>
  <si>
    <t>26800</t>
  </si>
  <si>
    <t>Bridget Birkin</t>
  </si>
  <si>
    <t>bridgetbirkin</t>
  </si>
  <si>
    <t>26801</t>
  </si>
  <si>
    <t>INTER-CHAUSSURES</t>
  </si>
  <si>
    <t>inter-chaussures</t>
  </si>
  <si>
    <t>27600</t>
  </si>
  <si>
    <t>ViVi STORE</t>
  </si>
  <si>
    <t>vivistore</t>
  </si>
  <si>
    <t>25500</t>
  </si>
  <si>
    <t>HILLS AVENUE</t>
  </si>
  <si>
    <t>hillsavenue</t>
  </si>
  <si>
    <t>22000</t>
  </si>
  <si>
    <t>MIFARA</t>
  </si>
  <si>
    <t>mifara</t>
  </si>
  <si>
    <t>27800</t>
  </si>
  <si>
    <t>M.deux</t>
  </si>
  <si>
    <t>Mdeux</t>
  </si>
  <si>
    <t>28000</t>
  </si>
  <si>
    <t>Foxfire</t>
  </si>
  <si>
    <t>25700</t>
  </si>
  <si>
    <t>reric</t>
  </si>
  <si>
    <t>27900</t>
  </si>
  <si>
    <t>LeSportsac</t>
  </si>
  <si>
    <t>27200</t>
  </si>
  <si>
    <t>foranew</t>
  </si>
  <si>
    <t>29000</t>
  </si>
  <si>
    <t>ポロ　ラルフローレン</t>
  </si>
  <si>
    <t>POLO</t>
  </si>
  <si>
    <t>28601</t>
  </si>
  <si>
    <t>CURI BISCUI</t>
  </si>
  <si>
    <t>CURIBISCUI</t>
  </si>
  <si>
    <t>28700</t>
  </si>
  <si>
    <t>KAJA RESORT FURNITURE</t>
  </si>
  <si>
    <t>kajaresortfuniture</t>
  </si>
  <si>
    <t>29300</t>
  </si>
  <si>
    <t>&amp;mall Limited Item Store</t>
  </si>
  <si>
    <t>andmallLimitedStore</t>
  </si>
  <si>
    <t>30200</t>
  </si>
  <si>
    <t>ららぽーとミュージックイベントストア</t>
  </si>
  <si>
    <t>lmes</t>
  </si>
  <si>
    <t>27000</t>
  </si>
  <si>
    <t>KEYUCA</t>
  </si>
  <si>
    <t>29500</t>
  </si>
  <si>
    <t>CUBE SUGAR</t>
  </si>
  <si>
    <t>CUBESUGAR</t>
  </si>
  <si>
    <t>29801</t>
  </si>
  <si>
    <t>Style</t>
  </si>
  <si>
    <t>29100</t>
  </si>
  <si>
    <t>LIVING HOUSE.</t>
  </si>
  <si>
    <t>LIVINGHOUSE</t>
  </si>
  <si>
    <t>28100</t>
  </si>
  <si>
    <t>菱屋Calen Blosso</t>
  </si>
  <si>
    <t>calenblosso</t>
  </si>
  <si>
    <t>22800</t>
  </si>
  <si>
    <t>Bleu Bleuet</t>
  </si>
  <si>
    <t>BleuBleuet</t>
  </si>
  <si>
    <t>27500</t>
  </si>
  <si>
    <t>GAS</t>
  </si>
  <si>
    <t>28900</t>
  </si>
  <si>
    <t>Milluflora</t>
  </si>
  <si>
    <t>30400</t>
  </si>
  <si>
    <t>CATERPILLAR</t>
  </si>
  <si>
    <t>CAT</t>
  </si>
  <si>
    <t>29400</t>
  </si>
  <si>
    <t>ゆとりの空間</t>
  </si>
  <si>
    <t>yutorinokukan</t>
  </si>
  <si>
    <t>29600</t>
  </si>
  <si>
    <t>TEIJIN MEN'S SHOP</t>
  </si>
  <si>
    <t>teimen</t>
  </si>
  <si>
    <t>29700</t>
  </si>
  <si>
    <t>HUNTER</t>
  </si>
  <si>
    <t>30000</t>
  </si>
  <si>
    <t>モード･エ･ジャコモ</t>
  </si>
  <si>
    <t>ModeetJacomo</t>
  </si>
  <si>
    <t>30500</t>
  </si>
  <si>
    <t>ディーゼル</t>
  </si>
  <si>
    <t>DIESEL</t>
  </si>
  <si>
    <t>30900</t>
  </si>
  <si>
    <t>株式会社コトノネ</t>
  </si>
  <si>
    <t>Magicofcolorshop</t>
  </si>
  <si>
    <t>28204</t>
  </si>
  <si>
    <t>Fabulous Angela</t>
  </si>
  <si>
    <t>FabulousAngela</t>
  </si>
  <si>
    <t>28201</t>
  </si>
  <si>
    <t>a.g.plus</t>
  </si>
  <si>
    <t>agplus</t>
  </si>
  <si>
    <t>28206</t>
  </si>
  <si>
    <t>RID.DLE FROM</t>
  </si>
  <si>
    <t>RIDDLEFROM</t>
  </si>
  <si>
    <t>28200</t>
  </si>
  <si>
    <t>CECIL McBEE</t>
  </si>
  <si>
    <t>CECILMcBEE</t>
  </si>
  <si>
    <t>28205</t>
  </si>
  <si>
    <t>sophila</t>
  </si>
  <si>
    <t>28203</t>
  </si>
  <si>
    <t>BE RADIANCE</t>
  </si>
  <si>
    <t>BERADIANCE</t>
  </si>
  <si>
    <t>26200</t>
  </si>
  <si>
    <t>ボーネルンド</t>
  </si>
  <si>
    <t>Bornelund</t>
  </si>
  <si>
    <t>24001</t>
  </si>
  <si>
    <t>FEDERICO</t>
  </si>
  <si>
    <t>28300</t>
  </si>
  <si>
    <t>AZABU THE CUSTOM STORE</t>
  </si>
  <si>
    <t>AZABUTHECUSTOMSTORE</t>
  </si>
  <si>
    <t>29802</t>
  </si>
  <si>
    <t>ReFa</t>
  </si>
  <si>
    <t>ReFaSHOP</t>
  </si>
  <si>
    <t>29900</t>
  </si>
  <si>
    <t>And Luna</t>
  </si>
  <si>
    <t>andluna</t>
  </si>
  <si>
    <t>30300</t>
  </si>
  <si>
    <t>ma faveur</t>
  </si>
  <si>
    <t>mafaveur</t>
  </si>
  <si>
    <t>31100</t>
  </si>
  <si>
    <t>privspoonsclub</t>
  </si>
  <si>
    <t>30600</t>
  </si>
  <si>
    <t>THANN</t>
  </si>
  <si>
    <t>30700</t>
  </si>
  <si>
    <t>ALPHA CREATION</t>
  </si>
  <si>
    <t>ALPHACREATION</t>
  </si>
  <si>
    <t>30701</t>
  </si>
  <si>
    <t>A-STUDIO</t>
  </si>
  <si>
    <t>23801</t>
  </si>
  <si>
    <t>F.O.Online Store（福袋）</t>
  </si>
  <si>
    <t>foonlinefukubukuro</t>
  </si>
  <si>
    <t>24303</t>
  </si>
  <si>
    <t>ur's（福袋）</t>
  </si>
  <si>
    <t>ursfukubukuro</t>
  </si>
  <si>
    <t>24302</t>
  </si>
  <si>
    <t>titivate（福袋）</t>
  </si>
  <si>
    <t>titivatefukubukuro</t>
  </si>
  <si>
    <t>27001</t>
  </si>
  <si>
    <t>KEYUCA2</t>
  </si>
  <si>
    <t>28800</t>
  </si>
  <si>
    <t>フララニハワイ</t>
  </si>
  <si>
    <t>HulaLaniHawaii</t>
  </si>
  <si>
    <t>25601</t>
  </si>
  <si>
    <t>UNDERCONTROL</t>
  </si>
  <si>
    <t>31000</t>
  </si>
  <si>
    <t>FAIRFAX</t>
  </si>
  <si>
    <t>31400</t>
  </si>
  <si>
    <t>まかないこすめ</t>
  </si>
  <si>
    <t>makanai</t>
  </si>
  <si>
    <t>31700</t>
  </si>
  <si>
    <t>SPORTIFF</t>
  </si>
  <si>
    <t>31300</t>
  </si>
  <si>
    <t>NOIR DE POUPEE</t>
  </si>
  <si>
    <t>NOIRDEPOUPEE</t>
  </si>
  <si>
    <t>31501</t>
  </si>
  <si>
    <t>HIGH STREET</t>
  </si>
  <si>
    <t>HIGHSTREET</t>
  </si>
  <si>
    <t>31500</t>
  </si>
  <si>
    <t>TORNADO MART</t>
  </si>
  <si>
    <t>TORNADOMART</t>
  </si>
  <si>
    <t>31900</t>
  </si>
  <si>
    <t>BRONTIBAYPARIS</t>
  </si>
  <si>
    <t>31800</t>
  </si>
  <si>
    <t>ファイテンショップ</t>
  </si>
  <si>
    <t>phitenshop</t>
  </si>
  <si>
    <t>12106</t>
  </si>
  <si>
    <t>BOSCH</t>
  </si>
  <si>
    <t>BS1</t>
  </si>
  <si>
    <t>12105</t>
  </si>
  <si>
    <t>PINKY&amp;DIANNE</t>
  </si>
  <si>
    <t>PD1</t>
  </si>
  <si>
    <t>12107</t>
  </si>
  <si>
    <t>NATURAL BEAUTY</t>
  </si>
  <si>
    <t>NB1</t>
  </si>
  <si>
    <t>16406</t>
  </si>
  <si>
    <t>COTORICA.</t>
  </si>
  <si>
    <t>COTORICA</t>
  </si>
  <si>
    <t>30100</t>
  </si>
  <si>
    <t>置地廣場</t>
  </si>
  <si>
    <t>OKICHIHIROBA</t>
  </si>
  <si>
    <t>32100</t>
  </si>
  <si>
    <t>RALPH LAUREN HOME</t>
  </si>
  <si>
    <t>RALPHLAURENHOME</t>
  </si>
  <si>
    <t>32500</t>
  </si>
  <si>
    <t>講談社SHOP</t>
  </si>
  <si>
    <t>KODANSHASHOP</t>
  </si>
  <si>
    <t>32300</t>
  </si>
  <si>
    <t>MUK MOCABROWN</t>
  </si>
  <si>
    <t>MUK</t>
  </si>
  <si>
    <t>32000</t>
  </si>
  <si>
    <t>LIBRETTO BAY</t>
  </si>
  <si>
    <t>LIBRETTOBAY</t>
  </si>
  <si>
    <t>22101</t>
  </si>
  <si>
    <t>Moliabal</t>
  </si>
  <si>
    <t>32400</t>
  </si>
  <si>
    <t>AQUA SILVER</t>
  </si>
  <si>
    <t>AQUASILVER</t>
  </si>
  <si>
    <t>32600</t>
  </si>
  <si>
    <t>UPLA</t>
  </si>
  <si>
    <t>11701</t>
  </si>
  <si>
    <t>AIGLE</t>
  </si>
  <si>
    <t>32800</t>
  </si>
  <si>
    <t>Swarovski</t>
  </si>
  <si>
    <t>32700</t>
  </si>
  <si>
    <t>new balance</t>
  </si>
  <si>
    <t>newbalance</t>
  </si>
  <si>
    <t>12108</t>
  </si>
  <si>
    <t>TOKYO STYLIST THE ONE EDITION</t>
  </si>
  <si>
    <t>ONE</t>
  </si>
  <si>
    <t>32900</t>
  </si>
  <si>
    <t>Bean's</t>
  </si>
  <si>
    <t>beans</t>
  </si>
  <si>
    <t>33100</t>
  </si>
  <si>
    <t>ﾊﾞﾅﾅ･ﾘﾊﾟﾌﾞﾘｯｸ</t>
  </si>
  <si>
    <t>BANANAREPUBLIC</t>
  </si>
  <si>
    <t>33300</t>
  </si>
  <si>
    <t>Local Brand</t>
  </si>
  <si>
    <t>LocalBrand</t>
  </si>
  <si>
    <t>33600</t>
  </si>
  <si>
    <t>KARENDO</t>
  </si>
  <si>
    <t>karendo</t>
  </si>
  <si>
    <t>26300</t>
  </si>
  <si>
    <t>うさちゃんクリーニング</t>
  </si>
  <si>
    <t>usachancleaning</t>
  </si>
  <si>
    <t>14203</t>
  </si>
  <si>
    <t>TERRITOIRE</t>
  </si>
  <si>
    <t>33000</t>
  </si>
  <si>
    <t>SHIFFON</t>
  </si>
  <si>
    <t>33800</t>
  </si>
  <si>
    <t>ポニークリーニング</t>
  </si>
  <si>
    <t>ponycleaning</t>
  </si>
  <si>
    <t>22201</t>
  </si>
  <si>
    <t>丸井のアウトレット</t>
  </si>
  <si>
    <t>MARUIOUTLETSTORE</t>
  </si>
  <si>
    <t>33700</t>
  </si>
  <si>
    <t>ナルシャTOKYO</t>
  </si>
  <si>
    <t>NARUSYATOKYO</t>
  </si>
  <si>
    <t>33200</t>
  </si>
  <si>
    <t>DAIDO ONLINE STORE</t>
  </si>
  <si>
    <t>DAIDOONLINESTORE</t>
  </si>
  <si>
    <t>33500</t>
  </si>
  <si>
    <t>Rose Tiara</t>
  </si>
  <si>
    <t>RoseTiara</t>
  </si>
  <si>
    <t>33501</t>
  </si>
  <si>
    <t>EUCLAID</t>
  </si>
  <si>
    <t>33502</t>
  </si>
  <si>
    <t>Junior online shop</t>
  </si>
  <si>
    <t>Junioronlineshop</t>
  </si>
  <si>
    <t>33400</t>
  </si>
  <si>
    <t>Room903 Online</t>
  </si>
  <si>
    <t>Room903Online</t>
  </si>
  <si>
    <t>34000</t>
  </si>
  <si>
    <t>AMPHI</t>
  </si>
  <si>
    <t>34100</t>
  </si>
  <si>
    <t>CASHYAGE</t>
  </si>
  <si>
    <t>34101</t>
  </si>
  <si>
    <t>CASHMERE STAR</t>
  </si>
  <si>
    <t>CASHMERESTAR</t>
  </si>
  <si>
    <t>13313</t>
  </si>
  <si>
    <t>COMME CA ISM（福袋）</t>
  </si>
  <si>
    <t>COMMECAISMHB</t>
  </si>
  <si>
    <t>13314</t>
  </si>
  <si>
    <t>Purple&amp;Yellow（福袋）</t>
  </si>
  <si>
    <t>Purple-YellowHB</t>
  </si>
  <si>
    <t>15201</t>
  </si>
  <si>
    <t>INGNI（福袋）</t>
  </si>
  <si>
    <t>INGNIfukubukuro</t>
  </si>
  <si>
    <t>14301</t>
  </si>
  <si>
    <t>ニールズヤードレメディーズ（福袋）</t>
  </si>
  <si>
    <t>NYRfukubukuro</t>
  </si>
  <si>
    <t>34300</t>
  </si>
  <si>
    <t>B-COMPANY</t>
  </si>
  <si>
    <t>29401</t>
  </si>
  <si>
    <t>ゆとりの空間（福袋）</t>
  </si>
  <si>
    <t>yutorinokukanHB</t>
  </si>
  <si>
    <t>16035</t>
  </si>
  <si>
    <t>ITS'DEMO</t>
  </si>
  <si>
    <t>ITSDEMOONLINESTORE</t>
  </si>
  <si>
    <t>28207</t>
  </si>
  <si>
    <t>CECIL McBEE（福袋）</t>
  </si>
  <si>
    <t>CECILMcBEEfukubukuro</t>
  </si>
  <si>
    <t>22902</t>
  </si>
  <si>
    <t>GRACE CONTINENTAL（福袋）</t>
  </si>
  <si>
    <t>GRACECONTINENTALFUKUBUKURO</t>
  </si>
  <si>
    <t>28301</t>
  </si>
  <si>
    <t>phu-hiep</t>
  </si>
  <si>
    <t>phuhiep</t>
  </si>
  <si>
    <t>34400</t>
  </si>
  <si>
    <t>GEORGE'S</t>
  </si>
  <si>
    <t>GEORGES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</si>
</sst>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8">
    <font>
      <sz val="11"/>
      <color rgb="FF000000"/>
      <name val="MS PGothic"/>
      <charset val="134"/>
    </font>
    <font>
      <sz val="9"/>
      <color rgb="FF000000"/>
      <name val="メイリオ"/>
      <charset val="128"/>
    </font>
    <font>
      <b/>
      <sz val="11"/>
      <color rgb="FF000000"/>
      <name val="メイリオ"/>
      <charset val="128"/>
    </font>
    <font>
      <sz val="9"/>
      <color rgb="FFFFFFFF"/>
      <name val="メイリオ"/>
      <charset val="128"/>
    </font>
    <font>
      <u/>
      <sz val="9"/>
      <color rgb="FF000000"/>
      <name val="メイリオ"/>
      <charset val="128"/>
    </font>
    <font>
      <u/>
      <sz val="11"/>
      <color theme="10"/>
      <name val="MS PGothic"/>
      <charset val="128"/>
    </font>
    <font>
      <u/>
      <sz val="9"/>
      <color theme="10"/>
      <name val="メイリオ"/>
      <charset val="128"/>
    </font>
    <font>
      <sz val="9"/>
      <name val="メイリオ"/>
      <charset val="128"/>
    </font>
    <font>
      <sz val="11"/>
      <color theme="1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rgb="FFFF0000"/>
      <name val="游ゴシック"/>
      <charset val="0"/>
      <scheme val="minor"/>
    </font>
    <font>
      <sz val="11"/>
      <color theme="1"/>
      <name val="游ゴシック"/>
      <charset val="134"/>
      <scheme val="minor"/>
    </font>
    <font>
      <b/>
      <sz val="11"/>
      <color theme="1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sz val="11"/>
      <color rgb="FF9C6500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b/>
      <sz val="13"/>
      <color theme="3"/>
      <name val="游ゴシック"/>
      <charset val="134"/>
      <scheme val="minor"/>
    </font>
    <font>
      <sz val="11"/>
      <color rgb="FF0061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rgb="FF3F3F76"/>
      <name val="游ゴシック"/>
      <charset val="0"/>
      <scheme val="minor"/>
    </font>
    <font>
      <b/>
      <sz val="11"/>
      <color rgb="FF3F3F3F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sz val="11"/>
      <color rgb="FF000000"/>
      <name val="MS PGothic"/>
      <charset val="128"/>
    </font>
    <font>
      <b/>
      <sz val="11"/>
      <color rgb="FFFA7D00"/>
      <name val="游ゴシック"/>
      <charset val="0"/>
      <scheme val="minor"/>
    </font>
    <font>
      <i/>
      <sz val="11"/>
      <color rgb="FF7F7F7F"/>
      <name val="游ゴシック"/>
      <charset val="0"/>
      <scheme val="minor"/>
    </font>
    <font>
      <sz val="11"/>
      <color rgb="FFFA7D00"/>
      <name val="游ゴシック"/>
      <charset val="0"/>
      <scheme val="minor"/>
    </font>
    <font>
      <b/>
      <sz val="15"/>
      <color theme="3"/>
      <name val="游ゴシック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8" tint="0.799981688894314"/>
        <bgColor rgb="FFFFE599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3" fontId="12" fillId="0" borderId="0" applyFont="0" applyFill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9" borderId="11" applyNumberFormat="0" applyFon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9" borderId="16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0" borderId="0"/>
  </cellStyleXfs>
  <cellXfs count="4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49" applyFont="1"/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49" applyNumberFormat="1" applyFont="1" applyBorder="1" applyAlignment="1">
      <alignment vertical="center"/>
    </xf>
    <xf numFmtId="49" fontId="1" fillId="0" borderId="1" xfId="49" applyNumberFormat="1" applyFont="1" applyBorder="1" applyAlignment="1">
      <alignment horizontal="center" vertical="center"/>
    </xf>
    <xf numFmtId="0" fontId="4" fillId="3" borderId="1" xfId="49" applyNumberFormat="1" applyFont="1" applyFill="1" applyBorder="1" applyAlignment="1">
      <alignment vertical="center"/>
    </xf>
    <xf numFmtId="0" fontId="4" fillId="4" borderId="1" xfId="49" applyNumberFormat="1" applyFont="1" applyFill="1" applyBorder="1" applyAlignment="1">
      <alignment vertical="center"/>
    </xf>
    <xf numFmtId="0" fontId="4" fillId="5" borderId="1" xfId="49" applyNumberFormat="1" applyFont="1" applyFill="1" applyBorder="1" applyAlignment="1">
      <alignment vertical="center"/>
    </xf>
    <xf numFmtId="0" fontId="5" fillId="4" borderId="1" xfId="10" applyNumberFormat="1" applyFill="1" applyBorder="1" applyAlignment="1" applyProtection="1">
      <alignment vertical="center"/>
    </xf>
    <xf numFmtId="49" fontId="1" fillId="0" borderId="2" xfId="49" applyNumberFormat="1" applyFont="1" applyBorder="1" applyAlignment="1">
      <alignment vertical="center"/>
    </xf>
    <xf numFmtId="49" fontId="1" fillId="0" borderId="3" xfId="49" applyNumberFormat="1" applyFont="1" applyBorder="1" applyAlignment="1">
      <alignment vertical="center"/>
    </xf>
    <xf numFmtId="49" fontId="1" fillId="0" borderId="4" xfId="49" applyNumberFormat="1" applyFont="1" applyBorder="1" applyAlignment="1">
      <alignment vertical="center"/>
    </xf>
    <xf numFmtId="49" fontId="1" fillId="0" borderId="1" xfId="49" applyNumberFormat="1" applyFont="1" applyBorder="1" applyAlignment="1">
      <alignment horizontal="left" vertical="center"/>
    </xf>
    <xf numFmtId="49" fontId="1" fillId="0" borderId="2" xfId="49" applyNumberFormat="1" applyFont="1" applyBorder="1" applyAlignment="1">
      <alignment horizontal="left" vertical="center"/>
    </xf>
    <xf numFmtId="49" fontId="1" fillId="0" borderId="3" xfId="49" applyNumberFormat="1" applyFont="1" applyBorder="1" applyAlignment="1">
      <alignment horizontal="left" vertical="center"/>
    </xf>
    <xf numFmtId="49" fontId="1" fillId="0" borderId="4" xfId="49" applyNumberFormat="1" applyFont="1" applyBorder="1" applyAlignment="1">
      <alignment horizontal="left" vertical="center"/>
    </xf>
    <xf numFmtId="49" fontId="1" fillId="0" borderId="5" xfId="49" applyNumberFormat="1" applyFont="1" applyBorder="1" applyAlignment="1">
      <alignment horizontal="left" vertical="center"/>
    </xf>
    <xf numFmtId="49" fontId="1" fillId="0" borderId="6" xfId="49" applyNumberFormat="1" applyFont="1" applyBorder="1" applyAlignment="1">
      <alignment horizontal="left" vertical="center"/>
    </xf>
    <xf numFmtId="49" fontId="1" fillId="0" borderId="7" xfId="49" applyNumberFormat="1" applyFont="1" applyBorder="1" applyAlignment="1">
      <alignment horizontal="left" vertical="center"/>
    </xf>
    <xf numFmtId="49" fontId="1" fillId="0" borderId="8" xfId="49" applyNumberFormat="1" applyFont="1" applyBorder="1" applyAlignment="1">
      <alignment horizontal="left" vertical="center"/>
    </xf>
    <xf numFmtId="49" fontId="1" fillId="0" borderId="9" xfId="49" applyNumberFormat="1" applyFont="1" applyBorder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6" fillId="6" borderId="1" xfId="1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0" borderId="0" xfId="10" applyAlignment="1">
      <alignment vertical="center"/>
    </xf>
    <xf numFmtId="0" fontId="1" fillId="6" borderId="1" xfId="0" applyFont="1" applyFill="1" applyBorder="1"/>
    <xf numFmtId="49" fontId="7" fillId="0" borderId="0" xfId="0" applyNumberFormat="1" applyFont="1" applyAlignment="1">
      <alignment vertical="center"/>
    </xf>
    <xf numFmtId="49" fontId="7" fillId="0" borderId="1" xfId="0" applyNumberFormat="1" applyFont="1" applyBorder="1" applyAlignment="1">
      <alignment vertical="center"/>
    </xf>
    <xf numFmtId="49" fontId="1" fillId="7" borderId="0" xfId="0" applyNumberFormat="1" applyFont="1" applyFill="1" applyAlignment="1">
      <alignment vertical="center"/>
    </xf>
    <xf numFmtId="49" fontId="1" fillId="7" borderId="1" xfId="0" applyNumberFormat="1" applyFont="1" applyFill="1" applyBorder="1" applyAlignment="1">
      <alignment vertical="center"/>
    </xf>
    <xf numFmtId="49" fontId="7" fillId="7" borderId="10" xfId="0" applyNumberFormat="1" applyFont="1" applyFill="1" applyBorder="1" applyAlignment="1">
      <alignment vertical="center"/>
    </xf>
    <xf numFmtId="49" fontId="7" fillId="7" borderId="9" xfId="0" applyNumberFormat="1" applyFont="1" applyFill="1" applyBorder="1" applyAlignment="1">
      <alignment vertical="center"/>
    </xf>
    <xf numFmtId="49" fontId="7" fillId="7" borderId="0" xfId="0" applyNumberFormat="1" applyFont="1" applyFill="1" applyAlignment="1">
      <alignment vertical="center"/>
    </xf>
    <xf numFmtId="49" fontId="7" fillId="7" borderId="1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</cellXfs>
  <cellStyles count="50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  <cellStyle name="標準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104775</xdr:colOff>
      <xdr:row>0</xdr:row>
      <xdr:rowOff>76200</xdr:rowOff>
    </xdr:from>
    <xdr:to>
      <xdr:col>5</xdr:col>
      <xdr:colOff>4781551</xdr:colOff>
      <xdr:row>2</xdr:row>
      <xdr:rowOff>123825</xdr:rowOff>
    </xdr:to>
    <xdr:sp>
      <xdr:nvSpPr>
        <xdr:cNvPr id="2" name="吹き出し: 四角形 1"/>
        <xdr:cNvSpPr/>
      </xdr:nvSpPr>
      <xdr:spPr>
        <a:xfrm>
          <a:off x="9020175" y="76200"/>
          <a:ext cx="4676775" cy="47625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検証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3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面は</a:t>
          </a:r>
          <a:r>
            <a:rPr kumimoji="1" lang="ja-JP" altLang="ja-JP" sz="900">
              <a:solidFill>
                <a:schemeClr val="lt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各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ページ掲載内容が古かったりページ自体が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NotFound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だったりします。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57150</xdr:colOff>
      <xdr:row>0</xdr:row>
      <xdr:rowOff>47625</xdr:rowOff>
    </xdr:from>
    <xdr:to>
      <xdr:col>6</xdr:col>
      <xdr:colOff>4733926</xdr:colOff>
      <xdr:row>2</xdr:row>
      <xdr:rowOff>95250</xdr:rowOff>
    </xdr:to>
    <xdr:sp>
      <xdr:nvSpPr>
        <xdr:cNvPr id="2" name="吹き出し: 四角形 1"/>
        <xdr:cNvSpPr/>
      </xdr:nvSpPr>
      <xdr:spPr>
        <a:xfrm>
          <a:off x="10925175" y="47625"/>
          <a:ext cx="4676775" cy="47625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検証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3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面は</a:t>
          </a:r>
          <a:r>
            <a:rPr kumimoji="1" lang="ja-JP" altLang="ja-JP" sz="900">
              <a:solidFill>
                <a:schemeClr val="lt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各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ページ掲載内容が古かったりページ自体が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NotFound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だったりします。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00"/>
  <sheetViews>
    <sheetView workbookViewId="0">
      <selection activeCell="A1" sqref="A1"/>
    </sheetView>
  </sheetViews>
  <sheetFormatPr defaultColWidth="12.625" defaultRowHeight="15" customHeight="1" outlineLevelCol="2"/>
  <cols>
    <col min="1" max="1" width="8.375" customWidth="1"/>
    <col min="2" max="2" width="7.625" customWidth="1"/>
    <col min="3" max="3" width="7.875" customWidth="1"/>
    <col min="4" max="26" width="7.625" customWidth="1"/>
  </cols>
  <sheetData>
    <row r="1" ht="13.5" customHeight="1" spans="3:3">
      <c r="C1" s="43"/>
    </row>
    <row r="2" ht="13.5" customHeight="1" spans="1:3">
      <c r="A2" t="s">
        <v>0</v>
      </c>
      <c r="B2" t="s">
        <v>1</v>
      </c>
      <c r="C2" s="43" t="s">
        <v>2</v>
      </c>
    </row>
    <row r="3" ht="13.5" customHeight="1" spans="3:3">
      <c r="C3" s="43"/>
    </row>
    <row r="4" ht="13.5" customHeight="1" spans="3:3">
      <c r="C4" s="43"/>
    </row>
    <row r="5" ht="13.5" customHeight="1" spans="3:3">
      <c r="C5" s="43"/>
    </row>
    <row r="6" ht="13.5" customHeight="1" spans="3:3">
      <c r="C6" s="43"/>
    </row>
    <row r="7" ht="13.5" customHeight="1" spans="3:3">
      <c r="C7" s="43"/>
    </row>
    <row r="8" ht="13.5" customHeight="1" spans="3:3">
      <c r="C8" s="43"/>
    </row>
    <row r="9" ht="13.5" customHeight="1" spans="3:3">
      <c r="C9" s="43"/>
    </row>
    <row r="10" ht="13.5" customHeight="1" spans="3:3">
      <c r="C10" s="43"/>
    </row>
    <row r="11" ht="13.5" customHeight="1" spans="3:3">
      <c r="C11" s="43"/>
    </row>
    <row r="12" ht="13.5" customHeight="1" spans="3:3">
      <c r="C12" s="43"/>
    </row>
    <row r="13" ht="13.5" customHeight="1" spans="3:3">
      <c r="C13" s="43"/>
    </row>
    <row r="14" ht="13.5" customHeight="1" spans="3:3">
      <c r="C14" s="43"/>
    </row>
    <row r="15" ht="13.5" customHeight="1" spans="3:3">
      <c r="C15" s="43"/>
    </row>
    <row r="16" ht="13.5" customHeight="1" spans="3:3">
      <c r="C16" s="43"/>
    </row>
    <row r="17" ht="13.5" customHeight="1" spans="3:3">
      <c r="C17" s="43"/>
    </row>
    <row r="18" ht="13.5" customHeight="1" spans="3:3">
      <c r="C18" s="43"/>
    </row>
    <row r="19" ht="13.5" customHeight="1" spans="3:3">
      <c r="C19" s="43"/>
    </row>
    <row r="20" ht="13.5" customHeight="1" spans="3:3">
      <c r="C20" s="43"/>
    </row>
    <row r="21" ht="13.5" customHeight="1" spans="3:3">
      <c r="C21" s="43"/>
    </row>
    <row r="22" ht="13.5" customHeight="1" spans="3:3">
      <c r="C22" s="43"/>
    </row>
    <row r="23" ht="13.5" customHeight="1" spans="3:3">
      <c r="C23" s="43"/>
    </row>
    <row r="24" ht="13.5" customHeight="1" spans="3:3">
      <c r="C24" s="43"/>
    </row>
    <row r="25" ht="13.5" customHeight="1" spans="3:3">
      <c r="C25" s="43"/>
    </row>
    <row r="26" ht="13.5" customHeight="1" spans="3:3">
      <c r="C26" s="43"/>
    </row>
    <row r="27" ht="13.5" customHeight="1" spans="3:3">
      <c r="C27" s="43"/>
    </row>
    <row r="28" ht="13.5" customHeight="1" spans="3:3">
      <c r="C28" s="43"/>
    </row>
    <row r="29" ht="13.5" customHeight="1" spans="3:3">
      <c r="C29" s="43"/>
    </row>
    <row r="30" ht="13.5" customHeight="1" spans="3:3">
      <c r="C30" s="43"/>
    </row>
    <row r="31" ht="13.5" customHeight="1" spans="3:3">
      <c r="C31" s="43"/>
    </row>
    <row r="32" ht="13.5" customHeight="1" spans="3:3">
      <c r="C32" s="43"/>
    </row>
    <row r="33" ht="13.5" customHeight="1" spans="3:3">
      <c r="C33" s="43"/>
    </row>
    <row r="34" ht="13.5" customHeight="1" spans="3:3">
      <c r="C34" s="43"/>
    </row>
    <row r="35" ht="13.5" customHeight="1" spans="3:3">
      <c r="C35" s="43"/>
    </row>
    <row r="36" ht="13.5" customHeight="1" spans="3:3">
      <c r="C36" s="43"/>
    </row>
    <row r="37" ht="13.5" customHeight="1" spans="3:3">
      <c r="C37" s="43"/>
    </row>
    <row r="38" ht="13.5" customHeight="1" spans="3:3">
      <c r="C38" s="43"/>
    </row>
    <row r="39" ht="13.5" customHeight="1" spans="3:3">
      <c r="C39" s="43"/>
    </row>
    <row r="40" ht="13.5" customHeight="1" spans="3:3">
      <c r="C40" s="43"/>
    </row>
    <row r="41" ht="13.5" customHeight="1" spans="3:3">
      <c r="C41" s="43"/>
    </row>
    <row r="42" ht="13.5" customHeight="1" spans="3:3">
      <c r="C42" s="43"/>
    </row>
    <row r="43" ht="13.5" customHeight="1" spans="3:3">
      <c r="C43" s="43"/>
    </row>
    <row r="44" ht="13.5" customHeight="1" spans="3:3">
      <c r="C44" s="43"/>
    </row>
    <row r="45" ht="13.5" customHeight="1" spans="3:3">
      <c r="C45" s="43"/>
    </row>
    <row r="46" ht="13.5" customHeight="1" spans="3:3">
      <c r="C46" s="43"/>
    </row>
    <row r="47" ht="13.5" customHeight="1" spans="3:3">
      <c r="C47" s="43"/>
    </row>
    <row r="48" ht="13.5" customHeight="1" spans="3:3">
      <c r="C48" s="43"/>
    </row>
    <row r="49" ht="13.5" customHeight="1" spans="3:3">
      <c r="C49" s="43"/>
    </row>
    <row r="50" ht="13.5" customHeight="1" spans="3:3">
      <c r="C50" s="43"/>
    </row>
    <row r="51" ht="13.5" customHeight="1" spans="3:3">
      <c r="C51" s="43"/>
    </row>
    <row r="52" ht="13.5" customHeight="1" spans="3:3">
      <c r="C52" s="43"/>
    </row>
    <row r="53" ht="13.5" customHeight="1" spans="3:3">
      <c r="C53" s="43"/>
    </row>
    <row r="54" ht="13.5" customHeight="1" spans="3:3">
      <c r="C54" s="43"/>
    </row>
    <row r="55" ht="13.5" customHeight="1" spans="3:3">
      <c r="C55" s="43"/>
    </row>
    <row r="56" ht="13.5" customHeight="1" spans="3:3">
      <c r="C56" s="43"/>
    </row>
    <row r="57" ht="13.5" customHeight="1" spans="3:3">
      <c r="C57" s="43"/>
    </row>
    <row r="58" ht="13.5" customHeight="1" spans="3:3">
      <c r="C58" s="43"/>
    </row>
    <row r="59" ht="13.5" customHeight="1" spans="3:3">
      <c r="C59" s="43"/>
    </row>
    <row r="60" ht="13.5" customHeight="1" spans="3:3">
      <c r="C60" s="43"/>
    </row>
    <row r="61" ht="13.5" customHeight="1" spans="3:3">
      <c r="C61" s="43"/>
    </row>
    <row r="62" ht="13.5" customHeight="1" spans="3:3">
      <c r="C62" s="43"/>
    </row>
    <row r="63" ht="13.5" customHeight="1" spans="3:3">
      <c r="C63" s="43"/>
    </row>
    <row r="64" ht="13.5" customHeight="1" spans="3:3">
      <c r="C64" s="43"/>
    </row>
    <row r="65" ht="13.5" customHeight="1" spans="3:3">
      <c r="C65" s="43"/>
    </row>
    <row r="66" ht="13.5" customHeight="1" spans="3:3">
      <c r="C66" s="43"/>
    </row>
    <row r="67" ht="13.5" customHeight="1" spans="3:3">
      <c r="C67" s="43"/>
    </row>
    <row r="68" ht="13.5" customHeight="1" spans="3:3">
      <c r="C68" s="43"/>
    </row>
    <row r="69" ht="13.5" customHeight="1" spans="3:3">
      <c r="C69" s="43"/>
    </row>
    <row r="70" ht="13.5" customHeight="1" spans="3:3">
      <c r="C70" s="43"/>
    </row>
    <row r="71" ht="13.5" customHeight="1" spans="3:3">
      <c r="C71" s="43"/>
    </row>
    <row r="72" ht="13.5" customHeight="1" spans="3:3">
      <c r="C72" s="43"/>
    </row>
    <row r="73" ht="13.5" customHeight="1" spans="3:3">
      <c r="C73" s="43"/>
    </row>
    <row r="74" ht="13.5" customHeight="1" spans="3:3">
      <c r="C74" s="43"/>
    </row>
    <row r="75" ht="13.5" customHeight="1" spans="3:3">
      <c r="C75" s="43"/>
    </row>
    <row r="76" ht="13.5" customHeight="1" spans="3:3">
      <c r="C76" s="43"/>
    </row>
    <row r="77" ht="13.5" customHeight="1" spans="3:3">
      <c r="C77" s="43"/>
    </row>
    <row r="78" ht="13.5" customHeight="1" spans="3:3">
      <c r="C78" s="43"/>
    </row>
    <row r="79" ht="13.5" customHeight="1" spans="3:3">
      <c r="C79" s="43"/>
    </row>
    <row r="80" ht="13.5" customHeight="1" spans="3:3">
      <c r="C80" s="43"/>
    </row>
    <row r="81" ht="13.5" customHeight="1" spans="3:3">
      <c r="C81" s="43"/>
    </row>
    <row r="82" ht="13.5" customHeight="1" spans="3:3">
      <c r="C82" s="43"/>
    </row>
    <row r="83" ht="13.5" customHeight="1" spans="3:3">
      <c r="C83" s="43"/>
    </row>
    <row r="84" ht="13.5" customHeight="1" spans="3:3">
      <c r="C84" s="43"/>
    </row>
    <row r="85" ht="13.5" customHeight="1" spans="3:3">
      <c r="C85" s="43"/>
    </row>
    <row r="86" ht="13.5" customHeight="1" spans="3:3">
      <c r="C86" s="43"/>
    </row>
    <row r="87" ht="13.5" customHeight="1" spans="3:3">
      <c r="C87" s="43"/>
    </row>
    <row r="88" ht="13.5" customHeight="1" spans="3:3">
      <c r="C88" s="43"/>
    </row>
    <row r="89" ht="13.5" customHeight="1" spans="3:3">
      <c r="C89" s="43"/>
    </row>
    <row r="90" ht="13.5" customHeight="1" spans="3:3">
      <c r="C90" s="43"/>
    </row>
    <row r="91" ht="13.5" customHeight="1" spans="3:3">
      <c r="C91" s="43"/>
    </row>
    <row r="92" ht="13.5" customHeight="1" spans="3:3">
      <c r="C92" s="43"/>
    </row>
    <row r="93" ht="13.5" customHeight="1" spans="3:3">
      <c r="C93" s="43"/>
    </row>
    <row r="94" ht="13.5" customHeight="1" spans="3:3">
      <c r="C94" s="43"/>
    </row>
    <row r="95" ht="13.5" customHeight="1" spans="3:3">
      <c r="C95" s="43"/>
    </row>
    <row r="96" ht="13.5" customHeight="1" spans="3:3">
      <c r="C96" s="43"/>
    </row>
    <row r="97" ht="13.5" customHeight="1" spans="3:3">
      <c r="C97" s="43"/>
    </row>
    <row r="98" ht="13.5" customHeight="1" spans="3:3">
      <c r="C98" s="43"/>
    </row>
    <row r="99" ht="13.5" customHeight="1" spans="3:3">
      <c r="C99" s="43"/>
    </row>
    <row r="100" ht="13.5" customHeight="1" spans="3:3">
      <c r="C100" s="43"/>
    </row>
    <row r="101" ht="13.5" customHeight="1" spans="3:3">
      <c r="C101" s="43"/>
    </row>
    <row r="102" ht="13.5" customHeight="1" spans="3:3">
      <c r="C102" s="43"/>
    </row>
    <row r="103" ht="13.5" customHeight="1" spans="3:3">
      <c r="C103" s="43"/>
    </row>
    <row r="104" ht="13.5" customHeight="1" spans="3:3">
      <c r="C104" s="43"/>
    </row>
    <row r="105" ht="13.5" customHeight="1" spans="3:3">
      <c r="C105" s="43"/>
    </row>
    <row r="106" ht="13.5" customHeight="1" spans="3:3">
      <c r="C106" s="43"/>
    </row>
    <row r="107" ht="13.5" customHeight="1" spans="3:3">
      <c r="C107" s="43"/>
    </row>
    <row r="108" ht="13.5" customHeight="1" spans="3:3">
      <c r="C108" s="43"/>
    </row>
    <row r="109" ht="13.5" customHeight="1" spans="3:3">
      <c r="C109" s="43"/>
    </row>
    <row r="110" ht="13.5" customHeight="1" spans="3:3">
      <c r="C110" s="43"/>
    </row>
    <row r="111" ht="13.5" customHeight="1" spans="3:3">
      <c r="C111" s="43"/>
    </row>
    <row r="112" ht="13.5" customHeight="1" spans="3:3">
      <c r="C112" s="43"/>
    </row>
    <row r="113" ht="13.5" customHeight="1" spans="3:3">
      <c r="C113" s="43"/>
    </row>
    <row r="114" ht="13.5" customHeight="1" spans="3:3">
      <c r="C114" s="43"/>
    </row>
    <row r="115" ht="13.5" customHeight="1" spans="3:3">
      <c r="C115" s="43"/>
    </row>
    <row r="116" ht="13.5" customHeight="1" spans="3:3">
      <c r="C116" s="43"/>
    </row>
    <row r="117" ht="13.5" customHeight="1" spans="3:3">
      <c r="C117" s="43"/>
    </row>
    <row r="118" ht="13.5" customHeight="1" spans="3:3">
      <c r="C118" s="43"/>
    </row>
    <row r="119" ht="13.5" customHeight="1" spans="3:3">
      <c r="C119" s="43"/>
    </row>
    <row r="120" ht="13.5" customHeight="1" spans="3:3">
      <c r="C120" s="43"/>
    </row>
    <row r="121" ht="13.5" customHeight="1" spans="3:3">
      <c r="C121" s="43"/>
    </row>
    <row r="122" ht="13.5" customHeight="1" spans="3:3">
      <c r="C122" s="43"/>
    </row>
    <row r="123" ht="13.5" customHeight="1" spans="3:3">
      <c r="C123" s="43"/>
    </row>
    <row r="124" ht="13.5" customHeight="1" spans="3:3">
      <c r="C124" s="43"/>
    </row>
    <row r="125" ht="13.5" customHeight="1" spans="3:3">
      <c r="C125" s="43"/>
    </row>
    <row r="126" ht="13.5" customHeight="1" spans="3:3">
      <c r="C126" s="43"/>
    </row>
    <row r="127" ht="13.5" customHeight="1" spans="3:3">
      <c r="C127" s="43"/>
    </row>
    <row r="128" ht="13.5" customHeight="1" spans="3:3">
      <c r="C128" s="43"/>
    </row>
    <row r="129" ht="13.5" customHeight="1" spans="3:3">
      <c r="C129" s="43"/>
    </row>
    <row r="130" ht="13.5" customHeight="1" spans="3:3">
      <c r="C130" s="43"/>
    </row>
    <row r="131" ht="13.5" customHeight="1" spans="3:3">
      <c r="C131" s="43"/>
    </row>
    <row r="132" ht="13.5" customHeight="1" spans="3:3">
      <c r="C132" s="43"/>
    </row>
    <row r="133" ht="13.5" customHeight="1" spans="3:3">
      <c r="C133" s="43"/>
    </row>
    <row r="134" ht="13.5" customHeight="1" spans="3:3">
      <c r="C134" s="43"/>
    </row>
    <row r="135" ht="13.5" customHeight="1" spans="3:3">
      <c r="C135" s="43"/>
    </row>
    <row r="136" ht="13.5" customHeight="1" spans="3:3">
      <c r="C136" s="43"/>
    </row>
    <row r="137" ht="13.5" customHeight="1" spans="3:3">
      <c r="C137" s="43"/>
    </row>
    <row r="138" ht="13.5" customHeight="1" spans="3:3">
      <c r="C138" s="43"/>
    </row>
    <row r="139" ht="13.5" customHeight="1" spans="3:3">
      <c r="C139" s="43"/>
    </row>
    <row r="140" ht="13.5" customHeight="1" spans="3:3">
      <c r="C140" s="43"/>
    </row>
    <row r="141" ht="13.5" customHeight="1" spans="3:3">
      <c r="C141" s="43"/>
    </row>
    <row r="142" ht="13.5" customHeight="1" spans="3:3">
      <c r="C142" s="43"/>
    </row>
    <row r="143" ht="13.5" customHeight="1" spans="3:3">
      <c r="C143" s="43"/>
    </row>
    <row r="144" ht="13.5" customHeight="1" spans="3:3">
      <c r="C144" s="43"/>
    </row>
    <row r="145" ht="13.5" customHeight="1" spans="3:3">
      <c r="C145" s="43"/>
    </row>
    <row r="146" ht="13.5" customHeight="1" spans="3:3">
      <c r="C146" s="43"/>
    </row>
    <row r="147" ht="13.5" customHeight="1" spans="3:3">
      <c r="C147" s="43"/>
    </row>
    <row r="148" ht="13.5" customHeight="1" spans="3:3">
      <c r="C148" s="43"/>
    </row>
    <row r="149" ht="13.5" customHeight="1" spans="3:3">
      <c r="C149" s="43"/>
    </row>
    <row r="150" ht="13.5" customHeight="1" spans="3:3">
      <c r="C150" s="43"/>
    </row>
    <row r="151" ht="13.5" customHeight="1" spans="3:3">
      <c r="C151" s="43"/>
    </row>
    <row r="152" ht="13.5" customHeight="1" spans="3:3">
      <c r="C152" s="43"/>
    </row>
    <row r="153" ht="13.5" customHeight="1" spans="3:3">
      <c r="C153" s="43"/>
    </row>
    <row r="154" ht="13.5" customHeight="1" spans="3:3">
      <c r="C154" s="43"/>
    </row>
    <row r="155" ht="13.5" customHeight="1" spans="3:3">
      <c r="C155" s="43"/>
    </row>
    <row r="156" ht="13.5" customHeight="1" spans="3:3">
      <c r="C156" s="43"/>
    </row>
    <row r="157" ht="13.5" customHeight="1" spans="3:3">
      <c r="C157" s="43"/>
    </row>
    <row r="158" ht="13.5" customHeight="1" spans="3:3">
      <c r="C158" s="43"/>
    </row>
    <row r="159" ht="13.5" customHeight="1" spans="3:3">
      <c r="C159" s="43"/>
    </row>
    <row r="160" ht="13.5" customHeight="1" spans="3:3">
      <c r="C160" s="43"/>
    </row>
    <row r="161" ht="13.5" customHeight="1" spans="3:3">
      <c r="C161" s="43"/>
    </row>
    <row r="162" ht="13.5" customHeight="1" spans="3:3">
      <c r="C162" s="43"/>
    </row>
    <row r="163" ht="13.5" customHeight="1" spans="3:3">
      <c r="C163" s="43"/>
    </row>
    <row r="164" ht="13.5" customHeight="1" spans="3:3">
      <c r="C164" s="43"/>
    </row>
    <row r="165" ht="13.5" customHeight="1" spans="3:3">
      <c r="C165" s="43"/>
    </row>
    <row r="166" ht="13.5" customHeight="1" spans="3:3">
      <c r="C166" s="43"/>
    </row>
    <row r="167" ht="13.5" customHeight="1" spans="3:3">
      <c r="C167" s="43"/>
    </row>
    <row r="168" ht="13.5" customHeight="1" spans="3:3">
      <c r="C168" s="43"/>
    </row>
    <row r="169" ht="13.5" customHeight="1" spans="3:3">
      <c r="C169" s="43"/>
    </row>
    <row r="170" ht="13.5" customHeight="1" spans="3:3">
      <c r="C170" s="43"/>
    </row>
    <row r="171" ht="13.5" customHeight="1" spans="3:3">
      <c r="C171" s="43"/>
    </row>
    <row r="172" ht="13.5" customHeight="1" spans="3:3">
      <c r="C172" s="43"/>
    </row>
    <row r="173" ht="13.5" customHeight="1" spans="3:3">
      <c r="C173" s="43"/>
    </row>
    <row r="174" ht="13.5" customHeight="1" spans="3:3">
      <c r="C174" s="43"/>
    </row>
    <row r="175" ht="13.5" customHeight="1" spans="3:3">
      <c r="C175" s="43"/>
    </row>
    <row r="176" ht="13.5" customHeight="1" spans="3:3">
      <c r="C176" s="43"/>
    </row>
    <row r="177" ht="13.5" customHeight="1" spans="3:3">
      <c r="C177" s="43"/>
    </row>
    <row r="178" ht="13.5" customHeight="1" spans="3:3">
      <c r="C178" s="43"/>
    </row>
    <row r="179" ht="13.5" customHeight="1" spans="3:3">
      <c r="C179" s="43"/>
    </row>
    <row r="180" ht="13.5" customHeight="1" spans="3:3">
      <c r="C180" s="43"/>
    </row>
    <row r="181" ht="13.5" customHeight="1" spans="3:3">
      <c r="C181" s="43"/>
    </row>
    <row r="182" ht="13.5" customHeight="1" spans="3:3">
      <c r="C182" s="43"/>
    </row>
    <row r="183" ht="13.5" customHeight="1" spans="3:3">
      <c r="C183" s="43"/>
    </row>
    <row r="184" ht="13.5" customHeight="1" spans="3:3">
      <c r="C184" s="43"/>
    </row>
    <row r="185" ht="13.5" customHeight="1" spans="3:3">
      <c r="C185" s="43"/>
    </row>
    <row r="186" ht="13.5" customHeight="1" spans="3:3">
      <c r="C186" s="43"/>
    </row>
    <row r="187" ht="13.5" customHeight="1" spans="3:3">
      <c r="C187" s="43"/>
    </row>
    <row r="188" ht="13.5" customHeight="1" spans="3:3">
      <c r="C188" s="43"/>
    </row>
    <row r="189" ht="13.5" customHeight="1" spans="3:3">
      <c r="C189" s="43"/>
    </row>
    <row r="190" ht="13.5" customHeight="1" spans="3:3">
      <c r="C190" s="43"/>
    </row>
    <row r="191" ht="13.5" customHeight="1" spans="3:3">
      <c r="C191" s="43"/>
    </row>
    <row r="192" ht="13.5" customHeight="1" spans="3:3">
      <c r="C192" s="43"/>
    </row>
    <row r="193" ht="13.5" customHeight="1" spans="3:3">
      <c r="C193" s="43"/>
    </row>
    <row r="194" ht="13.5" customHeight="1" spans="3:3">
      <c r="C194" s="43"/>
    </row>
    <row r="195" ht="13.5" customHeight="1" spans="3:3">
      <c r="C195" s="43"/>
    </row>
    <row r="196" ht="13.5" customHeight="1" spans="3:3">
      <c r="C196" s="43"/>
    </row>
    <row r="197" ht="13.5" customHeight="1" spans="3:3">
      <c r="C197" s="43"/>
    </row>
    <row r="198" ht="13.5" customHeight="1" spans="3:3">
      <c r="C198" s="43"/>
    </row>
    <row r="199" ht="13.5" customHeight="1" spans="3:3">
      <c r="C199" s="43"/>
    </row>
    <row r="200" ht="13.5" customHeight="1" spans="3:3">
      <c r="C200" s="43"/>
    </row>
    <row r="201" ht="13.5" customHeight="1" spans="3:3">
      <c r="C201" s="43"/>
    </row>
    <row r="202" ht="13.5" customHeight="1" spans="3:3">
      <c r="C202" s="43"/>
    </row>
    <row r="203" ht="13.5" customHeight="1" spans="3:3">
      <c r="C203" s="43"/>
    </row>
    <row r="204" ht="13.5" customHeight="1" spans="3:3">
      <c r="C204" s="43"/>
    </row>
    <row r="205" ht="13.5" customHeight="1" spans="3:3">
      <c r="C205" s="43"/>
    </row>
    <row r="206" ht="13.5" customHeight="1" spans="3:3">
      <c r="C206" s="43"/>
    </row>
    <row r="207" ht="13.5" customHeight="1" spans="3:3">
      <c r="C207" s="43"/>
    </row>
    <row r="208" ht="13.5" customHeight="1" spans="3:3">
      <c r="C208" s="43"/>
    </row>
    <row r="209" ht="13.5" customHeight="1" spans="3:3">
      <c r="C209" s="43"/>
    </row>
    <row r="210" ht="13.5" customHeight="1" spans="3:3">
      <c r="C210" s="43"/>
    </row>
    <row r="211" ht="13.5" customHeight="1" spans="3:3">
      <c r="C211" s="43"/>
    </row>
    <row r="212" ht="13.5" customHeight="1" spans="3:3">
      <c r="C212" s="43"/>
    </row>
    <row r="213" ht="13.5" customHeight="1" spans="3:3">
      <c r="C213" s="43"/>
    </row>
    <row r="214" ht="13.5" customHeight="1" spans="3:3">
      <c r="C214" s="43"/>
    </row>
    <row r="215" ht="13.5" customHeight="1" spans="3:3">
      <c r="C215" s="43"/>
    </row>
    <row r="216" ht="13.5" customHeight="1" spans="3:3">
      <c r="C216" s="43"/>
    </row>
    <row r="217" ht="13.5" customHeight="1" spans="3:3">
      <c r="C217" s="43"/>
    </row>
    <row r="218" ht="13.5" customHeight="1" spans="3:3">
      <c r="C218" s="43"/>
    </row>
    <row r="219" ht="13.5" customHeight="1" spans="3:3">
      <c r="C219" s="43"/>
    </row>
    <row r="220" ht="13.5" customHeight="1" spans="3:3">
      <c r="C220" s="43"/>
    </row>
    <row r="221" ht="13.5" customHeight="1" spans="3:3">
      <c r="C221" s="43"/>
    </row>
    <row r="222" ht="13.5" customHeight="1" spans="3:3">
      <c r="C222" s="43"/>
    </row>
    <row r="223" ht="13.5" customHeight="1" spans="3:3">
      <c r="C223" s="43"/>
    </row>
    <row r="224" ht="13.5" customHeight="1" spans="3:3">
      <c r="C224" s="43"/>
    </row>
    <row r="225" ht="13.5" customHeight="1" spans="3:3">
      <c r="C225" s="43"/>
    </row>
    <row r="226" ht="13.5" customHeight="1" spans="3:3">
      <c r="C226" s="43"/>
    </row>
    <row r="227" ht="13.5" customHeight="1" spans="3:3">
      <c r="C227" s="43"/>
    </row>
    <row r="228" ht="13.5" customHeight="1" spans="3:3">
      <c r="C228" s="43"/>
    </row>
    <row r="229" ht="13.5" customHeight="1" spans="3:3">
      <c r="C229" s="43"/>
    </row>
    <row r="230" ht="13.5" customHeight="1" spans="3:3">
      <c r="C230" s="43"/>
    </row>
    <row r="231" ht="13.5" customHeight="1" spans="3:3">
      <c r="C231" s="43"/>
    </row>
    <row r="232" ht="13.5" customHeight="1" spans="3:3">
      <c r="C232" s="43"/>
    </row>
    <row r="233" ht="13.5" customHeight="1" spans="3:3">
      <c r="C233" s="43"/>
    </row>
    <row r="234" ht="13.5" customHeight="1" spans="3:3">
      <c r="C234" s="43"/>
    </row>
    <row r="235" ht="13.5" customHeight="1" spans="3:3">
      <c r="C235" s="43"/>
    </row>
    <row r="236" ht="13.5" customHeight="1" spans="3:3">
      <c r="C236" s="43"/>
    </row>
    <row r="237" ht="13.5" customHeight="1" spans="3:3">
      <c r="C237" s="43"/>
    </row>
    <row r="238" ht="13.5" customHeight="1" spans="3:3">
      <c r="C238" s="43"/>
    </row>
    <row r="239" ht="13.5" customHeight="1" spans="3:3">
      <c r="C239" s="43"/>
    </row>
    <row r="240" ht="13.5" customHeight="1" spans="3:3">
      <c r="C240" s="43"/>
    </row>
    <row r="241" ht="13.5" customHeight="1" spans="3:3">
      <c r="C241" s="43"/>
    </row>
    <row r="242" ht="13.5" customHeight="1" spans="3:3">
      <c r="C242" s="43"/>
    </row>
    <row r="243" ht="13.5" customHeight="1" spans="3:3">
      <c r="C243" s="43"/>
    </row>
    <row r="244" ht="13.5" customHeight="1" spans="3:3">
      <c r="C244" s="43"/>
    </row>
    <row r="245" ht="13.5" customHeight="1" spans="3:3">
      <c r="C245" s="43"/>
    </row>
    <row r="246" ht="13.5" customHeight="1" spans="3:3">
      <c r="C246" s="43"/>
    </row>
    <row r="247" ht="13.5" customHeight="1" spans="3:3">
      <c r="C247" s="43"/>
    </row>
    <row r="248" ht="13.5" customHeight="1" spans="3:3">
      <c r="C248" s="43"/>
    </row>
    <row r="249" ht="13.5" customHeight="1" spans="3:3">
      <c r="C249" s="43"/>
    </row>
    <row r="250" ht="13.5" customHeight="1" spans="3:3">
      <c r="C250" s="43"/>
    </row>
    <row r="251" ht="13.5" customHeight="1" spans="3:3">
      <c r="C251" s="43"/>
    </row>
    <row r="252" ht="13.5" customHeight="1" spans="3:3">
      <c r="C252" s="43"/>
    </row>
    <row r="253" ht="13.5" customHeight="1" spans="3:3">
      <c r="C253" s="43"/>
    </row>
    <row r="254" ht="13.5" customHeight="1" spans="3:3">
      <c r="C254" s="43"/>
    </row>
    <row r="255" ht="13.5" customHeight="1" spans="3:3">
      <c r="C255" s="43"/>
    </row>
    <row r="256" ht="13.5" customHeight="1" spans="3:3">
      <c r="C256" s="43"/>
    </row>
    <row r="257" ht="13.5" customHeight="1" spans="3:3">
      <c r="C257" s="43"/>
    </row>
    <row r="258" ht="13.5" customHeight="1" spans="3:3">
      <c r="C258" s="43"/>
    </row>
    <row r="259" ht="13.5" customHeight="1" spans="3:3">
      <c r="C259" s="43"/>
    </row>
    <row r="260" ht="13.5" customHeight="1" spans="3:3">
      <c r="C260" s="43"/>
    </row>
    <row r="261" ht="13.5" customHeight="1" spans="3:3">
      <c r="C261" s="43"/>
    </row>
    <row r="262" ht="13.5" customHeight="1" spans="3:3">
      <c r="C262" s="43"/>
    </row>
    <row r="263" ht="13.5" customHeight="1" spans="3:3">
      <c r="C263" s="43"/>
    </row>
    <row r="264" ht="13.5" customHeight="1" spans="3:3">
      <c r="C264" s="43"/>
    </row>
    <row r="265" ht="13.5" customHeight="1" spans="3:3">
      <c r="C265" s="43"/>
    </row>
    <row r="266" ht="13.5" customHeight="1" spans="3:3">
      <c r="C266" s="43"/>
    </row>
    <row r="267" ht="13.5" customHeight="1" spans="3:3">
      <c r="C267" s="43"/>
    </row>
    <row r="268" ht="13.5" customHeight="1" spans="3:3">
      <c r="C268" s="43"/>
    </row>
    <row r="269" ht="13.5" customHeight="1" spans="3:3">
      <c r="C269" s="43"/>
    </row>
    <row r="270" ht="13.5" customHeight="1" spans="3:3">
      <c r="C270" s="43"/>
    </row>
    <row r="271" ht="13.5" customHeight="1" spans="3:3">
      <c r="C271" s="43"/>
    </row>
    <row r="272" ht="13.5" customHeight="1" spans="3:3">
      <c r="C272" s="43"/>
    </row>
    <row r="273" ht="13.5" customHeight="1" spans="3:3">
      <c r="C273" s="43"/>
    </row>
    <row r="274" ht="13.5" customHeight="1" spans="3:3">
      <c r="C274" s="43"/>
    </row>
    <row r="275" ht="13.5" customHeight="1" spans="3:3">
      <c r="C275" s="43"/>
    </row>
    <row r="276" ht="13.5" customHeight="1" spans="3:3">
      <c r="C276" s="43"/>
    </row>
    <row r="277" ht="13.5" customHeight="1" spans="3:3">
      <c r="C277" s="43"/>
    </row>
    <row r="278" ht="13.5" customHeight="1" spans="3:3">
      <c r="C278" s="43"/>
    </row>
    <row r="279" ht="13.5" customHeight="1" spans="3:3">
      <c r="C279" s="43"/>
    </row>
    <row r="280" ht="13.5" customHeight="1" spans="3:3">
      <c r="C280" s="43"/>
    </row>
    <row r="281" ht="13.5" customHeight="1" spans="3:3">
      <c r="C281" s="43"/>
    </row>
    <row r="282" ht="13.5" customHeight="1" spans="3:3">
      <c r="C282" s="43"/>
    </row>
    <row r="283" ht="13.5" customHeight="1" spans="3:3">
      <c r="C283" s="43"/>
    </row>
    <row r="284" ht="13.5" customHeight="1" spans="3:3">
      <c r="C284" s="43"/>
    </row>
    <row r="285" ht="13.5" customHeight="1" spans="3:3">
      <c r="C285" s="43"/>
    </row>
    <row r="286" ht="13.5" customHeight="1" spans="3:3">
      <c r="C286" s="43"/>
    </row>
    <row r="287" ht="13.5" customHeight="1" spans="3:3">
      <c r="C287" s="43"/>
    </row>
    <row r="288" ht="13.5" customHeight="1" spans="3:3">
      <c r="C288" s="43"/>
    </row>
    <row r="289" ht="13.5" customHeight="1" spans="3:3">
      <c r="C289" s="43"/>
    </row>
    <row r="290" ht="13.5" customHeight="1" spans="3:3">
      <c r="C290" s="43"/>
    </row>
    <row r="291" ht="13.5" customHeight="1" spans="3:3">
      <c r="C291" s="43"/>
    </row>
    <row r="292" ht="13.5" customHeight="1" spans="3:3">
      <c r="C292" s="43"/>
    </row>
    <row r="293" ht="13.5" customHeight="1" spans="3:3">
      <c r="C293" s="43"/>
    </row>
    <row r="294" ht="13.5" customHeight="1" spans="3:3">
      <c r="C294" s="43"/>
    </row>
    <row r="295" ht="13.5" customHeight="1" spans="3:3">
      <c r="C295" s="43"/>
    </row>
    <row r="296" ht="13.5" customHeight="1" spans="3:3">
      <c r="C296" s="43"/>
    </row>
    <row r="297" ht="13.5" customHeight="1" spans="3:3">
      <c r="C297" s="43"/>
    </row>
    <row r="298" ht="13.5" customHeight="1" spans="3:3">
      <c r="C298" s="43"/>
    </row>
    <row r="299" ht="13.5" customHeight="1" spans="3:3">
      <c r="C299" s="43"/>
    </row>
    <row r="300" ht="13.5" customHeight="1" spans="3:3">
      <c r="C300" s="43"/>
    </row>
    <row r="301" ht="13.5" customHeight="1" spans="3:3">
      <c r="C301" s="43"/>
    </row>
    <row r="302" ht="13.5" customHeight="1" spans="3:3">
      <c r="C302" s="43"/>
    </row>
    <row r="303" ht="13.5" customHeight="1" spans="3:3">
      <c r="C303" s="43"/>
    </row>
    <row r="304" ht="13.5" customHeight="1" spans="3:3">
      <c r="C304" s="43"/>
    </row>
    <row r="305" ht="13.5" customHeight="1" spans="3:3">
      <c r="C305" s="43"/>
    </row>
    <row r="306" ht="13.5" customHeight="1" spans="3:3">
      <c r="C306" s="43"/>
    </row>
    <row r="307" ht="13.5" customHeight="1" spans="3:3">
      <c r="C307" s="43"/>
    </row>
    <row r="308" ht="13.5" customHeight="1" spans="3:3">
      <c r="C308" s="43"/>
    </row>
    <row r="309" ht="13.5" customHeight="1" spans="3:3">
      <c r="C309" s="43"/>
    </row>
    <row r="310" ht="13.5" customHeight="1" spans="3:3">
      <c r="C310" s="43"/>
    </row>
    <row r="311" ht="13.5" customHeight="1" spans="3:3">
      <c r="C311" s="43"/>
    </row>
    <row r="312" ht="13.5" customHeight="1" spans="3:3">
      <c r="C312" s="43"/>
    </row>
    <row r="313" ht="13.5" customHeight="1" spans="3:3">
      <c r="C313" s="43"/>
    </row>
    <row r="314" ht="13.5" customHeight="1" spans="3:3">
      <c r="C314" s="43"/>
    </row>
    <row r="315" ht="13.5" customHeight="1" spans="3:3">
      <c r="C315" s="43"/>
    </row>
    <row r="316" ht="13.5" customHeight="1" spans="3:3">
      <c r="C316" s="43"/>
    </row>
    <row r="317" ht="13.5" customHeight="1" spans="3:3">
      <c r="C317" s="43"/>
    </row>
    <row r="318" ht="13.5" customHeight="1" spans="3:3">
      <c r="C318" s="43"/>
    </row>
    <row r="319" ht="13.5" customHeight="1" spans="3:3">
      <c r="C319" s="43"/>
    </row>
    <row r="320" ht="13.5" customHeight="1" spans="3:3">
      <c r="C320" s="43"/>
    </row>
    <row r="321" ht="13.5" customHeight="1" spans="3:3">
      <c r="C321" s="43"/>
    </row>
    <row r="322" ht="13.5" customHeight="1" spans="3:3">
      <c r="C322" s="43"/>
    </row>
    <row r="323" ht="13.5" customHeight="1" spans="3:3">
      <c r="C323" s="43"/>
    </row>
    <row r="324" ht="13.5" customHeight="1" spans="3:3">
      <c r="C324" s="43"/>
    </row>
    <row r="325" ht="13.5" customHeight="1" spans="3:3">
      <c r="C325" s="43"/>
    </row>
    <row r="326" ht="13.5" customHeight="1" spans="3:3">
      <c r="C326" s="43"/>
    </row>
    <row r="327" ht="13.5" customHeight="1" spans="3:3">
      <c r="C327" s="43"/>
    </row>
    <row r="328" ht="13.5" customHeight="1" spans="3:3">
      <c r="C328" s="43"/>
    </row>
    <row r="329" ht="13.5" customHeight="1" spans="3:3">
      <c r="C329" s="43"/>
    </row>
    <row r="330" ht="13.5" customHeight="1" spans="3:3">
      <c r="C330" s="43"/>
    </row>
    <row r="331" ht="13.5" customHeight="1" spans="3:3">
      <c r="C331" s="43"/>
    </row>
    <row r="332" ht="13.5" customHeight="1" spans="3:3">
      <c r="C332" s="43"/>
    </row>
    <row r="333" ht="13.5" customHeight="1" spans="3:3">
      <c r="C333" s="43"/>
    </row>
    <row r="334" ht="13.5" customHeight="1" spans="3:3">
      <c r="C334" s="43"/>
    </row>
    <row r="335" ht="13.5" customHeight="1" spans="3:3">
      <c r="C335" s="43"/>
    </row>
    <row r="336" ht="13.5" customHeight="1" spans="3:3">
      <c r="C336" s="43"/>
    </row>
    <row r="337" ht="13.5" customHeight="1" spans="3:3">
      <c r="C337" s="43"/>
    </row>
    <row r="338" ht="13.5" customHeight="1" spans="3:3">
      <c r="C338" s="43"/>
    </row>
    <row r="339" ht="13.5" customHeight="1" spans="3:3">
      <c r="C339" s="43"/>
    </row>
    <row r="340" ht="13.5" customHeight="1" spans="3:3">
      <c r="C340" s="43"/>
    </row>
    <row r="341" ht="13.5" customHeight="1" spans="3:3">
      <c r="C341" s="43"/>
    </row>
    <row r="342" ht="13.5" customHeight="1" spans="3:3">
      <c r="C342" s="43"/>
    </row>
    <row r="343" ht="13.5" customHeight="1" spans="3:3">
      <c r="C343" s="43"/>
    </row>
    <row r="344" ht="13.5" customHeight="1" spans="3:3">
      <c r="C344" s="43"/>
    </row>
    <row r="345" ht="13.5" customHeight="1" spans="3:3">
      <c r="C345" s="43"/>
    </row>
    <row r="346" ht="13.5" customHeight="1" spans="3:3">
      <c r="C346" s="43"/>
    </row>
    <row r="347" ht="13.5" customHeight="1" spans="3:3">
      <c r="C347" s="43"/>
    </row>
    <row r="348" ht="13.5" customHeight="1" spans="3:3">
      <c r="C348" s="43"/>
    </row>
    <row r="349" ht="13.5" customHeight="1" spans="3:3">
      <c r="C349" s="43"/>
    </row>
    <row r="350" ht="13.5" customHeight="1" spans="3:3">
      <c r="C350" s="43"/>
    </row>
    <row r="351" ht="13.5" customHeight="1" spans="3:3">
      <c r="C351" s="43"/>
    </row>
    <row r="352" ht="13.5" customHeight="1" spans="3:3">
      <c r="C352" s="43"/>
    </row>
    <row r="353" ht="13.5" customHeight="1" spans="3:3">
      <c r="C353" s="43"/>
    </row>
    <row r="354" ht="13.5" customHeight="1" spans="3:3">
      <c r="C354" s="43"/>
    </row>
    <row r="355" ht="13.5" customHeight="1" spans="3:3">
      <c r="C355" s="43"/>
    </row>
    <row r="356" ht="13.5" customHeight="1" spans="3:3">
      <c r="C356" s="43"/>
    </row>
    <row r="357" ht="13.5" customHeight="1" spans="3:3">
      <c r="C357" s="43"/>
    </row>
    <row r="358" ht="13.5" customHeight="1" spans="3:3">
      <c r="C358" s="43"/>
    </row>
    <row r="359" ht="13.5" customHeight="1" spans="3:3">
      <c r="C359" s="43"/>
    </row>
    <row r="360" ht="13.5" customHeight="1" spans="3:3">
      <c r="C360" s="43"/>
    </row>
    <row r="361" ht="13.5" customHeight="1" spans="3:3">
      <c r="C361" s="43"/>
    </row>
    <row r="362" ht="13.5" customHeight="1" spans="3:3">
      <c r="C362" s="43"/>
    </row>
    <row r="363" ht="13.5" customHeight="1" spans="3:3">
      <c r="C363" s="43"/>
    </row>
    <row r="364" ht="13.5" customHeight="1" spans="3:3">
      <c r="C364" s="43"/>
    </row>
    <row r="365" ht="13.5" customHeight="1" spans="3:3">
      <c r="C365" s="43"/>
    </row>
    <row r="366" ht="13.5" customHeight="1" spans="3:3">
      <c r="C366" s="43"/>
    </row>
    <row r="367" ht="13.5" customHeight="1" spans="3:3">
      <c r="C367" s="43"/>
    </row>
    <row r="368" ht="13.5" customHeight="1" spans="3:3">
      <c r="C368" s="43"/>
    </row>
    <row r="369" ht="13.5" customHeight="1" spans="3:3">
      <c r="C369" s="43"/>
    </row>
    <row r="370" ht="13.5" customHeight="1" spans="3:3">
      <c r="C370" s="43"/>
    </row>
    <row r="371" ht="13.5" customHeight="1" spans="3:3">
      <c r="C371" s="43"/>
    </row>
    <row r="372" ht="13.5" customHeight="1" spans="3:3">
      <c r="C372" s="43"/>
    </row>
    <row r="373" ht="13.5" customHeight="1" spans="3:3">
      <c r="C373" s="43"/>
    </row>
    <row r="374" ht="13.5" customHeight="1" spans="3:3">
      <c r="C374" s="43"/>
    </row>
    <row r="375" ht="13.5" customHeight="1" spans="3:3">
      <c r="C375" s="43"/>
    </row>
    <row r="376" ht="13.5" customHeight="1" spans="3:3">
      <c r="C376" s="43"/>
    </row>
    <row r="377" ht="13.5" customHeight="1" spans="3:3">
      <c r="C377" s="43"/>
    </row>
    <row r="378" ht="13.5" customHeight="1" spans="3:3">
      <c r="C378" s="43"/>
    </row>
    <row r="379" ht="13.5" customHeight="1" spans="3:3">
      <c r="C379" s="43"/>
    </row>
    <row r="380" ht="13.5" customHeight="1" spans="3:3">
      <c r="C380" s="43"/>
    </row>
    <row r="381" ht="13.5" customHeight="1" spans="3:3">
      <c r="C381" s="43"/>
    </row>
    <row r="382" ht="13.5" customHeight="1" spans="3:3">
      <c r="C382" s="43"/>
    </row>
    <row r="383" ht="13.5" customHeight="1" spans="3:3">
      <c r="C383" s="43"/>
    </row>
    <row r="384" ht="13.5" customHeight="1" spans="3:3">
      <c r="C384" s="43"/>
    </row>
    <row r="385" ht="13.5" customHeight="1" spans="3:3">
      <c r="C385" s="43"/>
    </row>
    <row r="386" ht="13.5" customHeight="1" spans="3:3">
      <c r="C386" s="43"/>
    </row>
    <row r="387" ht="13.5" customHeight="1" spans="3:3">
      <c r="C387" s="43"/>
    </row>
    <row r="388" ht="13.5" customHeight="1" spans="3:3">
      <c r="C388" s="43"/>
    </row>
    <row r="389" ht="13.5" customHeight="1" spans="3:3">
      <c r="C389" s="43"/>
    </row>
    <row r="390" ht="13.5" customHeight="1" spans="3:3">
      <c r="C390" s="43"/>
    </row>
    <row r="391" ht="13.5" customHeight="1" spans="3:3">
      <c r="C391" s="43"/>
    </row>
    <row r="392" ht="13.5" customHeight="1" spans="3:3">
      <c r="C392" s="43"/>
    </row>
    <row r="393" ht="13.5" customHeight="1" spans="3:3">
      <c r="C393" s="43"/>
    </row>
    <row r="394" ht="13.5" customHeight="1" spans="3:3">
      <c r="C394" s="43"/>
    </row>
    <row r="395" ht="13.5" customHeight="1" spans="3:3">
      <c r="C395" s="43"/>
    </row>
    <row r="396" ht="13.5" customHeight="1" spans="3:3">
      <c r="C396" s="43"/>
    </row>
    <row r="397" ht="13.5" customHeight="1" spans="3:3">
      <c r="C397" s="43"/>
    </row>
    <row r="398" ht="13.5" customHeight="1" spans="3:3">
      <c r="C398" s="43"/>
    </row>
    <row r="399" ht="13.5" customHeight="1" spans="3:3">
      <c r="C399" s="43"/>
    </row>
    <row r="400" ht="13.5" customHeight="1" spans="3:3">
      <c r="C400" s="43"/>
    </row>
    <row r="401" ht="13.5" customHeight="1" spans="3:3">
      <c r="C401" s="43"/>
    </row>
    <row r="402" ht="13.5" customHeight="1" spans="3:3">
      <c r="C402" s="43"/>
    </row>
    <row r="403" ht="13.5" customHeight="1" spans="3:3">
      <c r="C403" s="43"/>
    </row>
    <row r="404" ht="13.5" customHeight="1" spans="3:3">
      <c r="C404" s="43"/>
    </row>
    <row r="405" ht="13.5" customHeight="1" spans="3:3">
      <c r="C405" s="43"/>
    </row>
    <row r="406" ht="13.5" customHeight="1" spans="3:3">
      <c r="C406" s="43"/>
    </row>
    <row r="407" ht="13.5" customHeight="1" spans="3:3">
      <c r="C407" s="43"/>
    </row>
    <row r="408" ht="13.5" customHeight="1" spans="3:3">
      <c r="C408" s="43"/>
    </row>
    <row r="409" ht="13.5" customHeight="1" spans="3:3">
      <c r="C409" s="43"/>
    </row>
    <row r="410" ht="13.5" customHeight="1" spans="3:3">
      <c r="C410" s="43"/>
    </row>
    <row r="411" ht="13.5" customHeight="1" spans="3:3">
      <c r="C411" s="43"/>
    </row>
    <row r="412" ht="13.5" customHeight="1" spans="3:3">
      <c r="C412" s="43"/>
    </row>
    <row r="413" ht="13.5" customHeight="1" spans="3:3">
      <c r="C413" s="43"/>
    </row>
    <row r="414" ht="13.5" customHeight="1" spans="3:3">
      <c r="C414" s="43"/>
    </row>
    <row r="415" ht="13.5" customHeight="1" spans="3:3">
      <c r="C415" s="43"/>
    </row>
    <row r="416" ht="13.5" customHeight="1" spans="3:3">
      <c r="C416" s="43"/>
    </row>
    <row r="417" ht="13.5" customHeight="1" spans="3:3">
      <c r="C417" s="43"/>
    </row>
    <row r="418" ht="13.5" customHeight="1" spans="3:3">
      <c r="C418" s="43"/>
    </row>
    <row r="419" ht="13.5" customHeight="1" spans="3:3">
      <c r="C419" s="43"/>
    </row>
    <row r="420" ht="13.5" customHeight="1" spans="3:3">
      <c r="C420" s="43"/>
    </row>
    <row r="421" ht="13.5" customHeight="1" spans="3:3">
      <c r="C421" s="43"/>
    </row>
    <row r="422" ht="13.5" customHeight="1" spans="3:3">
      <c r="C422" s="43"/>
    </row>
    <row r="423" ht="13.5" customHeight="1" spans="3:3">
      <c r="C423" s="43"/>
    </row>
    <row r="424" ht="13.5" customHeight="1" spans="3:3">
      <c r="C424" s="43"/>
    </row>
    <row r="425" ht="13.5" customHeight="1" spans="3:3">
      <c r="C425" s="43"/>
    </row>
    <row r="426" ht="13.5" customHeight="1" spans="3:3">
      <c r="C426" s="43"/>
    </row>
    <row r="427" ht="13.5" customHeight="1" spans="3:3">
      <c r="C427" s="43"/>
    </row>
    <row r="428" ht="13.5" customHeight="1" spans="3:3">
      <c r="C428" s="43"/>
    </row>
    <row r="429" ht="13.5" customHeight="1" spans="3:3">
      <c r="C429" s="43"/>
    </row>
    <row r="430" ht="13.5" customHeight="1" spans="3:3">
      <c r="C430" s="43"/>
    </row>
    <row r="431" ht="13.5" customHeight="1" spans="3:3">
      <c r="C431" s="43"/>
    </row>
    <row r="432" ht="13.5" customHeight="1" spans="3:3">
      <c r="C432" s="43"/>
    </row>
    <row r="433" ht="13.5" customHeight="1" spans="3:3">
      <c r="C433" s="43"/>
    </row>
    <row r="434" ht="13.5" customHeight="1" spans="3:3">
      <c r="C434" s="43"/>
    </row>
    <row r="435" ht="13.5" customHeight="1" spans="3:3">
      <c r="C435" s="43"/>
    </row>
    <row r="436" ht="13.5" customHeight="1" spans="3:3">
      <c r="C436" s="43"/>
    </row>
    <row r="437" ht="13.5" customHeight="1" spans="3:3">
      <c r="C437" s="43"/>
    </row>
    <row r="438" ht="13.5" customHeight="1" spans="3:3">
      <c r="C438" s="43"/>
    </row>
    <row r="439" ht="13.5" customHeight="1" spans="3:3">
      <c r="C439" s="43"/>
    </row>
    <row r="440" ht="13.5" customHeight="1" spans="3:3">
      <c r="C440" s="43"/>
    </row>
    <row r="441" ht="13.5" customHeight="1" spans="3:3">
      <c r="C441" s="43"/>
    </row>
    <row r="442" ht="13.5" customHeight="1" spans="3:3">
      <c r="C442" s="43"/>
    </row>
    <row r="443" ht="13.5" customHeight="1" spans="3:3">
      <c r="C443" s="43"/>
    </row>
    <row r="444" ht="13.5" customHeight="1" spans="3:3">
      <c r="C444" s="43"/>
    </row>
    <row r="445" ht="13.5" customHeight="1" spans="3:3">
      <c r="C445" s="43"/>
    </row>
    <row r="446" ht="13.5" customHeight="1" spans="3:3">
      <c r="C446" s="43"/>
    </row>
    <row r="447" ht="13.5" customHeight="1" spans="3:3">
      <c r="C447" s="43"/>
    </row>
    <row r="448" ht="13.5" customHeight="1" spans="3:3">
      <c r="C448" s="43"/>
    </row>
    <row r="449" ht="13.5" customHeight="1" spans="3:3">
      <c r="C449" s="43"/>
    </row>
    <row r="450" ht="13.5" customHeight="1" spans="3:3">
      <c r="C450" s="43"/>
    </row>
    <row r="451" ht="13.5" customHeight="1" spans="3:3">
      <c r="C451" s="43"/>
    </row>
    <row r="452" ht="13.5" customHeight="1" spans="3:3">
      <c r="C452" s="43"/>
    </row>
    <row r="453" ht="13.5" customHeight="1" spans="3:3">
      <c r="C453" s="43"/>
    </row>
    <row r="454" ht="13.5" customHeight="1" spans="3:3">
      <c r="C454" s="43"/>
    </row>
    <row r="455" ht="13.5" customHeight="1" spans="3:3">
      <c r="C455" s="43"/>
    </row>
    <row r="456" ht="13.5" customHeight="1" spans="3:3">
      <c r="C456" s="43"/>
    </row>
    <row r="457" ht="13.5" customHeight="1" spans="3:3">
      <c r="C457" s="43"/>
    </row>
    <row r="458" ht="13.5" customHeight="1" spans="3:3">
      <c r="C458" s="43"/>
    </row>
    <row r="459" ht="13.5" customHeight="1" spans="3:3">
      <c r="C459" s="43"/>
    </row>
    <row r="460" ht="13.5" customHeight="1" spans="3:3">
      <c r="C460" s="43"/>
    </row>
    <row r="461" ht="13.5" customHeight="1" spans="3:3">
      <c r="C461" s="43"/>
    </row>
    <row r="462" ht="13.5" customHeight="1" spans="3:3">
      <c r="C462" s="43"/>
    </row>
    <row r="463" ht="13.5" customHeight="1" spans="3:3">
      <c r="C463" s="43"/>
    </row>
    <row r="464" ht="13.5" customHeight="1" spans="3:3">
      <c r="C464" s="43"/>
    </row>
    <row r="465" ht="13.5" customHeight="1" spans="3:3">
      <c r="C465" s="43"/>
    </row>
    <row r="466" ht="13.5" customHeight="1" spans="3:3">
      <c r="C466" s="43"/>
    </row>
    <row r="467" ht="13.5" customHeight="1" spans="3:3">
      <c r="C467" s="43"/>
    </row>
    <row r="468" ht="13.5" customHeight="1" spans="3:3">
      <c r="C468" s="43"/>
    </row>
    <row r="469" ht="13.5" customHeight="1" spans="3:3">
      <c r="C469" s="43"/>
    </row>
    <row r="470" ht="13.5" customHeight="1" spans="3:3">
      <c r="C470" s="43"/>
    </row>
    <row r="471" ht="13.5" customHeight="1" spans="3:3">
      <c r="C471" s="43"/>
    </row>
    <row r="472" ht="13.5" customHeight="1" spans="3:3">
      <c r="C472" s="43"/>
    </row>
    <row r="473" ht="13.5" customHeight="1" spans="3:3">
      <c r="C473" s="43"/>
    </row>
    <row r="474" ht="13.5" customHeight="1" spans="3:3">
      <c r="C474" s="43"/>
    </row>
    <row r="475" ht="13.5" customHeight="1" spans="3:3">
      <c r="C475" s="43"/>
    </row>
    <row r="476" ht="13.5" customHeight="1" spans="3:3">
      <c r="C476" s="43"/>
    </row>
    <row r="477" ht="13.5" customHeight="1" spans="3:3">
      <c r="C477" s="43"/>
    </row>
    <row r="478" ht="13.5" customHeight="1" spans="3:3">
      <c r="C478" s="43"/>
    </row>
    <row r="479" ht="13.5" customHeight="1" spans="3:3">
      <c r="C479" s="43"/>
    </row>
    <row r="480" ht="13.5" customHeight="1" spans="3:3">
      <c r="C480" s="43"/>
    </row>
    <row r="481" ht="13.5" customHeight="1" spans="3:3">
      <c r="C481" s="43"/>
    </row>
    <row r="482" ht="13.5" customHeight="1" spans="3:3">
      <c r="C482" s="43"/>
    </row>
    <row r="483" ht="13.5" customHeight="1" spans="3:3">
      <c r="C483" s="43"/>
    </row>
    <row r="484" ht="13.5" customHeight="1" spans="3:3">
      <c r="C484" s="43"/>
    </row>
    <row r="485" ht="13.5" customHeight="1" spans="3:3">
      <c r="C485" s="43"/>
    </row>
    <row r="486" ht="13.5" customHeight="1" spans="3:3">
      <c r="C486" s="43"/>
    </row>
    <row r="487" ht="13.5" customHeight="1" spans="3:3">
      <c r="C487" s="43"/>
    </row>
    <row r="488" ht="13.5" customHeight="1" spans="3:3">
      <c r="C488" s="43"/>
    </row>
    <row r="489" ht="13.5" customHeight="1" spans="3:3">
      <c r="C489" s="43"/>
    </row>
    <row r="490" ht="13.5" customHeight="1" spans="3:3">
      <c r="C490" s="43"/>
    </row>
    <row r="491" ht="13.5" customHeight="1" spans="3:3">
      <c r="C491" s="43"/>
    </row>
    <row r="492" ht="13.5" customHeight="1" spans="3:3">
      <c r="C492" s="43"/>
    </row>
    <row r="493" ht="13.5" customHeight="1" spans="3:3">
      <c r="C493" s="43"/>
    </row>
    <row r="494" ht="13.5" customHeight="1" spans="3:3">
      <c r="C494" s="43"/>
    </row>
    <row r="495" ht="13.5" customHeight="1" spans="3:3">
      <c r="C495" s="43"/>
    </row>
    <row r="496" ht="13.5" customHeight="1" spans="3:3">
      <c r="C496" s="43"/>
    </row>
    <row r="497" ht="13.5" customHeight="1" spans="3:3">
      <c r="C497" s="43"/>
    </row>
    <row r="498" ht="13.5" customHeight="1" spans="3:3">
      <c r="C498" s="43"/>
    </row>
    <row r="499" ht="13.5" customHeight="1" spans="3:3">
      <c r="C499" s="43"/>
    </row>
    <row r="500" ht="13.5" customHeight="1" spans="3:3">
      <c r="C500" s="43"/>
    </row>
    <row r="501" ht="13.5" customHeight="1" spans="3:3">
      <c r="C501" s="43"/>
    </row>
    <row r="502" ht="13.5" customHeight="1" spans="3:3">
      <c r="C502" s="43"/>
    </row>
    <row r="503" ht="13.5" customHeight="1" spans="3:3">
      <c r="C503" s="43"/>
    </row>
    <row r="504" ht="13.5" customHeight="1" spans="3:3">
      <c r="C504" s="43"/>
    </row>
    <row r="505" ht="13.5" customHeight="1" spans="3:3">
      <c r="C505" s="43"/>
    </row>
    <row r="506" ht="13.5" customHeight="1" spans="3:3">
      <c r="C506" s="43"/>
    </row>
    <row r="507" ht="13.5" customHeight="1" spans="3:3">
      <c r="C507" s="43"/>
    </row>
    <row r="508" ht="13.5" customHeight="1" spans="3:3">
      <c r="C508" s="43"/>
    </row>
    <row r="509" ht="13.5" customHeight="1" spans="3:3">
      <c r="C509" s="43"/>
    </row>
    <row r="510" ht="13.5" customHeight="1" spans="3:3">
      <c r="C510" s="43"/>
    </row>
    <row r="511" ht="13.5" customHeight="1" spans="3:3">
      <c r="C511" s="43"/>
    </row>
    <row r="512" ht="13.5" customHeight="1" spans="3:3">
      <c r="C512" s="43"/>
    </row>
    <row r="513" ht="13.5" customHeight="1" spans="3:3">
      <c r="C513" s="43"/>
    </row>
    <row r="514" ht="13.5" customHeight="1" spans="3:3">
      <c r="C514" s="43"/>
    </row>
    <row r="515" ht="13.5" customHeight="1" spans="3:3">
      <c r="C515" s="43"/>
    </row>
    <row r="516" ht="13.5" customHeight="1" spans="3:3">
      <c r="C516" s="43"/>
    </row>
    <row r="517" ht="13.5" customHeight="1" spans="3:3">
      <c r="C517" s="43"/>
    </row>
    <row r="518" ht="13.5" customHeight="1" spans="3:3">
      <c r="C518" s="43"/>
    </row>
    <row r="519" ht="13.5" customHeight="1" spans="3:3">
      <c r="C519" s="43"/>
    </row>
    <row r="520" ht="13.5" customHeight="1" spans="3:3">
      <c r="C520" s="43"/>
    </row>
    <row r="521" ht="13.5" customHeight="1" spans="3:3">
      <c r="C521" s="43"/>
    </row>
    <row r="522" ht="13.5" customHeight="1" spans="3:3">
      <c r="C522" s="43"/>
    </row>
    <row r="523" ht="13.5" customHeight="1" spans="3:3">
      <c r="C523" s="43"/>
    </row>
    <row r="524" ht="13.5" customHeight="1" spans="3:3">
      <c r="C524" s="43"/>
    </row>
    <row r="525" ht="13.5" customHeight="1" spans="3:3">
      <c r="C525" s="43"/>
    </row>
    <row r="526" ht="13.5" customHeight="1" spans="3:3">
      <c r="C526" s="43"/>
    </row>
    <row r="527" ht="13.5" customHeight="1" spans="3:3">
      <c r="C527" s="43"/>
    </row>
    <row r="528" ht="13.5" customHeight="1" spans="3:3">
      <c r="C528" s="43"/>
    </row>
    <row r="529" ht="13.5" customHeight="1" spans="3:3">
      <c r="C529" s="43"/>
    </row>
    <row r="530" ht="13.5" customHeight="1" spans="3:3">
      <c r="C530" s="43"/>
    </row>
    <row r="531" ht="13.5" customHeight="1" spans="3:3">
      <c r="C531" s="43"/>
    </row>
    <row r="532" ht="13.5" customHeight="1" spans="3:3">
      <c r="C532" s="43"/>
    </row>
    <row r="533" ht="13.5" customHeight="1" spans="3:3">
      <c r="C533" s="43"/>
    </row>
    <row r="534" ht="13.5" customHeight="1" spans="3:3">
      <c r="C534" s="43"/>
    </row>
    <row r="535" ht="13.5" customHeight="1" spans="3:3">
      <c r="C535" s="43"/>
    </row>
    <row r="536" ht="13.5" customHeight="1" spans="3:3">
      <c r="C536" s="43"/>
    </row>
    <row r="537" ht="13.5" customHeight="1" spans="3:3">
      <c r="C537" s="43"/>
    </row>
    <row r="538" ht="13.5" customHeight="1" spans="3:3">
      <c r="C538" s="43"/>
    </row>
    <row r="539" ht="13.5" customHeight="1" spans="3:3">
      <c r="C539" s="43"/>
    </row>
    <row r="540" ht="13.5" customHeight="1" spans="3:3">
      <c r="C540" s="43"/>
    </row>
    <row r="541" ht="13.5" customHeight="1" spans="3:3">
      <c r="C541" s="43"/>
    </row>
    <row r="542" ht="13.5" customHeight="1" spans="3:3">
      <c r="C542" s="43"/>
    </row>
    <row r="543" ht="13.5" customHeight="1" spans="3:3">
      <c r="C543" s="43"/>
    </row>
    <row r="544" ht="13.5" customHeight="1" spans="3:3">
      <c r="C544" s="43"/>
    </row>
    <row r="545" ht="13.5" customHeight="1" spans="3:3">
      <c r="C545" s="43"/>
    </row>
    <row r="546" ht="13.5" customHeight="1" spans="3:3">
      <c r="C546" s="43"/>
    </row>
    <row r="547" ht="13.5" customHeight="1" spans="3:3">
      <c r="C547" s="43"/>
    </row>
    <row r="548" ht="13.5" customHeight="1" spans="3:3">
      <c r="C548" s="43"/>
    </row>
    <row r="549" ht="13.5" customHeight="1" spans="3:3">
      <c r="C549" s="43"/>
    </row>
    <row r="550" ht="13.5" customHeight="1" spans="3:3">
      <c r="C550" s="43"/>
    </row>
    <row r="551" ht="13.5" customHeight="1" spans="3:3">
      <c r="C551" s="43"/>
    </row>
    <row r="552" ht="13.5" customHeight="1" spans="3:3">
      <c r="C552" s="43"/>
    </row>
    <row r="553" ht="13.5" customHeight="1" spans="3:3">
      <c r="C553" s="43"/>
    </row>
    <row r="554" ht="13.5" customHeight="1" spans="3:3">
      <c r="C554" s="43"/>
    </row>
    <row r="555" ht="13.5" customHeight="1" spans="3:3">
      <c r="C555" s="43"/>
    </row>
    <row r="556" ht="13.5" customHeight="1" spans="3:3">
      <c r="C556" s="43"/>
    </row>
    <row r="557" ht="13.5" customHeight="1" spans="3:3">
      <c r="C557" s="43"/>
    </row>
    <row r="558" ht="13.5" customHeight="1" spans="3:3">
      <c r="C558" s="43"/>
    </row>
    <row r="559" ht="13.5" customHeight="1" spans="3:3">
      <c r="C559" s="43"/>
    </row>
    <row r="560" ht="13.5" customHeight="1" spans="3:3">
      <c r="C560" s="43"/>
    </row>
    <row r="561" ht="13.5" customHeight="1" spans="3:3">
      <c r="C561" s="43"/>
    </row>
    <row r="562" ht="13.5" customHeight="1" spans="3:3">
      <c r="C562" s="43"/>
    </row>
    <row r="563" ht="13.5" customHeight="1" spans="3:3">
      <c r="C563" s="43"/>
    </row>
    <row r="564" ht="13.5" customHeight="1" spans="3:3">
      <c r="C564" s="43"/>
    </row>
    <row r="565" ht="13.5" customHeight="1" spans="3:3">
      <c r="C565" s="43"/>
    </row>
    <row r="566" ht="13.5" customHeight="1" spans="3:3">
      <c r="C566" s="43"/>
    </row>
    <row r="567" ht="13.5" customHeight="1" spans="3:3">
      <c r="C567" s="43"/>
    </row>
    <row r="568" ht="13.5" customHeight="1" spans="3:3">
      <c r="C568" s="43"/>
    </row>
    <row r="569" ht="13.5" customHeight="1" spans="3:3">
      <c r="C569" s="43"/>
    </row>
    <row r="570" ht="13.5" customHeight="1" spans="3:3">
      <c r="C570" s="43"/>
    </row>
    <row r="571" ht="13.5" customHeight="1" spans="3:3">
      <c r="C571" s="43"/>
    </row>
    <row r="572" ht="13.5" customHeight="1" spans="3:3">
      <c r="C572" s="43"/>
    </row>
    <row r="573" ht="13.5" customHeight="1" spans="3:3">
      <c r="C573" s="43"/>
    </row>
    <row r="574" ht="13.5" customHeight="1" spans="3:3">
      <c r="C574" s="43"/>
    </row>
    <row r="575" ht="13.5" customHeight="1" spans="3:3">
      <c r="C575" s="43"/>
    </row>
    <row r="576" ht="13.5" customHeight="1" spans="3:3">
      <c r="C576" s="43"/>
    </row>
    <row r="577" ht="13.5" customHeight="1" spans="3:3">
      <c r="C577" s="43"/>
    </row>
    <row r="578" ht="13.5" customHeight="1" spans="3:3">
      <c r="C578" s="43"/>
    </row>
    <row r="579" ht="13.5" customHeight="1" spans="3:3">
      <c r="C579" s="43"/>
    </row>
    <row r="580" ht="13.5" customHeight="1" spans="3:3">
      <c r="C580" s="43"/>
    </row>
    <row r="581" ht="13.5" customHeight="1" spans="3:3">
      <c r="C581" s="43"/>
    </row>
    <row r="582" ht="13.5" customHeight="1" spans="3:3">
      <c r="C582" s="43"/>
    </row>
    <row r="583" ht="13.5" customHeight="1" spans="3:3">
      <c r="C583" s="43"/>
    </row>
    <row r="584" ht="13.5" customHeight="1" spans="3:3">
      <c r="C584" s="43"/>
    </row>
    <row r="585" ht="13.5" customHeight="1" spans="3:3">
      <c r="C585" s="43"/>
    </row>
    <row r="586" ht="13.5" customHeight="1" spans="3:3">
      <c r="C586" s="43"/>
    </row>
    <row r="587" ht="13.5" customHeight="1" spans="3:3">
      <c r="C587" s="43"/>
    </row>
    <row r="588" ht="13.5" customHeight="1" spans="3:3">
      <c r="C588" s="43"/>
    </row>
    <row r="589" ht="13.5" customHeight="1" spans="3:3">
      <c r="C589" s="43"/>
    </row>
    <row r="590" ht="13.5" customHeight="1" spans="3:3">
      <c r="C590" s="43"/>
    </row>
    <row r="591" ht="13.5" customHeight="1" spans="3:3">
      <c r="C591" s="43"/>
    </row>
    <row r="592" ht="13.5" customHeight="1" spans="3:3">
      <c r="C592" s="43"/>
    </row>
    <row r="593" ht="13.5" customHeight="1" spans="3:3">
      <c r="C593" s="43"/>
    </row>
    <row r="594" ht="13.5" customHeight="1" spans="3:3">
      <c r="C594" s="43"/>
    </row>
    <row r="595" ht="13.5" customHeight="1" spans="3:3">
      <c r="C595" s="43"/>
    </row>
    <row r="596" ht="13.5" customHeight="1" spans="3:3">
      <c r="C596" s="43"/>
    </row>
    <row r="597" ht="13.5" customHeight="1" spans="3:3">
      <c r="C597" s="43"/>
    </row>
    <row r="598" ht="13.5" customHeight="1" spans="3:3">
      <c r="C598" s="43"/>
    </row>
    <row r="599" ht="13.5" customHeight="1" spans="3:3">
      <c r="C599" s="43"/>
    </row>
    <row r="600" ht="13.5" customHeight="1" spans="3:3">
      <c r="C600" s="43"/>
    </row>
    <row r="601" ht="13.5" customHeight="1" spans="3:3">
      <c r="C601" s="43"/>
    </row>
    <row r="602" ht="13.5" customHeight="1" spans="3:3">
      <c r="C602" s="43"/>
    </row>
    <row r="603" ht="13.5" customHeight="1" spans="3:3">
      <c r="C603" s="43"/>
    </row>
    <row r="604" ht="13.5" customHeight="1" spans="3:3">
      <c r="C604" s="43"/>
    </row>
    <row r="605" ht="13.5" customHeight="1" spans="3:3">
      <c r="C605" s="43"/>
    </row>
    <row r="606" ht="13.5" customHeight="1" spans="3:3">
      <c r="C606" s="43"/>
    </row>
    <row r="607" ht="13.5" customHeight="1" spans="3:3">
      <c r="C607" s="43"/>
    </row>
    <row r="608" ht="13.5" customHeight="1" spans="3:3">
      <c r="C608" s="43"/>
    </row>
    <row r="609" ht="13.5" customHeight="1" spans="3:3">
      <c r="C609" s="43"/>
    </row>
    <row r="610" ht="13.5" customHeight="1" spans="3:3">
      <c r="C610" s="43"/>
    </row>
    <row r="611" ht="13.5" customHeight="1" spans="3:3">
      <c r="C611" s="43"/>
    </row>
    <row r="612" ht="13.5" customHeight="1" spans="3:3">
      <c r="C612" s="43"/>
    </row>
    <row r="613" ht="13.5" customHeight="1" spans="3:3">
      <c r="C613" s="43"/>
    </row>
    <row r="614" ht="13.5" customHeight="1" spans="3:3">
      <c r="C614" s="43"/>
    </row>
    <row r="615" ht="13.5" customHeight="1" spans="3:3">
      <c r="C615" s="43"/>
    </row>
    <row r="616" ht="13.5" customHeight="1" spans="3:3">
      <c r="C616" s="43"/>
    </row>
    <row r="617" ht="13.5" customHeight="1" spans="3:3">
      <c r="C617" s="43"/>
    </row>
    <row r="618" ht="13.5" customHeight="1" spans="3:3">
      <c r="C618" s="43"/>
    </row>
    <row r="619" ht="13.5" customHeight="1" spans="3:3">
      <c r="C619" s="43"/>
    </row>
    <row r="620" ht="13.5" customHeight="1" spans="3:3">
      <c r="C620" s="43"/>
    </row>
    <row r="621" ht="13.5" customHeight="1" spans="3:3">
      <c r="C621" s="43"/>
    </row>
    <row r="622" ht="13.5" customHeight="1" spans="3:3">
      <c r="C622" s="43"/>
    </row>
    <row r="623" ht="13.5" customHeight="1" spans="3:3">
      <c r="C623" s="43"/>
    </row>
    <row r="624" ht="13.5" customHeight="1" spans="3:3">
      <c r="C624" s="43"/>
    </row>
    <row r="625" ht="13.5" customHeight="1" spans="3:3">
      <c r="C625" s="43"/>
    </row>
    <row r="626" ht="13.5" customHeight="1" spans="3:3">
      <c r="C626" s="43"/>
    </row>
    <row r="627" ht="13.5" customHeight="1" spans="3:3">
      <c r="C627" s="43"/>
    </row>
    <row r="628" ht="13.5" customHeight="1" spans="3:3">
      <c r="C628" s="43"/>
    </row>
    <row r="629" ht="13.5" customHeight="1" spans="3:3">
      <c r="C629" s="43"/>
    </row>
    <row r="630" ht="13.5" customHeight="1" spans="3:3">
      <c r="C630" s="43"/>
    </row>
    <row r="631" ht="13.5" customHeight="1" spans="3:3">
      <c r="C631" s="43"/>
    </row>
    <row r="632" ht="13.5" customHeight="1" spans="3:3">
      <c r="C632" s="43"/>
    </row>
    <row r="633" ht="13.5" customHeight="1" spans="3:3">
      <c r="C633" s="43"/>
    </row>
    <row r="634" ht="13.5" customHeight="1" spans="3:3">
      <c r="C634" s="43"/>
    </row>
    <row r="635" ht="13.5" customHeight="1" spans="3:3">
      <c r="C635" s="43"/>
    </row>
    <row r="636" ht="13.5" customHeight="1" spans="3:3">
      <c r="C636" s="43"/>
    </row>
    <row r="637" ht="13.5" customHeight="1" spans="3:3">
      <c r="C637" s="43"/>
    </row>
    <row r="638" ht="13.5" customHeight="1" spans="3:3">
      <c r="C638" s="43"/>
    </row>
    <row r="639" ht="13.5" customHeight="1" spans="3:3">
      <c r="C639" s="43"/>
    </row>
    <row r="640" ht="13.5" customHeight="1" spans="3:3">
      <c r="C640" s="43"/>
    </row>
    <row r="641" ht="13.5" customHeight="1" spans="3:3">
      <c r="C641" s="43"/>
    </row>
    <row r="642" ht="13.5" customHeight="1" spans="3:3">
      <c r="C642" s="43"/>
    </row>
    <row r="643" ht="13.5" customHeight="1" spans="3:3">
      <c r="C643" s="43"/>
    </row>
    <row r="644" ht="13.5" customHeight="1" spans="3:3">
      <c r="C644" s="43"/>
    </row>
    <row r="645" ht="13.5" customHeight="1" spans="3:3">
      <c r="C645" s="43"/>
    </row>
    <row r="646" ht="13.5" customHeight="1" spans="3:3">
      <c r="C646" s="43"/>
    </row>
    <row r="647" ht="13.5" customHeight="1" spans="3:3">
      <c r="C647" s="43"/>
    </row>
    <row r="648" ht="13.5" customHeight="1" spans="3:3">
      <c r="C648" s="43"/>
    </row>
    <row r="649" ht="13.5" customHeight="1" spans="3:3">
      <c r="C649" s="43"/>
    </row>
    <row r="650" ht="13.5" customHeight="1" spans="3:3">
      <c r="C650" s="43"/>
    </row>
    <row r="651" ht="13.5" customHeight="1" spans="3:3">
      <c r="C651" s="43"/>
    </row>
    <row r="652" ht="13.5" customHeight="1" spans="3:3">
      <c r="C652" s="43"/>
    </row>
    <row r="653" ht="13.5" customHeight="1" spans="3:3">
      <c r="C653" s="43"/>
    </row>
    <row r="654" ht="13.5" customHeight="1" spans="3:3">
      <c r="C654" s="43"/>
    </row>
    <row r="655" ht="13.5" customHeight="1" spans="3:3">
      <c r="C655" s="43"/>
    </row>
    <row r="656" ht="13.5" customHeight="1" spans="3:3">
      <c r="C656" s="43"/>
    </row>
    <row r="657" ht="13.5" customHeight="1" spans="3:3">
      <c r="C657" s="43"/>
    </row>
    <row r="658" ht="13.5" customHeight="1" spans="3:3">
      <c r="C658" s="43"/>
    </row>
    <row r="659" ht="13.5" customHeight="1" spans="3:3">
      <c r="C659" s="43"/>
    </row>
    <row r="660" ht="13.5" customHeight="1" spans="3:3">
      <c r="C660" s="43"/>
    </row>
    <row r="661" ht="13.5" customHeight="1" spans="3:3">
      <c r="C661" s="43"/>
    </row>
    <row r="662" ht="13.5" customHeight="1" spans="3:3">
      <c r="C662" s="43"/>
    </row>
    <row r="663" ht="13.5" customHeight="1" spans="3:3">
      <c r="C663" s="43"/>
    </row>
    <row r="664" ht="13.5" customHeight="1" spans="3:3">
      <c r="C664" s="43"/>
    </row>
    <row r="665" ht="13.5" customHeight="1" spans="3:3">
      <c r="C665" s="43"/>
    </row>
    <row r="666" ht="13.5" customHeight="1" spans="3:3">
      <c r="C666" s="43"/>
    </row>
    <row r="667" ht="13.5" customHeight="1" spans="3:3">
      <c r="C667" s="43"/>
    </row>
    <row r="668" ht="13.5" customHeight="1" spans="3:3">
      <c r="C668" s="43"/>
    </row>
    <row r="669" ht="13.5" customHeight="1" spans="3:3">
      <c r="C669" s="43"/>
    </row>
    <row r="670" ht="13.5" customHeight="1" spans="3:3">
      <c r="C670" s="43"/>
    </row>
    <row r="671" ht="13.5" customHeight="1" spans="3:3">
      <c r="C671" s="43"/>
    </row>
    <row r="672" ht="13.5" customHeight="1" spans="3:3">
      <c r="C672" s="43"/>
    </row>
    <row r="673" ht="13.5" customHeight="1" spans="3:3">
      <c r="C673" s="43"/>
    </row>
    <row r="674" ht="13.5" customHeight="1" spans="3:3">
      <c r="C674" s="43"/>
    </row>
    <row r="675" ht="13.5" customHeight="1" spans="3:3">
      <c r="C675" s="43"/>
    </row>
    <row r="676" ht="13.5" customHeight="1" spans="3:3">
      <c r="C676" s="43"/>
    </row>
    <row r="677" ht="13.5" customHeight="1" spans="3:3">
      <c r="C677" s="43"/>
    </row>
    <row r="678" ht="13.5" customHeight="1" spans="3:3">
      <c r="C678" s="43"/>
    </row>
    <row r="679" ht="13.5" customHeight="1" spans="3:3">
      <c r="C679" s="43"/>
    </row>
    <row r="680" ht="13.5" customHeight="1" spans="3:3">
      <c r="C680" s="43"/>
    </row>
    <row r="681" ht="13.5" customHeight="1" spans="3:3">
      <c r="C681" s="43"/>
    </row>
    <row r="682" ht="13.5" customHeight="1" spans="3:3">
      <c r="C682" s="43"/>
    </row>
    <row r="683" ht="13.5" customHeight="1" spans="3:3">
      <c r="C683" s="43"/>
    </row>
    <row r="684" ht="13.5" customHeight="1" spans="3:3">
      <c r="C684" s="43"/>
    </row>
    <row r="685" ht="13.5" customHeight="1" spans="3:3">
      <c r="C685" s="43"/>
    </row>
    <row r="686" ht="13.5" customHeight="1" spans="3:3">
      <c r="C686" s="43"/>
    </row>
    <row r="687" ht="13.5" customHeight="1" spans="3:3">
      <c r="C687" s="43"/>
    </row>
    <row r="688" ht="13.5" customHeight="1" spans="3:3">
      <c r="C688" s="43"/>
    </row>
    <row r="689" ht="13.5" customHeight="1" spans="3:3">
      <c r="C689" s="43"/>
    </row>
    <row r="690" ht="13.5" customHeight="1" spans="3:3">
      <c r="C690" s="43"/>
    </row>
    <row r="691" ht="13.5" customHeight="1" spans="3:3">
      <c r="C691" s="43"/>
    </row>
    <row r="692" ht="13.5" customHeight="1" spans="3:3">
      <c r="C692" s="43"/>
    </row>
    <row r="693" ht="13.5" customHeight="1" spans="3:3">
      <c r="C693" s="43"/>
    </row>
    <row r="694" ht="13.5" customHeight="1" spans="3:3">
      <c r="C694" s="43"/>
    </row>
    <row r="695" ht="13.5" customHeight="1" spans="3:3">
      <c r="C695" s="43"/>
    </row>
    <row r="696" ht="13.5" customHeight="1" spans="3:3">
      <c r="C696" s="43"/>
    </row>
    <row r="697" ht="13.5" customHeight="1" spans="3:3">
      <c r="C697" s="43"/>
    </row>
    <row r="698" ht="13.5" customHeight="1" spans="3:3">
      <c r="C698" s="43"/>
    </row>
    <row r="699" ht="13.5" customHeight="1" spans="3:3">
      <c r="C699" s="43"/>
    </row>
    <row r="700" ht="13.5" customHeight="1" spans="3:3">
      <c r="C700" s="43"/>
    </row>
    <row r="701" ht="13.5" customHeight="1" spans="3:3">
      <c r="C701" s="43"/>
    </row>
    <row r="702" ht="13.5" customHeight="1" spans="3:3">
      <c r="C702" s="43"/>
    </row>
    <row r="703" ht="13.5" customHeight="1" spans="3:3">
      <c r="C703" s="43"/>
    </row>
    <row r="704" ht="13.5" customHeight="1" spans="3:3">
      <c r="C704" s="43"/>
    </row>
    <row r="705" ht="13.5" customHeight="1" spans="3:3">
      <c r="C705" s="43"/>
    </row>
    <row r="706" ht="13.5" customHeight="1" spans="3:3">
      <c r="C706" s="43"/>
    </row>
    <row r="707" ht="13.5" customHeight="1" spans="3:3">
      <c r="C707" s="43"/>
    </row>
    <row r="708" ht="13.5" customHeight="1" spans="3:3">
      <c r="C708" s="43"/>
    </row>
    <row r="709" ht="13.5" customHeight="1" spans="3:3">
      <c r="C709" s="43"/>
    </row>
    <row r="710" ht="13.5" customHeight="1" spans="3:3">
      <c r="C710" s="43"/>
    </row>
    <row r="711" ht="13.5" customHeight="1" spans="3:3">
      <c r="C711" s="43"/>
    </row>
    <row r="712" ht="13.5" customHeight="1" spans="3:3">
      <c r="C712" s="43"/>
    </row>
    <row r="713" ht="13.5" customHeight="1" spans="3:3">
      <c r="C713" s="43"/>
    </row>
    <row r="714" ht="13.5" customHeight="1" spans="3:3">
      <c r="C714" s="43"/>
    </row>
    <row r="715" ht="13.5" customHeight="1" spans="3:3">
      <c r="C715" s="43"/>
    </row>
    <row r="716" ht="13.5" customHeight="1" spans="3:3">
      <c r="C716" s="43"/>
    </row>
    <row r="717" ht="13.5" customHeight="1" spans="3:3">
      <c r="C717" s="43"/>
    </row>
    <row r="718" ht="13.5" customHeight="1" spans="3:3">
      <c r="C718" s="43"/>
    </row>
    <row r="719" ht="13.5" customHeight="1" spans="3:3">
      <c r="C719" s="43"/>
    </row>
    <row r="720" ht="13.5" customHeight="1" spans="3:3">
      <c r="C720" s="43"/>
    </row>
    <row r="721" ht="13.5" customHeight="1" spans="3:3">
      <c r="C721" s="43"/>
    </row>
    <row r="722" ht="13.5" customHeight="1" spans="3:3">
      <c r="C722" s="43"/>
    </row>
    <row r="723" ht="13.5" customHeight="1" spans="3:3">
      <c r="C723" s="43"/>
    </row>
    <row r="724" ht="13.5" customHeight="1" spans="3:3">
      <c r="C724" s="43"/>
    </row>
    <row r="725" ht="13.5" customHeight="1" spans="3:3">
      <c r="C725" s="43"/>
    </row>
    <row r="726" ht="13.5" customHeight="1" spans="3:3">
      <c r="C726" s="43"/>
    </row>
    <row r="727" ht="13.5" customHeight="1" spans="3:3">
      <c r="C727" s="43"/>
    </row>
    <row r="728" ht="13.5" customHeight="1" spans="3:3">
      <c r="C728" s="43"/>
    </row>
    <row r="729" ht="13.5" customHeight="1" spans="3:3">
      <c r="C729" s="43"/>
    </row>
    <row r="730" ht="13.5" customHeight="1" spans="3:3">
      <c r="C730" s="43"/>
    </row>
    <row r="731" ht="13.5" customHeight="1" spans="3:3">
      <c r="C731" s="43"/>
    </row>
    <row r="732" ht="13.5" customHeight="1" spans="3:3">
      <c r="C732" s="43"/>
    </row>
    <row r="733" ht="13.5" customHeight="1" spans="3:3">
      <c r="C733" s="43"/>
    </row>
    <row r="734" ht="13.5" customHeight="1" spans="3:3">
      <c r="C734" s="43"/>
    </row>
    <row r="735" ht="13.5" customHeight="1" spans="3:3">
      <c r="C735" s="43"/>
    </row>
    <row r="736" ht="13.5" customHeight="1" spans="3:3">
      <c r="C736" s="43"/>
    </row>
    <row r="737" ht="13.5" customHeight="1" spans="3:3">
      <c r="C737" s="43"/>
    </row>
    <row r="738" ht="13.5" customHeight="1" spans="3:3">
      <c r="C738" s="43"/>
    </row>
    <row r="739" ht="13.5" customHeight="1" spans="3:3">
      <c r="C739" s="43"/>
    </row>
    <row r="740" ht="13.5" customHeight="1" spans="3:3">
      <c r="C740" s="43"/>
    </row>
    <row r="741" ht="13.5" customHeight="1" spans="3:3">
      <c r="C741" s="43"/>
    </row>
    <row r="742" ht="13.5" customHeight="1" spans="3:3">
      <c r="C742" s="43"/>
    </row>
    <row r="743" ht="13.5" customHeight="1" spans="3:3">
      <c r="C743" s="43"/>
    </row>
    <row r="744" ht="13.5" customHeight="1" spans="3:3">
      <c r="C744" s="43"/>
    </row>
    <row r="745" ht="13.5" customHeight="1" spans="3:3">
      <c r="C745" s="43"/>
    </row>
    <row r="746" ht="13.5" customHeight="1" spans="3:3">
      <c r="C746" s="43"/>
    </row>
    <row r="747" ht="13.5" customHeight="1" spans="3:3">
      <c r="C747" s="43"/>
    </row>
    <row r="748" ht="13.5" customHeight="1" spans="3:3">
      <c r="C748" s="43"/>
    </row>
    <row r="749" ht="13.5" customHeight="1" spans="3:3">
      <c r="C749" s="43"/>
    </row>
    <row r="750" ht="13.5" customHeight="1" spans="3:3">
      <c r="C750" s="43"/>
    </row>
    <row r="751" ht="13.5" customHeight="1" spans="3:3">
      <c r="C751" s="43"/>
    </row>
    <row r="752" ht="13.5" customHeight="1" spans="3:3">
      <c r="C752" s="43"/>
    </row>
    <row r="753" ht="13.5" customHeight="1" spans="3:3">
      <c r="C753" s="43"/>
    </row>
    <row r="754" ht="13.5" customHeight="1" spans="3:3">
      <c r="C754" s="43"/>
    </row>
    <row r="755" ht="13.5" customHeight="1" spans="3:3">
      <c r="C755" s="43"/>
    </row>
    <row r="756" ht="13.5" customHeight="1" spans="3:3">
      <c r="C756" s="43"/>
    </row>
    <row r="757" ht="13.5" customHeight="1" spans="3:3">
      <c r="C757" s="43"/>
    </row>
    <row r="758" ht="13.5" customHeight="1" spans="3:3">
      <c r="C758" s="43"/>
    </row>
    <row r="759" ht="13.5" customHeight="1" spans="3:3">
      <c r="C759" s="43"/>
    </row>
    <row r="760" ht="13.5" customHeight="1" spans="3:3">
      <c r="C760" s="43"/>
    </row>
    <row r="761" ht="13.5" customHeight="1" spans="3:3">
      <c r="C761" s="43"/>
    </row>
    <row r="762" ht="13.5" customHeight="1" spans="3:3">
      <c r="C762" s="43"/>
    </row>
    <row r="763" ht="13.5" customHeight="1" spans="3:3">
      <c r="C763" s="43"/>
    </row>
    <row r="764" ht="13.5" customHeight="1" spans="3:3">
      <c r="C764" s="43"/>
    </row>
    <row r="765" ht="13.5" customHeight="1" spans="3:3">
      <c r="C765" s="43"/>
    </row>
    <row r="766" ht="13.5" customHeight="1" spans="3:3">
      <c r="C766" s="43"/>
    </row>
    <row r="767" ht="13.5" customHeight="1" spans="3:3">
      <c r="C767" s="43"/>
    </row>
    <row r="768" ht="13.5" customHeight="1" spans="3:3">
      <c r="C768" s="43"/>
    </row>
    <row r="769" ht="13.5" customHeight="1" spans="3:3">
      <c r="C769" s="43"/>
    </row>
    <row r="770" ht="13.5" customHeight="1" spans="3:3">
      <c r="C770" s="43"/>
    </row>
    <row r="771" ht="13.5" customHeight="1" spans="3:3">
      <c r="C771" s="43"/>
    </row>
    <row r="772" ht="13.5" customHeight="1" spans="3:3">
      <c r="C772" s="43"/>
    </row>
    <row r="773" ht="13.5" customHeight="1" spans="3:3">
      <c r="C773" s="43"/>
    </row>
    <row r="774" ht="13.5" customHeight="1" spans="3:3">
      <c r="C774" s="43"/>
    </row>
    <row r="775" ht="13.5" customHeight="1" spans="3:3">
      <c r="C775" s="43"/>
    </row>
    <row r="776" ht="13.5" customHeight="1" spans="3:3">
      <c r="C776" s="43"/>
    </row>
    <row r="777" ht="13.5" customHeight="1" spans="3:3">
      <c r="C777" s="43"/>
    </row>
    <row r="778" ht="13.5" customHeight="1" spans="3:3">
      <c r="C778" s="43"/>
    </row>
    <row r="779" ht="13.5" customHeight="1" spans="3:3">
      <c r="C779" s="43"/>
    </row>
    <row r="780" ht="13.5" customHeight="1" spans="3:3">
      <c r="C780" s="43"/>
    </row>
    <row r="781" ht="13.5" customHeight="1" spans="3:3">
      <c r="C781" s="43"/>
    </row>
    <row r="782" ht="13.5" customHeight="1" spans="3:3">
      <c r="C782" s="43"/>
    </row>
    <row r="783" ht="13.5" customHeight="1" spans="3:3">
      <c r="C783" s="43"/>
    </row>
    <row r="784" ht="13.5" customHeight="1" spans="3:3">
      <c r="C784" s="43"/>
    </row>
    <row r="785" ht="13.5" customHeight="1" spans="3:3">
      <c r="C785" s="43"/>
    </row>
    <row r="786" ht="13.5" customHeight="1" spans="3:3">
      <c r="C786" s="43"/>
    </row>
    <row r="787" ht="13.5" customHeight="1" spans="3:3">
      <c r="C787" s="43"/>
    </row>
    <row r="788" ht="13.5" customHeight="1" spans="3:3">
      <c r="C788" s="43"/>
    </row>
    <row r="789" ht="13.5" customHeight="1" spans="3:3">
      <c r="C789" s="43"/>
    </row>
    <row r="790" ht="13.5" customHeight="1" spans="3:3">
      <c r="C790" s="43"/>
    </row>
    <row r="791" ht="13.5" customHeight="1" spans="3:3">
      <c r="C791" s="43"/>
    </row>
    <row r="792" ht="13.5" customHeight="1" spans="3:3">
      <c r="C792" s="43"/>
    </row>
    <row r="793" ht="13.5" customHeight="1" spans="3:3">
      <c r="C793" s="43"/>
    </row>
    <row r="794" ht="13.5" customHeight="1" spans="3:3">
      <c r="C794" s="43"/>
    </row>
    <row r="795" ht="13.5" customHeight="1" spans="3:3">
      <c r="C795" s="43"/>
    </row>
    <row r="796" ht="13.5" customHeight="1" spans="3:3">
      <c r="C796" s="43"/>
    </row>
    <row r="797" ht="13.5" customHeight="1" spans="3:3">
      <c r="C797" s="43"/>
    </row>
    <row r="798" ht="13.5" customHeight="1" spans="3:3">
      <c r="C798" s="43"/>
    </row>
    <row r="799" ht="13.5" customHeight="1" spans="3:3">
      <c r="C799" s="43"/>
    </row>
    <row r="800" ht="13.5" customHeight="1" spans="3:3">
      <c r="C800" s="43"/>
    </row>
    <row r="801" ht="13.5" customHeight="1" spans="3:3">
      <c r="C801" s="43"/>
    </row>
    <row r="802" ht="13.5" customHeight="1" spans="3:3">
      <c r="C802" s="43"/>
    </row>
    <row r="803" ht="13.5" customHeight="1" spans="3:3">
      <c r="C803" s="43"/>
    </row>
    <row r="804" ht="13.5" customHeight="1" spans="3:3">
      <c r="C804" s="43"/>
    </row>
    <row r="805" ht="13.5" customHeight="1" spans="3:3">
      <c r="C805" s="43"/>
    </row>
    <row r="806" ht="13.5" customHeight="1" spans="3:3">
      <c r="C806" s="43"/>
    </row>
    <row r="807" ht="13.5" customHeight="1" spans="3:3">
      <c r="C807" s="43"/>
    </row>
    <row r="808" ht="13.5" customHeight="1" spans="3:3">
      <c r="C808" s="43"/>
    </row>
    <row r="809" ht="13.5" customHeight="1" spans="3:3">
      <c r="C809" s="43"/>
    </row>
    <row r="810" ht="13.5" customHeight="1" spans="3:3">
      <c r="C810" s="43"/>
    </row>
    <row r="811" ht="13.5" customHeight="1" spans="3:3">
      <c r="C811" s="43"/>
    </row>
    <row r="812" ht="13.5" customHeight="1" spans="3:3">
      <c r="C812" s="43"/>
    </row>
    <row r="813" ht="13.5" customHeight="1" spans="3:3">
      <c r="C813" s="43"/>
    </row>
    <row r="814" ht="13.5" customHeight="1" spans="3:3">
      <c r="C814" s="43"/>
    </row>
    <row r="815" ht="13.5" customHeight="1" spans="3:3">
      <c r="C815" s="43"/>
    </row>
    <row r="816" ht="13.5" customHeight="1" spans="3:3">
      <c r="C816" s="43"/>
    </row>
    <row r="817" ht="13.5" customHeight="1" spans="3:3">
      <c r="C817" s="43"/>
    </row>
    <row r="818" ht="13.5" customHeight="1" spans="3:3">
      <c r="C818" s="43"/>
    </row>
    <row r="819" ht="13.5" customHeight="1" spans="3:3">
      <c r="C819" s="43"/>
    </row>
    <row r="820" ht="13.5" customHeight="1" spans="3:3">
      <c r="C820" s="43"/>
    </row>
    <row r="821" ht="13.5" customHeight="1" spans="3:3">
      <c r="C821" s="43"/>
    </row>
    <row r="822" ht="13.5" customHeight="1" spans="3:3">
      <c r="C822" s="43"/>
    </row>
    <row r="823" ht="13.5" customHeight="1" spans="3:3">
      <c r="C823" s="43"/>
    </row>
    <row r="824" ht="13.5" customHeight="1" spans="3:3">
      <c r="C824" s="43"/>
    </row>
    <row r="825" ht="13.5" customHeight="1" spans="3:3">
      <c r="C825" s="43"/>
    </row>
    <row r="826" ht="13.5" customHeight="1" spans="3:3">
      <c r="C826" s="43"/>
    </row>
    <row r="827" ht="13.5" customHeight="1" spans="3:3">
      <c r="C827" s="43"/>
    </row>
    <row r="828" ht="13.5" customHeight="1" spans="3:3">
      <c r="C828" s="43"/>
    </row>
    <row r="829" ht="13.5" customHeight="1" spans="3:3">
      <c r="C829" s="43"/>
    </row>
    <row r="830" ht="13.5" customHeight="1" spans="3:3">
      <c r="C830" s="43"/>
    </row>
    <row r="831" ht="13.5" customHeight="1" spans="3:3">
      <c r="C831" s="43"/>
    </row>
    <row r="832" ht="13.5" customHeight="1" spans="3:3">
      <c r="C832" s="43"/>
    </row>
    <row r="833" ht="13.5" customHeight="1" spans="3:3">
      <c r="C833" s="43"/>
    </row>
    <row r="834" ht="13.5" customHeight="1" spans="3:3">
      <c r="C834" s="43"/>
    </row>
    <row r="835" ht="13.5" customHeight="1" spans="3:3">
      <c r="C835" s="43"/>
    </row>
    <row r="836" ht="13.5" customHeight="1" spans="3:3">
      <c r="C836" s="43"/>
    </row>
    <row r="837" ht="13.5" customHeight="1" spans="3:3">
      <c r="C837" s="43"/>
    </row>
    <row r="838" ht="13.5" customHeight="1" spans="3:3">
      <c r="C838" s="43"/>
    </row>
    <row r="839" ht="13.5" customHeight="1" spans="3:3">
      <c r="C839" s="43"/>
    </row>
    <row r="840" ht="13.5" customHeight="1" spans="3:3">
      <c r="C840" s="43"/>
    </row>
    <row r="841" ht="13.5" customHeight="1" spans="3:3">
      <c r="C841" s="43"/>
    </row>
    <row r="842" ht="13.5" customHeight="1" spans="3:3">
      <c r="C842" s="43"/>
    </row>
    <row r="843" ht="13.5" customHeight="1" spans="3:3">
      <c r="C843" s="43"/>
    </row>
    <row r="844" ht="13.5" customHeight="1" spans="3:3">
      <c r="C844" s="43"/>
    </row>
    <row r="845" ht="13.5" customHeight="1" spans="3:3">
      <c r="C845" s="43"/>
    </row>
    <row r="846" ht="13.5" customHeight="1" spans="3:3">
      <c r="C846" s="43"/>
    </row>
    <row r="847" ht="13.5" customHeight="1" spans="3:3">
      <c r="C847" s="43"/>
    </row>
    <row r="848" ht="13.5" customHeight="1" spans="3:3">
      <c r="C848" s="43"/>
    </row>
    <row r="849" ht="13.5" customHeight="1" spans="3:3">
      <c r="C849" s="43"/>
    </row>
    <row r="850" ht="13.5" customHeight="1" spans="3:3">
      <c r="C850" s="43"/>
    </row>
    <row r="851" ht="13.5" customHeight="1" spans="3:3">
      <c r="C851" s="43"/>
    </row>
    <row r="852" ht="13.5" customHeight="1" spans="3:3">
      <c r="C852" s="43"/>
    </row>
    <row r="853" ht="13.5" customHeight="1" spans="3:3">
      <c r="C853" s="43"/>
    </row>
    <row r="854" ht="13.5" customHeight="1" spans="3:3">
      <c r="C854" s="43"/>
    </row>
    <row r="855" ht="13.5" customHeight="1" spans="3:3">
      <c r="C855" s="43"/>
    </row>
    <row r="856" ht="13.5" customHeight="1" spans="3:3">
      <c r="C856" s="43"/>
    </row>
    <row r="857" ht="13.5" customHeight="1" spans="3:3">
      <c r="C857" s="43"/>
    </row>
    <row r="858" ht="13.5" customHeight="1" spans="3:3">
      <c r="C858" s="43"/>
    </row>
    <row r="859" ht="13.5" customHeight="1" spans="3:3">
      <c r="C859" s="43"/>
    </row>
    <row r="860" ht="13.5" customHeight="1" spans="3:3">
      <c r="C860" s="43"/>
    </row>
    <row r="861" ht="13.5" customHeight="1" spans="3:3">
      <c r="C861" s="43"/>
    </row>
    <row r="862" ht="13.5" customHeight="1" spans="3:3">
      <c r="C862" s="43"/>
    </row>
    <row r="863" ht="13.5" customHeight="1" spans="3:3">
      <c r="C863" s="43"/>
    </row>
    <row r="864" ht="13.5" customHeight="1" spans="3:3">
      <c r="C864" s="43"/>
    </row>
    <row r="865" ht="13.5" customHeight="1" spans="3:3">
      <c r="C865" s="43"/>
    </row>
    <row r="866" ht="13.5" customHeight="1" spans="3:3">
      <c r="C866" s="43"/>
    </row>
    <row r="867" ht="13.5" customHeight="1" spans="3:3">
      <c r="C867" s="43"/>
    </row>
    <row r="868" ht="13.5" customHeight="1" spans="3:3">
      <c r="C868" s="43"/>
    </row>
    <row r="869" ht="13.5" customHeight="1" spans="3:3">
      <c r="C869" s="43"/>
    </row>
    <row r="870" ht="13.5" customHeight="1" spans="3:3">
      <c r="C870" s="43"/>
    </row>
    <row r="871" ht="13.5" customHeight="1" spans="3:3">
      <c r="C871" s="43"/>
    </row>
    <row r="872" ht="13.5" customHeight="1" spans="3:3">
      <c r="C872" s="43"/>
    </row>
    <row r="873" ht="13.5" customHeight="1" spans="3:3">
      <c r="C873" s="43"/>
    </row>
    <row r="874" ht="13.5" customHeight="1" spans="3:3">
      <c r="C874" s="43"/>
    </row>
    <row r="875" ht="13.5" customHeight="1" spans="3:3">
      <c r="C875" s="43"/>
    </row>
    <row r="876" ht="13.5" customHeight="1" spans="3:3">
      <c r="C876" s="43"/>
    </row>
    <row r="877" ht="13.5" customHeight="1" spans="3:3">
      <c r="C877" s="43"/>
    </row>
    <row r="878" ht="13.5" customHeight="1" spans="3:3">
      <c r="C878" s="43"/>
    </row>
    <row r="879" ht="13.5" customHeight="1" spans="3:3">
      <c r="C879" s="43"/>
    </row>
    <row r="880" ht="13.5" customHeight="1" spans="3:3">
      <c r="C880" s="43"/>
    </row>
    <row r="881" ht="13.5" customHeight="1" spans="3:3">
      <c r="C881" s="43"/>
    </row>
    <row r="882" ht="13.5" customHeight="1" spans="3:3">
      <c r="C882" s="43"/>
    </row>
    <row r="883" ht="13.5" customHeight="1" spans="3:3">
      <c r="C883" s="43"/>
    </row>
    <row r="884" ht="13.5" customHeight="1" spans="3:3">
      <c r="C884" s="43"/>
    </row>
    <row r="885" ht="13.5" customHeight="1" spans="3:3">
      <c r="C885" s="43"/>
    </row>
    <row r="886" ht="13.5" customHeight="1" spans="3:3">
      <c r="C886" s="43"/>
    </row>
    <row r="887" ht="13.5" customHeight="1" spans="3:3">
      <c r="C887" s="43"/>
    </row>
    <row r="888" ht="13.5" customHeight="1" spans="3:3">
      <c r="C888" s="43"/>
    </row>
    <row r="889" ht="13.5" customHeight="1" spans="3:3">
      <c r="C889" s="43"/>
    </row>
    <row r="890" ht="13.5" customHeight="1" spans="3:3">
      <c r="C890" s="43"/>
    </row>
    <row r="891" ht="13.5" customHeight="1" spans="3:3">
      <c r="C891" s="43"/>
    </row>
    <row r="892" ht="13.5" customHeight="1" spans="3:3">
      <c r="C892" s="43"/>
    </row>
    <row r="893" ht="13.5" customHeight="1" spans="3:3">
      <c r="C893" s="43"/>
    </row>
    <row r="894" ht="13.5" customHeight="1" spans="3:3">
      <c r="C894" s="43"/>
    </row>
    <row r="895" ht="13.5" customHeight="1" spans="3:3">
      <c r="C895" s="43"/>
    </row>
    <row r="896" ht="13.5" customHeight="1" spans="3:3">
      <c r="C896" s="43"/>
    </row>
    <row r="897" ht="13.5" customHeight="1" spans="3:3">
      <c r="C897" s="43"/>
    </row>
    <row r="898" ht="13.5" customHeight="1" spans="3:3">
      <c r="C898" s="43"/>
    </row>
    <row r="899" ht="13.5" customHeight="1" spans="3:3">
      <c r="C899" s="43"/>
    </row>
    <row r="900" ht="13.5" customHeight="1" spans="3:3">
      <c r="C900" s="43"/>
    </row>
    <row r="901" ht="13.5" customHeight="1" spans="3:3">
      <c r="C901" s="43"/>
    </row>
    <row r="902" ht="13.5" customHeight="1" spans="3:3">
      <c r="C902" s="43"/>
    </row>
    <row r="903" ht="13.5" customHeight="1" spans="3:3">
      <c r="C903" s="43"/>
    </row>
    <row r="904" ht="13.5" customHeight="1" spans="3:3">
      <c r="C904" s="43"/>
    </row>
    <row r="905" ht="13.5" customHeight="1" spans="3:3">
      <c r="C905" s="43"/>
    </row>
    <row r="906" ht="13.5" customHeight="1" spans="3:3">
      <c r="C906" s="43"/>
    </row>
    <row r="907" ht="13.5" customHeight="1" spans="3:3">
      <c r="C907" s="43"/>
    </row>
    <row r="908" ht="13.5" customHeight="1" spans="3:3">
      <c r="C908" s="43"/>
    </row>
    <row r="909" ht="13.5" customHeight="1" spans="3:3">
      <c r="C909" s="43"/>
    </row>
    <row r="910" ht="13.5" customHeight="1" spans="3:3">
      <c r="C910" s="43"/>
    </row>
    <row r="911" ht="13.5" customHeight="1" spans="3:3">
      <c r="C911" s="43"/>
    </row>
    <row r="912" ht="13.5" customHeight="1" spans="3:3">
      <c r="C912" s="43"/>
    </row>
    <row r="913" ht="13.5" customHeight="1" spans="3:3">
      <c r="C913" s="43"/>
    </row>
    <row r="914" ht="13.5" customHeight="1" spans="3:3">
      <c r="C914" s="43"/>
    </row>
    <row r="915" ht="13.5" customHeight="1" spans="3:3">
      <c r="C915" s="43"/>
    </row>
    <row r="916" ht="13.5" customHeight="1" spans="3:3">
      <c r="C916" s="43"/>
    </row>
    <row r="917" ht="13.5" customHeight="1" spans="3:3">
      <c r="C917" s="43"/>
    </row>
    <row r="918" ht="13.5" customHeight="1" spans="3:3">
      <c r="C918" s="43"/>
    </row>
    <row r="919" ht="13.5" customHeight="1" spans="3:3">
      <c r="C919" s="43"/>
    </row>
    <row r="920" ht="13.5" customHeight="1" spans="3:3">
      <c r="C920" s="43"/>
    </row>
    <row r="921" ht="13.5" customHeight="1" spans="3:3">
      <c r="C921" s="43"/>
    </row>
    <row r="922" ht="13.5" customHeight="1" spans="3:3">
      <c r="C922" s="43"/>
    </row>
    <row r="923" ht="13.5" customHeight="1" spans="3:3">
      <c r="C923" s="43"/>
    </row>
    <row r="924" ht="13.5" customHeight="1" spans="3:3">
      <c r="C924" s="43"/>
    </row>
    <row r="925" ht="13.5" customHeight="1" spans="3:3">
      <c r="C925" s="43"/>
    </row>
    <row r="926" ht="13.5" customHeight="1" spans="3:3">
      <c r="C926" s="43"/>
    </row>
    <row r="927" ht="13.5" customHeight="1" spans="3:3">
      <c r="C927" s="43"/>
    </row>
    <row r="928" ht="13.5" customHeight="1" spans="3:3">
      <c r="C928" s="43"/>
    </row>
    <row r="929" ht="13.5" customHeight="1" spans="3:3">
      <c r="C929" s="43"/>
    </row>
    <row r="930" ht="13.5" customHeight="1" spans="3:3">
      <c r="C930" s="43"/>
    </row>
    <row r="931" ht="13.5" customHeight="1" spans="3:3">
      <c r="C931" s="43"/>
    </row>
    <row r="932" ht="13.5" customHeight="1" spans="3:3">
      <c r="C932" s="43"/>
    </row>
    <row r="933" ht="13.5" customHeight="1" spans="3:3">
      <c r="C933" s="43"/>
    </row>
    <row r="934" ht="13.5" customHeight="1" spans="3:3">
      <c r="C934" s="43"/>
    </row>
    <row r="935" ht="13.5" customHeight="1" spans="3:3">
      <c r="C935" s="43"/>
    </row>
    <row r="936" ht="13.5" customHeight="1" spans="3:3">
      <c r="C936" s="43"/>
    </row>
    <row r="937" ht="13.5" customHeight="1" spans="3:3">
      <c r="C937" s="43"/>
    </row>
    <row r="938" ht="13.5" customHeight="1" spans="3:3">
      <c r="C938" s="43"/>
    </row>
    <row r="939" ht="13.5" customHeight="1" spans="3:3">
      <c r="C939" s="43"/>
    </row>
    <row r="940" ht="13.5" customHeight="1" spans="3:3">
      <c r="C940" s="43"/>
    </row>
    <row r="941" ht="13.5" customHeight="1" spans="3:3">
      <c r="C941" s="43"/>
    </row>
    <row r="942" ht="13.5" customHeight="1" spans="3:3">
      <c r="C942" s="43"/>
    </row>
    <row r="943" ht="13.5" customHeight="1" spans="3:3">
      <c r="C943" s="43"/>
    </row>
    <row r="944" ht="13.5" customHeight="1" spans="3:3">
      <c r="C944" s="43"/>
    </row>
    <row r="945" ht="13.5" customHeight="1" spans="3:3">
      <c r="C945" s="43"/>
    </row>
    <row r="946" ht="13.5" customHeight="1" spans="3:3">
      <c r="C946" s="43"/>
    </row>
    <row r="947" ht="13.5" customHeight="1" spans="3:3">
      <c r="C947" s="43"/>
    </row>
    <row r="948" ht="13.5" customHeight="1" spans="3:3">
      <c r="C948" s="43"/>
    </row>
    <row r="949" ht="13.5" customHeight="1" spans="3:3">
      <c r="C949" s="43"/>
    </row>
    <row r="950" ht="13.5" customHeight="1" spans="3:3">
      <c r="C950" s="43"/>
    </row>
    <row r="951" ht="13.5" customHeight="1" spans="3:3">
      <c r="C951" s="43"/>
    </row>
    <row r="952" ht="13.5" customHeight="1" spans="3:3">
      <c r="C952" s="43"/>
    </row>
    <row r="953" ht="13.5" customHeight="1" spans="3:3">
      <c r="C953" s="43"/>
    </row>
    <row r="954" ht="13.5" customHeight="1" spans="3:3">
      <c r="C954" s="43"/>
    </row>
    <row r="955" ht="13.5" customHeight="1" spans="3:3">
      <c r="C955" s="43"/>
    </row>
    <row r="956" ht="13.5" customHeight="1" spans="3:3">
      <c r="C956" s="43"/>
    </row>
    <row r="957" ht="13.5" customHeight="1" spans="3:3">
      <c r="C957" s="43"/>
    </row>
    <row r="958" ht="13.5" customHeight="1" spans="3:3">
      <c r="C958" s="43"/>
    </row>
    <row r="959" ht="13.5" customHeight="1" spans="3:3">
      <c r="C959" s="43"/>
    </row>
    <row r="960" ht="13.5" customHeight="1" spans="3:3">
      <c r="C960" s="43"/>
    </row>
    <row r="961" ht="13.5" customHeight="1" spans="3:3">
      <c r="C961" s="43"/>
    </row>
    <row r="962" ht="13.5" customHeight="1" spans="3:3">
      <c r="C962" s="43"/>
    </row>
    <row r="963" ht="13.5" customHeight="1" spans="3:3">
      <c r="C963" s="43"/>
    </row>
    <row r="964" ht="13.5" customHeight="1" spans="3:3">
      <c r="C964" s="43"/>
    </row>
    <row r="965" ht="13.5" customHeight="1" spans="3:3">
      <c r="C965" s="43"/>
    </row>
    <row r="966" ht="13.5" customHeight="1" spans="3:3">
      <c r="C966" s="43"/>
    </row>
    <row r="967" ht="13.5" customHeight="1" spans="3:3">
      <c r="C967" s="43"/>
    </row>
    <row r="968" ht="13.5" customHeight="1" spans="3:3">
      <c r="C968" s="43"/>
    </row>
    <row r="969" ht="13.5" customHeight="1" spans="3:3">
      <c r="C969" s="43"/>
    </row>
    <row r="970" ht="13.5" customHeight="1" spans="3:3">
      <c r="C970" s="43"/>
    </row>
    <row r="971" ht="13.5" customHeight="1" spans="3:3">
      <c r="C971" s="43"/>
    </row>
    <row r="972" ht="13.5" customHeight="1" spans="3:3">
      <c r="C972" s="43"/>
    </row>
    <row r="973" ht="13.5" customHeight="1" spans="3:3">
      <c r="C973" s="43"/>
    </row>
    <row r="974" ht="13.5" customHeight="1" spans="3:3">
      <c r="C974" s="43"/>
    </row>
    <row r="975" ht="13.5" customHeight="1" spans="3:3">
      <c r="C975" s="43"/>
    </row>
    <row r="976" ht="13.5" customHeight="1" spans="3:3">
      <c r="C976" s="43"/>
    </row>
    <row r="977" ht="13.5" customHeight="1" spans="3:3">
      <c r="C977" s="43"/>
    </row>
    <row r="978" ht="13.5" customHeight="1" spans="3:3">
      <c r="C978" s="43"/>
    </row>
    <row r="979" ht="13.5" customHeight="1" spans="3:3">
      <c r="C979" s="43"/>
    </row>
    <row r="980" ht="13.5" customHeight="1" spans="3:3">
      <c r="C980" s="43"/>
    </row>
    <row r="981" ht="13.5" customHeight="1" spans="3:3">
      <c r="C981" s="43"/>
    </row>
    <row r="982" ht="13.5" customHeight="1" spans="3:3">
      <c r="C982" s="43"/>
    </row>
    <row r="983" ht="13.5" customHeight="1" spans="3:3">
      <c r="C983" s="43"/>
    </row>
    <row r="984" ht="13.5" customHeight="1" spans="3:3">
      <c r="C984" s="43"/>
    </row>
    <row r="985" ht="13.5" customHeight="1" spans="3:3">
      <c r="C985" s="43"/>
    </row>
    <row r="986" ht="13.5" customHeight="1" spans="3:3">
      <c r="C986" s="43"/>
    </row>
    <row r="987" ht="13.5" customHeight="1" spans="3:3">
      <c r="C987" s="43"/>
    </row>
    <row r="988" ht="13.5" customHeight="1" spans="3:3">
      <c r="C988" s="43"/>
    </row>
    <row r="989" ht="13.5" customHeight="1" spans="3:3">
      <c r="C989" s="43"/>
    </row>
    <row r="990" ht="13.5" customHeight="1" spans="3:3">
      <c r="C990" s="43"/>
    </row>
    <row r="991" ht="13.5" customHeight="1" spans="3:3">
      <c r="C991" s="43"/>
    </row>
    <row r="992" ht="13.5" customHeight="1" spans="3:3">
      <c r="C992" s="43"/>
    </row>
    <row r="993" ht="13.5" customHeight="1" spans="3:3">
      <c r="C993" s="43"/>
    </row>
    <row r="994" ht="13.5" customHeight="1" spans="3:3">
      <c r="C994" s="43"/>
    </row>
    <row r="995" ht="13.5" customHeight="1" spans="3:3">
      <c r="C995" s="43"/>
    </row>
    <row r="996" ht="13.5" customHeight="1" spans="3:3">
      <c r="C996" s="43"/>
    </row>
    <row r="997" ht="13.5" customHeight="1" spans="3:3">
      <c r="C997" s="43"/>
    </row>
    <row r="998" ht="13.5" customHeight="1" spans="3:3">
      <c r="C998" s="43"/>
    </row>
    <row r="999" ht="13.5" customHeight="1" spans="3:3">
      <c r="C999" s="43"/>
    </row>
    <row r="1000" ht="13.5" customHeight="1" spans="3:3">
      <c r="C1000" s="4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69"/>
  <sheetViews>
    <sheetView workbookViewId="0">
      <selection activeCell="C13" sqref="C13"/>
    </sheetView>
  </sheetViews>
  <sheetFormatPr defaultColWidth="9" defaultRowHeight="15"/>
  <cols>
    <col min="1" max="1" width="3.875" style="1" customWidth="1"/>
    <col min="2" max="2" width="5.75" style="1" customWidth="1"/>
    <col min="3" max="3" width="58.125" style="1" customWidth="1"/>
    <col min="4" max="4" width="9.875" style="1" customWidth="1"/>
    <col min="5" max="5" width="39.375" style="1" customWidth="1"/>
    <col min="6" max="6" width="63.375" style="1" customWidth="1"/>
    <col min="7" max="7" width="59.75" style="1" customWidth="1"/>
    <col min="8" max="16384" width="9" style="1"/>
  </cols>
  <sheetData>
    <row r="2" ht="18.75" spans="1:7">
      <c r="A2" s="6"/>
      <c r="B2" s="5" t="s">
        <v>3</v>
      </c>
      <c r="C2" s="6"/>
      <c r="D2" s="6"/>
      <c r="E2" s="6"/>
      <c r="F2" s="6"/>
      <c r="G2" s="6"/>
    </row>
    <row r="3" spans="1:7">
      <c r="A3" s="6"/>
      <c r="B3" s="6"/>
      <c r="C3" s="6"/>
      <c r="D3" s="6"/>
      <c r="E3" s="6"/>
      <c r="F3" s="6"/>
      <c r="G3" s="6"/>
    </row>
    <row r="4" spans="1:7">
      <c r="A4" s="27"/>
      <c r="B4" s="8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</row>
    <row r="5" spans="2:12">
      <c r="B5" s="28">
        <v>1</v>
      </c>
      <c r="C5" s="29" t="s">
        <v>10</v>
      </c>
      <c r="D5" s="29" t="s">
        <v>11</v>
      </c>
      <c r="E5" s="30" t="str">
        <f>HYPERLINK("http://msp2.sophia-s.co.jp/sp/mspf1369.html")</f>
        <v>http://msp2.sophia-s.co.jp/sp/mspf1369.html</v>
      </c>
      <c r="F5" s="31" t="str">
        <f>HYPERLINK("https://www3.test-mitsui-shopping-park.com/ec/sp/sitemap?uiel=Mobile")</f>
        <v>https://www3.test-mitsui-shopping-park.com/ec/sp/sitemap?uiel=Mobile</v>
      </c>
      <c r="G5" s="32" t="str">
        <f>HYPERLINK("https://mitsui-shopping-park.com/ec/sp/sitemap?uiel=Mobile")</f>
        <v>https://mitsui-shopping-park.com/ec/sp/sitemap?uiel=Mobile</v>
      </c>
      <c r="H5" s="33"/>
      <c r="L5" s="33"/>
    </row>
    <row r="6" spans="1:7">
      <c r="A6" s="6"/>
      <c r="B6" s="28">
        <v>2</v>
      </c>
      <c r="C6" s="29" t="s">
        <v>12</v>
      </c>
      <c r="D6" s="29" t="s">
        <v>13</v>
      </c>
      <c r="E6" s="34" t="str">
        <f>HYPERLINK("http://msp2.sophia-s.co.jp/sp/mspf1373.html")</f>
        <v>http://msp2.sophia-s.co.jp/sp/mspf1373.html</v>
      </c>
      <c r="F6" s="31" t="str">
        <f>HYPERLINK("https://www3.test-mitsui-shopping-park.com/ec/sp/terms?uiel=Mobile")</f>
        <v>https://www3.test-mitsui-shopping-park.com/ec/sp/terms?uiel=Mobile</v>
      </c>
      <c r="G6" s="32" t="str">
        <f>HYPERLINK("https://mitsui-shopping-park.com/ec/sp/terms?uiel=Mobile")</f>
        <v>https://mitsui-shopping-park.com/ec/sp/terms?uiel=Mobile</v>
      </c>
    </row>
    <row r="7" spans="1:7">
      <c r="A7" s="6"/>
      <c r="B7" s="28">
        <v>3</v>
      </c>
      <c r="C7" s="29" t="s">
        <v>14</v>
      </c>
      <c r="D7" s="29" t="s">
        <v>15</v>
      </c>
      <c r="E7" s="34" t="str">
        <f>HYPERLINK("http://msp2.sophia-s.co.jp/sp/mspf1375.html")</f>
        <v>http://msp2.sophia-s.co.jp/sp/mspf1375.html</v>
      </c>
      <c r="F7" s="31" t="str">
        <f>HYPERLINK("https://www3.test-mitsui-shopping-park.com/ec/sp/torihikihou?uiel=Mobile")</f>
        <v>https://www3.test-mitsui-shopping-park.com/ec/sp/torihikihou?uiel=Mobile</v>
      </c>
      <c r="G7" s="32" t="str">
        <f>HYPERLINK("https://mitsui-shopping-park.com/ec/sp/torihikihou?uiel=Mobile")</f>
        <v>https://mitsui-shopping-park.com/ec/sp/torihikihou?uiel=Mobile</v>
      </c>
    </row>
    <row r="8" spans="1:7">
      <c r="A8" s="6"/>
      <c r="B8" s="28">
        <v>4</v>
      </c>
      <c r="C8" s="29" t="s">
        <v>16</v>
      </c>
      <c r="D8" s="29" t="s">
        <v>17</v>
      </c>
      <c r="E8" s="34" t="str">
        <f>HYPERLINK("http://msp2.sophia-s.co.jp/sp/mspf1377.html")</f>
        <v>http://msp2.sophia-s.co.jp/sp/mspf1377.html</v>
      </c>
      <c r="F8" s="31" t="str">
        <f>HYPERLINK("https://www3.test-mitsui-shopping-park.com/ec/sp/guide?uiel=Mobile")</f>
        <v>https://www3.test-mitsui-shopping-park.com/ec/sp/guide?uiel=Mobile</v>
      </c>
      <c r="G8" s="32" t="str">
        <f>HYPERLINK("https://mitsui-shopping-park.com/ec/sp/guide?uiel=Mobile")</f>
        <v>https://mitsui-shopping-park.com/ec/sp/guide?uiel=Mobile</v>
      </c>
    </row>
    <row r="9" spans="1:7">
      <c r="A9" s="6"/>
      <c r="B9" s="28">
        <v>5</v>
      </c>
      <c r="C9" s="29" t="s">
        <v>18</v>
      </c>
      <c r="D9" s="29" t="s">
        <v>19</v>
      </c>
      <c r="E9" s="34" t="str">
        <f>HYPERLINK("http://msp2.sophia-s.co.jp/sp/mspf1378.html")</f>
        <v>http://msp2.sophia-s.co.jp/sp/mspf1378.html</v>
      </c>
      <c r="F9" s="31" t="str">
        <f>HYPERLINK("https://www3.test-mitsui-shopping-park.com/ec/sp/faq?uiel=Mobile")</f>
        <v>https://www3.test-mitsui-shopping-park.com/ec/sp/faq?uiel=Mobile</v>
      </c>
      <c r="G9" s="32" t="str">
        <f>HYPERLINK("https://mitsui-shopping-park.com/ec/sp/faq?uiel=Mobile")</f>
        <v>https://mitsui-shopping-park.com/ec/sp/faq?uiel=Mobile</v>
      </c>
    </row>
    <row r="10" spans="1:7">
      <c r="A10" s="6"/>
      <c r="B10" s="28">
        <v>6</v>
      </c>
      <c r="C10" s="29" t="s">
        <v>20</v>
      </c>
      <c r="D10" s="29" t="s">
        <v>21</v>
      </c>
      <c r="E10" s="34" t="str">
        <f>HYPERLINK("http://msp2.sophia-s.co.jp/sp/faq01_01.html")</f>
        <v>http://msp2.sophia-s.co.jp/sp/faq01_01.html</v>
      </c>
      <c r="F10" s="31" t="str">
        <f>HYPERLINK("https://www3.test-mitsui-shopping-park.com/ec/sp/faq01_01?uiel=Mobile")</f>
        <v>https://www3.test-mitsui-shopping-park.com/ec/sp/faq01_01?uiel=Mobile</v>
      </c>
      <c r="G10" s="32" t="str">
        <f>HYPERLINK("https://mitsui-shopping-park.com/ec/sp/faq01_01?uiel=Mobile")</f>
        <v>https://mitsui-shopping-park.com/ec/sp/faq01_01?uiel=Mobile</v>
      </c>
    </row>
    <row r="11" spans="1:7">
      <c r="A11" s="35"/>
      <c r="B11" s="28">
        <v>7</v>
      </c>
      <c r="C11" s="29" t="s">
        <v>22</v>
      </c>
      <c r="D11" s="36" t="s">
        <v>23</v>
      </c>
      <c r="E11" s="34" t="str">
        <f>HYPERLINK("http://msp2.sophia-s.co.jp/sp/faq01_04.html")</f>
        <v>http://msp2.sophia-s.co.jp/sp/faq01_04.html</v>
      </c>
      <c r="F11" s="31" t="str">
        <f>HYPERLINK("https://www3.test-mitsui-shopping-park.com/ec/sp/faq01_04?uiel=Mobile")</f>
        <v>https://www3.test-mitsui-shopping-park.com/ec/sp/faq01_04?uiel=Mobile</v>
      </c>
      <c r="G11" s="32" t="str">
        <f>HYPERLINK("https://mitsui-shopping-park.com/ec/sp/faq01_04?uiel=Mobile")</f>
        <v>https://mitsui-shopping-park.com/ec/sp/faq01_04?uiel=Mobile</v>
      </c>
    </row>
    <row r="12" spans="1:7">
      <c r="A12" s="6"/>
      <c r="B12" s="28">
        <v>8</v>
      </c>
      <c r="C12" s="29" t="s">
        <v>24</v>
      </c>
      <c r="D12" s="29" t="s">
        <v>25</v>
      </c>
      <c r="E12" s="34" t="str">
        <f>HYPERLINK("http://msp2.sophia-s.co.jp/sp/faq01_05.html")</f>
        <v>http://msp2.sophia-s.co.jp/sp/faq01_05.html</v>
      </c>
      <c r="F12" s="31" t="str">
        <f>HYPERLINK("https://www3.test-mitsui-shopping-park.com/ec/sp/faq01_05?uiel=Mobile")</f>
        <v>https://www3.test-mitsui-shopping-park.com/ec/sp/faq01_05?uiel=Mobile</v>
      </c>
      <c r="G12" s="32" t="str">
        <f>HYPERLINK("https://mitsui-shopping-park.com/ec/sp/faq01_05?uiel=Mobile")</f>
        <v>https://mitsui-shopping-park.com/ec/sp/faq01_05?uiel=Mobile</v>
      </c>
    </row>
    <row r="13" spans="1:7">
      <c r="A13" s="6"/>
      <c r="B13" s="28">
        <v>9</v>
      </c>
      <c r="C13" s="29" t="s">
        <v>26</v>
      </c>
      <c r="D13" s="29" t="s">
        <v>27</v>
      </c>
      <c r="E13" s="34" t="str">
        <f>HYPERLINK("http://msp2.sophia-s.co.jp/sp/faq01_06.html")</f>
        <v>http://msp2.sophia-s.co.jp/sp/faq01_06.html</v>
      </c>
      <c r="F13" s="31" t="str">
        <f>HYPERLINK("https://www3.test-mitsui-shopping-park.com/ec/sp/faq01_06?uiel=Mobile")</f>
        <v>https://www3.test-mitsui-shopping-park.com/ec/sp/faq01_06?uiel=Mobile</v>
      </c>
      <c r="G13" s="32" t="str">
        <f>HYPERLINK("https://mitsui-shopping-park.com/ec/sp/faq01_06?uiel=Mobile")</f>
        <v>https://mitsui-shopping-park.com/ec/sp/faq01_06?uiel=Mobile</v>
      </c>
    </row>
    <row r="14" spans="1:7">
      <c r="A14" s="6"/>
      <c r="B14" s="28">
        <v>10</v>
      </c>
      <c r="C14" s="29" t="s">
        <v>28</v>
      </c>
      <c r="D14" s="29" t="s">
        <v>29</v>
      </c>
      <c r="E14" s="34" t="str">
        <f>HYPERLINK("http://msp2.sophia-s.co.jp/sp/faq02_01.html")</f>
        <v>http://msp2.sophia-s.co.jp/sp/faq02_01.html</v>
      </c>
      <c r="F14" s="31" t="str">
        <f>HYPERLINK("https://www3.test-mitsui-shopping-park.com/ec/sp/faq02_01?uiel=Mobile")</f>
        <v>https://www3.test-mitsui-shopping-park.com/ec/sp/faq02_01?uiel=Mobile</v>
      </c>
      <c r="G14" s="32" t="str">
        <f>HYPERLINK("https://mitsui-shopping-park.com/ec/sp/faq02_01?uiel=Mobile")</f>
        <v>https://mitsui-shopping-park.com/ec/sp/faq02_01?uiel=Mobile</v>
      </c>
    </row>
    <row r="15" spans="1:7">
      <c r="A15" s="6"/>
      <c r="B15" s="28">
        <v>11</v>
      </c>
      <c r="C15" s="29" t="s">
        <v>30</v>
      </c>
      <c r="D15" s="29" t="s">
        <v>31</v>
      </c>
      <c r="E15" s="34" t="str">
        <f>HYPERLINK("http://msp2.sophia-s.co.jp/sp/faq02_02.html")</f>
        <v>http://msp2.sophia-s.co.jp/sp/faq02_02.html</v>
      </c>
      <c r="F15" s="31" t="str">
        <f>HYPERLINK("https://www3.test-mitsui-shopping-park.com/ec/sp/faq02_02?uiel=Mobile")</f>
        <v>https://www3.test-mitsui-shopping-park.com/ec/sp/faq02_02?uiel=Mobile</v>
      </c>
      <c r="G15" s="32" t="str">
        <f>HYPERLINK("https://mitsui-shopping-park.com/ec/sp/faq02_02?uiel=Mobile")</f>
        <v>https://mitsui-shopping-park.com/ec/sp/faq02_02?uiel=Mobile</v>
      </c>
    </row>
    <row r="16" spans="1:7">
      <c r="A16" s="6"/>
      <c r="B16" s="28">
        <v>12</v>
      </c>
      <c r="C16" s="29" t="s">
        <v>32</v>
      </c>
      <c r="D16" s="29" t="s">
        <v>33</v>
      </c>
      <c r="E16" s="34" t="str">
        <f>HYPERLINK("http://msp2.sophia-s.co.jp/sp/faq02_03.html")</f>
        <v>http://msp2.sophia-s.co.jp/sp/faq02_03.html</v>
      </c>
      <c r="F16" s="31" t="str">
        <f>HYPERLINK("https://www3.test-mitsui-shopping-park.com/ec/sp/faq02_03?uiel=Mobile")</f>
        <v>https://www3.test-mitsui-shopping-park.com/ec/sp/faq02_03?uiel=Mobile</v>
      </c>
      <c r="G16" s="32" t="str">
        <f>HYPERLINK("https://mitsui-shopping-park.com/ec/sp/faq02_03?uiel=Mobile")</f>
        <v>https://mitsui-shopping-park.com/ec/sp/faq02_03?uiel=Mobile</v>
      </c>
    </row>
    <row r="17" spans="1:7">
      <c r="A17" s="6"/>
      <c r="B17" s="28">
        <v>13</v>
      </c>
      <c r="C17" s="29" t="s">
        <v>34</v>
      </c>
      <c r="D17" s="29" t="s">
        <v>35</v>
      </c>
      <c r="E17" s="34" t="str">
        <f>HYPERLINK("http://msp2.sophia-s.co.jp/sp/faq02_04.html")</f>
        <v>http://msp2.sophia-s.co.jp/sp/faq02_04.html</v>
      </c>
      <c r="F17" s="31" t="str">
        <f>HYPERLINK("https://www3.test-mitsui-shopping-park.com/ec/sp/faq02_04?uiel=Mobile")</f>
        <v>https://www3.test-mitsui-shopping-park.com/ec/sp/faq02_04?uiel=Mobile</v>
      </c>
      <c r="G17" s="32" t="str">
        <f>HYPERLINK("https://mitsui-shopping-park.com/ec/sp/faq02_04?uiel=Mobile")</f>
        <v>https://mitsui-shopping-park.com/ec/sp/faq02_04?uiel=Mobile</v>
      </c>
    </row>
    <row r="18" spans="1:7">
      <c r="A18" s="6"/>
      <c r="B18" s="28">
        <v>14</v>
      </c>
      <c r="C18" s="29" t="s">
        <v>36</v>
      </c>
      <c r="D18" s="29" t="s">
        <v>37</v>
      </c>
      <c r="E18" s="34" t="str">
        <f>HYPERLINK("http://msp2.sophia-s.co.jp/sp/faq02_05.html")</f>
        <v>http://msp2.sophia-s.co.jp/sp/faq02_05.html</v>
      </c>
      <c r="F18" s="31" t="str">
        <f>HYPERLINK("https://www3.test-mitsui-shopping-park.com/ec/sp/faq02_05?uiel=Mobile")</f>
        <v>https://www3.test-mitsui-shopping-park.com/ec/sp/faq02_05?uiel=Mobile</v>
      </c>
      <c r="G18" s="32" t="str">
        <f>HYPERLINK("https://mitsui-shopping-park.com/ec/sp/faq02_05?uiel=Mobile")</f>
        <v>https://mitsui-shopping-park.com/ec/sp/faq02_05?uiel=Mobile</v>
      </c>
    </row>
    <row r="19" spans="1:7">
      <c r="A19" s="6"/>
      <c r="B19" s="28">
        <v>15</v>
      </c>
      <c r="C19" s="29" t="s">
        <v>38</v>
      </c>
      <c r="D19" s="29" t="s">
        <v>39</v>
      </c>
      <c r="E19" s="34" t="str">
        <f>HYPERLINK("http://msp2.sophia-s.co.jp/sp/faq02_06.html")</f>
        <v>http://msp2.sophia-s.co.jp/sp/faq02_06.html</v>
      </c>
      <c r="F19" s="31" t="str">
        <f>HYPERLINK("https://www3.test-mitsui-shopping-park.com/ec/sp/faq02_06?uiel=Mobile")</f>
        <v>https://www3.test-mitsui-shopping-park.com/ec/sp/faq02_06?uiel=Mobile</v>
      </c>
      <c r="G19" s="32" t="str">
        <f>HYPERLINK("https://mitsui-shopping-park.com/ec/sp/faq02_06?uiel=Mobile")</f>
        <v>https://mitsui-shopping-park.com/ec/sp/faq02_06?uiel=Mobile</v>
      </c>
    </row>
    <row r="20" spans="1:7">
      <c r="A20" s="6"/>
      <c r="B20" s="28">
        <v>16</v>
      </c>
      <c r="C20" s="29" t="s">
        <v>40</v>
      </c>
      <c r="D20" s="29" t="s">
        <v>41</v>
      </c>
      <c r="E20" s="34" t="str">
        <f>HYPERLINK("http://msp2.sophia-s.co.jp/sp/faq03_01.html")</f>
        <v>http://msp2.sophia-s.co.jp/sp/faq03_01.html</v>
      </c>
      <c r="F20" s="31" t="str">
        <f>HYPERLINK("https://www3.test-mitsui-shopping-park.com/ec/sp/faq03_01?uiel=Mobile")</f>
        <v>https://www3.test-mitsui-shopping-park.com/ec/sp/faq03_01?uiel=Mobile</v>
      </c>
      <c r="G20" s="32" t="str">
        <f>HYPERLINK("https://mitsui-shopping-park.com/ec/sp/faq03_01?uiel=Mobile")</f>
        <v>https://mitsui-shopping-park.com/ec/sp/faq03_01?uiel=Mobile</v>
      </c>
    </row>
    <row r="21" spans="1:7">
      <c r="A21" s="6"/>
      <c r="B21" s="28">
        <v>17</v>
      </c>
      <c r="C21" s="29" t="s">
        <v>42</v>
      </c>
      <c r="D21" s="29" t="s">
        <v>43</v>
      </c>
      <c r="E21" s="34" t="str">
        <f>HYPERLINK("http://msp2.sophia-s.co.jp/sp/faq03_02.html")</f>
        <v>http://msp2.sophia-s.co.jp/sp/faq03_02.html</v>
      </c>
      <c r="F21" s="31" t="str">
        <f>HYPERLINK("https://www3.test-mitsui-shopping-park.com/ec/sp/faq03_02?uiel=Mobile")</f>
        <v>https://www3.test-mitsui-shopping-park.com/ec/sp/faq03_02?uiel=Mobile</v>
      </c>
      <c r="G21" s="32" t="str">
        <f>HYPERLINK("https://mitsui-shopping-park.com/ec/sp/faq03_02?uiel=Mobile")</f>
        <v>https://mitsui-shopping-park.com/ec/sp/faq03_02?uiel=Mobile</v>
      </c>
    </row>
    <row r="22" spans="1:7">
      <c r="A22" s="6"/>
      <c r="B22" s="28">
        <v>18</v>
      </c>
      <c r="C22" s="29" t="s">
        <v>44</v>
      </c>
      <c r="D22" s="29" t="s">
        <v>45</v>
      </c>
      <c r="E22" s="34" t="str">
        <f>HYPERLINK("http://msp2.sophia-s.co.jp/sp/faq04_01.html")</f>
        <v>http://msp2.sophia-s.co.jp/sp/faq04_01.html</v>
      </c>
      <c r="F22" s="31" t="str">
        <f>HYPERLINK("https://www3.test-mitsui-shopping-park.com/ec/sp/faq04_01?uiel=Mobile")</f>
        <v>https://www3.test-mitsui-shopping-park.com/ec/sp/faq04_01?uiel=Mobile</v>
      </c>
      <c r="G22" s="32" t="str">
        <f>HYPERLINK("https://mitsui-shopping-park.com/ec/sp/faq04_01?uiel=Mobile")</f>
        <v>https://mitsui-shopping-park.com/ec/sp/faq04_01?uiel=Mobile</v>
      </c>
    </row>
    <row r="23" spans="1:7">
      <c r="A23" s="6"/>
      <c r="B23" s="28">
        <v>19</v>
      </c>
      <c r="C23" s="29" t="s">
        <v>46</v>
      </c>
      <c r="D23" s="29" t="s">
        <v>47</v>
      </c>
      <c r="E23" s="34" t="str">
        <f>HYPERLINK("http://msp2.sophia-s.co.jp/sp/faq04_02.html")</f>
        <v>http://msp2.sophia-s.co.jp/sp/faq04_02.html</v>
      </c>
      <c r="F23" s="31" t="str">
        <f>HYPERLINK("https://www3.test-mitsui-shopping-park.com/ec/sp/faq04_02?uiel=Mobile")</f>
        <v>https://www3.test-mitsui-shopping-park.com/ec/sp/faq04_02?uiel=Mobile</v>
      </c>
      <c r="G23" s="32" t="str">
        <f>HYPERLINK("https://mitsui-shopping-park.com/ec/sp/faq04_02?uiel=Mobile")</f>
        <v>https://mitsui-shopping-park.com/ec/sp/faq04_02?uiel=Mobile</v>
      </c>
    </row>
    <row r="24" spans="1:7">
      <c r="A24" s="6"/>
      <c r="B24" s="28">
        <v>20</v>
      </c>
      <c r="C24" s="29" t="s">
        <v>48</v>
      </c>
      <c r="D24" s="29" t="s">
        <v>49</v>
      </c>
      <c r="E24" s="34" t="str">
        <f>HYPERLINK("http://msp2.sophia-s.co.jp/sp/faq04_04.html")</f>
        <v>http://msp2.sophia-s.co.jp/sp/faq04_04.html</v>
      </c>
      <c r="F24" s="31" t="str">
        <f>HYPERLINK("https://www3.test-mitsui-shopping-park.com/ec/sp/faq04_04?uiel=Mobile")</f>
        <v>https://www3.test-mitsui-shopping-park.com/ec/sp/faq04_04?uiel=Mobile</v>
      </c>
      <c r="G24" s="32" t="str">
        <f>HYPERLINK("https://mitsui-shopping-park.com/ec/sp/faq04_04?uiel=Mobile")</f>
        <v>https://mitsui-shopping-park.com/ec/sp/faq04_04?uiel=Mobile</v>
      </c>
    </row>
    <row r="25" spans="1:7">
      <c r="A25" s="6"/>
      <c r="B25" s="28">
        <v>21</v>
      </c>
      <c r="C25" s="29" t="s">
        <v>50</v>
      </c>
      <c r="D25" s="29" t="s">
        <v>51</v>
      </c>
      <c r="E25" s="34" t="str">
        <f>HYPERLINK("http://msp2.sophia-s.co.jp/sp/faq04_05.html")</f>
        <v>http://msp2.sophia-s.co.jp/sp/faq04_05.html</v>
      </c>
      <c r="F25" s="31" t="str">
        <f>HYPERLINK("https://www3.test-mitsui-shopping-park.com/ec/sp/faq04_05?uiel=Mobile")</f>
        <v>https://www3.test-mitsui-shopping-park.com/ec/sp/faq04_05?uiel=Mobile</v>
      </c>
      <c r="G25" s="32" t="str">
        <f>HYPERLINK("https://mitsui-shopping-park.com/ec/sp/faq04_05?uiel=Mobile")</f>
        <v>https://mitsui-shopping-park.com/ec/sp/faq04_05?uiel=Mobile</v>
      </c>
    </row>
    <row r="26" spans="1:7">
      <c r="A26" s="6"/>
      <c r="B26" s="28">
        <v>22</v>
      </c>
      <c r="C26" s="29" t="s">
        <v>52</v>
      </c>
      <c r="D26" s="29" t="s">
        <v>53</v>
      </c>
      <c r="E26" s="34" t="str">
        <f>HYPERLINK("http://msp2.sophia-s.co.jp/sp/faq05_01.html")</f>
        <v>http://msp2.sophia-s.co.jp/sp/faq05_01.html</v>
      </c>
      <c r="F26" s="31" t="str">
        <f>HYPERLINK("https://www3.test-mitsui-shopping-park.com/ec/sp/faq05_01?uiel=Mobile")</f>
        <v>https://www3.test-mitsui-shopping-park.com/ec/sp/faq05_01?uiel=Mobile</v>
      </c>
      <c r="G26" s="32" t="str">
        <f>HYPERLINK("https://mitsui-shopping-park.com/ec/sp/faq05_01?uiel=Mobile")</f>
        <v>https://mitsui-shopping-park.com/ec/sp/faq05_01?uiel=Mobile</v>
      </c>
    </row>
    <row r="27" spans="1:7">
      <c r="A27" s="6"/>
      <c r="B27" s="28">
        <v>23</v>
      </c>
      <c r="C27" s="29" t="s">
        <v>54</v>
      </c>
      <c r="D27" s="29" t="s">
        <v>55</v>
      </c>
      <c r="E27" s="34" t="str">
        <f>HYPERLINK("http://msp2.sophia-s.co.jp/sp/faq05_02.html")</f>
        <v>http://msp2.sophia-s.co.jp/sp/faq05_02.html</v>
      </c>
      <c r="F27" s="31" t="str">
        <f>HYPERLINK("https://www3.test-mitsui-shopping-park.com/ec/sp/faq05_02?uiel=Mobile")</f>
        <v>https://www3.test-mitsui-shopping-park.com/ec/sp/faq05_02?uiel=Mobile</v>
      </c>
      <c r="G27" s="32" t="str">
        <f>HYPERLINK("https://mitsui-shopping-park.com/ec/sp/faq05_02?uiel=Mobile")</f>
        <v>https://mitsui-shopping-park.com/ec/sp/faq05_02?uiel=Mobile</v>
      </c>
    </row>
    <row r="28" spans="1:7">
      <c r="A28" s="6"/>
      <c r="B28" s="28">
        <v>24</v>
      </c>
      <c r="C28" s="29" t="s">
        <v>56</v>
      </c>
      <c r="D28" s="29" t="s">
        <v>57</v>
      </c>
      <c r="E28" s="34" t="str">
        <f>HYPERLINK("http://msp2.sophia-s.co.jp/sp/faq05_03.html")</f>
        <v>http://msp2.sophia-s.co.jp/sp/faq05_03.html</v>
      </c>
      <c r="F28" s="31" t="str">
        <f>HYPERLINK("https://www3.test-mitsui-shopping-park.com/ec/sp/faq05_03?uiel=Mobile")</f>
        <v>https://www3.test-mitsui-shopping-park.com/ec/sp/faq05_03?uiel=Mobile</v>
      </c>
      <c r="G28" s="32" t="str">
        <f>HYPERLINK("https://mitsui-shopping-park.com/ec/sp/faq05_03?uiel=Mobile")</f>
        <v>https://mitsui-shopping-park.com/ec/sp/faq05_03?uiel=Mobile</v>
      </c>
    </row>
    <row r="29" spans="1:7">
      <c r="A29" s="6"/>
      <c r="B29" s="28">
        <v>25</v>
      </c>
      <c r="C29" s="29" t="s">
        <v>58</v>
      </c>
      <c r="D29" s="29" t="s">
        <v>59</v>
      </c>
      <c r="E29" s="34" t="str">
        <f>HYPERLINK("http://msp2.sophia-s.co.jp/sp/faq05_04.html")</f>
        <v>http://msp2.sophia-s.co.jp/sp/faq05_04.html</v>
      </c>
      <c r="F29" s="31" t="str">
        <f>HYPERLINK("https://www3.test-mitsui-shopping-park.com/ec/sp/faq05_04?uiel=Mobile")</f>
        <v>https://www3.test-mitsui-shopping-park.com/ec/sp/faq05_04?uiel=Mobile</v>
      </c>
      <c r="G29" s="32" t="str">
        <f>HYPERLINK("https://mitsui-shopping-park.com/ec/sp/faq05_04?uiel=Mobile")</f>
        <v>https://mitsui-shopping-park.com/ec/sp/faq05_04?uiel=Mobile</v>
      </c>
    </row>
    <row r="30" spans="1:7">
      <c r="A30" s="6"/>
      <c r="B30" s="28">
        <v>26</v>
      </c>
      <c r="C30" s="29" t="s">
        <v>60</v>
      </c>
      <c r="D30" s="29" t="s">
        <v>61</v>
      </c>
      <c r="E30" s="34" t="str">
        <f>HYPERLINK("http://msp2.sophia-s.co.jp/sp/faq05_05.html")</f>
        <v>http://msp2.sophia-s.co.jp/sp/faq05_05.html</v>
      </c>
      <c r="F30" s="31" t="str">
        <f>HYPERLINK("https://www3.test-mitsui-shopping-park.com/ec/sp/faq05_05?uiel=Mobile")</f>
        <v>https://www3.test-mitsui-shopping-park.com/ec/sp/faq05_05?uiel=Mobile</v>
      </c>
      <c r="G30" s="32" t="str">
        <f>HYPERLINK("https://mitsui-shopping-park.com/ec/sp/faq05_05?uiel=Mobile")</f>
        <v>https://mitsui-shopping-park.com/ec/sp/faq05_05?uiel=Mobile</v>
      </c>
    </row>
    <row r="31" spans="1:7">
      <c r="A31" s="6"/>
      <c r="B31" s="28">
        <v>27</v>
      </c>
      <c r="C31" s="29" t="s">
        <v>62</v>
      </c>
      <c r="D31" s="29" t="s">
        <v>63</v>
      </c>
      <c r="E31" s="34" t="str">
        <f>HYPERLINK("http://msp2.sophia-s.co.jp/sp/faq06_01.html")</f>
        <v>http://msp2.sophia-s.co.jp/sp/faq06_01.html</v>
      </c>
      <c r="F31" s="31" t="str">
        <f>HYPERLINK("https://www3.test-mitsui-shopping-park.com/ec/sp/faq06_01?uiel=Mobile")</f>
        <v>https://www3.test-mitsui-shopping-park.com/ec/sp/faq06_01?uiel=Mobile</v>
      </c>
      <c r="G31" s="32" t="str">
        <f>HYPERLINK("https://mitsui-shopping-park.com/ec/sp/faq06_01?uiel=Mobile")</f>
        <v>https://mitsui-shopping-park.com/ec/sp/faq06_01?uiel=Mobile</v>
      </c>
    </row>
    <row r="32" spans="1:7">
      <c r="A32" s="6"/>
      <c r="B32" s="28">
        <v>28</v>
      </c>
      <c r="C32" s="29" t="s">
        <v>64</v>
      </c>
      <c r="D32" s="29" t="s">
        <v>65</v>
      </c>
      <c r="E32" s="34" t="str">
        <f>HYPERLINK("http://msp2.sophia-s.co.jp/sp/faq06_02.html")</f>
        <v>http://msp2.sophia-s.co.jp/sp/faq06_02.html</v>
      </c>
      <c r="F32" s="31" t="str">
        <f>HYPERLINK("https://www3.test-mitsui-shopping-park.com/ec/sp/faq06_02?uiel=Mobile")</f>
        <v>https://www3.test-mitsui-shopping-park.com/ec/sp/faq06_02?uiel=Mobile</v>
      </c>
      <c r="G32" s="32" t="str">
        <f>HYPERLINK("https://mitsui-shopping-park.com/ec/sp/faq06_02?uiel=Mobile")</f>
        <v>https://mitsui-shopping-park.com/ec/sp/faq06_02?uiel=Mobile</v>
      </c>
    </row>
    <row r="33" spans="1:7">
      <c r="A33" s="6"/>
      <c r="B33" s="28">
        <v>29</v>
      </c>
      <c r="C33" s="29" t="s">
        <v>66</v>
      </c>
      <c r="D33" s="29" t="s">
        <v>67</v>
      </c>
      <c r="E33" s="34" t="str">
        <f>HYPERLINK("http://msp2.sophia-s.co.jp/sp/faq06_03.html")</f>
        <v>http://msp2.sophia-s.co.jp/sp/faq06_03.html</v>
      </c>
      <c r="F33" s="31" t="str">
        <f>HYPERLINK("https://www3.test-mitsui-shopping-park.com/ec/sp/faq06_03?uiel=Mobile")</f>
        <v>https://www3.test-mitsui-shopping-park.com/ec/sp/faq06_03?uiel=Mobile</v>
      </c>
      <c r="G33" s="32" t="str">
        <f>HYPERLINK("https://mitsui-shopping-park.com/ec/sp/faq06_03?uiel=Mobile")</f>
        <v>https://mitsui-shopping-park.com/ec/sp/faq06_03?uiel=Mobile</v>
      </c>
    </row>
    <row r="34" spans="1:7">
      <c r="A34" s="6"/>
      <c r="B34" s="28">
        <v>30</v>
      </c>
      <c r="C34" s="29" t="s">
        <v>68</v>
      </c>
      <c r="D34" s="29" t="s">
        <v>69</v>
      </c>
      <c r="E34" s="34" t="str">
        <f>HYPERLINK("http://msp2.sophia-s.co.jp/sp/faq06_04.html")</f>
        <v>http://msp2.sophia-s.co.jp/sp/faq06_04.html</v>
      </c>
      <c r="F34" s="31" t="str">
        <f>HYPERLINK("https://www3.test-mitsui-shopping-park.com/ec/sp/faq06_04?uiel=Mobile")</f>
        <v>https://www3.test-mitsui-shopping-park.com/ec/sp/faq06_04?uiel=Mobile</v>
      </c>
      <c r="G34" s="32" t="str">
        <f>HYPERLINK("https://mitsui-shopping-park.com/ec/sp/faq06_04?uiel=Mobile")</f>
        <v>https://mitsui-shopping-park.com/ec/sp/faq06_04?uiel=Mobile</v>
      </c>
    </row>
    <row r="35" spans="1:7">
      <c r="A35" s="6"/>
      <c r="B35" s="28">
        <v>31</v>
      </c>
      <c r="C35" s="29" t="s">
        <v>70</v>
      </c>
      <c r="D35" s="29" t="s">
        <v>71</v>
      </c>
      <c r="E35" s="34" t="str">
        <f>HYPERLINK("http://msp2.sophia-s.co.jp/sp/faq06_05.html")</f>
        <v>http://msp2.sophia-s.co.jp/sp/faq06_05.html</v>
      </c>
      <c r="F35" s="31" t="str">
        <f>HYPERLINK("https://www3.test-mitsui-shopping-park.com/ec/sp/faq06_05?uiel=Mobile")</f>
        <v>https://www3.test-mitsui-shopping-park.com/ec/sp/faq06_05?uiel=Mobile</v>
      </c>
      <c r="G35" s="32" t="str">
        <f>HYPERLINK("https://mitsui-shopping-park.com/ec/sp/faq06_05?uiel=Mobile")</f>
        <v>https://mitsui-shopping-park.com/ec/sp/faq06_05?uiel=Mobile</v>
      </c>
    </row>
    <row r="36" spans="1:7">
      <c r="A36" s="6"/>
      <c r="B36" s="28">
        <v>32</v>
      </c>
      <c r="C36" s="29" t="s">
        <v>72</v>
      </c>
      <c r="D36" s="29" t="s">
        <v>73</v>
      </c>
      <c r="E36" s="34" t="str">
        <f>HYPERLINK("http://msp2.sophia-s.co.jp/sp/faq07_01.html")</f>
        <v>http://msp2.sophia-s.co.jp/sp/faq07_01.html</v>
      </c>
      <c r="F36" s="31" t="str">
        <f>HYPERLINK("https://www3.test-mitsui-shopping-park.com/ec/sp/faq07_01?uiel=Mobile")</f>
        <v>https://www3.test-mitsui-shopping-park.com/ec/sp/faq07_01?uiel=Mobile</v>
      </c>
      <c r="G36" s="32" t="str">
        <f>HYPERLINK("https://mitsui-shopping-park.com/ec/sp/faq07_01?uiel=Mobile")</f>
        <v>https://mitsui-shopping-park.com/ec/sp/faq07_01?uiel=Mobile</v>
      </c>
    </row>
    <row r="37" spans="1:7">
      <c r="A37" s="6"/>
      <c r="B37" s="28">
        <v>33</v>
      </c>
      <c r="C37" s="29" t="s">
        <v>74</v>
      </c>
      <c r="D37" s="29" t="s">
        <v>75</v>
      </c>
      <c r="E37" s="34" t="str">
        <f>HYPERLINK("http://msp2.sophia-s.co.jp/sp/faq07_02.html")</f>
        <v>http://msp2.sophia-s.co.jp/sp/faq07_02.html</v>
      </c>
      <c r="F37" s="31" t="str">
        <f>HYPERLINK("https://www3.test-mitsui-shopping-park.com/ec/sp/faq07_02?uiel=Mobile")</f>
        <v>https://www3.test-mitsui-shopping-park.com/ec/sp/faq07_02?uiel=Mobile</v>
      </c>
      <c r="G37" s="32" t="str">
        <f>HYPERLINK("https://mitsui-shopping-park.com/ec/sp/faq07_02?uiel=Mobile")</f>
        <v>https://mitsui-shopping-park.com/ec/sp/faq07_02?uiel=Mobile</v>
      </c>
    </row>
    <row r="38" spans="1:7">
      <c r="A38" s="6"/>
      <c r="B38" s="28">
        <v>34</v>
      </c>
      <c r="C38" s="29" t="s">
        <v>76</v>
      </c>
      <c r="D38" s="29" t="s">
        <v>77</v>
      </c>
      <c r="E38" s="34" t="str">
        <f>HYPERLINK("http://msp2.sophia-s.co.jp/sp/faq08_01.html")</f>
        <v>http://msp2.sophia-s.co.jp/sp/faq08_01.html</v>
      </c>
      <c r="F38" s="31" t="str">
        <f>HYPERLINK("https://www3.test-mitsui-shopping-park.com/ec/sp/faq08_01?uiel=Mobile")</f>
        <v>https://www3.test-mitsui-shopping-park.com/ec/sp/faq08_01?uiel=Mobile</v>
      </c>
      <c r="G38" s="32" t="str">
        <f>HYPERLINK("https://mitsui-shopping-park.com/ec/sp/faq08_01?uiel=Mobile")</f>
        <v>https://mitsui-shopping-park.com/ec/sp/faq08_01?uiel=Mobile</v>
      </c>
    </row>
    <row r="39" spans="1:7">
      <c r="A39" s="6"/>
      <c r="B39" s="28">
        <v>35</v>
      </c>
      <c r="C39" s="29" t="s">
        <v>78</v>
      </c>
      <c r="D39" s="29" t="s">
        <v>79</v>
      </c>
      <c r="E39" s="34" t="str">
        <f>HYPERLINK("http://msp2.sophia-s.co.jp/sp/faq08_02.html")</f>
        <v>http://msp2.sophia-s.co.jp/sp/faq08_02.html</v>
      </c>
      <c r="F39" s="31" t="str">
        <f>HYPERLINK("https://www3.test-mitsui-shopping-park.com/ec/sp/faq08_02?uiel=Mobile")</f>
        <v>https://www3.test-mitsui-shopping-park.com/ec/sp/faq08_02?uiel=Mobile</v>
      </c>
      <c r="G39" s="32" t="str">
        <f>HYPERLINK("https://mitsui-shopping-park.com/ec/sp/faq08_02?uiel=Mobile")</f>
        <v>https://mitsui-shopping-park.com/ec/sp/faq08_02?uiel=Mobile</v>
      </c>
    </row>
    <row r="40" spans="1:7">
      <c r="A40" s="6"/>
      <c r="B40" s="28">
        <v>36</v>
      </c>
      <c r="C40" s="29" t="s">
        <v>80</v>
      </c>
      <c r="D40" s="29" t="s">
        <v>81</v>
      </c>
      <c r="E40" s="34" t="str">
        <f>HYPERLINK("http://msp2.sophia-s.co.jp/sp/faq09_01.html")</f>
        <v>http://msp2.sophia-s.co.jp/sp/faq09_01.html</v>
      </c>
      <c r="F40" s="31" t="str">
        <f>HYPERLINK("https://www3.test-mitsui-shopping-park.com/ec/sp/faq09_01?uiel=Mobile")</f>
        <v>https://www3.test-mitsui-shopping-park.com/ec/sp/faq09_01?uiel=Mobile</v>
      </c>
      <c r="G40" s="32" t="str">
        <f>HYPERLINK("https://mitsui-shopping-park.com/ec/sp/faq09_01?uiel=Mobile")</f>
        <v>https://mitsui-shopping-park.com/ec/sp/faq09_01?uiel=Mobile</v>
      </c>
    </row>
    <row r="41" spans="1:7">
      <c r="A41" s="6"/>
      <c r="B41" s="28">
        <v>37</v>
      </c>
      <c r="C41" s="29" t="s">
        <v>82</v>
      </c>
      <c r="D41" s="29" t="s">
        <v>83</v>
      </c>
      <c r="E41" s="34" t="str">
        <f>HYPERLINK("http://msp2.sophia-s.co.jp/sp/faq10_01.html")</f>
        <v>http://msp2.sophia-s.co.jp/sp/faq10_01.html</v>
      </c>
      <c r="F41" s="31" t="str">
        <f>HYPERLINK("https://www3.test-mitsui-shopping-park.com/ec/sp/faq10_01?uiel=Mobile")</f>
        <v>https://www3.test-mitsui-shopping-park.com/ec/sp/faq10_01?uiel=Mobile</v>
      </c>
      <c r="G41" s="32" t="str">
        <f>HYPERLINK("https://mitsui-shopping-park.com/ec/sp/faq10_01?uiel=Mobile")</f>
        <v>https://mitsui-shopping-park.com/ec/sp/faq10_01?uiel=Mobile</v>
      </c>
    </row>
    <row r="42" spans="1:7">
      <c r="A42" s="6"/>
      <c r="B42" s="28">
        <v>38</v>
      </c>
      <c r="C42" s="29" t="s">
        <v>84</v>
      </c>
      <c r="D42" s="29" t="s">
        <v>85</v>
      </c>
      <c r="E42" s="34" t="str">
        <f>HYPERLINK("http://msp2.sophia-s.co.jp/sp/faq10_02.html")</f>
        <v>http://msp2.sophia-s.co.jp/sp/faq10_02.html</v>
      </c>
      <c r="F42" s="31" t="str">
        <f>HYPERLINK("https://www3.test-mitsui-shopping-park.com/ec/sp/faq10_02?uiel=Mobile")</f>
        <v>https://www3.test-mitsui-shopping-park.com/ec/sp/faq10_02?uiel=Mobile</v>
      </c>
      <c r="G42" s="32" t="str">
        <f>HYPERLINK("https://mitsui-shopping-park.com/ec/sp/faq10_02?uiel=Mobile")</f>
        <v>https://mitsui-shopping-park.com/ec/sp/faq10_02?uiel=Mobile</v>
      </c>
    </row>
    <row r="43" spans="1:7">
      <c r="A43" s="37"/>
      <c r="B43" s="28">
        <v>39</v>
      </c>
      <c r="C43" s="38" t="s">
        <v>86</v>
      </c>
      <c r="D43" s="38" t="s">
        <v>87</v>
      </c>
      <c r="E43" s="34" t="str">
        <f>HYPERLINK("http://msp2.sophia-s.co.jp/sp/faq10_03.html")</f>
        <v>http://msp2.sophia-s.co.jp/sp/faq10_03.html</v>
      </c>
      <c r="F43" s="31" t="str">
        <f>HYPERLINK("https://www3.test-mitsui-shopping-park.com/ec/sp/faq10_03?uiel=Mobile")</f>
        <v>https://www3.test-mitsui-shopping-park.com/ec/sp/faq10_03?uiel=Mobile</v>
      </c>
      <c r="G43" s="32" t="str">
        <f>HYPERLINK("https://mitsui-shopping-park.com/ec/sp/faq10_03?uiel=Mobile")</f>
        <v>https://mitsui-shopping-park.com/ec/sp/faq10_03?uiel=Mobile</v>
      </c>
    </row>
    <row r="44" spans="1:7">
      <c r="A44" s="6"/>
      <c r="B44" s="28">
        <v>40</v>
      </c>
      <c r="C44" s="29" t="s">
        <v>88</v>
      </c>
      <c r="D44" s="29" t="s">
        <v>89</v>
      </c>
      <c r="E44" s="34" t="str">
        <f>HYPERLINK("http://msp2.sophia-s.co.jp/sp/faq11_01.html")</f>
        <v>http://msp2.sophia-s.co.jp/sp/faq11_01.html</v>
      </c>
      <c r="F44" s="31" t="str">
        <f>HYPERLINK("https://www3.test-mitsui-shopping-park.com/ec/sp/faq11_01?uiel=Mobile")</f>
        <v>https://www3.test-mitsui-shopping-park.com/ec/sp/faq11_01?uiel=Mobile</v>
      </c>
      <c r="G44" s="32" t="str">
        <f>HYPERLINK("https://mitsui-shopping-park.com/ec/sp/faq11_01?uiel=Mobile")</f>
        <v>https://mitsui-shopping-park.com/ec/sp/faq11_01?uiel=Mobile</v>
      </c>
    </row>
    <row r="45" spans="1:7">
      <c r="A45" s="6"/>
      <c r="B45" s="28">
        <v>41</v>
      </c>
      <c r="C45" s="29" t="s">
        <v>90</v>
      </c>
      <c r="D45" s="29" t="s">
        <v>91</v>
      </c>
      <c r="E45" s="34" t="str">
        <f>HYPERLINK("http://msp2.sophia-s.co.jp/sp/faq12_01.html")</f>
        <v>http://msp2.sophia-s.co.jp/sp/faq12_01.html</v>
      </c>
      <c r="F45" s="31" t="str">
        <f>HYPERLINK("https://www3.test-mitsui-shopping-park.com/ec/sp/faq12_01?uiel=Mobile")</f>
        <v>https://www3.test-mitsui-shopping-park.com/ec/sp/faq12_01?uiel=Mobile</v>
      </c>
      <c r="G45" s="32" t="str">
        <f>HYPERLINK("https://mitsui-shopping-park.com/ec/sp/faq12_01?uiel=Mobile")</f>
        <v>https://mitsui-shopping-park.com/ec/sp/faq12_01?uiel=Mobile</v>
      </c>
    </row>
    <row r="46" spans="1:7">
      <c r="A46" s="6"/>
      <c r="B46" s="28">
        <v>42</v>
      </c>
      <c r="C46" s="29" t="s">
        <v>92</v>
      </c>
      <c r="D46" s="29" t="s">
        <v>93</v>
      </c>
      <c r="E46" s="34" t="str">
        <f>HYPERLINK("http://msp2.sophia-s.co.jp/sp/faq13_01.html")</f>
        <v>http://msp2.sophia-s.co.jp/sp/faq13_01.html</v>
      </c>
      <c r="F46" s="31" t="str">
        <f>HYPERLINK("https://www3.test-mitsui-shopping-park.com/ec/sp/faq13_01?uiel=Mobile")</f>
        <v>https://www3.test-mitsui-shopping-park.com/ec/sp/faq13_01?uiel=Mobile</v>
      </c>
      <c r="G46" s="32" t="str">
        <f>HYPERLINK("https://mitsui-shopping-park.com/ec/sp/faq13_01?uiel=Mobile")</f>
        <v>https://mitsui-shopping-park.com/ec/sp/faq13_01?uiel=Mobile</v>
      </c>
    </row>
    <row r="47" spans="1:7">
      <c r="A47" s="6"/>
      <c r="B47" s="28">
        <v>43</v>
      </c>
      <c r="C47" s="29" t="s">
        <v>94</v>
      </c>
      <c r="D47" s="29" t="s">
        <v>95</v>
      </c>
      <c r="E47" s="34" t="str">
        <f>HYPERLINK("http://msp2.sophia-s.co.jp/sp/faq13_02.html")</f>
        <v>http://msp2.sophia-s.co.jp/sp/faq13_02.html</v>
      </c>
      <c r="F47" s="31" t="str">
        <f>HYPERLINK("https://www3.test-mitsui-shopping-park.com/ec/sp/faq13_02?uiel=Mobile")</f>
        <v>https://www3.test-mitsui-shopping-park.com/ec/sp/faq13_02?uiel=Mobile</v>
      </c>
      <c r="G47" s="32" t="str">
        <f>HYPERLINK("https://mitsui-shopping-park.com/ec/sp/faq13_02?uiel=Mobile")</f>
        <v>https://mitsui-shopping-park.com/ec/sp/faq13_02?uiel=Mobile</v>
      </c>
    </row>
    <row r="48" spans="1:7">
      <c r="A48" s="6"/>
      <c r="B48" s="28">
        <v>44</v>
      </c>
      <c r="C48" s="29" t="s">
        <v>96</v>
      </c>
      <c r="D48" s="29" t="s">
        <v>97</v>
      </c>
      <c r="E48" s="34" t="str">
        <f>HYPERLINK("http://msp2.sophia-s.co.jp/sp/faq13_03.html")</f>
        <v>http://msp2.sophia-s.co.jp/sp/faq13_03.html</v>
      </c>
      <c r="F48" s="31" t="str">
        <f>HYPERLINK("https://www3.test-mitsui-shopping-park.com/ec/sp/faq13_03?uiel=Mobile")</f>
        <v>https://www3.test-mitsui-shopping-park.com/ec/sp/faq13_03?uiel=Mobile</v>
      </c>
      <c r="G48" s="32" t="str">
        <f>HYPERLINK("https://mitsui-shopping-park.com/ec/sp/faq13_03?uiel=Mobile")</f>
        <v>https://mitsui-shopping-park.com/ec/sp/faq13_03?uiel=Mobile</v>
      </c>
    </row>
    <row r="49" spans="1:7">
      <c r="A49" s="6"/>
      <c r="B49" s="28">
        <v>45</v>
      </c>
      <c r="C49" s="29" t="s">
        <v>98</v>
      </c>
      <c r="D49" s="29" t="s">
        <v>99</v>
      </c>
      <c r="E49" s="34" t="str">
        <f>HYPERLINK("http://msp2.sophia-s.co.jp/sp/faq13_05.html")</f>
        <v>http://msp2.sophia-s.co.jp/sp/faq13_05.html</v>
      </c>
      <c r="F49" s="31" t="str">
        <f>HYPERLINK("https://www3.test-mitsui-shopping-park.com/ec/sp/faq13_05?uiel=Mobile")</f>
        <v>https://www3.test-mitsui-shopping-park.com/ec/sp/faq13_05?uiel=Mobile</v>
      </c>
      <c r="G49" s="32" t="str">
        <f>HYPERLINK("https://mitsui-shopping-park.com/ec/sp/faq13_05?uiel=Mobile")</f>
        <v>https://mitsui-shopping-park.com/ec/sp/faq13_05?uiel=Mobile</v>
      </c>
    </row>
    <row r="50" spans="1:7">
      <c r="A50" s="37"/>
      <c r="B50" s="28">
        <v>46</v>
      </c>
      <c r="C50" s="38" t="s">
        <v>100</v>
      </c>
      <c r="D50" s="38" t="s">
        <v>101</v>
      </c>
      <c r="E50" s="34" t="str">
        <f>HYPERLINK("http://msp2.sophia-s.co.jp/sp/faq13_06.html")</f>
        <v>http://msp2.sophia-s.co.jp/sp/faq13_06.html</v>
      </c>
      <c r="F50" s="31" t="str">
        <f>HYPERLINK("https://www3.test-mitsui-shopping-park.com/ec/sp/faq13_06?uiel=Mobile")</f>
        <v>https://www3.test-mitsui-shopping-park.com/ec/sp/faq13_06?uiel=Mobile</v>
      </c>
      <c r="G50" s="32" t="str">
        <f>HYPERLINK("https://mitsui-shopping-park.com/ec/sp/faq13_06?uiel=Mobile")</f>
        <v>https://mitsui-shopping-park.com/ec/sp/faq13_06?uiel=Mobile</v>
      </c>
    </row>
    <row r="51" spans="1:7">
      <c r="A51" s="37"/>
      <c r="B51" s="28">
        <v>47</v>
      </c>
      <c r="C51" s="38" t="s">
        <v>102</v>
      </c>
      <c r="D51" s="38" t="s">
        <v>103</v>
      </c>
      <c r="E51" s="34" t="str">
        <f>HYPERLINK("http://msp2.sophia-s.co.jp/sp/faq13_07.html")</f>
        <v>http://msp2.sophia-s.co.jp/sp/faq13_07.html</v>
      </c>
      <c r="F51" s="31" t="str">
        <f>HYPERLINK("https://www3.test-mitsui-shopping-park.com/ec/sp/faq13_07?uiel=Mobile")</f>
        <v>https://www3.test-mitsui-shopping-park.com/ec/sp/faq13_07?uiel=Mobile</v>
      </c>
      <c r="G51" s="32" t="str">
        <f>HYPERLINK("https://mitsui-shopping-park.com/ec/sp/faq13_07?uiel=Mobile")</f>
        <v>https://mitsui-shopping-park.com/ec/sp/faq13_07?uiel=Mobile</v>
      </c>
    </row>
    <row r="52" spans="1:7">
      <c r="A52" s="6"/>
      <c r="B52" s="28">
        <v>48</v>
      </c>
      <c r="C52" s="29" t="s">
        <v>104</v>
      </c>
      <c r="D52" s="29" t="s">
        <v>105</v>
      </c>
      <c r="E52" s="34" t="str">
        <f>HYPERLINK("http://msp2.sophia-s.co.jp/sp/faq14_01.html")</f>
        <v>http://msp2.sophia-s.co.jp/sp/faq14_01.html</v>
      </c>
      <c r="F52" s="31" t="str">
        <f>HYPERLINK("https://www3.test-mitsui-shopping-park.com/ec/sp/faq14_01?uiel=Mobile")</f>
        <v>https://www3.test-mitsui-shopping-park.com/ec/sp/faq14_01?uiel=Mobile</v>
      </c>
      <c r="G52" s="32" t="str">
        <f>HYPERLINK("https://mitsui-shopping-park.com/ec/sp/faq14_01?uiel=Mobile")</f>
        <v>https://mitsui-shopping-park.com/ec/sp/faq14_01?uiel=Mobile</v>
      </c>
    </row>
    <row r="53" spans="1:7">
      <c r="A53" s="6"/>
      <c r="B53" s="28">
        <v>49</v>
      </c>
      <c r="C53" s="29" t="s">
        <v>106</v>
      </c>
      <c r="D53" s="29" t="s">
        <v>107</v>
      </c>
      <c r="E53" s="34" t="str">
        <f>HYPERLINK("http://msp2.sophia-s.co.jp/sp/faq14_02.html")</f>
        <v>http://msp2.sophia-s.co.jp/sp/faq14_02.html</v>
      </c>
      <c r="F53" s="31" t="str">
        <f>HYPERLINK("https://www3.test-mitsui-shopping-park.com/ec/sp/faq14_02?uiel=Mobile")</f>
        <v>https://www3.test-mitsui-shopping-park.com/ec/sp/faq14_02?uiel=Mobile</v>
      </c>
      <c r="G53" s="32" t="str">
        <f>HYPERLINK("https://mitsui-shopping-park.com/ec/sp/faq14_02?uiel=Mobile")</f>
        <v>https://mitsui-shopping-park.com/ec/sp/faq14_02?uiel=Mobile</v>
      </c>
    </row>
    <row r="54" spans="1:7">
      <c r="A54" s="6"/>
      <c r="B54" s="28">
        <v>50</v>
      </c>
      <c r="C54" s="29" t="s">
        <v>108</v>
      </c>
      <c r="D54" s="29" t="s">
        <v>109</v>
      </c>
      <c r="E54" s="34" t="str">
        <f>HYPERLINK("http://msp2.sophia-s.co.jp/sp/faq14_03.html")</f>
        <v>http://msp2.sophia-s.co.jp/sp/faq14_03.html</v>
      </c>
      <c r="F54" s="31" t="str">
        <f>HYPERLINK("https://www3.test-mitsui-shopping-park.com/ec/sp/faq14_03?uiel=Mobile")</f>
        <v>https://www3.test-mitsui-shopping-park.com/ec/sp/faq14_03?uiel=Mobile</v>
      </c>
      <c r="G54" s="32" t="str">
        <f>HYPERLINK("https://mitsui-shopping-park.com/ec/sp/faq14_03?uiel=Mobile")</f>
        <v>https://mitsui-shopping-park.com/ec/sp/faq14_03?uiel=Mobile</v>
      </c>
    </row>
    <row r="55" spans="1:7">
      <c r="A55" s="6"/>
      <c r="B55" s="28">
        <v>51</v>
      </c>
      <c r="C55" s="29" t="s">
        <v>110</v>
      </c>
      <c r="D55" s="29" t="s">
        <v>111</v>
      </c>
      <c r="E55" s="34" t="str">
        <f>HYPERLINK("http://msp2.sophia-s.co.jp/sp/faq14_04.html")</f>
        <v>http://msp2.sophia-s.co.jp/sp/faq14_04.html</v>
      </c>
      <c r="F55" s="31" t="str">
        <f>HYPERLINK("https://www3.test-mitsui-shopping-park.com/ec/sp/faq14_04?uiel=Mobile")</f>
        <v>https://www3.test-mitsui-shopping-park.com/ec/sp/faq14_04?uiel=Mobile</v>
      </c>
      <c r="G55" s="32" t="str">
        <f>HYPERLINK("https://mitsui-shopping-park.com/ec/sp/faq14_04?uiel=Mobile")</f>
        <v>https://mitsui-shopping-park.com/ec/sp/faq14_04?uiel=Mobile</v>
      </c>
    </row>
    <row r="56" spans="1:7">
      <c r="A56" s="6"/>
      <c r="B56" s="28">
        <v>52</v>
      </c>
      <c r="C56" s="29" t="s">
        <v>112</v>
      </c>
      <c r="D56" s="29" t="s">
        <v>113</v>
      </c>
      <c r="E56" s="34" t="str">
        <f>HYPERLINK("http://msp2.sophia-s.co.jp/sp/faq15_02.html")</f>
        <v>http://msp2.sophia-s.co.jp/sp/faq15_02.html</v>
      </c>
      <c r="F56" s="31" t="str">
        <f>HYPERLINK("https://www3.test-mitsui-shopping-park.com/ec/sp/faq15_02?uiel=Mobile")</f>
        <v>https://www3.test-mitsui-shopping-park.com/ec/sp/faq15_02?uiel=Mobile</v>
      </c>
      <c r="G56" s="32" t="str">
        <f>HYPERLINK("https://mitsui-shopping-park.com/ec/sp/faq15_02?uiel=Mobile")</f>
        <v>https://mitsui-shopping-park.com/ec/sp/faq15_02?uiel=Mobile</v>
      </c>
    </row>
    <row r="57" spans="1:7">
      <c r="A57" s="6"/>
      <c r="B57" s="28">
        <v>53</v>
      </c>
      <c r="C57" s="29" t="s">
        <v>114</v>
      </c>
      <c r="D57" s="29" t="s">
        <v>115</v>
      </c>
      <c r="E57" s="34" t="str">
        <f>HYPERLINK("http://msp2.sophia-s.co.jp/sp/faq15_03.html")</f>
        <v>http://msp2.sophia-s.co.jp/sp/faq15_03.html</v>
      </c>
      <c r="F57" s="31" t="str">
        <f>HYPERLINK("https://www3.test-mitsui-shopping-park.com/ec/sp/faq15_03?uiel=Mobile")</f>
        <v>https://www3.test-mitsui-shopping-park.com/ec/sp/faq15_03?uiel=Mobile</v>
      </c>
      <c r="G57" s="32" t="str">
        <f>HYPERLINK("https://mitsui-shopping-park.com/ec/sp/faq15_03?uiel=Mobile")</f>
        <v>https://mitsui-shopping-park.com/ec/sp/faq15_03?uiel=Mobile</v>
      </c>
    </row>
    <row r="58" spans="1:7">
      <c r="A58" s="6"/>
      <c r="B58" s="28">
        <v>54</v>
      </c>
      <c r="C58" s="29" t="s">
        <v>116</v>
      </c>
      <c r="D58" s="29" t="s">
        <v>117</v>
      </c>
      <c r="E58" s="34" t="str">
        <f>HYPERLINK("http://msp2.sophia-s.co.jp/sp/faq15_04.html")</f>
        <v>http://msp2.sophia-s.co.jp/sp/faq15_04.html</v>
      </c>
      <c r="F58" s="31" t="str">
        <f>HYPERLINK("https://www3.test-mitsui-shopping-park.com/ec/sp/faq15_04?uiel=Mobile")</f>
        <v>https://www3.test-mitsui-shopping-park.com/ec/sp/faq15_04?uiel=Mobile</v>
      </c>
      <c r="G58" s="32" t="str">
        <f>HYPERLINK("https://mitsui-shopping-park.com/ec/sp/faq15_04?uiel=Mobile")</f>
        <v>https://mitsui-shopping-park.com/ec/sp/faq15_04?uiel=Mobile</v>
      </c>
    </row>
    <row r="59" spans="1:7">
      <c r="A59" s="6"/>
      <c r="B59" s="28">
        <v>55</v>
      </c>
      <c r="C59" s="29" t="s">
        <v>118</v>
      </c>
      <c r="D59" s="29" t="s">
        <v>119</v>
      </c>
      <c r="E59" s="34" t="str">
        <f>HYPERLINK("http://msp2.sophia-s.co.jp/sp/faq15_10.html")</f>
        <v>http://msp2.sophia-s.co.jp/sp/faq15_10.html</v>
      </c>
      <c r="F59" s="31" t="str">
        <f>HYPERLINK("https://www3.test-mitsui-shopping-park.com/ec/sp/faq15_10?uiel=Mobile")</f>
        <v>https://www3.test-mitsui-shopping-park.com/ec/sp/faq15_10?uiel=Mobile</v>
      </c>
      <c r="G59" s="32" t="str">
        <f>HYPERLINK("https://mitsui-shopping-park.com/ec/sp/faq15_10?uiel=Mobile")</f>
        <v>https://mitsui-shopping-park.com/ec/sp/faq15_10?uiel=Mobile</v>
      </c>
    </row>
    <row r="60" spans="1:7">
      <c r="A60" s="6"/>
      <c r="B60" s="28">
        <v>56</v>
      </c>
      <c r="C60" s="29" t="s">
        <v>120</v>
      </c>
      <c r="D60" s="29" t="s">
        <v>121</v>
      </c>
      <c r="E60" s="34" t="str">
        <f>HYPERLINK("http://msp2.sophia-s.co.jp/sp/faq15_05.html")</f>
        <v>http://msp2.sophia-s.co.jp/sp/faq15_05.html</v>
      </c>
      <c r="F60" s="31" t="str">
        <f>HYPERLINK("https://www3.test-mitsui-shopping-park.com/ec/sp/faq15_05?uiel=Mobile")</f>
        <v>https://www3.test-mitsui-shopping-park.com/ec/sp/faq15_05?uiel=Mobile</v>
      </c>
      <c r="G60" s="32" t="str">
        <f>HYPERLINK("https://mitsui-shopping-park.com/ec/sp/faq15_05?uiel=Mobile")</f>
        <v>https://mitsui-shopping-park.com/ec/sp/faq15_05?uiel=Mobile</v>
      </c>
    </row>
    <row r="61" spans="1:7">
      <c r="A61" s="6"/>
      <c r="B61" s="28">
        <v>57</v>
      </c>
      <c r="C61" s="29" t="s">
        <v>122</v>
      </c>
      <c r="D61" s="29" t="s">
        <v>123</v>
      </c>
      <c r="E61" s="34" t="str">
        <f>HYPERLINK("http://msp2.sophia-s.co.jp/sp/faq15_06.html")</f>
        <v>http://msp2.sophia-s.co.jp/sp/faq15_06.html</v>
      </c>
      <c r="F61" s="31" t="str">
        <f>HYPERLINK("https://www3.test-mitsui-shopping-park.com/ec/sp/faq15_06?uiel=Mobile")</f>
        <v>https://www3.test-mitsui-shopping-park.com/ec/sp/faq15_06?uiel=Mobile</v>
      </c>
      <c r="G61" s="32" t="str">
        <f>HYPERLINK("https://mitsui-shopping-park.com/ec/sp/faq15_06?uiel=Mobile")</f>
        <v>https://mitsui-shopping-park.com/ec/sp/faq15_06?uiel=Mobile</v>
      </c>
    </row>
    <row r="62" spans="1:7">
      <c r="A62" s="37"/>
      <c r="B62" s="28">
        <v>58</v>
      </c>
      <c r="C62" s="38" t="s">
        <v>124</v>
      </c>
      <c r="D62" s="38" t="s">
        <v>125</v>
      </c>
      <c r="E62" s="34" t="str">
        <f>HYPERLINK("http://msp2.sophia-s.co.jp/sp/faq15_07.html")</f>
        <v>http://msp2.sophia-s.co.jp/sp/faq15_07.html</v>
      </c>
      <c r="F62" s="31" t="str">
        <f>HYPERLINK("https://www3.test-mitsui-shopping-park.com/ec/sp/faq15_07?uiel=Mobile")</f>
        <v>https://www3.test-mitsui-shopping-park.com/ec/sp/faq15_07?uiel=Mobile</v>
      </c>
      <c r="G62" s="32" t="str">
        <f>HYPERLINK("https://mitsui-shopping-park.com/ec/sp/faq15_07?uiel=Mobile")</f>
        <v>https://mitsui-shopping-park.com/ec/sp/faq15_07?uiel=Mobile</v>
      </c>
    </row>
    <row r="63" spans="1:7">
      <c r="A63" s="37"/>
      <c r="B63" s="28">
        <v>59</v>
      </c>
      <c r="C63" s="38" t="s">
        <v>126</v>
      </c>
      <c r="D63" s="38" t="s">
        <v>127</v>
      </c>
      <c r="E63" s="34" t="str">
        <f>HYPERLINK("http://msp2.sophia-s.co.jp/sp/faq15_08.html")</f>
        <v>http://msp2.sophia-s.co.jp/sp/faq15_08.html</v>
      </c>
      <c r="F63" s="31" t="str">
        <f>HYPERLINK("https://www3.test-mitsui-shopping-park.com/ec/sp/faq15_08?uiel=Mobile")</f>
        <v>https://www3.test-mitsui-shopping-park.com/ec/sp/faq15_08?uiel=Mobile</v>
      </c>
      <c r="G63" s="32" t="str">
        <f>HYPERLINK("https://mitsui-shopping-park.com/ec/sp/faq15_08?uiel=Mobile")</f>
        <v>https://mitsui-shopping-park.com/ec/sp/faq15_08?uiel=Mobile</v>
      </c>
    </row>
    <row r="64" spans="1:7">
      <c r="A64" s="37"/>
      <c r="B64" s="28">
        <v>60</v>
      </c>
      <c r="C64" s="38" t="s">
        <v>128</v>
      </c>
      <c r="D64" s="38" t="s">
        <v>129</v>
      </c>
      <c r="E64" s="34" t="str">
        <f>HYPERLINK("http://msp2.sophia-s.co.jp/sp/faq15_09.html")</f>
        <v>http://msp2.sophia-s.co.jp/sp/faq15_09.html</v>
      </c>
      <c r="F64" s="31" t="str">
        <f>HYPERLINK("https://www3.test-mitsui-shopping-park.com/ec/sp/faq15_09?uiel=Mobile")</f>
        <v>https://www3.test-mitsui-shopping-park.com/ec/sp/faq15_09?uiel=Mobile</v>
      </c>
      <c r="G64" s="32" t="str">
        <f>HYPERLINK("https://mitsui-shopping-park.com/ec/sp/faq15_09?uiel=Mobile")</f>
        <v>https://mitsui-shopping-park.com/ec/sp/faq15_09?uiel=Mobile</v>
      </c>
    </row>
    <row r="65" spans="1:7">
      <c r="A65" s="39"/>
      <c r="B65" s="28">
        <v>61</v>
      </c>
      <c r="C65" s="40" t="s">
        <v>130</v>
      </c>
      <c r="D65" s="40" t="s">
        <v>131</v>
      </c>
      <c r="E65" s="34" t="str">
        <f>HYPERLINK("http://msp2.sophia-s.co.jp/sp/mspf1391.html")</f>
        <v>http://msp2.sophia-s.co.jp/sp/mspf1391.html</v>
      </c>
      <c r="F65" s="31" t="str">
        <f>HYPERLINK("https://www3.test-mitsui-shopping-park.com/ec/sp/virtusize?uiel=Mobile")</f>
        <v>https://www3.test-mitsui-shopping-park.com/ec/sp/virtusize?uiel=Mobile</v>
      </c>
      <c r="G65" s="32" t="str">
        <f>HYPERLINK("https://mitsui-shopping-park.com/ec/sp/virtusize?uiel=Mobile")</f>
        <v>https://mitsui-shopping-park.com/ec/sp/virtusize?uiel=Mobile</v>
      </c>
    </row>
    <row r="66" spans="1:7">
      <c r="A66" s="41"/>
      <c r="B66" s="28">
        <v>62</v>
      </c>
      <c r="C66" s="42" t="s">
        <v>132</v>
      </c>
      <c r="D66" s="42" t="s">
        <v>133</v>
      </c>
      <c r="E66" s="34" t="str">
        <f>HYPERLINK("http://msp2.sophia-s.co.jp/sp/mspf1392.html")</f>
        <v>http://msp2.sophia-s.co.jp/sp/mspf1392.html</v>
      </c>
      <c r="F66" s="31" t="str">
        <f>HYPERLINK("https://www3.test-mitsui-shopping-park.com/ec/sp/desk?uiel=Mobile")</f>
        <v>https://www3.test-mitsui-shopping-park.com/ec/sp/desk?uiel=Mobile</v>
      </c>
      <c r="G66" s="32" t="str">
        <f>HYPERLINK("https://mitsui-shopping-park.com/ec/sp/desk?uiel=Mobile")</f>
        <v>https://mitsui-shopping-park.com/ec/sp/desk?uiel=Mobile</v>
      </c>
    </row>
    <row r="67" spans="1:7">
      <c r="A67" s="6"/>
      <c r="B67" s="28">
        <v>63</v>
      </c>
      <c r="C67" s="29" t="s">
        <v>134</v>
      </c>
      <c r="D67" s="29" t="s">
        <v>135</v>
      </c>
      <c r="E67" s="34" t="str">
        <f>HYPERLINK("http://msp2.sophia-s.co.jp/sp/mspf1382.html")</f>
        <v>http://msp2.sophia-s.co.jp/sp/mspf1382.html</v>
      </c>
      <c r="F67" s="31" t="str">
        <f>HYPERLINK("https://www3.test-mitsui-shopping-park.com/ec/sp/company?uiel=Mobile")</f>
        <v>https://www3.test-mitsui-shopping-park.com/ec/sp/company?uiel=Mobile</v>
      </c>
      <c r="G67" s="32" t="str">
        <f>HYPERLINK("https://mitsui-shopping-park.com/ec/sp/company?uiel=Mobile")</f>
        <v>https://mitsui-shopping-park.com/ec/sp/company?uiel=Mobile</v>
      </c>
    </row>
    <row r="68" spans="1:7">
      <c r="A68" s="6"/>
      <c r="B68" s="28">
        <v>64</v>
      </c>
      <c r="C68" s="29" t="s">
        <v>136</v>
      </c>
      <c r="D68" s="29" t="s">
        <v>137</v>
      </c>
      <c r="E68" s="34" t="str">
        <f>HYPERLINK("http://msp2.sophia-s.co.jp/sp/mspf0708.html")</f>
        <v>http://msp2.sophia-s.co.jp/sp/mspf0708.html</v>
      </c>
      <c r="F68" s="31" t="str">
        <f>HYPERLINK("https://www3.test-mitsui-shopping-park.com/ec/sp/list/category?uiel=Mobile")</f>
        <v>https://www3.test-mitsui-shopping-park.com/ec/sp/list/category?uiel=Mobile</v>
      </c>
      <c r="G68" s="32" t="str">
        <f>HYPERLINK("https://mitsui-shopping-park.com/ec/sp/list/category?uiel=Mobile")</f>
        <v>https://mitsui-shopping-park.com/ec/sp/list/category?uiel=Mobile</v>
      </c>
    </row>
    <row r="69" spans="1:7">
      <c r="A69" s="6"/>
      <c r="B69" s="6"/>
      <c r="C69" s="6"/>
      <c r="D69" s="6"/>
      <c r="E69" s="6"/>
      <c r="F69" s="6"/>
      <c r="G69" s="6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2"/>
  <sheetViews>
    <sheetView tabSelected="1" workbookViewId="0">
      <selection activeCell="B5" sqref="B5"/>
    </sheetView>
  </sheetViews>
  <sheetFormatPr defaultColWidth="9" defaultRowHeight="15" outlineLevelCol="7"/>
  <cols>
    <col min="1" max="1" width="3.875" style="2" customWidth="1"/>
    <col min="2" max="2" width="5.75" style="3" customWidth="1"/>
    <col min="3" max="3" width="43.75" style="3" customWidth="1"/>
    <col min="4" max="4" width="35.875" style="3" customWidth="1"/>
    <col min="5" max="5" width="6.5" style="3" customWidth="1"/>
    <col min="6" max="6" width="46.875" style="3" customWidth="1"/>
    <col min="7" max="7" width="91.625" style="3" customWidth="1"/>
    <col min="8" max="8" width="92.125" style="3" customWidth="1"/>
    <col min="9" max="16384" width="9" style="3"/>
  </cols>
  <sheetData>
    <row r="1" s="1" customFormat="1" spans="1:1">
      <c r="A1" s="2"/>
    </row>
    <row r="2" s="1" customFormat="1" ht="18.75" spans="1:8">
      <c r="A2" s="4"/>
      <c r="B2" s="5" t="s">
        <v>138</v>
      </c>
      <c r="C2" s="6"/>
      <c r="D2" s="6"/>
      <c r="E2" s="6"/>
      <c r="F2" s="6"/>
      <c r="G2" s="6"/>
      <c r="H2" s="6"/>
    </row>
    <row r="3" s="1" customFormat="1" spans="1:8">
      <c r="A3" s="4"/>
      <c r="B3" s="6"/>
      <c r="C3" s="6"/>
      <c r="D3" s="6"/>
      <c r="E3" s="6"/>
      <c r="F3" s="6"/>
      <c r="G3" s="6"/>
      <c r="H3" s="6"/>
    </row>
    <row r="4" s="1" customFormat="1" spans="1:7">
      <c r="A4" s="7"/>
      <c r="B4" s="8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</row>
    <row r="5" spans="1:7">
      <c r="A5" s="9" t="s">
        <v>139</v>
      </c>
      <c r="B5" s="10">
        <v>1</v>
      </c>
      <c r="C5" s="9" t="s">
        <v>140</v>
      </c>
      <c r="D5" s="9" t="s">
        <v>141</v>
      </c>
      <c r="E5" s="11" t="str">
        <f>HYPERLINK("http://msp2.sophia-s.co.jp/sp/mspf1381_17201.html")</f>
        <v>http://msp2.sophia-s.co.jp/sp/mspf1381_17201.html</v>
      </c>
      <c r="F5" s="12" t="str">
        <f>HYPERLINK("https://www3.test-mitsui-shopping-park.com/ec/sp/torihikihou/MORGANDETOI?uiel=Mobile")</f>
        <v>https://www3.test-mitsui-shopping-park.com/ec/sp/torihikihou/MORGANDETOI?uiel=Mobile</v>
      </c>
      <c r="G5" s="13" t="str">
        <f>HYPERLINK("https://mitsui-shopping-park.com/ec/sp/torihikihou/MORGANDETOI?uiel=Mobile")</f>
        <v>https://mitsui-shopping-park.com/ec/sp/torihikihou/MORGANDETOI?uiel=Mobile</v>
      </c>
    </row>
    <row r="6" spans="1:7">
      <c r="A6" s="9" t="s">
        <v>142</v>
      </c>
      <c r="B6" s="10">
        <v>2</v>
      </c>
      <c r="C6" s="9" t="s">
        <v>143</v>
      </c>
      <c r="D6" s="9" t="s">
        <v>144</v>
      </c>
      <c r="E6" s="11" t="str">
        <f>HYPERLINK("http://msp2.sophia-s.co.jp/sp/mspf1381_17200.html")</f>
        <v>http://msp2.sophia-s.co.jp/sp/mspf1381_17200.html</v>
      </c>
      <c r="F6" s="12" t="str">
        <f>HYPERLINK("https://www3.test-mitsui-shopping-park.com/ec/sp/torihikihou/katharinehamnett?uiel=Mobile")</f>
        <v>https://www3.test-mitsui-shopping-park.com/ec/sp/torihikihou/katharinehamnett?uiel=Mobile</v>
      </c>
      <c r="G6" s="13" t="str">
        <f>HYPERLINK("https://mitsui-shopping-park.com/ec/sp/torihikihou/katharinehamnett?uiel=Mobile")</f>
        <v>https://mitsui-shopping-park.com/ec/sp/torihikihou/katharinehamnett?uiel=Mobile</v>
      </c>
    </row>
    <row r="7" spans="1:7">
      <c r="A7" s="9" t="s">
        <v>145</v>
      </c>
      <c r="B7" s="10">
        <v>3</v>
      </c>
      <c r="C7" s="9" t="s">
        <v>146</v>
      </c>
      <c r="D7" s="9" t="s">
        <v>147</v>
      </c>
      <c r="E7" s="11" t="str">
        <f>HYPERLINK("http://msp2.sophia-s.co.jp/sp/mspf1381_16900.html")</f>
        <v>http://msp2.sophia-s.co.jp/sp/mspf1381_16900.html</v>
      </c>
      <c r="F7" s="12" t="str">
        <f>HYPERLINK("https://www3.test-mitsui-shopping-park.com/ec/sp/torihikihou/ESPERANZA?uiel=Mobile")</f>
        <v>https://www3.test-mitsui-shopping-park.com/ec/sp/torihikihou/ESPERANZA?uiel=Mobile</v>
      </c>
      <c r="G7" s="13" t="str">
        <f>HYPERLINK("https://mitsui-shopping-park.com/ec/sp/torihikihou/ESPERANZA?uiel=Mobile")</f>
        <v>https://mitsui-shopping-park.com/ec/sp/torihikihou/ESPERANZA?uiel=Mobile</v>
      </c>
    </row>
    <row r="8" spans="1:7">
      <c r="A8" s="9" t="s">
        <v>148</v>
      </c>
      <c r="B8" s="10">
        <v>4</v>
      </c>
      <c r="C8" s="9" t="s">
        <v>149</v>
      </c>
      <c r="D8" s="9" t="s">
        <v>150</v>
      </c>
      <c r="E8" s="11" t="str">
        <f>HYPERLINK("http://msp2.sophia-s.co.jp/sp/mspf1381_11100.html")</f>
        <v>http://msp2.sophia-s.co.jp/sp/mspf1381_11100.html</v>
      </c>
      <c r="F8" s="12" t="str">
        <f>HYPERLINK("https://www3.test-mitsui-shopping-park.com/ec/sp/torihikihou/mikihousemum-baby?uiel=Mobile")</f>
        <v>https://www3.test-mitsui-shopping-park.com/ec/sp/torihikihou/mikihousemum-baby?uiel=Mobile</v>
      </c>
      <c r="G8" s="13" t="str">
        <f>HYPERLINK("https://mitsui-shopping-park.com/ec/sp/torihikihou/mikihousemum-baby?uiel=Mobile")</f>
        <v>https://mitsui-shopping-park.com/ec/sp/torihikihou/mikihousemum-baby?uiel=Mobile</v>
      </c>
    </row>
    <row r="9" spans="1:7">
      <c r="A9" s="9" t="s">
        <v>151</v>
      </c>
      <c r="B9" s="10">
        <v>5</v>
      </c>
      <c r="C9" s="9" t="s">
        <v>152</v>
      </c>
      <c r="D9" s="9" t="s">
        <v>153</v>
      </c>
      <c r="E9" s="11" t="str">
        <f>HYPERLINK("http://msp2.sophia-s.co.jp/sp/mspf1381_11101.html")</f>
        <v>http://msp2.sophia-s.co.jp/sp/mspf1381_11101.html</v>
      </c>
      <c r="F9" s="12" t="str">
        <f>HYPERLINK("https://www3.test-mitsui-shopping-park.com/ec/sp/torihikihou/mikihousemum-babyFI?uiel=Mobile")</f>
        <v>https://www3.test-mitsui-shopping-park.com/ec/sp/torihikihou/mikihousemum-babyFI?uiel=Mobile</v>
      </c>
      <c r="G9" s="13" t="str">
        <f>HYPERLINK("https://mitsui-shopping-park.com/ec/sp/torihikihou/mikihousemum-babyFI?uiel=Mobile")</f>
        <v>https://mitsui-shopping-park.com/ec/sp/torihikihou/mikihousemum-babyFI?uiel=Mobile</v>
      </c>
    </row>
    <row r="10" spans="1:7">
      <c r="A10" s="9" t="s">
        <v>154</v>
      </c>
      <c r="B10" s="10">
        <v>6</v>
      </c>
      <c r="C10" s="9" t="s">
        <v>155</v>
      </c>
      <c r="D10" s="9" t="s">
        <v>156</v>
      </c>
      <c r="E10" s="11" t="str">
        <f>HYPERLINK("http://msp2.sophia-s.co.jp/sp/mspf1381_18800.html")</f>
        <v>http://msp2.sophia-s.co.jp/sp/mspf1381_18800.html</v>
      </c>
      <c r="F10" s="12" t="str">
        <f>HYPERLINK("https://www3.test-mitsui-shopping-park.com/ec/sp/torihikihou/mdt-interior986?uiel=Mobile")</f>
        <v>https://www3.test-mitsui-shopping-park.com/ec/sp/torihikihou/mdt-interior986?uiel=Mobile</v>
      </c>
      <c r="G10" s="13" t="str">
        <f>HYPERLINK("https://mitsui-shopping-park.com/ec/sp/torihikihou/mdt-interior986?uiel=Mobile")</f>
        <v>https://mitsui-shopping-park.com/ec/sp/torihikihou/mdt-interior986?uiel=Mobile</v>
      </c>
    </row>
    <row r="11" spans="1:7">
      <c r="A11" s="9" t="s">
        <v>157</v>
      </c>
      <c r="B11" s="10">
        <v>7</v>
      </c>
      <c r="C11" s="9" t="s">
        <v>158</v>
      </c>
      <c r="D11" s="9" t="s">
        <v>159</v>
      </c>
      <c r="E11" s="11" t="str">
        <f>HYPERLINK("http://msp2.sophia-s.co.jp/sp/mspf1381_18801.html")</f>
        <v>http://msp2.sophia-s.co.jp/sp/mspf1381_18801.html</v>
      </c>
      <c r="F11" s="12" t="str">
        <f>HYPERLINK("https://www3.test-mitsui-shopping-park.com/ec/sp/torihikihou/mdt-interior149?uiel=Mobile")</f>
        <v>https://www3.test-mitsui-shopping-park.com/ec/sp/torihikihou/mdt-interior149?uiel=Mobile</v>
      </c>
      <c r="G11" s="13" t="str">
        <f>HYPERLINK("https://mitsui-shopping-park.com/ec/sp/torihikihou/mdt-interior149?uiel=Mobile")</f>
        <v>https://mitsui-shopping-park.com/ec/sp/torihikihou/mdt-interior149?uiel=Mobile</v>
      </c>
    </row>
    <row r="12" spans="1:7">
      <c r="A12" s="9" t="s">
        <v>160</v>
      </c>
      <c r="B12" s="10">
        <v>8</v>
      </c>
      <c r="C12" s="9" t="s">
        <v>161</v>
      </c>
      <c r="D12" s="9" t="s">
        <v>162</v>
      </c>
      <c r="E12" s="11" t="str">
        <f>HYPERLINK("http://msp2.sophia-s.co.jp/sp/mspf1381_18000.html")</f>
        <v>http://msp2.sophia-s.co.jp/sp/mspf1381_18000.html</v>
      </c>
      <c r="F12" s="12" t="str">
        <f>HYPERLINK("https://www3.test-mitsui-shopping-park.com/ec/sp/torihikihou/MARYQUANT?uiel=Mobile")</f>
        <v>https://www3.test-mitsui-shopping-park.com/ec/sp/torihikihou/MARYQUANT?uiel=Mobile</v>
      </c>
      <c r="G12" s="13" t="str">
        <f>HYPERLINK("https://mitsui-shopping-park.com/ec/sp/torihikihou/MARYQUANT?uiel=Mobile")</f>
        <v>https://mitsui-shopping-park.com/ec/sp/torihikihou/MARYQUANT?uiel=Mobile</v>
      </c>
    </row>
    <row r="13" spans="1:7">
      <c r="A13" s="9" t="s">
        <v>163</v>
      </c>
      <c r="B13" s="10">
        <v>9</v>
      </c>
      <c r="C13" s="9" t="s">
        <v>164</v>
      </c>
      <c r="D13" s="9" t="s">
        <v>165</v>
      </c>
      <c r="E13" s="11" t="str">
        <f>HYPERLINK("http://msp2.sophia-s.co.jp/sp/mspf1381_10902.html")</f>
        <v>http://msp2.sophia-s.co.jp/sp/mspf1381_10902.html</v>
      </c>
      <c r="F13" s="12" t="str">
        <f>HYPERLINK("https://www3.test-mitsui-shopping-park.com/ec/sp/torihikihou/Yofuku-no-Aoyama?uiel=Mobile")</f>
        <v>https://www3.test-mitsui-shopping-park.com/ec/sp/torihikihou/Yofuku-no-Aoyama?uiel=Mobile</v>
      </c>
      <c r="G13" s="13" t="str">
        <f>HYPERLINK("https://mitsui-shopping-park.com/ec/sp/torihikihou/Yofuku-no-Aoyama?uiel=Mobile")</f>
        <v>https://mitsui-shopping-park.com/ec/sp/torihikihou/Yofuku-no-Aoyama?uiel=Mobile</v>
      </c>
    </row>
    <row r="14" spans="1:7">
      <c r="A14" s="9" t="s">
        <v>166</v>
      </c>
      <c r="B14" s="10">
        <v>10</v>
      </c>
      <c r="C14" s="9" t="s">
        <v>167</v>
      </c>
      <c r="D14" s="9" t="s">
        <v>168</v>
      </c>
      <c r="E14" s="11" t="str">
        <f>HYPERLINK("http://msp2.sophia-s.co.jp/sp/mspf1381_10903.html")</f>
        <v>http://msp2.sophia-s.co.jp/sp/mspf1381_10903.html</v>
      </c>
      <c r="F14" s="12" t="str">
        <f>HYPERLINK("https://www3.test-mitsui-shopping-park.com/ec/sp/torihikihou/UNIVERSALLANGUAGE?uiel=Mobile")</f>
        <v>https://www3.test-mitsui-shopping-park.com/ec/sp/torihikihou/UNIVERSALLANGUAGE?uiel=Mobile</v>
      </c>
      <c r="G14" s="13" t="str">
        <f>HYPERLINK("https://mitsui-shopping-park.com/ec/sp/torihikihou/UNIVERSALLANGUAGE?uiel=Mobile")</f>
        <v>https://mitsui-shopping-park.com/ec/sp/torihikihou/UNIVERSALLANGUAGE?uiel=Mobile</v>
      </c>
    </row>
    <row r="15" spans="1:7">
      <c r="A15" s="9" t="s">
        <v>169</v>
      </c>
      <c r="B15" s="10">
        <v>11</v>
      </c>
      <c r="C15" s="9" t="s">
        <v>170</v>
      </c>
      <c r="D15" s="9" t="s">
        <v>171</v>
      </c>
      <c r="E15" s="11" t="str">
        <f>HYPERLINK("http://msp2.sophia-s.co.jp/sp/mspf1381_10901.html")</f>
        <v>http://msp2.sophia-s.co.jp/sp/mspf1381_10901.html</v>
      </c>
      <c r="F15" s="12" t="str">
        <f>HYPERLINK("https://www3.test-mitsui-shopping-park.com/ec/sp/torihikihou/THESUITCOMPANY?uiel=Mobile")</f>
        <v>https://www3.test-mitsui-shopping-park.com/ec/sp/torihikihou/THESUITCOMPANY?uiel=Mobile</v>
      </c>
      <c r="G15" s="13" t="str">
        <f>HYPERLINK("https://mitsui-shopping-park.com/ec/sp/torihikihou/THESUITCOMPANY?uiel=Mobile")</f>
        <v>https://mitsui-shopping-park.com/ec/sp/torihikihou/THESUITCOMPANY?uiel=Mobile</v>
      </c>
    </row>
    <row r="16" spans="1:7">
      <c r="A16" s="9" t="s">
        <v>172</v>
      </c>
      <c r="B16" s="10">
        <v>12</v>
      </c>
      <c r="C16" s="9" t="s">
        <v>173</v>
      </c>
      <c r="D16" s="9" t="s">
        <v>174</v>
      </c>
      <c r="E16" s="11" t="str">
        <f>HYPERLINK("http://msp2.sophia-s.co.jp/sp/mspf1381_10900.html")</f>
        <v>http://msp2.sophia-s.co.jp/sp/mspf1381_10900.html</v>
      </c>
      <c r="F16" s="12" t="str">
        <f>HYPERLINK("https://www3.test-mitsui-shopping-park.com/ec/sp/torihikihou/NEXTBLUE?uiel=Mobile")</f>
        <v>https://www3.test-mitsui-shopping-park.com/ec/sp/torihikihou/NEXTBLUE?uiel=Mobile</v>
      </c>
      <c r="G16" s="13" t="str">
        <f>HYPERLINK("https://mitsui-shopping-park.com/ec/sp/torihikihou/NEXTBLUE?uiel=Mobile")</f>
        <v>https://mitsui-shopping-park.com/ec/sp/torihikihou/NEXTBLUE?uiel=Mobile</v>
      </c>
    </row>
    <row r="17" spans="1:7">
      <c r="A17" s="9" t="s">
        <v>175</v>
      </c>
      <c r="B17" s="10">
        <v>13</v>
      </c>
      <c r="C17" s="9" t="s">
        <v>176</v>
      </c>
      <c r="D17" s="9" t="s">
        <v>176</v>
      </c>
      <c r="E17" s="11" t="str">
        <f>HYPERLINK("http://msp2.sophia-s.co.jp/sp/mspf1381_11400.html")</f>
        <v>http://msp2.sophia-s.co.jp/sp/mspf1381_11400.html</v>
      </c>
      <c r="F17" s="12" t="str">
        <f>HYPERLINK("https://www3.test-mitsui-shopping-park.com/ec/sp/torihikihou/AVIREX?uiel=Mobile")</f>
        <v>https://www3.test-mitsui-shopping-park.com/ec/sp/torihikihou/AVIREX?uiel=Mobile</v>
      </c>
      <c r="G17" s="13" t="str">
        <f>HYPERLINK("https://mitsui-shopping-park.com/ec/sp/torihikihou/AVIREX?uiel=Mobile")</f>
        <v>https://mitsui-shopping-park.com/ec/sp/torihikihou/AVIREX?uiel=Mobile</v>
      </c>
    </row>
    <row r="18" spans="1:7">
      <c r="A18" s="9" t="s">
        <v>177</v>
      </c>
      <c r="B18" s="10">
        <v>14</v>
      </c>
      <c r="C18" s="9" t="s">
        <v>178</v>
      </c>
      <c r="D18" s="9" t="s">
        <v>179</v>
      </c>
      <c r="E18" s="11" t="str">
        <f>HYPERLINK("http://msp2.sophia-s.co.jp/sp/mspf1381_10600.html")</f>
        <v>http://msp2.sophia-s.co.jp/sp/mspf1381_10600.html</v>
      </c>
      <c r="F18" s="12" t="str">
        <f>HYPERLINK("https://www3.test-mitsui-shopping-park.com/ec/sp/torihikihou/kojitusanso?uiel=Mobile")</f>
        <v>https://www3.test-mitsui-shopping-park.com/ec/sp/torihikihou/kojitusanso?uiel=Mobile</v>
      </c>
      <c r="G18" s="13" t="str">
        <f>HYPERLINK("https://mitsui-shopping-park.com/ec/sp/torihikihou/kojitusanso?uiel=Mobile")</f>
        <v>https://mitsui-shopping-park.com/ec/sp/torihikihou/kojitusanso?uiel=Mobile</v>
      </c>
    </row>
    <row r="19" spans="1:7">
      <c r="A19" s="9" t="s">
        <v>180</v>
      </c>
      <c r="B19" s="10">
        <v>15</v>
      </c>
      <c r="C19" s="9" t="s">
        <v>181</v>
      </c>
      <c r="D19" s="9" t="s">
        <v>182</v>
      </c>
      <c r="E19" s="11" t="str">
        <f>HYPERLINK("http://msp2.sophia-s.co.jp/sp/mspf1381_10000.html")</f>
        <v>http://msp2.sophia-s.co.jp/sp/mspf1381_10000.html</v>
      </c>
      <c r="F19" s="12" t="str">
        <f>HYPERLINK("https://www3.test-mitsui-shopping-park.com/ec/sp/torihikihou/WASHINGTON?uiel=Mobile")</f>
        <v>https://www3.test-mitsui-shopping-park.com/ec/sp/torihikihou/WASHINGTON?uiel=Mobile</v>
      </c>
      <c r="G19" s="13" t="str">
        <f>HYPERLINK("https://mitsui-shopping-park.com/ec/sp/torihikihou/WASHINGTON?uiel=Mobile")</f>
        <v>https://mitsui-shopping-park.com/ec/sp/torihikihou/WASHINGTON?uiel=Mobile</v>
      </c>
    </row>
    <row r="20" spans="1:7">
      <c r="A20" s="9" t="s">
        <v>183</v>
      </c>
      <c r="B20" s="10">
        <v>16</v>
      </c>
      <c r="C20" s="9" t="s">
        <v>184</v>
      </c>
      <c r="D20" s="9" t="s">
        <v>184</v>
      </c>
      <c r="E20" s="11" t="str">
        <f>HYPERLINK("http://msp2.sophia-s.co.jp/sp/mspf1381_10001.html")</f>
        <v>http://msp2.sophia-s.co.jp/sp/mspf1381_10001.html</v>
      </c>
      <c r="F20" s="12" t="str">
        <f>HYPERLINK("https://www3.test-mitsui-shopping-park.com/ec/sp/torihikihou/WASH?uiel=Mobile")</f>
        <v>https://www3.test-mitsui-shopping-park.com/ec/sp/torihikihou/WASH?uiel=Mobile</v>
      </c>
      <c r="G20" s="13" t="str">
        <f>HYPERLINK("https://mitsui-shopping-park.com/ec/sp/torihikihou/WASH?uiel=Mobile")</f>
        <v>https://mitsui-shopping-park.com/ec/sp/torihikihou/WASH?uiel=Mobile</v>
      </c>
    </row>
    <row r="21" spans="1:7">
      <c r="A21" s="9" t="s">
        <v>185</v>
      </c>
      <c r="B21" s="10">
        <v>17</v>
      </c>
      <c r="C21" s="9" t="s">
        <v>186</v>
      </c>
      <c r="D21" s="9" t="s">
        <v>186</v>
      </c>
      <c r="E21" s="11" t="str">
        <f>HYPERLINK("http://msp2.sophia-s.co.jp/sp/mspf1381_16034.html")</f>
        <v>http://msp2.sophia-s.co.jp/sp/mspf1381_16034.html</v>
      </c>
      <c r="F21" s="12" t="str">
        <f>HYPERLINK("https://www3.test-mitsui-shopping-park.com/ec/sp/torihikihou/UNTITLED?uiel=Mobile")</f>
        <v>https://www3.test-mitsui-shopping-park.com/ec/sp/torihikihou/UNTITLED?uiel=Mobile</v>
      </c>
      <c r="G21" s="13" t="str">
        <f>HYPERLINK("https://mitsui-shopping-park.com/ec/sp/torihikihou/UNTITLED?uiel=Mobile")</f>
        <v>https://mitsui-shopping-park.com/ec/sp/torihikihou/UNTITLED?uiel=Mobile</v>
      </c>
    </row>
    <row r="22" spans="1:7">
      <c r="A22" s="9" t="s">
        <v>187</v>
      </c>
      <c r="B22" s="10">
        <v>18</v>
      </c>
      <c r="C22" s="9" t="s">
        <v>188</v>
      </c>
      <c r="D22" s="9" t="s">
        <v>189</v>
      </c>
      <c r="E22" s="11" t="str">
        <f>HYPERLINK("http://msp2.sophia-s.co.jp/sp/mspf1381_16032.html")</f>
        <v>http://msp2.sophia-s.co.jp/sp/mspf1381_16032.html</v>
      </c>
      <c r="F22" s="12" t="str">
        <f>HYPERLINK("https://www3.test-mitsui-shopping-park.com/ec/sp/torihikihou/tkTAKEOKIKUCHI?uiel=Mobile")</f>
        <v>https://www3.test-mitsui-shopping-park.com/ec/sp/torihikihou/tkTAKEOKIKUCHI?uiel=Mobile</v>
      </c>
      <c r="G22" s="13" t="str">
        <f>HYPERLINK("https://mitsui-shopping-park.com/ec/sp/torihikihou/tkTAKEOKIKUCHI?uiel=Mobile")</f>
        <v>https://mitsui-shopping-park.com/ec/sp/torihikihou/tkTAKEOKIKUCHI?uiel=Mobile</v>
      </c>
    </row>
    <row r="23" spans="1:7">
      <c r="A23" s="9" t="s">
        <v>190</v>
      </c>
      <c r="B23" s="10">
        <v>19</v>
      </c>
      <c r="C23" s="9" t="s">
        <v>191</v>
      </c>
      <c r="D23" s="9" t="s">
        <v>192</v>
      </c>
      <c r="E23" s="11" t="str">
        <f>HYPERLINK("http://msp2.sophia-s.co.jp/sp/mspf1381_16002.html")</f>
        <v>http://msp2.sophia-s.co.jp/sp/mspf1381_16002.html</v>
      </c>
      <c r="F23" s="12" t="str">
        <f>HYPERLINK("https://www3.test-mitsui-shopping-park.com/ec/sp/torihikihou/THESHOPTK?uiel=Mobile")</f>
        <v>https://www3.test-mitsui-shopping-park.com/ec/sp/torihikihou/THESHOPTK?uiel=Mobile</v>
      </c>
      <c r="G23" s="13" t="str">
        <f>HYPERLINK("https://mitsui-shopping-park.com/ec/sp/torihikihou/THESHOPTK?uiel=Mobile")</f>
        <v>https://mitsui-shopping-park.com/ec/sp/torihikihou/THESHOPTK?uiel=Mobile</v>
      </c>
    </row>
    <row r="24" spans="1:7">
      <c r="A24" s="9" t="s">
        <v>193</v>
      </c>
      <c r="B24" s="10">
        <v>20</v>
      </c>
      <c r="C24" s="9" t="s">
        <v>194</v>
      </c>
      <c r="D24" s="9" t="s">
        <v>195</v>
      </c>
      <c r="E24" s="11" t="str">
        <f>HYPERLINK("http://msp2.sophia-s.co.jp/sp/mspf1381_16031.html")</f>
        <v>http://msp2.sophia-s.co.jp/sp/mspf1381_16031.html</v>
      </c>
      <c r="F24" s="12" t="str">
        <f>HYPERLINK("https://www3.test-mitsui-shopping-park.com/ec/sp/torihikihou/THESHOPTK-Kids?uiel=Mobile")</f>
        <v>https://www3.test-mitsui-shopping-park.com/ec/sp/torihikihou/THESHOPTK-Kids?uiel=Mobile</v>
      </c>
      <c r="G24" s="13" t="str">
        <f>HYPERLINK("https://mitsui-shopping-park.com/ec/sp/torihikihou/THESHOPTK-Kids?uiel=Mobile")</f>
        <v>https://mitsui-shopping-park.com/ec/sp/torihikihou/THESHOPTK-Kids?uiel=Mobile</v>
      </c>
    </row>
    <row r="25" spans="1:7">
      <c r="A25" s="9" t="s">
        <v>196</v>
      </c>
      <c r="B25" s="10">
        <v>21</v>
      </c>
      <c r="C25" s="9" t="s">
        <v>197</v>
      </c>
      <c r="D25" s="9" t="s">
        <v>198</v>
      </c>
      <c r="E25" s="11" t="str">
        <f>HYPERLINK("http://msp2.sophia-s.co.jp/sp/mspf1381_16030.html")</f>
        <v>http://msp2.sophia-s.co.jp/sp/mspf1381_16030.html</v>
      </c>
      <c r="F25" s="12" t="str">
        <f>HYPERLINK("https://www3.test-mitsui-shopping-park.com/ec/sp/torihikihou/TAKEOKIKUCHI?uiel=Mobile")</f>
        <v>https://www3.test-mitsui-shopping-park.com/ec/sp/torihikihou/TAKEOKIKUCHI?uiel=Mobile</v>
      </c>
      <c r="G25" s="13" t="str">
        <f>HYPERLINK("https://mitsui-shopping-park.com/ec/sp/torihikihou/TAKEOKIKUCHI?uiel=Mobile")</f>
        <v>https://mitsui-shopping-park.com/ec/sp/torihikihou/TAKEOKIKUCHI?uiel=Mobile</v>
      </c>
    </row>
    <row r="26" spans="1:7">
      <c r="A26" s="9" t="s">
        <v>199</v>
      </c>
      <c r="B26" s="10">
        <v>22</v>
      </c>
      <c r="C26" s="9" t="s">
        <v>200</v>
      </c>
      <c r="D26" s="9" t="s">
        <v>200</v>
      </c>
      <c r="E26" s="11" t="str">
        <f>HYPERLINK("http://msp2.sophia-s.co.jp/sp/mspf1381_16029.html")</f>
        <v>http://msp2.sophia-s.co.jp/sp/mspf1381_16029.html</v>
      </c>
      <c r="F26" s="12" t="str">
        <f>HYPERLINK("https://www3.test-mitsui-shopping-park.com/ec/sp/torihikihou/SunaUna?uiel=Mobile")</f>
        <v>https://www3.test-mitsui-shopping-park.com/ec/sp/torihikihou/SunaUna?uiel=Mobile</v>
      </c>
      <c r="G26" s="13" t="str">
        <f>HYPERLINK("https://mitsui-shopping-park.com/ec/sp/torihikihou/SunaUna?uiel=Mobile")</f>
        <v>https://mitsui-shopping-park.com/ec/sp/torihikihou/SunaUna?uiel=Mobile</v>
      </c>
    </row>
    <row r="27" spans="1:7">
      <c r="A27" s="9" t="s">
        <v>201</v>
      </c>
      <c r="B27" s="10">
        <v>23</v>
      </c>
      <c r="C27" s="9" t="s">
        <v>202</v>
      </c>
      <c r="D27" s="9" t="s">
        <v>202</v>
      </c>
      <c r="E27" s="11" t="str">
        <f>HYPERLINK("http://msp2.sophia-s.co.jp/sp/mspf1381_16028.html")</f>
        <v>http://msp2.sophia-s.co.jp/sp/mspf1381_16028.html</v>
      </c>
      <c r="F27" s="12" t="str">
        <f>HYPERLINK("https://www3.test-mitsui-shopping-park.com/ec/sp/torihikihou/SOUP?uiel=Mobile")</f>
        <v>https://www3.test-mitsui-shopping-park.com/ec/sp/torihikihou/SOUP?uiel=Mobile</v>
      </c>
      <c r="G27" s="13" t="str">
        <f>HYPERLINK("https://mitsui-shopping-park.com/ec/sp/torihikihou/SOUP?uiel=Mobile")</f>
        <v>https://mitsui-shopping-park.com/ec/sp/torihikihou/SOUP?uiel=Mobile</v>
      </c>
    </row>
    <row r="28" spans="1:7">
      <c r="A28" s="9" t="s">
        <v>203</v>
      </c>
      <c r="B28" s="10">
        <v>24</v>
      </c>
      <c r="C28" s="9" t="s">
        <v>204</v>
      </c>
      <c r="D28" s="9" t="s">
        <v>205</v>
      </c>
      <c r="E28" s="11" t="str">
        <f>HYPERLINK("http://msp2.sophia-s.co.jp/sp/mspf1381_16027.html")</f>
        <v>http://msp2.sophia-s.co.jp/sp/mspf1381_16027.html</v>
      </c>
      <c r="F28" s="12" t="str">
        <f>HYPERLINK("https://www3.test-mitsui-shopping-park.com/ec/sp/torihikihou/smartpink?uiel=Mobile")</f>
        <v>https://www3.test-mitsui-shopping-park.com/ec/sp/torihikihou/smartpink?uiel=Mobile</v>
      </c>
      <c r="G28" s="13" t="str">
        <f>HYPERLINK("https://mitsui-shopping-park.com/ec/sp/torihikihou/smartpink?uiel=Mobile")</f>
        <v>https://mitsui-shopping-park.com/ec/sp/torihikihou/smartpink?uiel=Mobile</v>
      </c>
    </row>
    <row r="29" spans="1:7">
      <c r="A29" s="9" t="s">
        <v>206</v>
      </c>
      <c r="B29" s="10">
        <v>25</v>
      </c>
      <c r="C29" s="9" t="s">
        <v>207</v>
      </c>
      <c r="D29" s="9" t="s">
        <v>208</v>
      </c>
      <c r="E29" s="11" t="str">
        <f>HYPERLINK("http://msp2.sophia-s.co.jp/sp/mspf1381_16005.html")</f>
        <v>http://msp2.sophia-s.co.jp/sp/mspf1381_16005.html</v>
      </c>
      <c r="F29" s="12" t="str">
        <f>HYPERLINK("https://www3.test-mitsui-shopping-park.com/ec/sp/torihikihou/SHOO-LA-RUE?uiel=Mobile")</f>
        <v>https://www3.test-mitsui-shopping-park.com/ec/sp/torihikihou/SHOO-LA-RUE?uiel=Mobile</v>
      </c>
      <c r="G29" s="13" t="str">
        <f>HYPERLINK("https://mitsui-shopping-park.com/ec/sp/torihikihou/SHOO-LA-RUE?uiel=Mobile")</f>
        <v>https://mitsui-shopping-park.com/ec/sp/torihikihou/SHOO-LA-RUE?uiel=Mobile</v>
      </c>
    </row>
    <row r="30" spans="1:7">
      <c r="A30" s="9" t="s">
        <v>209</v>
      </c>
      <c r="B30" s="10">
        <v>26</v>
      </c>
      <c r="C30" s="9" t="s">
        <v>210</v>
      </c>
      <c r="D30" s="9" t="s">
        <v>211</v>
      </c>
      <c r="E30" s="11" t="str">
        <f>HYPERLINK("http://msp2.sophia-s.co.jp/sp/mspf1381_16026.html")</f>
        <v>http://msp2.sophia-s.co.jp/sp/mspf1381_16026.html</v>
      </c>
      <c r="F30" s="12" t="str">
        <f>HYPERLINK("https://www3.test-mitsui-shopping-park.com/ec/sp/torihikihou/RisaMagli?uiel=Mobile")</f>
        <v>https://www3.test-mitsui-shopping-park.com/ec/sp/torihikihou/RisaMagli?uiel=Mobile</v>
      </c>
      <c r="G30" s="13" t="str">
        <f>HYPERLINK("https://mitsui-shopping-park.com/ec/sp/torihikihou/RisaMagli?uiel=Mobile")</f>
        <v>https://mitsui-shopping-park.com/ec/sp/torihikihou/RisaMagli?uiel=Mobile</v>
      </c>
    </row>
    <row r="31" spans="1:7">
      <c r="A31" s="9" t="s">
        <v>212</v>
      </c>
      <c r="B31" s="10">
        <v>27</v>
      </c>
      <c r="C31" s="9" t="s">
        <v>213</v>
      </c>
      <c r="D31" s="9" t="s">
        <v>213</v>
      </c>
      <c r="E31" s="11" t="str">
        <f>HYPERLINK("http://msp2.sophia-s.co.jp/sp/mspf1381_16025.html")</f>
        <v>http://msp2.sophia-s.co.jp/sp/mspf1381_16025.html</v>
      </c>
      <c r="F31" s="12" t="str">
        <f>HYPERLINK("https://www3.test-mitsui-shopping-park.com/ec/sp/torihikihou/Reflect?uiel=Mobile")</f>
        <v>https://www3.test-mitsui-shopping-park.com/ec/sp/torihikihou/Reflect?uiel=Mobile</v>
      </c>
      <c r="G31" s="13" t="str">
        <f>HYPERLINK("https://mitsui-shopping-park.com/ec/sp/torihikihou/Reflect?uiel=Mobile")</f>
        <v>https://mitsui-shopping-park.com/ec/sp/torihikihou/Reflect?uiel=Mobile</v>
      </c>
    </row>
    <row r="32" spans="1:7">
      <c r="A32" s="9" t="s">
        <v>214</v>
      </c>
      <c r="B32" s="10">
        <v>28</v>
      </c>
      <c r="C32" s="9" t="s">
        <v>215</v>
      </c>
      <c r="D32" s="9" t="s">
        <v>215</v>
      </c>
      <c r="E32" s="11" t="str">
        <f>HYPERLINK("http://msp2.sophia-s.co.jp/sp/mspf1381_16024.html")</f>
        <v>http://msp2.sophia-s.co.jp/sp/mspf1381_16024.html</v>
      </c>
      <c r="F32" s="12" t="str">
        <f>HYPERLINK("https://www3.test-mitsui-shopping-park.com/ec/sp/torihikihou/PINK-latte?uiel=Mobile")</f>
        <v>https://www3.test-mitsui-shopping-park.com/ec/sp/torihikihou/PINK-latte?uiel=Mobile</v>
      </c>
      <c r="G32" s="13" t="str">
        <f>HYPERLINK("https://mitsui-shopping-park.com/ec/sp/torihikihou/PINK-latte?uiel=Mobile")</f>
        <v>https://mitsui-shopping-park.com/ec/sp/torihikihou/PINK-latte?uiel=Mobile</v>
      </c>
    </row>
    <row r="33" spans="1:7">
      <c r="A33" s="9" t="s">
        <v>216</v>
      </c>
      <c r="B33" s="10">
        <v>29</v>
      </c>
      <c r="C33" s="9" t="s">
        <v>217</v>
      </c>
      <c r="D33" s="9" t="s">
        <v>218</v>
      </c>
      <c r="E33" s="11" t="str">
        <f>HYPERLINK("http://msp2.sophia-s.co.jp/sp/mspf1381_16023.html")</f>
        <v>http://msp2.sophia-s.co.jp/sp/mspf1381_16023.html</v>
      </c>
      <c r="F33" s="12" t="str">
        <f>HYPERLINK("https://www3.test-mitsui-shopping-park.com/ec/sp/torihikihou/pinkadobe?uiel=Mobile")</f>
        <v>https://www3.test-mitsui-shopping-park.com/ec/sp/torihikihou/pinkadobe?uiel=Mobile</v>
      </c>
      <c r="G33" s="13" t="str">
        <f>HYPERLINK("https://mitsui-shopping-park.com/ec/sp/torihikihou/pinkadobe?uiel=Mobile")</f>
        <v>https://mitsui-shopping-park.com/ec/sp/torihikihou/pinkadobe?uiel=Mobile</v>
      </c>
    </row>
    <row r="34" spans="1:7">
      <c r="A34" s="9" t="s">
        <v>219</v>
      </c>
      <c r="B34" s="10">
        <v>30</v>
      </c>
      <c r="C34" s="9" t="s">
        <v>220</v>
      </c>
      <c r="D34" s="9" t="s">
        <v>220</v>
      </c>
      <c r="E34" s="11" t="str">
        <f>HYPERLINK("http://msp2.sophia-s.co.jp/sp/mspf1381_16004.html")</f>
        <v>http://msp2.sophia-s.co.jp/sp/mspf1381_16004.html</v>
      </c>
      <c r="F34" s="12" t="str">
        <f>HYPERLINK("https://www3.test-mitsui-shopping-park.com/ec/sp/torihikihou/OZOC?uiel=Mobile")</f>
        <v>https://www3.test-mitsui-shopping-park.com/ec/sp/torihikihou/OZOC?uiel=Mobile</v>
      </c>
      <c r="G34" s="13" t="str">
        <f>HYPERLINK("https://mitsui-shopping-park.com/ec/sp/torihikihou/OZOC?uiel=Mobile")</f>
        <v>https://mitsui-shopping-park.com/ec/sp/torihikihou/OZOC?uiel=Mobile</v>
      </c>
    </row>
    <row r="35" spans="1:7">
      <c r="A35" s="9" t="s">
        <v>221</v>
      </c>
      <c r="B35" s="10">
        <v>31</v>
      </c>
      <c r="C35" s="9" t="s">
        <v>222</v>
      </c>
      <c r="D35" s="9" t="s">
        <v>223</v>
      </c>
      <c r="E35" s="11" t="str">
        <f>HYPERLINK("http://msp2.sophia-s.co.jp/sp/mspf1381_16001.html")</f>
        <v>http://msp2.sophia-s.co.jp/sp/mspf1381_16001.html</v>
      </c>
      <c r="F35" s="12" t="str">
        <f>HYPERLINK("https://www3.test-mitsui-shopping-park.com/ec/sp/torihikihou/OPAQUECLIP?uiel=Mobile")</f>
        <v>https://www3.test-mitsui-shopping-park.com/ec/sp/torihikihou/OPAQUECLIP?uiel=Mobile</v>
      </c>
      <c r="G35" s="13" t="str">
        <f>HYPERLINK("https://mitsui-shopping-park.com/ec/sp/torihikihou/OPAQUECLIP?uiel=Mobile")</f>
        <v>https://mitsui-shopping-park.com/ec/sp/torihikihou/OPAQUECLIP?uiel=Mobile</v>
      </c>
    </row>
    <row r="36" spans="1:7">
      <c r="A36" s="9" t="s">
        <v>224</v>
      </c>
      <c r="B36" s="10">
        <v>32</v>
      </c>
      <c r="C36" s="9" t="s">
        <v>225</v>
      </c>
      <c r="D36" s="9" t="s">
        <v>225</v>
      </c>
      <c r="E36" s="11" t="str">
        <f>HYPERLINK("http://msp2.sophia-s.co.jp/sp/mspf1381_16022.html")</f>
        <v>http://msp2.sophia-s.co.jp/sp/mspf1381_16022.html</v>
      </c>
      <c r="F36" s="12" t="str">
        <f>HYPERLINK("https://www3.test-mitsui-shopping-park.com/ec/sp/torihikihou/Modify?uiel=Mobile")</f>
        <v>https://www3.test-mitsui-shopping-park.com/ec/sp/torihikihou/Modify?uiel=Mobile</v>
      </c>
      <c r="G36" s="13" t="str">
        <f>HYPERLINK("https://mitsui-shopping-park.com/ec/sp/torihikihou/Modify?uiel=Mobile")</f>
        <v>https://mitsui-shopping-park.com/ec/sp/torihikihou/Modify?uiel=Mobile</v>
      </c>
    </row>
    <row r="37" spans="1:7">
      <c r="A37" s="9" t="s">
        <v>226</v>
      </c>
      <c r="B37" s="10">
        <v>33</v>
      </c>
      <c r="C37" s="9" t="s">
        <v>227</v>
      </c>
      <c r="D37" s="9" t="s">
        <v>227</v>
      </c>
      <c r="E37" s="11" t="str">
        <f>HYPERLINK("http://msp2.sophia-s.co.jp/sp/mspf1381_16021.html")</f>
        <v>http://msp2.sophia-s.co.jp/sp/mspf1381_16021.html</v>
      </c>
      <c r="F37" s="12" t="str">
        <f>HYPERLINK("https://www3.test-mitsui-shopping-park.com/ec/sp/torihikihou/JET?uiel=Mobile")</f>
        <v>https://www3.test-mitsui-shopping-park.com/ec/sp/torihikihou/JET?uiel=Mobile</v>
      </c>
      <c r="G37" s="13" t="str">
        <f>HYPERLINK("https://mitsui-shopping-park.com/ec/sp/torihikihou/JET?uiel=Mobile")</f>
        <v>https://mitsui-shopping-park.com/ec/sp/torihikihou/JET?uiel=Mobile</v>
      </c>
    </row>
    <row r="38" spans="1:7">
      <c r="A38" s="9" t="s">
        <v>228</v>
      </c>
      <c r="B38" s="10">
        <v>34</v>
      </c>
      <c r="C38" s="9" t="s">
        <v>229</v>
      </c>
      <c r="D38" s="9" t="s">
        <v>229</v>
      </c>
      <c r="E38" s="11" t="str">
        <f>HYPERLINK("http://msp2.sophia-s.co.jp/sp/mspf1381_16020.html")</f>
        <v>http://msp2.sophia-s.co.jp/sp/mspf1381_16020.html</v>
      </c>
      <c r="F38" s="12" t="str">
        <f>HYPERLINK("https://www3.test-mitsui-shopping-park.com/ec/sp/torihikihou/INDIVI?uiel=Mobile")</f>
        <v>https://www3.test-mitsui-shopping-park.com/ec/sp/torihikihou/INDIVI?uiel=Mobile</v>
      </c>
      <c r="G38" s="13" t="str">
        <f>HYPERLINK("https://mitsui-shopping-park.com/ec/sp/torihikihou/INDIVI?uiel=Mobile")</f>
        <v>https://mitsui-shopping-park.com/ec/sp/torihikihou/INDIVI?uiel=Mobile</v>
      </c>
    </row>
    <row r="39" spans="1:7">
      <c r="A39" s="9" t="s">
        <v>230</v>
      </c>
      <c r="B39" s="10">
        <v>35</v>
      </c>
      <c r="C39" s="9" t="s">
        <v>231</v>
      </c>
      <c r="D39" s="9" t="s">
        <v>231</v>
      </c>
      <c r="E39" s="11" t="str">
        <f>HYPERLINK("http://msp2.sophia-s.co.jp/sp/mspf1381_16006.html")</f>
        <v>http://msp2.sophia-s.co.jp/sp/mspf1381_16006.html</v>
      </c>
      <c r="F39" s="12" t="str">
        <f>HYPERLINK("https://www3.test-mitsui-shopping-park.com/ec/sp/torihikihou/index?uiel=Mobile")</f>
        <v>https://www3.test-mitsui-shopping-park.com/ec/sp/torihikihou/index?uiel=Mobile</v>
      </c>
      <c r="G39" s="13" t="str">
        <f>HYPERLINK("https://mitsui-shopping-park.com/ec/sp/torihikihou/index?uiel=Mobile")</f>
        <v>https://mitsui-shopping-park.com/ec/sp/torihikihou/index?uiel=Mobile</v>
      </c>
    </row>
    <row r="40" spans="1:7">
      <c r="A40" s="9" t="s">
        <v>232</v>
      </c>
      <c r="B40" s="10">
        <v>36</v>
      </c>
      <c r="C40" s="9" t="s">
        <v>233</v>
      </c>
      <c r="D40" s="9" t="s">
        <v>233</v>
      </c>
      <c r="E40" s="11" t="str">
        <f>HYPERLINK("http://msp2.sophia-s.co.jp/sp/mspf1381_16019.html")</f>
        <v>http://msp2.sophia-s.co.jp/sp/mspf1381_16019.html</v>
      </c>
      <c r="F40" s="12" t="str">
        <f>HYPERLINK("https://www3.test-mitsui-shopping-park.com/ec/sp/torihikihou/HusHusH?uiel=Mobile")</f>
        <v>https://www3.test-mitsui-shopping-park.com/ec/sp/torihikihou/HusHusH?uiel=Mobile</v>
      </c>
      <c r="G40" s="13" t="str">
        <f>HYPERLINK("https://mitsui-shopping-park.com/ec/sp/torihikihou/HusHusH?uiel=Mobile")</f>
        <v>https://mitsui-shopping-park.com/ec/sp/torihikihou/HusHusH?uiel=Mobile</v>
      </c>
    </row>
    <row r="41" spans="1:7">
      <c r="A41" s="9" t="s">
        <v>234</v>
      </c>
      <c r="B41" s="10">
        <v>37</v>
      </c>
      <c r="C41" s="9" t="s">
        <v>235</v>
      </c>
      <c r="D41" s="9" t="s">
        <v>236</v>
      </c>
      <c r="E41" s="11" t="str">
        <f>HYPERLINK("http://msp2.sophia-s.co.jp/sp/mspf1381_16018.html")</f>
        <v>http://msp2.sophia-s.co.jp/sp/mspf1381_16018.html</v>
      </c>
      <c r="F41" s="12" t="str">
        <f>HYPERLINK("https://www3.test-mitsui-shopping-park.com/ec/sp/torihikihou/HIROKOHAYASHI?uiel=Mobile")</f>
        <v>https://www3.test-mitsui-shopping-park.com/ec/sp/torihikihou/HIROKOHAYASHI?uiel=Mobile</v>
      </c>
      <c r="G41" s="13" t="str">
        <f>HYPERLINK("https://mitsui-shopping-park.com/ec/sp/torihikihou/HIROKOHAYASHI?uiel=Mobile")</f>
        <v>https://mitsui-shopping-park.com/ec/sp/torihikihou/HIROKOHAYASHI?uiel=Mobile</v>
      </c>
    </row>
    <row r="42" spans="1:7">
      <c r="A42" s="9" t="s">
        <v>237</v>
      </c>
      <c r="B42" s="10">
        <v>38</v>
      </c>
      <c r="C42" s="9" t="s">
        <v>238</v>
      </c>
      <c r="D42" s="9" t="s">
        <v>238</v>
      </c>
      <c r="E42" s="11" t="str">
        <f>HYPERLINK("http://msp2.sophia-s.co.jp/sp/mspf1381_16017.html")</f>
        <v>http://msp2.sophia-s.co.jp/sp/mspf1381_16017.html</v>
      </c>
      <c r="F42" s="12" t="str">
        <f>HYPERLINK("https://www3.test-mitsui-shopping-park.com/ec/sp/torihikihou/grove?uiel=Mobile")</f>
        <v>https://www3.test-mitsui-shopping-park.com/ec/sp/torihikihou/grove?uiel=Mobile</v>
      </c>
      <c r="G42" s="13" t="str">
        <f>HYPERLINK("https://mitsui-shopping-park.com/ec/sp/torihikihou/grove?uiel=Mobile")</f>
        <v>https://mitsui-shopping-park.com/ec/sp/torihikihou/grove?uiel=Mobile</v>
      </c>
    </row>
    <row r="43" spans="1:7">
      <c r="A43" s="9" t="s">
        <v>239</v>
      </c>
      <c r="B43" s="10">
        <v>39</v>
      </c>
      <c r="C43" s="9" t="s">
        <v>240</v>
      </c>
      <c r="D43" s="9" t="s">
        <v>240</v>
      </c>
      <c r="E43" s="11" t="str">
        <f>HYPERLINK("http://msp2.sophia-s.co.jp/sp/mspf1381_16033.html")</f>
        <v>http://msp2.sophia-s.co.jp/sp/mspf1381_16033.html</v>
      </c>
      <c r="F43" s="12" t="str">
        <f>HYPERLINK("https://www3.test-mitsui-shopping-park.com/ec/sp/torihikihou/esche?uiel=Mobile")</f>
        <v>https://www3.test-mitsui-shopping-park.com/ec/sp/torihikihou/esche?uiel=Mobile</v>
      </c>
      <c r="G43" s="13" t="str">
        <f>HYPERLINK("https://mitsui-shopping-park.com/ec/sp/torihikihou/esche?uiel=Mobile")</f>
        <v>https://mitsui-shopping-park.com/ec/sp/torihikihou/esche?uiel=Mobile</v>
      </c>
    </row>
    <row r="44" spans="1:7">
      <c r="A44" s="9" t="s">
        <v>241</v>
      </c>
      <c r="B44" s="10">
        <v>40</v>
      </c>
      <c r="C44" s="9" t="s">
        <v>242</v>
      </c>
      <c r="D44" s="9" t="s">
        <v>242</v>
      </c>
      <c r="E44" s="11" t="str">
        <f>HYPERLINK("http://msp2.sophia-s.co.jp/sp/mspf1381_16016.html")</f>
        <v>http://msp2.sophia-s.co.jp/sp/mspf1381_16016.html</v>
      </c>
      <c r="F44" s="12" t="str">
        <f>HYPERLINK("https://www3.test-mitsui-shopping-park.com/ec/sp/torihikihou/DRESSTERIOR?uiel=Mobile")</f>
        <v>https://www3.test-mitsui-shopping-park.com/ec/sp/torihikihou/DRESSTERIOR?uiel=Mobile</v>
      </c>
      <c r="G44" s="13" t="str">
        <f>HYPERLINK("https://mitsui-shopping-park.com/ec/sp/torihikihou/DRESSTERIOR?uiel=Mobile")</f>
        <v>https://mitsui-shopping-park.com/ec/sp/torihikihou/DRESSTERIOR?uiel=Mobile</v>
      </c>
    </row>
    <row r="45" spans="1:7">
      <c r="A45" s="9" t="s">
        <v>243</v>
      </c>
      <c r="B45" s="10">
        <v>41</v>
      </c>
      <c r="C45" s="9" t="s">
        <v>244</v>
      </c>
      <c r="D45" s="9" t="s">
        <v>245</v>
      </c>
      <c r="E45" s="11" t="str">
        <f>HYPERLINK("http://msp2.sophia-s.co.jp/sp/mspf1381_16003.html")</f>
        <v>http://msp2.sophia-s.co.jp/sp/mspf1381_16003.html</v>
      </c>
      <c r="F45" s="12" t="str">
        <f>HYPERLINK("https://www3.test-mitsui-shopping-park.com/ec/sp/torihikihou/Couturebrooch?uiel=Mobile")</f>
        <v>https://www3.test-mitsui-shopping-park.com/ec/sp/torihikihou/Couturebrooch?uiel=Mobile</v>
      </c>
      <c r="G45" s="13" t="str">
        <f>HYPERLINK("https://mitsui-shopping-park.com/ec/sp/torihikihou/Couturebrooch?uiel=Mobile")</f>
        <v>https://mitsui-shopping-park.com/ec/sp/torihikihou/Couturebrooch?uiel=Mobile</v>
      </c>
    </row>
    <row r="46" spans="1:7">
      <c r="A46" s="9" t="s">
        <v>246</v>
      </c>
      <c r="B46" s="10">
        <v>42</v>
      </c>
      <c r="C46" s="9" t="s">
        <v>247</v>
      </c>
      <c r="D46" s="9" t="s">
        <v>248</v>
      </c>
      <c r="E46" s="11" t="str">
        <f>HYPERLINK("http://msp2.sophia-s.co.jp/sp/mspf1381_16015.html")</f>
        <v>http://msp2.sophia-s.co.jp/sp/mspf1381_16015.html</v>
      </c>
      <c r="F46" s="12" t="str">
        <f>HYPERLINK("https://www3.test-mitsui-shopping-park.com/ec/sp/torihikihou/COUPDECHANCE?uiel=Mobile")</f>
        <v>https://www3.test-mitsui-shopping-park.com/ec/sp/torihikihou/COUPDECHANCE?uiel=Mobile</v>
      </c>
      <c r="G46" s="13" t="str">
        <f>HYPERLINK("https://mitsui-shopping-park.com/ec/sp/torihikihou/COUPDECHANCE?uiel=Mobile")</f>
        <v>https://mitsui-shopping-park.com/ec/sp/torihikihou/COUPDECHANCE?uiel=Mobile</v>
      </c>
    </row>
    <row r="47" spans="1:7">
      <c r="A47" s="9" t="s">
        <v>249</v>
      </c>
      <c r="B47" s="10">
        <v>43</v>
      </c>
      <c r="C47" s="9" t="s">
        <v>250</v>
      </c>
      <c r="D47" s="9" t="s">
        <v>250</v>
      </c>
      <c r="E47" s="11" t="str">
        <f>HYPERLINK("http://msp2.sophia-s.co.jp/sp/mspf1381_16014.html")</f>
        <v>http://msp2.sophia-s.co.jp/sp/mspf1381_16014.html</v>
      </c>
      <c r="F47" s="12" t="str">
        <f>HYPERLINK("https://www3.test-mitsui-shopping-park.com/ec/sp/torihikihou/COCOSHNIK?uiel=Mobile")</f>
        <v>https://www3.test-mitsui-shopping-park.com/ec/sp/torihikihou/COCOSHNIK?uiel=Mobile</v>
      </c>
      <c r="G47" s="13" t="str">
        <f>HYPERLINK("https://mitsui-shopping-park.com/ec/sp/torihikihou/COCOSHNIK?uiel=Mobile")</f>
        <v>https://mitsui-shopping-park.com/ec/sp/torihikihou/COCOSHNIK?uiel=Mobile</v>
      </c>
    </row>
    <row r="48" spans="1:7">
      <c r="A48" s="9" t="s">
        <v>251</v>
      </c>
      <c r="B48" s="10">
        <v>44</v>
      </c>
      <c r="C48" s="9" t="s">
        <v>252</v>
      </c>
      <c r="D48" s="9" t="s">
        <v>253</v>
      </c>
      <c r="E48" s="11" t="str">
        <f>HYPERLINK("http://msp2.sophia-s.co.jp/sp/mspf1381_16013.html")</f>
        <v>http://msp2.sophia-s.co.jp/sp/mspf1381_16013.html</v>
      </c>
      <c r="F48" s="12" t="str">
        <f>HYPERLINK("https://www3.test-mitsui-shopping-park.com/ec/sp/torihikihou/BASESTATION?uiel=Mobile")</f>
        <v>https://www3.test-mitsui-shopping-park.com/ec/sp/torihikihou/BASESTATION?uiel=Mobile</v>
      </c>
      <c r="G48" s="13" t="str">
        <f>HYPERLINK("https://mitsui-shopping-park.com/ec/sp/torihikihou/BASESTATION?uiel=Mobile")</f>
        <v>https://mitsui-shopping-park.com/ec/sp/torihikihou/BASESTATION?uiel=Mobile</v>
      </c>
    </row>
    <row r="49" spans="1:7">
      <c r="A49" s="9" t="s">
        <v>254</v>
      </c>
      <c r="B49" s="10">
        <v>45</v>
      </c>
      <c r="C49" s="9" t="s">
        <v>255</v>
      </c>
      <c r="D49" s="9" t="s">
        <v>255</v>
      </c>
      <c r="E49" s="11" t="str">
        <f>HYPERLINK("http://msp2.sophia-s.co.jp/sp/mspf1381_16012.html")</f>
        <v>http://msp2.sophia-s.co.jp/sp/mspf1381_16012.html</v>
      </c>
      <c r="F49" s="12" t="str">
        <f>HYPERLINK("https://www3.test-mitsui-shopping-park.com/ec/sp/torihikihou/aquagirl?uiel=Mobile")</f>
        <v>https://www3.test-mitsui-shopping-park.com/ec/sp/torihikihou/aquagirl?uiel=Mobile</v>
      </c>
      <c r="G49" s="13" t="str">
        <f>HYPERLINK("https://mitsui-shopping-park.com/ec/sp/torihikihou/aquagirl?uiel=Mobile")</f>
        <v>https://mitsui-shopping-park.com/ec/sp/torihikihou/aquagirl?uiel=Mobile</v>
      </c>
    </row>
    <row r="50" spans="1:7">
      <c r="A50" s="9" t="s">
        <v>256</v>
      </c>
      <c r="B50" s="10">
        <v>46</v>
      </c>
      <c r="C50" s="9" t="s">
        <v>257</v>
      </c>
      <c r="D50" s="9" t="s">
        <v>257</v>
      </c>
      <c r="E50" s="11" t="str">
        <f>HYPERLINK("http://msp2.sophia-s.co.jp/sp/mspf1381_16011.html")</f>
        <v>http://msp2.sophia-s.co.jp/sp/mspf1381_16011.html</v>
      </c>
      <c r="F50" s="12" t="str">
        <f>HYPERLINK("https://www3.test-mitsui-shopping-park.com/ec/sp/torihikihou/anatelier?uiel=Mobile")</f>
        <v>https://www3.test-mitsui-shopping-park.com/ec/sp/torihikihou/anatelier?uiel=Mobile</v>
      </c>
      <c r="G50" s="13" t="str">
        <f>HYPERLINK("https://mitsui-shopping-park.com/ec/sp/torihikihou/anatelier?uiel=Mobile")</f>
        <v>https://mitsui-shopping-park.com/ec/sp/torihikihou/anatelier?uiel=Mobile</v>
      </c>
    </row>
    <row r="51" spans="1:7">
      <c r="A51" s="9" t="s">
        <v>258</v>
      </c>
      <c r="B51" s="10">
        <v>47</v>
      </c>
      <c r="C51" s="9" t="s">
        <v>259</v>
      </c>
      <c r="D51" s="9" t="s">
        <v>259</v>
      </c>
      <c r="E51" s="11" t="str">
        <f>HYPERLINK("http://msp2.sophia-s.co.jp/sp/mspf1381_16010.html")</f>
        <v>http://msp2.sophia-s.co.jp/sp/mspf1381_16010.html</v>
      </c>
      <c r="F51" s="12" t="str">
        <f>HYPERLINK("https://www3.test-mitsui-shopping-park.com/ec/sp/torihikihou/Airpapel?uiel=Mobile")</f>
        <v>https://www3.test-mitsui-shopping-park.com/ec/sp/torihikihou/Airpapel?uiel=Mobile</v>
      </c>
      <c r="G51" s="13" t="str">
        <f>HYPERLINK("https://mitsui-shopping-park.com/ec/sp/torihikihou/Airpapel?uiel=Mobile")</f>
        <v>https://mitsui-shopping-park.com/ec/sp/torihikihou/Airpapel?uiel=Mobile</v>
      </c>
    </row>
    <row r="52" spans="1:7">
      <c r="A52" s="9" t="s">
        <v>260</v>
      </c>
      <c r="B52" s="10">
        <v>48</v>
      </c>
      <c r="C52" s="9" t="s">
        <v>261</v>
      </c>
      <c r="D52" s="9" t="s">
        <v>262</v>
      </c>
      <c r="E52" s="11" t="str">
        <f>HYPERLINK("http://msp2.sophia-s.co.jp/sp/mspf1381_16009.html")</f>
        <v>http://msp2.sophia-s.co.jp/sp/mspf1381_16009.html</v>
      </c>
      <c r="F52" s="12" t="str">
        <f>HYPERLINK("https://www3.test-mitsui-shopping-park.com/ec/sp/torihikihou/AGbyaquagirl?uiel=Mobile")</f>
        <v>https://www3.test-mitsui-shopping-park.com/ec/sp/torihikihou/AGbyaquagirl?uiel=Mobile</v>
      </c>
      <c r="G52" s="13" t="str">
        <f>HYPERLINK("https://mitsui-shopping-park.com/ec/sp/torihikihou/AGbyaquagirl?uiel=Mobile")</f>
        <v>https://mitsui-shopping-park.com/ec/sp/torihikihou/AGbyaquagirl?uiel=Mobile</v>
      </c>
    </row>
    <row r="53" spans="1:7">
      <c r="A53" s="9" t="s">
        <v>263</v>
      </c>
      <c r="B53" s="10">
        <v>49</v>
      </c>
      <c r="C53" s="9" t="s">
        <v>264</v>
      </c>
      <c r="D53" s="9" t="s">
        <v>264</v>
      </c>
      <c r="E53" s="11" t="str">
        <f>HYPERLINK("http://msp2.sophia-s.co.jp/sp/mspf1381_16008.html")</f>
        <v>http://msp2.sophia-s.co.jp/sp/mspf1381_16008.html</v>
      </c>
      <c r="F53" s="12" t="str">
        <f>HYPERLINK("https://www3.test-mitsui-shopping-park.com/ec/sp/torihikihou/adabat?uiel=Mobile")</f>
        <v>https://www3.test-mitsui-shopping-park.com/ec/sp/torihikihou/adabat?uiel=Mobile</v>
      </c>
      <c r="G53" s="13" t="str">
        <f>HYPERLINK("https://mitsui-shopping-park.com/ec/sp/torihikihou/adabat?uiel=Mobile")</f>
        <v>https://mitsui-shopping-park.com/ec/sp/torihikihou/adabat?uiel=Mobile</v>
      </c>
    </row>
    <row r="54" spans="1:7">
      <c r="A54" s="9" t="s">
        <v>265</v>
      </c>
      <c r="B54" s="10">
        <v>50</v>
      </c>
      <c r="C54" s="9" t="s">
        <v>266</v>
      </c>
      <c r="D54" s="9" t="s">
        <v>266</v>
      </c>
      <c r="E54" s="11" t="str">
        <f>HYPERLINK("http://msp2.sophia-s.co.jp/sp/mspf1381_16000.html")</f>
        <v>http://msp2.sophia-s.co.jp/sp/mspf1381_16000.html</v>
      </c>
      <c r="F54" s="12" t="str">
        <f>HYPERLINK("https://www3.test-mitsui-shopping-park.com/ec/sp/torihikihou/3can4on?uiel=Mobile")</f>
        <v>https://www3.test-mitsui-shopping-park.com/ec/sp/torihikihou/3can4on?uiel=Mobile</v>
      </c>
      <c r="G54" s="13" t="str">
        <f>HYPERLINK("https://mitsui-shopping-park.com/ec/sp/torihikihou/3can4on?uiel=Mobile")</f>
        <v>https://mitsui-shopping-park.com/ec/sp/torihikihou/3can4on?uiel=Mobile</v>
      </c>
    </row>
    <row r="55" spans="1:7">
      <c r="A55" s="9" t="s">
        <v>267</v>
      </c>
      <c r="B55" s="10">
        <v>51</v>
      </c>
      <c r="C55" s="9" t="s">
        <v>268</v>
      </c>
      <c r="D55" s="9" t="s">
        <v>269</v>
      </c>
      <c r="E55" s="11" t="str">
        <f>HYPERLINK("http://msp2.sophia-s.co.jp/sp/mspf1381_12001.html")</f>
        <v>http://msp2.sophia-s.co.jp/sp/mspf1381_12001.html</v>
      </c>
      <c r="F55" s="12" t="str">
        <f>HYPERLINK("https://www3.test-mitsui-shopping-park.com/ec/sp/torihikihou/RB?uiel=Mobile")</f>
        <v>https://www3.test-mitsui-shopping-park.com/ec/sp/torihikihou/RB?uiel=Mobile</v>
      </c>
      <c r="G55" s="13" t="str">
        <f>HYPERLINK("https://mitsui-shopping-park.com/ec/sp/torihikihou/RB?uiel=Mobile")</f>
        <v>https://mitsui-shopping-park.com/ec/sp/torihikihou/RB?uiel=Mobile</v>
      </c>
    </row>
    <row r="56" spans="1:7">
      <c r="A56" s="9" t="s">
        <v>270</v>
      </c>
      <c r="B56" s="10">
        <v>52</v>
      </c>
      <c r="C56" s="9" t="s">
        <v>271</v>
      </c>
      <c r="D56" s="9" t="s">
        <v>272</v>
      </c>
      <c r="E56" s="11" t="str">
        <f>HYPERLINK("http://msp2.sophia-s.co.jp/sp/mspf1381_17500.html")</f>
        <v>http://msp2.sophia-s.co.jp/sp/mspf1381_17500.html</v>
      </c>
      <c r="F56" s="12" t="str">
        <f>HYPERLINK("https://www3.test-mitsui-shopping-park.com/ec/sp/torihikihou/lemontree?uiel=Mobile")</f>
        <v>https://www3.test-mitsui-shopping-park.com/ec/sp/torihikihou/lemontree?uiel=Mobile</v>
      </c>
      <c r="G56" s="13" t="str">
        <f>HYPERLINK("https://mitsui-shopping-park.com/ec/sp/torihikihou/lemontree?uiel=Mobile")</f>
        <v>https://mitsui-shopping-park.com/ec/sp/torihikihou/lemontree?uiel=Mobile</v>
      </c>
    </row>
    <row r="57" spans="1:7">
      <c r="A57" s="9" t="s">
        <v>273</v>
      </c>
      <c r="B57" s="10">
        <v>53</v>
      </c>
      <c r="C57" s="9" t="s">
        <v>274</v>
      </c>
      <c r="D57" s="9" t="s">
        <v>275</v>
      </c>
      <c r="E57" s="11" t="str">
        <f>HYPERLINK("http://msp2.sophia-s.co.jp/sp/mspf1381_17501.html")</f>
        <v>http://msp2.sophia-s.co.jp/sp/mspf1381_17501.html</v>
      </c>
      <c r="F57" s="12" t="str">
        <f>HYPERLINK("https://www3.test-mitsui-shopping-park.com/ec/sp/torihikihou/Pinklemontree?uiel=Mobile")</f>
        <v>https://www3.test-mitsui-shopping-park.com/ec/sp/torihikihou/Pinklemontree?uiel=Mobile</v>
      </c>
      <c r="G57" s="13" t="str">
        <f>HYPERLINK("https://mitsui-shopping-park.com/ec/sp/torihikihou/Pinklemontree?uiel=Mobile")</f>
        <v>https://mitsui-shopping-park.com/ec/sp/torihikihou/Pinklemontree?uiel=Mobile</v>
      </c>
    </row>
    <row r="58" spans="1:7">
      <c r="A58" s="9" t="s">
        <v>276</v>
      </c>
      <c r="B58" s="10">
        <v>54</v>
      </c>
      <c r="C58" s="9" t="s">
        <v>277</v>
      </c>
      <c r="D58" s="9" t="s">
        <v>278</v>
      </c>
      <c r="E58" s="11" t="str">
        <f>HYPERLINK("http://msp2.sophia-s.co.jp/sp/mspf1381_10300.html")</f>
        <v>http://msp2.sophia-s.co.jp/sp/mspf1381_10300.html</v>
      </c>
      <c r="F58" s="12" t="str">
        <f>HYPERLINK("https://www3.test-mitsui-shopping-park.com/ec/sp/torihikihou/LAZYSUSAN?uiel=Mobile")</f>
        <v>https://www3.test-mitsui-shopping-park.com/ec/sp/torihikihou/LAZYSUSAN?uiel=Mobile</v>
      </c>
      <c r="G58" s="13" t="str">
        <f>HYPERLINK("https://mitsui-shopping-park.com/ec/sp/torihikihou/LAZYSUSAN?uiel=Mobile")</f>
        <v>https://mitsui-shopping-park.com/ec/sp/torihikihou/LAZYSUSAN?uiel=Mobile</v>
      </c>
    </row>
    <row r="59" spans="1:7">
      <c r="A59" s="9" t="s">
        <v>279</v>
      </c>
      <c r="B59" s="10">
        <v>55</v>
      </c>
      <c r="C59" s="9" t="s">
        <v>280</v>
      </c>
      <c r="D59" s="9" t="s">
        <v>280</v>
      </c>
      <c r="E59" s="11" t="str">
        <f>HYPERLINK("http://msp2.sophia-s.co.jp/sp/mspf1381_11700.html")</f>
        <v>http://msp2.sophia-s.co.jp/sp/mspf1381_11700.html</v>
      </c>
      <c r="F59" s="12" t="str">
        <f>HYPERLINK("https://www3.test-mitsui-shopping-park.com/ec/sp/torihikihou/LACOSTE?uiel=Mobile")</f>
        <v>https://www3.test-mitsui-shopping-park.com/ec/sp/torihikihou/LACOSTE?uiel=Mobile</v>
      </c>
      <c r="G59" s="13" t="str">
        <f>HYPERLINK("https://mitsui-shopping-park.com/ec/sp/torihikihou/LACOSTE?uiel=Mobile")</f>
        <v>https://mitsui-shopping-park.com/ec/sp/torihikihou/LACOSTE?uiel=Mobile</v>
      </c>
    </row>
    <row r="60" spans="1:7">
      <c r="A60" s="9" t="s">
        <v>281</v>
      </c>
      <c r="B60" s="10">
        <v>56</v>
      </c>
      <c r="C60" s="9" t="s">
        <v>282</v>
      </c>
      <c r="D60" s="9" t="s">
        <v>283</v>
      </c>
      <c r="E60" s="11" t="str">
        <f>HYPERLINK("http://msp2.sophia-s.co.jp/sp/mspf1381_12702.html")</f>
        <v>http://msp2.sophia-s.co.jp/sp/mspf1381_12702.html</v>
      </c>
      <c r="F60" s="12" t="str">
        <f>HYPERLINK("https://www3.test-mitsui-shopping-park.com/ec/sp/torihikihou/UNITEDARROWSglr?uiel=Mobile")</f>
        <v>https://www3.test-mitsui-shopping-park.com/ec/sp/torihikihou/UNITEDARROWSglr?uiel=Mobile</v>
      </c>
      <c r="G60" s="13" t="str">
        <f>HYPERLINK("https://mitsui-shopping-park.com/ec/sp/torihikihou/UNITEDARROWSglr?uiel=Mobile")</f>
        <v>https://mitsui-shopping-park.com/ec/sp/torihikihou/UNITEDARROWSglr?uiel=Mobile</v>
      </c>
    </row>
    <row r="61" spans="1:7">
      <c r="A61" s="9" t="s">
        <v>284</v>
      </c>
      <c r="B61" s="10">
        <v>57</v>
      </c>
      <c r="C61" s="9" t="s">
        <v>285</v>
      </c>
      <c r="D61" s="9" t="s">
        <v>286</v>
      </c>
      <c r="E61" s="11" t="str">
        <f>HYPERLINK("http://msp2.sophia-s.co.jp/sp/mspf1381_12700.html")</f>
        <v>http://msp2.sophia-s.co.jp/sp/mspf1381_12700.html</v>
      </c>
      <c r="F61" s="12" t="str">
        <f>HYPERLINK("https://www3.test-mitsui-shopping-park.com/ec/sp/torihikihou/UNITEDARROWS?uiel=Mobile")</f>
        <v>https://www3.test-mitsui-shopping-park.com/ec/sp/torihikihou/UNITEDARROWS?uiel=Mobile</v>
      </c>
      <c r="G61" s="13" t="str">
        <f>HYPERLINK("https://mitsui-shopping-park.com/ec/sp/torihikihou/UNITEDARROWS?uiel=Mobile")</f>
        <v>https://mitsui-shopping-park.com/ec/sp/torihikihou/UNITEDARROWS?uiel=Mobile</v>
      </c>
    </row>
    <row r="62" spans="1:7">
      <c r="A62" s="9" t="s">
        <v>287</v>
      </c>
      <c r="B62" s="10">
        <v>58</v>
      </c>
      <c r="C62" s="9" t="s">
        <v>288</v>
      </c>
      <c r="D62" s="9" t="s">
        <v>289</v>
      </c>
      <c r="E62" s="11" t="str">
        <f>HYPERLINK("http://msp2.sophia-s.co.jp/sp/mspf1381_12701.html")</f>
        <v>http://msp2.sophia-s.co.jp/sp/mspf1381_12701.html</v>
      </c>
      <c r="F62" s="12" t="str">
        <f>HYPERLINK("https://www3.test-mitsui-shopping-park.com/ec/sp/torihikihou/byUNITEDARROWS?uiel=Mobile")</f>
        <v>https://www3.test-mitsui-shopping-park.com/ec/sp/torihikihou/byUNITEDARROWS?uiel=Mobile</v>
      </c>
      <c r="G62" s="13" t="str">
        <f>HYPERLINK("https://mitsui-shopping-park.com/ec/sp/torihikihou/byUNITEDARROWS?uiel=Mobile")</f>
        <v>https://mitsui-shopping-park.com/ec/sp/torihikihou/byUNITEDARROWS?uiel=Mobile</v>
      </c>
    </row>
    <row r="63" spans="1:7">
      <c r="A63" s="9" t="s">
        <v>290</v>
      </c>
      <c r="B63" s="10">
        <v>59</v>
      </c>
      <c r="C63" s="9" t="s">
        <v>291</v>
      </c>
      <c r="D63" s="9" t="s">
        <v>291</v>
      </c>
      <c r="E63" s="11" t="str">
        <f>HYPERLINK("http://msp2.sophia-s.co.jp/sp/mspf1381_18100.html")</f>
        <v>http://msp2.sophia-s.co.jp/sp/mspf1381_18100.html</v>
      </c>
      <c r="F63" s="12" t="str">
        <f>HYPERLINK("https://www3.test-mitsui-shopping-park.com/ec/sp/torihikihou/ete?uiel=Mobile")</f>
        <v>https://www3.test-mitsui-shopping-park.com/ec/sp/torihikihou/ete?uiel=Mobile</v>
      </c>
      <c r="G63" s="13" t="str">
        <f>HYPERLINK("https://mitsui-shopping-park.com/ec/sp/torihikihou/ete?uiel=Mobile")</f>
        <v>https://mitsui-shopping-park.com/ec/sp/torihikihou/ete?uiel=Mobile</v>
      </c>
    </row>
    <row r="64" spans="1:7">
      <c r="A64" s="9" t="s">
        <v>292</v>
      </c>
      <c r="B64" s="10">
        <v>60</v>
      </c>
      <c r="C64" s="9" t="s">
        <v>293</v>
      </c>
      <c r="D64" s="9" t="s">
        <v>294</v>
      </c>
      <c r="E64" s="11" t="str">
        <f>HYPERLINK("http://msp2.sophia-s.co.jp/sp/mspf1381_18200.html")</f>
        <v>http://msp2.sophia-s.co.jp/sp/mspf1381_18200.html</v>
      </c>
      <c r="F64" s="12" t="str">
        <f>HYPERLINK("https://www3.test-mitsui-shopping-park.com/ec/sp/torihikihou/maRemaReDAILYMARKET?uiel=Mobile")</f>
        <v>https://www3.test-mitsui-shopping-park.com/ec/sp/torihikihou/maRemaReDAILYMARKET?uiel=Mobile</v>
      </c>
      <c r="G64" s="13" t="str">
        <f>HYPERLINK("https://mitsui-shopping-park.com/ec/sp/torihikihou/maRemaReDAILYMARKET?uiel=Mobile")</f>
        <v>https://mitsui-shopping-park.com/ec/sp/torihikihou/maRemaReDAILYMARKET?uiel=Mobile</v>
      </c>
    </row>
    <row r="65" spans="1:7">
      <c r="A65" s="9" t="s">
        <v>295</v>
      </c>
      <c r="B65" s="10">
        <v>61</v>
      </c>
      <c r="C65" s="9" t="s">
        <v>296</v>
      </c>
      <c r="D65" s="9" t="s">
        <v>297</v>
      </c>
      <c r="E65" s="11" t="str">
        <f>HYPERLINK("http://msp2.sophia-s.co.jp/sp/mspf1381_11600.html")</f>
        <v>http://msp2.sophia-s.co.jp/sp/mspf1381_11600.html</v>
      </c>
      <c r="F65" s="12" t="str">
        <f>HYPERLINK("https://www3.test-mitsui-shopping-park.com/ec/sp/torihikihou/BIRKENSTOCK?uiel=Mobile")</f>
        <v>https://www3.test-mitsui-shopping-park.com/ec/sp/torihikihou/BIRKENSTOCK?uiel=Mobile</v>
      </c>
      <c r="G65" s="13" t="str">
        <f>HYPERLINK("https://mitsui-shopping-park.com/ec/sp/torihikihou/BIRKENSTOCK?uiel=Mobile")</f>
        <v>https://mitsui-shopping-park.com/ec/sp/torihikihou/BIRKENSTOCK?uiel=Mobile</v>
      </c>
    </row>
    <row r="66" spans="1:7">
      <c r="A66" s="9" t="s">
        <v>298</v>
      </c>
      <c r="B66" s="10">
        <v>62</v>
      </c>
      <c r="C66" s="9" t="s">
        <v>299</v>
      </c>
      <c r="D66" s="9" t="s">
        <v>299</v>
      </c>
      <c r="E66" s="11" t="str">
        <f>HYPERLINK("http://msp2.sophia-s.co.jp/sp/mspf1381_14600.html")</f>
        <v>http://msp2.sophia-s.co.jp/sp/mspf1381_14600.html</v>
      </c>
      <c r="F66" s="12" t="str">
        <f>HYPERLINK("https://www3.test-mitsui-shopping-park.com/ec/sp/torihikihou/cepo?uiel=Mobile")</f>
        <v>https://www3.test-mitsui-shopping-park.com/ec/sp/torihikihou/cepo?uiel=Mobile</v>
      </c>
      <c r="G66" s="13" t="str">
        <f>HYPERLINK("https://mitsui-shopping-park.com/ec/sp/torihikihou/cepo?uiel=Mobile")</f>
        <v>https://mitsui-shopping-park.com/ec/sp/torihikihou/cepo?uiel=Mobile</v>
      </c>
    </row>
    <row r="67" spans="1:7">
      <c r="A67" s="9" t="s">
        <v>300</v>
      </c>
      <c r="B67" s="10">
        <v>63</v>
      </c>
      <c r="C67" s="9" t="s">
        <v>301</v>
      </c>
      <c r="D67" s="9" t="s">
        <v>302</v>
      </c>
      <c r="E67" s="11" t="str">
        <f>HYPERLINK("http://msp2.sophia-s.co.jp/sp/mspf1381_12600.html")</f>
        <v>http://msp2.sophia-s.co.jp/sp/mspf1381_12600.html</v>
      </c>
      <c r="F67" s="12" t="str">
        <f>HYPERLINK("https://www3.test-mitsui-shopping-park.com/ec/sp/torihikihou/FolliFollie?uiel=Mobile")</f>
        <v>https://www3.test-mitsui-shopping-park.com/ec/sp/torihikihou/FolliFollie?uiel=Mobile</v>
      </c>
      <c r="G67" s="13" t="str">
        <f>HYPERLINK("https://mitsui-shopping-park.com/ec/sp/torihikihou/FolliFollie?uiel=Mobile")</f>
        <v>https://mitsui-shopping-park.com/ec/sp/torihikihou/FolliFollie?uiel=Mobile</v>
      </c>
    </row>
    <row r="68" spans="1:7">
      <c r="A68" s="9" t="s">
        <v>303</v>
      </c>
      <c r="B68" s="10">
        <v>64</v>
      </c>
      <c r="C68" s="9" t="s">
        <v>304</v>
      </c>
      <c r="D68" s="9" t="s">
        <v>305</v>
      </c>
      <c r="E68" s="11" t="str">
        <f>HYPERLINK("http://msp2.sophia-s.co.jp/sp/mspf1381_13304.html")</f>
        <v>http://msp2.sophia-s.co.jp/sp/mspf1381_13304.html</v>
      </c>
      <c r="F68" s="12" t="str">
        <f>HYPERLINK("https://www3.test-mitsui-shopping-park.com/ec/sp/torihikihou/Purple-Yellow?uiel=Mobile")</f>
        <v>https://www3.test-mitsui-shopping-park.com/ec/sp/torihikihou/Purple-Yellow?uiel=Mobile</v>
      </c>
      <c r="G68" s="13" t="str">
        <f>HYPERLINK("https://mitsui-shopping-park.com/ec/sp/torihikihou/Purple-Yellow?uiel=Mobile")</f>
        <v>https://mitsui-shopping-park.com/ec/sp/torihikihou/Purple-Yellow?uiel=Mobile</v>
      </c>
    </row>
    <row r="69" spans="1:7">
      <c r="A69" s="9" t="s">
        <v>306</v>
      </c>
      <c r="B69" s="10">
        <v>65</v>
      </c>
      <c r="C69" s="9" t="s">
        <v>307</v>
      </c>
      <c r="D69" s="9" t="s">
        <v>308</v>
      </c>
      <c r="E69" s="11" t="str">
        <f>HYPERLINK("http://msp2.sophia-s.co.jp/sp/mspf1381_13305.html")</f>
        <v>http://msp2.sophia-s.co.jp/sp/mspf1381_13305.html</v>
      </c>
      <c r="F69" s="12" t="str">
        <f>HYPERLINK("https://www3.test-mitsui-shopping-park.com/ec/sp/torihikihou/MONOCOMMECA?uiel=Mobile")</f>
        <v>https://www3.test-mitsui-shopping-park.com/ec/sp/torihikihou/MONOCOMMECA?uiel=Mobile</v>
      </c>
      <c r="G69" s="13" t="str">
        <f>HYPERLINK("https://mitsui-shopping-park.com/ec/sp/torihikihou/MONOCOMMECA?uiel=Mobile")</f>
        <v>https://mitsui-shopping-park.com/ec/sp/torihikihou/MONOCOMMECA?uiel=Mobile</v>
      </c>
    </row>
    <row r="70" spans="1:7">
      <c r="A70" s="9" t="s">
        <v>309</v>
      </c>
      <c r="B70" s="10">
        <v>66</v>
      </c>
      <c r="C70" s="9" t="s">
        <v>310</v>
      </c>
      <c r="D70" s="9" t="s">
        <v>311</v>
      </c>
      <c r="E70" s="11" t="str">
        <f>HYPERLINK("http://msp2.sophia-s.co.jp/sp/mspf1381_13308.html")</f>
        <v>http://msp2.sophia-s.co.jp/sp/mspf1381_13308.html</v>
      </c>
      <c r="F70" s="12" t="str">
        <f>HYPERLINK("https://www3.test-mitsui-shopping-park.com/ec/sp/torihikihou/LUMINOSOCOMMECA?uiel=Mobile")</f>
        <v>https://www3.test-mitsui-shopping-park.com/ec/sp/torihikihou/LUMINOSOCOMMECA?uiel=Mobile</v>
      </c>
      <c r="G70" s="13" t="str">
        <f>HYPERLINK("https://mitsui-shopping-park.com/ec/sp/torihikihou/LUMINOSOCOMMECA?uiel=Mobile")</f>
        <v>https://mitsui-shopping-park.com/ec/sp/torihikihou/LUMINOSOCOMMECA?uiel=Mobile</v>
      </c>
    </row>
    <row r="71" spans="1:7">
      <c r="A71" s="9" t="s">
        <v>312</v>
      </c>
      <c r="B71" s="10">
        <v>67</v>
      </c>
      <c r="C71" s="9" t="s">
        <v>313</v>
      </c>
      <c r="D71" s="9" t="s">
        <v>314</v>
      </c>
      <c r="E71" s="11" t="str">
        <f>HYPERLINK("http://msp2.sophia-s.co.jp/sp/mspf1381_13307.html")</f>
        <v>http://msp2.sophia-s.co.jp/sp/mspf1381_13307.html</v>
      </c>
      <c r="F71" s="12" t="str">
        <f>HYPERLINK("https://www3.test-mitsui-shopping-park.com/ec/sp/torihikihou/GabardineKT?uiel=Mobile")</f>
        <v>https://www3.test-mitsui-shopping-park.com/ec/sp/torihikihou/GabardineKT?uiel=Mobile</v>
      </c>
      <c r="G71" s="13" t="str">
        <f>HYPERLINK("https://mitsui-shopping-park.com/ec/sp/torihikihou/GabardineKT?uiel=Mobile")</f>
        <v>https://mitsui-shopping-park.com/ec/sp/torihikihou/GabardineKT?uiel=Mobile</v>
      </c>
    </row>
    <row r="72" spans="1:7">
      <c r="A72" s="9" t="s">
        <v>315</v>
      </c>
      <c r="B72" s="10">
        <v>68</v>
      </c>
      <c r="C72" s="9" t="s">
        <v>316</v>
      </c>
      <c r="D72" s="9" t="s">
        <v>317</v>
      </c>
      <c r="E72" s="11" t="str">
        <f>HYPERLINK("http://msp2.sophia-s.co.jp/sp/mspf1381_13306.html")</f>
        <v>http://msp2.sophia-s.co.jp/sp/mspf1381_13306.html</v>
      </c>
      <c r="F72" s="12" t="str">
        <f>HYPERLINK("https://www3.test-mitsui-shopping-park.com/ec/sp/torihikihou/COMMECA?uiel=Mobile")</f>
        <v>https://www3.test-mitsui-shopping-park.com/ec/sp/torihikihou/COMMECA?uiel=Mobile</v>
      </c>
      <c r="G72" s="13" t="str">
        <f>HYPERLINK("https://mitsui-shopping-park.com/ec/sp/torihikihou/COMMECA?uiel=Mobile")</f>
        <v>https://mitsui-shopping-park.com/ec/sp/torihikihou/COMMECA?uiel=Mobile</v>
      </c>
    </row>
    <row r="73" spans="1:7">
      <c r="A73" s="9" t="s">
        <v>318</v>
      </c>
      <c r="B73" s="10">
        <v>69</v>
      </c>
      <c r="C73" s="9" t="s">
        <v>319</v>
      </c>
      <c r="D73" s="9" t="s">
        <v>320</v>
      </c>
      <c r="E73" s="11" t="str">
        <f>HYPERLINK("http://msp2.sophia-s.co.jp/sp/mspf1381_13310.html")</f>
        <v>http://msp2.sophia-s.co.jp/sp/mspf1381_13310.html</v>
      </c>
      <c r="F73" s="12" t="str">
        <f>HYPERLINK("https://www3.test-mitsui-shopping-park.com/ec/sp/torihikihou/COMMECAMEN?uiel=Mobile")</f>
        <v>https://www3.test-mitsui-shopping-park.com/ec/sp/torihikihou/COMMECAMEN?uiel=Mobile</v>
      </c>
      <c r="G73" s="13" t="str">
        <f>HYPERLINK("https://mitsui-shopping-park.com/ec/sp/torihikihou/COMMECAMEN?uiel=Mobile")</f>
        <v>https://mitsui-shopping-park.com/ec/sp/torihikihou/COMMECAMEN?uiel=Mobile</v>
      </c>
    </row>
    <row r="74" spans="1:7">
      <c r="A74" s="9" t="s">
        <v>321</v>
      </c>
      <c r="B74" s="10">
        <v>70</v>
      </c>
      <c r="C74" s="9" t="s">
        <v>322</v>
      </c>
      <c r="D74" s="9" t="s">
        <v>323</v>
      </c>
      <c r="E74" s="11" t="str">
        <f>HYPERLINK("http://msp2.sophia-s.co.jp/sp/mspf1381_13302.html")</f>
        <v>http://msp2.sophia-s.co.jp/sp/mspf1381_13302.html</v>
      </c>
      <c r="F74" s="12" t="str">
        <f>HYPERLINK("https://www3.test-mitsui-shopping-park.com/ec/sp/torihikihou/CommecaMature?uiel=Mobile")</f>
        <v>https://www3.test-mitsui-shopping-park.com/ec/sp/torihikihou/CommecaMature?uiel=Mobile</v>
      </c>
      <c r="G74" s="13" t="str">
        <f>HYPERLINK("https://mitsui-shopping-park.com/ec/sp/torihikihou/CommecaMature?uiel=Mobile")</f>
        <v>https://mitsui-shopping-park.com/ec/sp/torihikihou/CommecaMature?uiel=Mobile</v>
      </c>
    </row>
    <row r="75" spans="1:7">
      <c r="A75" s="9" t="s">
        <v>324</v>
      </c>
      <c r="B75" s="10">
        <v>71</v>
      </c>
      <c r="C75" s="9" t="s">
        <v>325</v>
      </c>
      <c r="D75" s="9" t="s">
        <v>326</v>
      </c>
      <c r="E75" s="11" t="str">
        <f>HYPERLINK("http://msp2.sophia-s.co.jp/sp/mspf1381_13300.html")</f>
        <v>http://msp2.sophia-s.co.jp/sp/mspf1381_13300.html</v>
      </c>
      <c r="F75" s="12" t="str">
        <f>HYPERLINK("https://www3.test-mitsui-shopping-park.com/ec/sp/torihikihou/COMMECAISM?uiel=Mobile")</f>
        <v>https://www3.test-mitsui-shopping-park.com/ec/sp/torihikihou/COMMECAISM?uiel=Mobile</v>
      </c>
      <c r="G75" s="13" t="str">
        <f>HYPERLINK("https://mitsui-shopping-park.com/ec/sp/torihikihou/COMMECAISM?uiel=Mobile")</f>
        <v>https://mitsui-shopping-park.com/ec/sp/torihikihou/COMMECAISM?uiel=Mobile</v>
      </c>
    </row>
    <row r="76" spans="1:7">
      <c r="A76" s="9" t="s">
        <v>327</v>
      </c>
      <c r="B76" s="10">
        <v>72</v>
      </c>
      <c r="C76" s="9" t="s">
        <v>328</v>
      </c>
      <c r="D76" s="9" t="s">
        <v>329</v>
      </c>
      <c r="E76" s="11" t="str">
        <f>HYPERLINK("http://msp2.sophia-s.co.jp/sp/mspf1381_13311.html")</f>
        <v>http://msp2.sophia-s.co.jp/sp/mspf1381_13311.html</v>
      </c>
      <c r="F76" s="12" t="str">
        <f>HYPERLINK("https://www3.test-mitsui-shopping-park.com/ec/sp/torihikihou/COMMECAFILLE?uiel=Mobile")</f>
        <v>https://www3.test-mitsui-shopping-park.com/ec/sp/torihikihou/COMMECAFILLE?uiel=Mobile</v>
      </c>
      <c r="G76" s="13" t="str">
        <f>HYPERLINK("https://mitsui-shopping-park.com/ec/sp/torihikihou/COMMECAFILLE?uiel=Mobile")</f>
        <v>https://mitsui-shopping-park.com/ec/sp/torihikihou/COMMECAFILLE?uiel=Mobile</v>
      </c>
    </row>
    <row r="77" spans="1:7">
      <c r="A77" s="9" t="s">
        <v>330</v>
      </c>
      <c r="B77" s="10">
        <v>73</v>
      </c>
      <c r="C77" s="9" t="s">
        <v>331</v>
      </c>
      <c r="D77" s="9" t="s">
        <v>332</v>
      </c>
      <c r="E77" s="11" t="str">
        <f>HYPERLINK("http://msp2.sophia-s.co.jp/sp/mspf1381_13303.html")</f>
        <v>http://msp2.sophia-s.co.jp/sp/mspf1381_13303.html</v>
      </c>
      <c r="F77" s="12" t="str">
        <f>HYPERLINK("https://www3.test-mitsui-shopping-park.com/ec/sp/torihikihou/COMMECACOMMUNE?uiel=Mobile")</f>
        <v>https://www3.test-mitsui-shopping-park.com/ec/sp/torihikihou/COMMECACOMMUNE?uiel=Mobile</v>
      </c>
      <c r="G77" s="13" t="str">
        <f>HYPERLINK("https://mitsui-shopping-park.com/ec/sp/torihikihou/COMMECACOMMUNE?uiel=Mobile")</f>
        <v>https://mitsui-shopping-park.com/ec/sp/torihikihou/COMMECACOMMUNE?uiel=Mobile</v>
      </c>
    </row>
    <row r="78" spans="1:7">
      <c r="A78" s="9" t="s">
        <v>333</v>
      </c>
      <c r="B78" s="10">
        <v>74</v>
      </c>
      <c r="C78" s="9" t="s">
        <v>334</v>
      </c>
      <c r="D78" s="9" t="s">
        <v>335</v>
      </c>
      <c r="E78" s="11" t="str">
        <f>HYPERLINK("http://msp2.sophia-s.co.jp/sp/mspf1381_13309.html")</f>
        <v>http://msp2.sophia-s.co.jp/sp/mspf1381_13309.html</v>
      </c>
      <c r="F78" s="12" t="str">
        <f>HYPERLINK("https://www3.test-mitsui-shopping-park.com/ec/sp/torihikihou/COMMECABLANCDOEUF?uiel=Mobile")</f>
        <v>https://www3.test-mitsui-shopping-park.com/ec/sp/torihikihou/COMMECABLANCDOEUF?uiel=Mobile</v>
      </c>
      <c r="G78" s="13" t="str">
        <f>HYPERLINK("https://mitsui-shopping-park.com/ec/sp/torihikihou/COMMECABLANCDOEUF?uiel=Mobile")</f>
        <v>https://mitsui-shopping-park.com/ec/sp/torihikihou/COMMECABLANCDOEUF?uiel=Mobile</v>
      </c>
    </row>
    <row r="79" spans="1:7">
      <c r="A79" s="9" t="s">
        <v>336</v>
      </c>
      <c r="B79" s="10">
        <v>75</v>
      </c>
      <c r="C79" s="9" t="s">
        <v>337</v>
      </c>
      <c r="D79" s="9" t="s">
        <v>338</v>
      </c>
      <c r="E79" s="11" t="str">
        <f>HYPERLINK("http://msp2.sophia-s.co.jp/sp/mspf1381_10803.html")</f>
        <v>http://msp2.sophia-s.co.jp/sp/mspf1381_10803.html</v>
      </c>
      <c r="F79" s="12" t="str">
        <f>HYPERLINK("https://www3.test-mitsui-shopping-park.com/ec/sp/torihikihou/BMINGLIFESTORE?uiel=Mobile")</f>
        <v>https://www3.test-mitsui-shopping-park.com/ec/sp/torihikihou/BMINGLIFESTORE?uiel=Mobile</v>
      </c>
      <c r="G79" s="13" t="str">
        <f>HYPERLINK("https://mitsui-shopping-park.com/ec/sp/torihikihou/BMINGLIFESTORE?uiel=Mobile")</f>
        <v>https://mitsui-shopping-park.com/ec/sp/torihikihou/BMINGLIFESTORE?uiel=Mobile</v>
      </c>
    </row>
    <row r="80" spans="1:7">
      <c r="A80" s="9" t="s">
        <v>339</v>
      </c>
      <c r="B80" s="10">
        <v>76</v>
      </c>
      <c r="C80" s="9" t="s">
        <v>340</v>
      </c>
      <c r="D80" s="9" t="s">
        <v>341</v>
      </c>
      <c r="E80" s="11" t="str">
        <f>HYPERLINK("http://msp2.sophia-s.co.jp/sp/mspf1381_18600.html")</f>
        <v>http://msp2.sophia-s.co.jp/sp/mspf1381_18600.html</v>
      </c>
      <c r="F80" s="12" t="str">
        <f>HYPERLINK("https://www3.test-mitsui-shopping-park.com/ec/sp/torihikihou/PEACHJOHN?uiel=Mobile")</f>
        <v>https://www3.test-mitsui-shopping-park.com/ec/sp/torihikihou/PEACHJOHN?uiel=Mobile</v>
      </c>
      <c r="G80" s="13" t="str">
        <f>HYPERLINK("https://mitsui-shopping-park.com/ec/sp/torihikihou/PEACHJOHN?uiel=Mobile")</f>
        <v>https://mitsui-shopping-park.com/ec/sp/torihikihou/PEACHJOHN?uiel=Mobile</v>
      </c>
    </row>
    <row r="81" spans="1:7">
      <c r="A81" s="9" t="s">
        <v>342</v>
      </c>
      <c r="B81" s="10">
        <v>77</v>
      </c>
      <c r="C81" s="9" t="s">
        <v>343</v>
      </c>
      <c r="D81" s="9" t="s">
        <v>343</v>
      </c>
      <c r="E81" s="11" t="str">
        <f>HYPERLINK("http://msp2.sophia-s.co.jp/sp/mspf1381_16100.html")</f>
        <v>http://msp2.sophia-s.co.jp/sp/mspf1381_16100.html</v>
      </c>
      <c r="F81" s="12" t="str">
        <f>HYPERLINK("https://www3.test-mitsui-shopping-park.com/ec/sp/torihikihou/XLARGE?uiel=Mobile")</f>
        <v>https://www3.test-mitsui-shopping-park.com/ec/sp/torihikihou/XLARGE?uiel=Mobile</v>
      </c>
      <c r="G81" s="13" t="str">
        <f>HYPERLINK("https://mitsui-shopping-park.com/ec/sp/torihikihou/XLARGE?uiel=Mobile")</f>
        <v>https://mitsui-shopping-park.com/ec/sp/torihikihou/XLARGE?uiel=Mobile</v>
      </c>
    </row>
    <row r="82" spans="1:7">
      <c r="A82" s="9" t="s">
        <v>344</v>
      </c>
      <c r="B82" s="10">
        <v>78</v>
      </c>
      <c r="C82" s="9" t="s">
        <v>345</v>
      </c>
      <c r="D82" s="9" t="s">
        <v>345</v>
      </c>
      <c r="E82" s="11" t="str">
        <f>HYPERLINK("http://msp2.sophia-s.co.jp/sp/mspf1381_16101.html")</f>
        <v>http://msp2.sophia-s.co.jp/sp/mspf1381_16101.html</v>
      </c>
      <c r="F82" s="12" t="str">
        <f>HYPERLINK("https://www3.test-mitsui-shopping-park.com/ec/sp/torihikihou/X-girl?uiel=Mobile")</f>
        <v>https://www3.test-mitsui-shopping-park.com/ec/sp/torihikihou/X-girl?uiel=Mobile</v>
      </c>
      <c r="G82" s="13" t="str">
        <f>HYPERLINK("https://mitsui-shopping-park.com/ec/sp/torihikihou/X-girl?uiel=Mobile")</f>
        <v>https://mitsui-shopping-park.com/ec/sp/torihikihou/X-girl?uiel=Mobile</v>
      </c>
    </row>
    <row r="83" spans="1:7">
      <c r="A83" s="9" t="s">
        <v>346</v>
      </c>
      <c r="B83" s="10">
        <v>79</v>
      </c>
      <c r="C83" s="9" t="s">
        <v>347</v>
      </c>
      <c r="D83" s="9" t="s">
        <v>347</v>
      </c>
      <c r="E83" s="11" t="str">
        <f>HYPERLINK("http://msp2.sophia-s.co.jp/sp/mspf1381_16103.html")</f>
        <v>http://msp2.sophia-s.co.jp/sp/mspf1381_16103.html</v>
      </c>
      <c r="F83" s="12" t="str">
        <f>HYPERLINK("https://www3.test-mitsui-shopping-park.com/ec/sp/torihikihou/SILAS?uiel=Mobile")</f>
        <v>https://www3.test-mitsui-shopping-park.com/ec/sp/torihikihou/SILAS?uiel=Mobile</v>
      </c>
      <c r="G83" s="13" t="str">
        <f>HYPERLINK("https://mitsui-shopping-park.com/ec/sp/torihikihou/SILAS?uiel=Mobile")</f>
        <v>https://mitsui-shopping-park.com/ec/sp/torihikihou/SILAS?uiel=Mobile</v>
      </c>
    </row>
    <row r="84" spans="1:7">
      <c r="A84" s="9" t="s">
        <v>348</v>
      </c>
      <c r="B84" s="10">
        <v>80</v>
      </c>
      <c r="C84" s="9" t="s">
        <v>349</v>
      </c>
      <c r="D84" s="9" t="s">
        <v>350</v>
      </c>
      <c r="E84" s="11" t="str">
        <f>HYPERLINK("http://msp2.sophia-s.co.jp/sp/mspf1381_16102.html")</f>
        <v>http://msp2.sophia-s.co.jp/sp/mspf1381_16102.html</v>
      </c>
      <c r="F84" s="12" t="str">
        <f>HYPERLINK("https://www3.test-mitsui-shopping-park.com/ec/sp/torihikihou/MILKFED?uiel=Mobile")</f>
        <v>https://www3.test-mitsui-shopping-park.com/ec/sp/torihikihou/MILKFED?uiel=Mobile</v>
      </c>
      <c r="G84" s="13" t="str">
        <f>HYPERLINK("https://mitsui-shopping-park.com/ec/sp/torihikihou/MILKFED?uiel=Mobile")</f>
        <v>https://mitsui-shopping-park.com/ec/sp/torihikihou/MILKFED?uiel=Mobile</v>
      </c>
    </row>
    <row r="85" spans="1:7">
      <c r="A85" s="9" t="s">
        <v>351</v>
      </c>
      <c r="B85" s="10">
        <v>81</v>
      </c>
      <c r="C85" s="9" t="s">
        <v>352</v>
      </c>
      <c r="D85" s="9" t="s">
        <v>352</v>
      </c>
      <c r="E85" s="11" t="str">
        <f>HYPERLINK("http://msp2.sophia-s.co.jp/sp/mspf1381_12506.html")</f>
        <v>http://msp2.sophia-s.co.jp/sp/mspf1381_12506.html</v>
      </c>
      <c r="F85" s="12" t="str">
        <f>HYPERLINK("https://www3.test-mitsui-shopping-park.com/ec/sp/torihikihou/SLY?uiel=Mobile")</f>
        <v>https://www3.test-mitsui-shopping-park.com/ec/sp/torihikihou/SLY?uiel=Mobile</v>
      </c>
      <c r="G85" s="13" t="str">
        <f>HYPERLINK("https://mitsui-shopping-park.com/ec/sp/torihikihou/SLY?uiel=Mobile")</f>
        <v>https://mitsui-shopping-park.com/ec/sp/torihikihou/SLY?uiel=Mobile</v>
      </c>
    </row>
    <row r="86" spans="1:7">
      <c r="A86" s="9" t="s">
        <v>353</v>
      </c>
      <c r="B86" s="10">
        <v>82</v>
      </c>
      <c r="C86" s="9" t="s">
        <v>354</v>
      </c>
      <c r="D86" s="9" t="s">
        <v>355</v>
      </c>
      <c r="E86" s="11" t="str">
        <f>HYPERLINK("http://msp2.sophia-s.co.jp/sp/mspf1381_12507.html")</f>
        <v>http://msp2.sophia-s.co.jp/sp/mspf1381_12507.html</v>
      </c>
      <c r="F86" s="12" t="str">
        <f>HYPERLINK("https://www3.test-mitsui-shopping-park.com/ec/sp/torihikihou/RodeoCrowns-RCWB?uiel=Mobile")</f>
        <v>https://www3.test-mitsui-shopping-park.com/ec/sp/torihikihou/RodeoCrowns-RCWB?uiel=Mobile</v>
      </c>
      <c r="G86" s="13" t="str">
        <f>HYPERLINK("https://mitsui-shopping-park.com/ec/sp/torihikihou/RodeoCrowns-RCWB?uiel=Mobile")</f>
        <v>https://mitsui-shopping-park.com/ec/sp/torihikihou/RodeoCrowns-RCWB?uiel=Mobile</v>
      </c>
    </row>
    <row r="87" spans="1:7">
      <c r="A87" s="9" t="s">
        <v>356</v>
      </c>
      <c r="B87" s="10">
        <v>83</v>
      </c>
      <c r="C87" s="9" t="s">
        <v>357</v>
      </c>
      <c r="D87" s="9" t="s">
        <v>357</v>
      </c>
      <c r="E87" s="11" t="str">
        <f>HYPERLINK("http://msp2.sophia-s.co.jp/sp/mspf1381_12504.html")</f>
        <v>http://msp2.sophia-s.co.jp/sp/mspf1381_12504.html</v>
      </c>
      <c r="F87" s="12" t="str">
        <f>HYPERLINK("https://www3.test-mitsui-shopping-park.com/ec/sp/torihikihou/rienda?uiel=Mobile")</f>
        <v>https://www3.test-mitsui-shopping-park.com/ec/sp/torihikihou/rienda?uiel=Mobile</v>
      </c>
      <c r="G87" s="13" t="str">
        <f>HYPERLINK("https://mitsui-shopping-park.com/ec/sp/torihikihou/rienda?uiel=Mobile")</f>
        <v>https://mitsui-shopping-park.com/ec/sp/torihikihou/rienda?uiel=Mobile</v>
      </c>
    </row>
    <row r="88" spans="1:7">
      <c r="A88" s="9" t="s">
        <v>358</v>
      </c>
      <c r="B88" s="10">
        <v>84</v>
      </c>
      <c r="C88" s="9" t="s">
        <v>359</v>
      </c>
      <c r="D88" s="9" t="s">
        <v>359</v>
      </c>
      <c r="E88" s="11" t="str">
        <f>HYPERLINK("http://msp2.sophia-s.co.jp/sp/mspf1381_12502.html")</f>
        <v>http://msp2.sophia-s.co.jp/sp/mspf1381_12502.html</v>
      </c>
      <c r="F88" s="12" t="str">
        <f>HYPERLINK("https://www3.test-mitsui-shopping-park.com/ec/sp/torihikihou/MOUSSY?uiel=Mobile")</f>
        <v>https://www3.test-mitsui-shopping-park.com/ec/sp/torihikihou/MOUSSY?uiel=Mobile</v>
      </c>
      <c r="G88" s="13" t="str">
        <f>HYPERLINK("https://mitsui-shopping-park.com/ec/sp/torihikihou/MOUSSY?uiel=Mobile")</f>
        <v>https://mitsui-shopping-park.com/ec/sp/torihikihou/MOUSSY?uiel=Mobile</v>
      </c>
    </row>
    <row r="89" spans="1:7">
      <c r="A89" s="9" t="s">
        <v>360</v>
      </c>
      <c r="B89" s="10">
        <v>85</v>
      </c>
      <c r="C89" s="9" t="s">
        <v>361</v>
      </c>
      <c r="D89" s="9" t="s">
        <v>362</v>
      </c>
      <c r="E89" s="11" t="str">
        <f>HYPERLINK("http://msp2.sophia-s.co.jp/sp/mspf1381_12501.html")</f>
        <v>http://msp2.sophia-s.co.jp/sp/mspf1381_12501.html</v>
      </c>
      <c r="F89" s="12" t="str">
        <f>HYPERLINK("https://www3.test-mitsui-shopping-park.com/ec/sp/torihikihou/AZULbymoussy?uiel=Mobile")</f>
        <v>https://www3.test-mitsui-shopping-park.com/ec/sp/torihikihou/AZULbymoussy?uiel=Mobile</v>
      </c>
      <c r="G89" s="13" t="str">
        <f>HYPERLINK("https://mitsui-shopping-park.com/ec/sp/torihikihou/AZULbymoussy?uiel=Mobile")</f>
        <v>https://mitsui-shopping-park.com/ec/sp/torihikihou/AZULbymoussy?uiel=Mobile</v>
      </c>
    </row>
    <row r="90" spans="1:7">
      <c r="A90" s="9" t="s">
        <v>363</v>
      </c>
      <c r="B90" s="10">
        <v>86</v>
      </c>
      <c r="C90" s="9" t="s">
        <v>364</v>
      </c>
      <c r="D90" s="9" t="s">
        <v>365</v>
      </c>
      <c r="E90" s="11" t="str">
        <f>HYPERLINK("http://msp2.sophia-s.co.jp/sp/mspf1381_12500.html")</f>
        <v>http://msp2.sophia-s.co.jp/sp/mspf1381_12500.html</v>
      </c>
      <c r="F90" s="12" t="str">
        <f>HYPERLINK("https://www3.test-mitsui-shopping-park.com/ec/sp/torihikihou/AvanLily?uiel=Mobile")</f>
        <v>https://www3.test-mitsui-shopping-park.com/ec/sp/torihikihou/AvanLily?uiel=Mobile</v>
      </c>
      <c r="G90" s="13" t="str">
        <f>HYPERLINK("https://mitsui-shopping-park.com/ec/sp/torihikihou/AvanLily?uiel=Mobile")</f>
        <v>https://mitsui-shopping-park.com/ec/sp/torihikihou/AvanLily?uiel=Mobile</v>
      </c>
    </row>
    <row r="91" spans="1:7">
      <c r="A91" s="9" t="s">
        <v>366</v>
      </c>
      <c r="B91" s="10">
        <v>87</v>
      </c>
      <c r="C91" s="9" t="s">
        <v>367</v>
      </c>
      <c r="D91" s="9" t="s">
        <v>368</v>
      </c>
      <c r="E91" s="11" t="str">
        <f>HYPERLINK("http://msp2.sophia-s.co.jp/sp/mspf1381_14202.html")</f>
        <v>http://msp2.sophia-s.co.jp/sp/mspf1381_14202.html</v>
      </c>
      <c r="F91" s="12" t="str">
        <f>HYPERLINK("https://www3.test-mitsui-shopping-park.com/ec/sp/torihikihou/salut?uiel=Mobile")</f>
        <v>https://www3.test-mitsui-shopping-park.com/ec/sp/torihikihou/salut?uiel=Mobile</v>
      </c>
      <c r="G91" s="13" t="str">
        <f>HYPERLINK("https://mitsui-shopping-park.com/ec/sp/torihikihou/salut?uiel=Mobile")</f>
        <v>https://mitsui-shopping-park.com/ec/sp/torihikihou/salut?uiel=Mobile</v>
      </c>
    </row>
    <row r="92" spans="1:7">
      <c r="A92" s="9" t="s">
        <v>369</v>
      </c>
      <c r="B92" s="10">
        <v>88</v>
      </c>
      <c r="C92" s="9" t="s">
        <v>370</v>
      </c>
      <c r="D92" s="9" t="s">
        <v>370</v>
      </c>
      <c r="E92" s="11" t="str">
        <f>HYPERLINK("http://msp2.sophia-s.co.jp/sp/mspf1381_14200.html")</f>
        <v>http://msp2.sophia-s.co.jp/sp/mspf1381_14200.html</v>
      </c>
      <c r="F92" s="12" t="str">
        <f>HYPERLINK("https://www3.test-mitsui-shopping-park.com/ec/sp/torihikihou/russet?uiel=Mobile")</f>
        <v>https://www3.test-mitsui-shopping-park.com/ec/sp/torihikihou/russet?uiel=Mobile</v>
      </c>
      <c r="G92" s="13" t="str">
        <f>HYPERLINK("https://mitsui-shopping-park.com/ec/sp/torihikihou/russet?uiel=Mobile")</f>
        <v>https://mitsui-shopping-park.com/ec/sp/torihikihou/russet?uiel=Mobile</v>
      </c>
    </row>
    <row r="93" spans="1:7">
      <c r="A93" s="9" t="s">
        <v>371</v>
      </c>
      <c r="B93" s="10">
        <v>89</v>
      </c>
      <c r="C93" s="9" t="s">
        <v>372</v>
      </c>
      <c r="D93" s="9" t="s">
        <v>373</v>
      </c>
      <c r="E93" s="11" t="str">
        <f>HYPERLINK("http://msp2.sophia-s.co.jp/sp/mspf1381_14201.html")</f>
        <v>http://msp2.sophia-s.co.jp/sp/mspf1381_14201.html</v>
      </c>
      <c r="F93" s="12" t="str">
        <f>HYPERLINK("https://www3.test-mitsui-shopping-park.com/ec/sp/torihikihou/Dailyrusset?uiel=Mobile")</f>
        <v>https://www3.test-mitsui-shopping-park.com/ec/sp/torihikihou/Dailyrusset?uiel=Mobile</v>
      </c>
      <c r="G93" s="13" t="str">
        <f>HYPERLINK("https://mitsui-shopping-park.com/ec/sp/torihikihou/Dailyrusset?uiel=Mobile")</f>
        <v>https://mitsui-shopping-park.com/ec/sp/torihikihou/Dailyrusset?uiel=Mobile</v>
      </c>
    </row>
    <row r="94" spans="1:7">
      <c r="A94" s="9" t="s">
        <v>374</v>
      </c>
      <c r="B94" s="10">
        <v>90</v>
      </c>
      <c r="C94" s="9" t="s">
        <v>375</v>
      </c>
      <c r="D94" s="9" t="s">
        <v>376</v>
      </c>
      <c r="E94" s="11" t="str">
        <f>HYPERLINK("http://msp2.sophia-s.co.jp/sp/mspf1381_12901.html")</f>
        <v>http://msp2.sophia-s.co.jp/sp/mspf1381_12901.html</v>
      </c>
      <c r="F94" s="12" t="str">
        <f>HYPERLINK("https://www3.test-mitsui-shopping-park.com/ec/sp/torihikihou/FREDY-GLOSTER?uiel=Mobile")</f>
        <v>https://www3.test-mitsui-shopping-park.com/ec/sp/torihikihou/FREDY-GLOSTER?uiel=Mobile</v>
      </c>
      <c r="G94" s="13" t="str">
        <f>HYPERLINK("https://mitsui-shopping-park.com/ec/sp/torihikihou/FREDY-GLOSTER?uiel=Mobile")</f>
        <v>https://mitsui-shopping-park.com/ec/sp/torihikihou/FREDY-GLOSTER?uiel=Mobile</v>
      </c>
    </row>
    <row r="95" spans="1:7">
      <c r="A95" s="9" t="s">
        <v>377</v>
      </c>
      <c r="B95" s="10">
        <v>91</v>
      </c>
      <c r="C95" s="9" t="s">
        <v>378</v>
      </c>
      <c r="D95" s="9" t="s">
        <v>379</v>
      </c>
      <c r="E95" s="11" t="str">
        <f>HYPERLINK("http://msp2.sophia-s.co.jp/sp/mspf1381_12900.html")</f>
        <v>http://msp2.sophia-s.co.jp/sp/mspf1381_12900.html</v>
      </c>
      <c r="F95" s="12" t="str">
        <f>HYPERLINK("https://www3.test-mitsui-shopping-park.com/ec/sp/torihikihou/NOLLEYS-goodman?uiel=Mobile")</f>
        <v>https://www3.test-mitsui-shopping-park.com/ec/sp/torihikihou/NOLLEYS-goodman?uiel=Mobile</v>
      </c>
      <c r="G95" s="13" t="str">
        <f>HYPERLINK("https://mitsui-shopping-park.com/ec/sp/torihikihou/NOLLEYS-goodman?uiel=Mobile")</f>
        <v>https://mitsui-shopping-park.com/ec/sp/torihikihou/NOLLEYS-goodman?uiel=Mobile</v>
      </c>
    </row>
    <row r="96" spans="1:7">
      <c r="A96" s="9" t="s">
        <v>380</v>
      </c>
      <c r="B96" s="10">
        <v>92</v>
      </c>
      <c r="C96" s="9" t="s">
        <v>381</v>
      </c>
      <c r="D96" s="9" t="s">
        <v>381</v>
      </c>
      <c r="E96" s="11" t="str">
        <f>HYPERLINK("http://msp2.sophia-s.co.jp/sp/mspf1381_10700.html")</f>
        <v>http://msp2.sophia-s.co.jp/sp/mspf1381_10700.html</v>
      </c>
      <c r="F96" s="12" t="str">
        <f>HYPERLINK("https://www3.test-mitsui-shopping-park.com/ec/sp/torihikihou/NICOLE?uiel=Mobile")</f>
        <v>https://www3.test-mitsui-shopping-park.com/ec/sp/torihikihou/NICOLE?uiel=Mobile</v>
      </c>
      <c r="G96" s="13" t="str">
        <f>HYPERLINK("https://mitsui-shopping-park.com/ec/sp/torihikihou/NICOLE?uiel=Mobile")</f>
        <v>https://mitsui-shopping-park.com/ec/sp/torihikihou/NICOLE?uiel=Mobile</v>
      </c>
    </row>
    <row r="97" spans="1:7">
      <c r="A97" s="9" t="s">
        <v>382</v>
      </c>
      <c r="B97" s="10">
        <v>93</v>
      </c>
      <c r="C97" s="9" t="s">
        <v>383</v>
      </c>
      <c r="D97" s="9" t="s">
        <v>384</v>
      </c>
      <c r="E97" s="11" t="str">
        <f>HYPERLINK("http://msp2.sophia-s.co.jp/sp/mspf1381_14300.html")</f>
        <v>http://msp2.sophia-s.co.jp/sp/mspf1381_14300.html</v>
      </c>
      <c r="F97" s="12" t="str">
        <f>HYPERLINK("https://www3.test-mitsui-shopping-park.com/ec/sp/torihikihou/NYR?uiel=Mobile")</f>
        <v>https://www3.test-mitsui-shopping-park.com/ec/sp/torihikihou/NYR?uiel=Mobile</v>
      </c>
      <c r="G97" s="13" t="str">
        <f>HYPERLINK("https://mitsui-shopping-park.com/ec/sp/torihikihou/NYR?uiel=Mobile")</f>
        <v>https://mitsui-shopping-park.com/ec/sp/torihikihou/NYR?uiel=Mobile</v>
      </c>
    </row>
    <row r="98" spans="1:7">
      <c r="A98" s="9" t="s">
        <v>385</v>
      </c>
      <c r="B98" s="10">
        <v>94</v>
      </c>
      <c r="C98" s="9" t="s">
        <v>386</v>
      </c>
      <c r="D98" s="9" t="s">
        <v>387</v>
      </c>
      <c r="E98" s="11" t="str">
        <f>HYPERLINK("http://msp2.sophia-s.co.jp/sp/mspf1381_14400.html")</f>
        <v>http://msp2.sophia-s.co.jp/sp/mspf1381_14400.html</v>
      </c>
      <c r="F98" s="12" t="str">
        <f>HYPERLINK("https://www3.test-mitsui-shopping-park.com/ec/sp/torihikihou/nano-universe?uiel=Mobile")</f>
        <v>https://www3.test-mitsui-shopping-park.com/ec/sp/torihikihou/nano-universe?uiel=Mobile</v>
      </c>
      <c r="G98" s="13" t="str">
        <f>HYPERLINK("https://mitsui-shopping-park.com/ec/sp/torihikihou/nano-universe?uiel=Mobile")</f>
        <v>https://mitsui-shopping-park.com/ec/sp/torihikihou/nano-universe?uiel=Mobile</v>
      </c>
    </row>
    <row r="99" spans="1:7">
      <c r="A99" s="9" t="s">
        <v>388</v>
      </c>
      <c r="B99" s="10">
        <v>95</v>
      </c>
      <c r="C99" s="9" t="s">
        <v>389</v>
      </c>
      <c r="D99" s="9" t="s">
        <v>390</v>
      </c>
      <c r="E99" s="11" t="str">
        <f>HYPERLINK("http://msp2.sophia-s.co.jp/sp/mspf1381_10200.html")</f>
        <v>http://msp2.sophia-s.co.jp/sp/mspf1381_10200.html</v>
      </c>
      <c r="F99" s="12" t="str">
        <f>HYPERLINK("https://www3.test-mitsui-shopping-park.com/ec/sp/torihikihou/TU?uiel=Mobile")</f>
        <v>https://www3.test-mitsui-shopping-park.com/ec/sp/torihikihou/TU?uiel=Mobile</v>
      </c>
      <c r="G99" s="13" t="str">
        <f>HYPERLINK("https://mitsui-shopping-park.com/ec/sp/torihikihou/TU?uiel=Mobile")</f>
        <v>https://mitsui-shopping-park.com/ec/sp/torihikihou/TU?uiel=Mobile</v>
      </c>
    </row>
    <row r="100" spans="1:7">
      <c r="A100" s="9" t="s">
        <v>391</v>
      </c>
      <c r="B100" s="10">
        <v>96</v>
      </c>
      <c r="C100" s="9" t="s">
        <v>392</v>
      </c>
      <c r="D100" s="9" t="s">
        <v>393</v>
      </c>
      <c r="E100" s="11" t="str">
        <f>HYPERLINK("http://msp2.sophia-s.co.jp/sp/mspf1381_18700.html")</f>
        <v>http://msp2.sophia-s.co.jp/sp/mspf1381_18700.html</v>
      </c>
      <c r="F100" s="12" t="str">
        <f>HYPERLINK("https://www3.test-mitsui-shopping-park.com/ec/sp/torihikihou/tatras-stradaest?uiel=Mobile")</f>
        <v>https://www3.test-mitsui-shopping-park.com/ec/sp/torihikihou/tatras-stradaest?uiel=Mobile</v>
      </c>
      <c r="G100" s="13" t="str">
        <f>HYPERLINK("https://mitsui-shopping-park.com/ec/sp/torihikihou/tatras-stradaest?uiel=Mobile")</f>
        <v>https://mitsui-shopping-park.com/ec/sp/torihikihou/tatras-stradaest?uiel=Mobile</v>
      </c>
    </row>
    <row r="101" spans="1:7">
      <c r="A101" s="9" t="s">
        <v>394</v>
      </c>
      <c r="B101" s="10">
        <v>97</v>
      </c>
      <c r="C101" s="9" t="s">
        <v>395</v>
      </c>
      <c r="D101" s="9" t="s">
        <v>396</v>
      </c>
      <c r="E101" s="11" t="str">
        <f>HYPERLINK("http://msp2.sophia-s.co.jp/sp/mspf1381_17604.html")</f>
        <v>http://msp2.sophia-s.co.jp/sp/mspf1381_17604.html</v>
      </c>
      <c r="F101" s="12" t="str">
        <f>HYPERLINK("https://www3.test-mitsui-shopping-park.com/ec/sp/torihikihou/GreenParks?uiel=Mobile")</f>
        <v>https://www3.test-mitsui-shopping-park.com/ec/sp/torihikihou/GreenParks?uiel=Mobile</v>
      </c>
      <c r="G101" s="13" t="str">
        <f>HYPERLINK("https://mitsui-shopping-park.com/ec/sp/torihikihou/GreenParks?uiel=Mobile")</f>
        <v>https://mitsui-shopping-park.com/ec/sp/torihikihou/GreenParks?uiel=Mobile</v>
      </c>
    </row>
    <row r="102" spans="1:7">
      <c r="A102" s="9" t="s">
        <v>397</v>
      </c>
      <c r="B102" s="10">
        <v>98</v>
      </c>
      <c r="C102" s="9" t="s">
        <v>398</v>
      </c>
      <c r="D102" s="9" t="s">
        <v>399</v>
      </c>
      <c r="E102" s="11" t="str">
        <f>HYPERLINK("http://msp2.sophia-s.co.jp/sp/mspf1381_17600.html")</f>
        <v>http://msp2.sophia-s.co.jp/sp/mspf1381_17600.html</v>
      </c>
      <c r="F102" s="12" t="str">
        <f>HYPERLINK("https://www3.test-mitsui-shopping-park.com/ec/sp/torihikihou/earthmusic-ecology?uiel=Mobile")</f>
        <v>https://www3.test-mitsui-shopping-park.com/ec/sp/torihikihou/earthmusic-ecology?uiel=Mobile</v>
      </c>
      <c r="G102" s="13" t="str">
        <f>HYPERLINK("https://mitsui-shopping-park.com/ec/sp/torihikihou/earthmusic-ecology?uiel=Mobile")</f>
        <v>https://mitsui-shopping-park.com/ec/sp/torihikihou/earthmusic-ecology?uiel=Mobile</v>
      </c>
    </row>
    <row r="103" spans="1:7">
      <c r="A103" s="9" t="s">
        <v>400</v>
      </c>
      <c r="B103" s="10">
        <v>99</v>
      </c>
      <c r="C103" s="9" t="s">
        <v>401</v>
      </c>
      <c r="D103" s="9" t="s">
        <v>402</v>
      </c>
      <c r="E103" s="11" t="str">
        <f>HYPERLINK("http://msp2.sophia-s.co.jp/sp/mspf1381_17601.html")</f>
        <v>http://msp2.sophia-s.co.jp/sp/mspf1381_17601.html</v>
      </c>
      <c r="F103" s="12" t="str">
        <f>HYPERLINK("https://www3.test-mitsui-shopping-park.com/ec/sp/torihikihou/Ehyphenworldgallery?uiel=Mobile")</f>
        <v>https://www3.test-mitsui-shopping-park.com/ec/sp/torihikihou/Ehyphenworldgallery?uiel=Mobile</v>
      </c>
      <c r="G103" s="13" t="str">
        <f>HYPERLINK("https://mitsui-shopping-park.com/ec/sp/torihikihou/Ehyphenworldgallery?uiel=Mobile")</f>
        <v>https://mitsui-shopping-park.com/ec/sp/torihikihou/Ehyphenworldgallery?uiel=Mobile</v>
      </c>
    </row>
    <row r="104" spans="1:7">
      <c r="A104" s="9" t="s">
        <v>403</v>
      </c>
      <c r="B104" s="10">
        <v>100</v>
      </c>
      <c r="C104" s="9" t="s">
        <v>404</v>
      </c>
      <c r="D104" s="9" t="s">
        <v>405</v>
      </c>
      <c r="E104" s="11" t="str">
        <f>HYPERLINK("http://msp2.sophia-s.co.jp/sp/mspf1381_18500.html")</f>
        <v>http://msp2.sophia-s.co.jp/sp/mspf1381_18500.html</v>
      </c>
      <c r="F104" s="12" t="str">
        <f>HYPERLINK("https://www3.test-mitsui-shopping-park.com/ec/sp/torihikihou/STONEMARKET?uiel=Mobile")</f>
        <v>https://www3.test-mitsui-shopping-park.com/ec/sp/torihikihou/STONEMARKET?uiel=Mobile</v>
      </c>
      <c r="G104" s="13" t="str">
        <f>HYPERLINK("https://mitsui-shopping-park.com/ec/sp/torihikihou/STONEMARKET?uiel=Mobile")</f>
        <v>https://mitsui-shopping-park.com/ec/sp/torihikihou/STONEMARKET?uiel=Mobile</v>
      </c>
    </row>
    <row r="105" spans="1:7">
      <c r="A105" s="9" t="s">
        <v>406</v>
      </c>
      <c r="B105" s="10">
        <v>101</v>
      </c>
      <c r="C105" s="9" t="s">
        <v>407</v>
      </c>
      <c r="D105" s="9" t="s">
        <v>407</v>
      </c>
      <c r="E105" s="11" t="str">
        <f>HYPERLINK("http://msp2.sophia-s.co.jp/sp/mspf1381_11300.html")</f>
        <v>http://msp2.sophia-s.co.jp/sp/mspf1381_11300.html</v>
      </c>
      <c r="F105" s="12" t="str">
        <f>HYPERLINK("https://www3.test-mitsui-shopping-park.com/ec/sp/torihikihou/ViS?uiel=Mobile")</f>
        <v>https://www3.test-mitsui-shopping-park.com/ec/sp/torihikihou/ViS?uiel=Mobile</v>
      </c>
      <c r="G105" s="13" t="str">
        <f>HYPERLINK("https://mitsui-shopping-park.com/ec/sp/torihikihou/ViS?uiel=Mobile")</f>
        <v>https://mitsui-shopping-park.com/ec/sp/torihikihou/ViS?uiel=Mobile</v>
      </c>
    </row>
    <row r="106" spans="1:7">
      <c r="A106" s="9" t="s">
        <v>408</v>
      </c>
      <c r="B106" s="10">
        <v>102</v>
      </c>
      <c r="C106" s="9" t="s">
        <v>409</v>
      </c>
      <c r="D106" s="9" t="s">
        <v>410</v>
      </c>
      <c r="E106" s="11" t="str">
        <f>HYPERLINK("http://msp2.sophia-s.co.jp/sp/mspf1381_11301.html")</f>
        <v>http://msp2.sophia-s.co.jp/sp/mspf1381_11301.html</v>
      </c>
      <c r="F106" s="12" t="str">
        <f>HYPERLINK("https://www3.test-mitsui-shopping-park.com/ec/sp/torihikihou/RopePicnic?uiel=Mobile")</f>
        <v>https://www3.test-mitsui-shopping-park.com/ec/sp/torihikihou/RopePicnic?uiel=Mobile</v>
      </c>
      <c r="G106" s="13" t="str">
        <f>HYPERLINK("https://mitsui-shopping-park.com/ec/sp/torihikihou/RopePicnic?uiel=Mobile")</f>
        <v>https://mitsui-shopping-park.com/ec/sp/torihikihou/RopePicnic?uiel=Mobile</v>
      </c>
    </row>
    <row r="107" spans="1:7">
      <c r="A107" s="9" t="s">
        <v>411</v>
      </c>
      <c r="B107" s="10">
        <v>103</v>
      </c>
      <c r="C107" s="9" t="s">
        <v>412</v>
      </c>
      <c r="D107" s="9" t="s">
        <v>413</v>
      </c>
      <c r="E107" s="11" t="str">
        <f>HYPERLINK("http://msp2.sophia-s.co.jp/sp/mspf1381_11303.html")</f>
        <v>http://msp2.sophia-s.co.jp/sp/mspf1381_11303.html</v>
      </c>
      <c r="F107" s="12" t="str">
        <f>HYPERLINK("https://www3.test-mitsui-shopping-park.com/ec/sp/torihikihou/ADAMETROPE?uiel=Mobile")</f>
        <v>https://www3.test-mitsui-shopping-park.com/ec/sp/torihikihou/ADAMETROPE?uiel=Mobile</v>
      </c>
      <c r="G107" s="13" t="str">
        <f>HYPERLINK("https://mitsui-shopping-park.com/ec/sp/torihikihou/ADAMETROPE?uiel=Mobile")</f>
        <v>https://mitsui-shopping-park.com/ec/sp/torihikihou/ADAMETROPE?uiel=Mobile</v>
      </c>
    </row>
    <row r="108" spans="1:7">
      <c r="A108" s="9" t="s">
        <v>414</v>
      </c>
      <c r="B108" s="10">
        <v>104</v>
      </c>
      <c r="C108" s="9" t="s">
        <v>415</v>
      </c>
      <c r="D108" s="9" t="s">
        <v>416</v>
      </c>
      <c r="E108" s="11" t="str">
        <f>HYPERLINK("http://msp2.sophia-s.co.jp/sp/mspf1381_16700.html")</f>
        <v>http://msp2.sophia-s.co.jp/sp/mspf1381_16700.html</v>
      </c>
      <c r="F108" s="12" t="str">
        <f>HYPERLINK("https://www3.test-mitsui-shopping-park.com/ec/sp/torihikihou/majesticlegon?uiel=Mobile")</f>
        <v>https://www3.test-mitsui-shopping-park.com/ec/sp/torihikihou/majesticlegon?uiel=Mobile</v>
      </c>
      <c r="G108" s="13" t="str">
        <f>HYPERLINK("https://mitsui-shopping-park.com/ec/sp/torihikihou/majesticlegon?uiel=Mobile")</f>
        <v>https://mitsui-shopping-park.com/ec/sp/torihikihou/majesticlegon?uiel=Mobile</v>
      </c>
    </row>
    <row r="109" spans="1:7">
      <c r="A109" s="9" t="s">
        <v>417</v>
      </c>
      <c r="B109" s="10">
        <v>105</v>
      </c>
      <c r="C109" s="9" t="s">
        <v>418</v>
      </c>
      <c r="D109" s="9" t="s">
        <v>418</v>
      </c>
      <c r="E109" s="11" t="str">
        <f>HYPERLINK("http://msp2.sophia-s.co.jp/sp/mspf1381_11500.html")</f>
        <v>http://msp2.sophia-s.co.jp/sp/mspf1381_11500.html</v>
      </c>
      <c r="F109" s="12" t="str">
        <f>HYPERLINK("https://www3.test-mitsui-shopping-park.com/ec/sp/torihikihou/SHIPS?uiel=Mobile")</f>
        <v>https://www3.test-mitsui-shopping-park.com/ec/sp/torihikihou/SHIPS?uiel=Mobile</v>
      </c>
      <c r="G109" s="13" t="str">
        <f>HYPERLINK("https://mitsui-shopping-park.com/ec/sp/torihikihou/SHIPS?uiel=Mobile")</f>
        <v>https://mitsui-shopping-park.com/ec/sp/torihikihou/SHIPS?uiel=Mobile</v>
      </c>
    </row>
    <row r="110" spans="1:7">
      <c r="A110" s="9" t="s">
        <v>419</v>
      </c>
      <c r="B110" s="10">
        <v>106</v>
      </c>
      <c r="C110" s="9" t="s">
        <v>420</v>
      </c>
      <c r="D110" s="9" t="s">
        <v>421</v>
      </c>
      <c r="E110" s="11" t="str">
        <f>HYPERLINK("http://msp2.sophia-s.co.jp/sp/mspf1381_12102.html")</f>
        <v>http://msp2.sophia-s.co.jp/sp/mspf1381_12102.html</v>
      </c>
      <c r="F110" s="12" t="str">
        <f>HYPERLINK("https://www3.test-mitsui-shopping-park.com/ec/sp/torihikihou/JS?uiel=Mobile")</f>
        <v>https://www3.test-mitsui-shopping-park.com/ec/sp/torihikihou/JS?uiel=Mobile</v>
      </c>
      <c r="G110" s="13" t="str">
        <f>HYPERLINK("https://mitsui-shopping-park.com/ec/sp/torihikihou/JS?uiel=Mobile")</f>
        <v>https://mitsui-shopping-park.com/ec/sp/torihikihou/JS?uiel=Mobile</v>
      </c>
    </row>
    <row r="111" spans="1:7">
      <c r="A111" s="9" t="s">
        <v>422</v>
      </c>
      <c r="B111" s="10">
        <v>107</v>
      </c>
      <c r="C111" s="9" t="s">
        <v>423</v>
      </c>
      <c r="D111" s="9" t="s">
        <v>424</v>
      </c>
      <c r="E111" s="11" t="str">
        <f>HYPERLINK("http://msp2.sophia-s.co.jp/sp/mspf1381_12100.html")</f>
        <v>http://msp2.sophia-s.co.jp/sp/mspf1381_12100.html</v>
      </c>
      <c r="F111" s="12" t="str">
        <f>HYPERLINK("https://www3.test-mitsui-shopping-park.com/ec/sp/torihikihou/HW?uiel=Mobile")</f>
        <v>https://www3.test-mitsui-shopping-park.com/ec/sp/torihikihou/HW?uiel=Mobile</v>
      </c>
      <c r="G111" s="13" t="str">
        <f>HYPERLINK("https://mitsui-shopping-park.com/ec/sp/torihikihou/HW?uiel=Mobile")</f>
        <v>https://mitsui-shopping-park.com/ec/sp/torihikihou/HW?uiel=Mobile</v>
      </c>
    </row>
    <row r="112" spans="1:7">
      <c r="A112" s="9" t="s">
        <v>425</v>
      </c>
      <c r="B112" s="10">
        <v>108</v>
      </c>
      <c r="C112" s="9" t="s">
        <v>426</v>
      </c>
      <c r="D112" s="9" t="s">
        <v>427</v>
      </c>
      <c r="E112" s="11" t="str">
        <f>HYPERLINK("http://msp2.sophia-s.co.jp/sp/mspf1381_12104.html")</f>
        <v>http://msp2.sophia-s.co.jp/sp/mspf1381_12104.html</v>
      </c>
      <c r="F112" s="12" t="str">
        <f>HYPERLINK("https://www3.test-mitsui-shopping-park.com/ec/sp/torihikihou/HS?uiel=Mobile")</f>
        <v>https://www3.test-mitsui-shopping-park.com/ec/sp/torihikihou/HS?uiel=Mobile</v>
      </c>
      <c r="G112" s="13" t="str">
        <f>HYPERLINK("https://mitsui-shopping-park.com/ec/sp/torihikihou/HS?uiel=Mobile")</f>
        <v>https://mitsui-shopping-park.com/ec/sp/torihikihou/HS?uiel=Mobile</v>
      </c>
    </row>
    <row r="113" spans="1:7">
      <c r="A113" s="9" t="s">
        <v>428</v>
      </c>
      <c r="B113" s="10">
        <v>109</v>
      </c>
      <c r="C113" s="9" t="s">
        <v>429</v>
      </c>
      <c r="D113" s="9" t="s">
        <v>430</v>
      </c>
      <c r="E113" s="11" t="str">
        <f>HYPERLINK("http://msp2.sophia-s.co.jp/sp/mspf1381_12103.html")</f>
        <v>http://msp2.sophia-s.co.jp/sp/mspf1381_12103.html</v>
      </c>
      <c r="F113" s="12" t="str">
        <f>HYPERLINK("https://www3.test-mitsui-shopping-park.com/ec/sp/torihikihou/DVF?uiel=Mobile")</f>
        <v>https://www3.test-mitsui-shopping-park.com/ec/sp/torihikihou/DVF?uiel=Mobile</v>
      </c>
      <c r="G113" s="13" t="str">
        <f>HYPERLINK("https://mitsui-shopping-park.com/ec/sp/torihikihou/DVF?uiel=Mobile")</f>
        <v>https://mitsui-shopping-park.com/ec/sp/torihikihou/DVF?uiel=Mobile</v>
      </c>
    </row>
    <row r="114" spans="1:7">
      <c r="A114" s="9" t="s">
        <v>431</v>
      </c>
      <c r="B114" s="10">
        <v>110</v>
      </c>
      <c r="C114" s="9" t="s">
        <v>432</v>
      </c>
      <c r="D114" s="9" t="s">
        <v>433</v>
      </c>
      <c r="E114" s="11" t="str">
        <f>HYPERLINK("http://msp2.sophia-s.co.jp/sp/mspf1381_12101.html")</f>
        <v>http://msp2.sophia-s.co.jp/sp/mspf1381_12101.html</v>
      </c>
      <c r="F114" s="12" t="str">
        <f>HYPERLINK("https://www3.test-mitsui-shopping-park.com/ec/sp/torihikihou/ADR?uiel=Mobile")</f>
        <v>https://www3.test-mitsui-shopping-park.com/ec/sp/torihikihou/ADR?uiel=Mobile</v>
      </c>
      <c r="G114" s="13" t="str">
        <f>HYPERLINK("https://mitsui-shopping-park.com/ec/sp/torihikihou/ADR?uiel=Mobile")</f>
        <v>https://mitsui-shopping-park.com/ec/sp/torihikihou/ADR?uiel=Mobile</v>
      </c>
    </row>
    <row r="115" spans="1:7">
      <c r="A115" s="9" t="s">
        <v>434</v>
      </c>
      <c r="B115" s="10">
        <v>111</v>
      </c>
      <c r="C115" s="9" t="s">
        <v>435</v>
      </c>
      <c r="D115" s="9" t="s">
        <v>436</v>
      </c>
      <c r="E115" s="11" t="str">
        <f>HYPERLINK("http://msp2.sophia-s.co.jp/sp/mspf1381_15303.html")</f>
        <v>http://msp2.sophia-s.co.jp/sp/mspf1381_15303.html</v>
      </c>
      <c r="F115" s="12" t="str">
        <f>HYPERLINK("https://www3.test-mitsui-shopping-park.com/ec/sp/torihikihou/PBD?uiel=Mobile")</f>
        <v>https://www3.test-mitsui-shopping-park.com/ec/sp/torihikihou/PBD?uiel=Mobile</v>
      </c>
      <c r="G115" s="13" t="str">
        <f>HYPERLINK("https://mitsui-shopping-park.com/ec/sp/torihikihou/PBD?uiel=Mobile")</f>
        <v>https://mitsui-shopping-park.com/ec/sp/torihikihou/PBD?uiel=Mobile</v>
      </c>
    </row>
    <row r="116" spans="1:7">
      <c r="A116" s="9" t="s">
        <v>437</v>
      </c>
      <c r="B116" s="10">
        <v>112</v>
      </c>
      <c r="C116" s="9" t="s">
        <v>438</v>
      </c>
      <c r="D116" s="9" t="s">
        <v>439</v>
      </c>
      <c r="E116" s="11" t="str">
        <f>HYPERLINK("http://msp2.sophia-s.co.jp/sp/mspf1381_15301.html")</f>
        <v>http://msp2.sophia-s.co.jp/sp/mspf1381_15301.html</v>
      </c>
      <c r="F116" s="12" t="str">
        <f>HYPERLINK("https://www3.test-mitsui-shopping-park.com/ec/sp/torihikihou/NBB?uiel=Mobile")</f>
        <v>https://www3.test-mitsui-shopping-park.com/ec/sp/torihikihou/NBB?uiel=Mobile</v>
      </c>
      <c r="G116" s="13" t="str">
        <f>HYPERLINK("https://mitsui-shopping-park.com/ec/sp/torihikihou/NBB?uiel=Mobile")</f>
        <v>https://mitsui-shopping-park.com/ec/sp/torihikihou/NBB?uiel=Mobile</v>
      </c>
    </row>
    <row r="117" spans="1:7">
      <c r="A117" s="9" t="s">
        <v>440</v>
      </c>
      <c r="B117" s="10">
        <v>113</v>
      </c>
      <c r="C117" s="9" t="s">
        <v>441</v>
      </c>
      <c r="D117" s="9" t="s">
        <v>442</v>
      </c>
      <c r="E117" s="11" t="str">
        <f>HYPERLINK("http://msp2.sophia-s.co.jp/sp/mspf1381_15305.html")</f>
        <v>http://msp2.sophia-s.co.jp/sp/mspf1381_15305.html</v>
      </c>
      <c r="F117" s="12" t="str">
        <f>HYPERLINK("https://www3.test-mitsui-shopping-park.com/ec/sp/torihikihou/N?uiel=Mobile")</f>
        <v>https://www3.test-mitsui-shopping-park.com/ec/sp/torihikihou/N?uiel=Mobile</v>
      </c>
      <c r="G117" s="13" t="str">
        <f>HYPERLINK("https://mitsui-shopping-park.com/ec/sp/torihikihou/N?uiel=Mobile")</f>
        <v>https://mitsui-shopping-park.com/ec/sp/torihikihou/N?uiel=Mobile</v>
      </c>
    </row>
    <row r="118" spans="1:7">
      <c r="A118" s="9" t="s">
        <v>443</v>
      </c>
      <c r="B118" s="10">
        <v>114</v>
      </c>
      <c r="C118" s="9" t="s">
        <v>444</v>
      </c>
      <c r="D118" s="9" t="s">
        <v>445</v>
      </c>
      <c r="E118" s="11" t="str">
        <f>HYPERLINK("http://msp2.sophia-s.co.jp/sp/mspf1381_15300.html")</f>
        <v>http://msp2.sophia-s.co.jp/sp/mspf1381_15300.html</v>
      </c>
      <c r="F118" s="12" t="str">
        <f>HYPERLINK("https://www3.test-mitsui-shopping-park.com/ec/sp/torihikihou/JJ?uiel=Mobile")</f>
        <v>https://www3.test-mitsui-shopping-park.com/ec/sp/torihikihou/JJ?uiel=Mobile</v>
      </c>
      <c r="G118" s="13" t="str">
        <f>HYPERLINK("https://mitsui-shopping-park.com/ec/sp/torihikihou/JJ?uiel=Mobile")</f>
        <v>https://mitsui-shopping-park.com/ec/sp/torihikihou/JJ?uiel=Mobile</v>
      </c>
    </row>
    <row r="119" spans="1:7">
      <c r="A119" s="9" t="s">
        <v>446</v>
      </c>
      <c r="B119" s="10">
        <v>115</v>
      </c>
      <c r="C119" s="9" t="s">
        <v>447</v>
      </c>
      <c r="D119" s="9" t="s">
        <v>448</v>
      </c>
      <c r="E119" s="11" t="str">
        <f>HYPERLINK("http://msp2.sophia-s.co.jp/sp/mspf1381_15302.html")</f>
        <v>http://msp2.sophia-s.co.jp/sp/mspf1381_15302.html</v>
      </c>
      <c r="F119" s="12" t="str">
        <f>HYPERLINK("https://www3.test-mitsui-shopping-park.com/ec/sp/torihikihou/MFM?uiel=Mobile")</f>
        <v>https://www3.test-mitsui-shopping-park.com/ec/sp/torihikihou/MFM?uiel=Mobile</v>
      </c>
      <c r="G119" s="13" t="str">
        <f>HYPERLINK("https://mitsui-shopping-park.com/ec/sp/torihikihou/MFM?uiel=Mobile")</f>
        <v>https://mitsui-shopping-park.com/ec/sp/torihikihou/MFM?uiel=Mobile</v>
      </c>
    </row>
    <row r="120" spans="1:7">
      <c r="A120" s="9" t="s">
        <v>449</v>
      </c>
      <c r="B120" s="10">
        <v>116</v>
      </c>
      <c r="C120" s="9" t="s">
        <v>450</v>
      </c>
      <c r="D120" s="9" t="s">
        <v>451</v>
      </c>
      <c r="E120" s="11" t="str">
        <f>HYPERLINK("http://msp2.sophia-s.co.jp/sp/mspf1381_10400.html")</f>
        <v>http://msp2.sophia-s.co.jp/sp/mspf1381_10400.html</v>
      </c>
      <c r="F120" s="12" t="str">
        <f>HYPERLINK("https://www3.test-mitsui-shopping-park.com/ec/sp/torihikihou/THEKISS?uiel=Mobile")</f>
        <v>https://www3.test-mitsui-shopping-park.com/ec/sp/torihikihou/THEKISS?uiel=Mobile</v>
      </c>
      <c r="G120" s="13" t="str">
        <f>HYPERLINK("https://mitsui-shopping-park.com/ec/sp/torihikihou/THEKISS?uiel=Mobile")</f>
        <v>https://mitsui-shopping-park.com/ec/sp/torihikihou/THEKISS?uiel=Mobile</v>
      </c>
    </row>
    <row r="121" spans="1:7">
      <c r="A121" s="9" t="s">
        <v>452</v>
      </c>
      <c r="B121" s="10">
        <v>117</v>
      </c>
      <c r="C121" s="9" t="s">
        <v>453</v>
      </c>
      <c r="D121" s="9" t="s">
        <v>454</v>
      </c>
      <c r="E121" s="11" t="str">
        <f>HYPERLINK("http://msp2.sophia-s.co.jp/sp/mspf1381_17300.html")</f>
        <v>http://msp2.sophia-s.co.jp/sp/mspf1381_17300.html</v>
      </c>
      <c r="F121" s="12" t="str">
        <f>HYPERLINK("https://www3.test-mitsui-shopping-park.com/ec/sp/torihikihou/ManhattanPortage?uiel=Mobile")</f>
        <v>https://www3.test-mitsui-shopping-park.com/ec/sp/torihikihou/ManhattanPortage?uiel=Mobile</v>
      </c>
      <c r="G121" s="13" t="str">
        <f>HYPERLINK("https://mitsui-shopping-park.com/ec/sp/torihikihou/ManhattanPortage?uiel=Mobile")</f>
        <v>https://mitsui-shopping-park.com/ec/sp/torihikihou/ManhattanPortage?uiel=Mobile</v>
      </c>
    </row>
    <row r="122" spans="1:7">
      <c r="A122" s="9" t="s">
        <v>455</v>
      </c>
      <c r="B122" s="10">
        <v>118</v>
      </c>
      <c r="C122" s="9" t="s">
        <v>456</v>
      </c>
      <c r="D122" s="9" t="s">
        <v>456</v>
      </c>
      <c r="E122" s="11" t="str">
        <f>HYPERLINK("http://msp2.sophia-s.co.jp/sp/mspf1381_13200.html")</f>
        <v>http://msp2.sophia-s.co.jp/sp/mspf1381_13200.html</v>
      </c>
      <c r="F122" s="12" t="str">
        <f>HYPERLINK("https://www3.test-mitsui-shopping-park.com/ec/sp/torihikihou/coen?uiel=Mobile")</f>
        <v>https://www3.test-mitsui-shopping-park.com/ec/sp/torihikihou/coen?uiel=Mobile</v>
      </c>
      <c r="G122" s="13" t="str">
        <f>HYPERLINK("https://mitsui-shopping-park.com/ec/sp/torihikihou/coen?uiel=Mobile")</f>
        <v>https://mitsui-shopping-park.com/ec/sp/torihikihou/coen?uiel=Mobile</v>
      </c>
    </row>
    <row r="123" spans="1:7">
      <c r="A123" s="9" t="s">
        <v>457</v>
      </c>
      <c r="B123" s="10">
        <v>119</v>
      </c>
      <c r="C123" s="9" t="s">
        <v>458</v>
      </c>
      <c r="D123" s="9" t="s">
        <v>459</v>
      </c>
      <c r="E123" s="11" t="str">
        <f>HYPERLINK("http://msp2.sophia-s.co.jp/sp/mspf1381_17801.html")</f>
        <v>http://msp2.sophia-s.co.jp/sp/mspf1381_17801.html</v>
      </c>
      <c r="F123" s="12" t="str">
        <f>HYPERLINK("https://www3.test-mitsui-shopping-park.com/ec/sp/torihikihou/Techichi?uiel=Mobile")</f>
        <v>https://www3.test-mitsui-shopping-park.com/ec/sp/torihikihou/Techichi?uiel=Mobile</v>
      </c>
      <c r="G123" s="13" t="str">
        <f>HYPERLINK("https://mitsui-shopping-park.com/ec/sp/torihikihou/Techichi?uiel=Mobile")</f>
        <v>https://mitsui-shopping-park.com/ec/sp/torihikihou/Techichi?uiel=Mobile</v>
      </c>
    </row>
    <row r="124" spans="1:7">
      <c r="A124" s="9" t="s">
        <v>460</v>
      </c>
      <c r="B124" s="10">
        <v>120</v>
      </c>
      <c r="C124" s="9" t="s">
        <v>461</v>
      </c>
      <c r="D124" s="9" t="s">
        <v>462</v>
      </c>
      <c r="E124" s="11" t="str">
        <f>HYPERLINK("http://msp2.sophia-s.co.jp/sp/mspf1381_17800.html")</f>
        <v>http://msp2.sophia-s.co.jp/sp/mspf1381_17800.html</v>
      </c>
      <c r="F124" s="12" t="str">
        <f>HYPERLINK("https://www3.test-mitsui-shopping-park.com/ec/sp/torihikihou/SamansaMos2?uiel=Mobile")</f>
        <v>https://www3.test-mitsui-shopping-park.com/ec/sp/torihikihou/SamansaMos2?uiel=Mobile</v>
      </c>
      <c r="G124" s="13" t="str">
        <f>HYPERLINK("https://mitsui-shopping-park.com/ec/sp/torihikihou/SamansaMos2?uiel=Mobile")</f>
        <v>https://mitsui-shopping-park.com/ec/sp/torihikihou/SamansaMos2?uiel=Mobile</v>
      </c>
    </row>
    <row r="125" spans="1:7">
      <c r="A125" s="9" t="s">
        <v>463</v>
      </c>
      <c r="B125" s="10">
        <v>121</v>
      </c>
      <c r="C125" s="9" t="s">
        <v>464</v>
      </c>
      <c r="D125" s="9" t="s">
        <v>465</v>
      </c>
      <c r="E125" s="11" t="str">
        <f>HYPERLINK("http://msp2.sophia-s.co.jp/sp/mspf1381_12805.html")</f>
        <v>http://msp2.sophia-s.co.jp/sp/mspf1381_12805.html</v>
      </c>
      <c r="F125" s="12" t="str">
        <f>HYPERLINK("https://www3.test-mitsui-shopping-park.com/ec/sp/torihikihou/kumikyoku?uiel=Mobile")</f>
        <v>https://www3.test-mitsui-shopping-park.com/ec/sp/torihikihou/kumikyoku?uiel=Mobile</v>
      </c>
      <c r="G125" s="13" t="str">
        <f>HYPERLINK("https://mitsui-shopping-park.com/ec/sp/torihikihou/kumikyoku?uiel=Mobile")</f>
        <v>https://mitsui-shopping-park.com/ec/sp/torihikihou/kumikyoku?uiel=Mobile</v>
      </c>
    </row>
    <row r="126" spans="1:7">
      <c r="A126" s="9" t="s">
        <v>466</v>
      </c>
      <c r="B126" s="10">
        <v>122</v>
      </c>
      <c r="C126" s="9" t="s">
        <v>467</v>
      </c>
      <c r="D126" s="9" t="s">
        <v>468</v>
      </c>
      <c r="E126" s="11" t="str">
        <f>HYPERLINK("http://msp2.sophia-s.co.jp/sp/mspf1381_12803.html")</f>
        <v>http://msp2.sophia-s.co.jp/sp/mspf1381_12803.html</v>
      </c>
      <c r="F126" s="12" t="str">
        <f>HYPERLINK("https://www3.test-mitsui-shopping-park.com/ec/sp/torihikihou/SHAREPARKMENS?uiel=Mobile")</f>
        <v>https://www3.test-mitsui-shopping-park.com/ec/sp/torihikihou/SHAREPARKMENS?uiel=Mobile</v>
      </c>
      <c r="G126" s="13" t="str">
        <f>HYPERLINK("https://mitsui-shopping-park.com/ec/sp/torihikihou/SHAREPARKMENS?uiel=Mobile")</f>
        <v>https://mitsui-shopping-park.com/ec/sp/torihikihou/SHAREPARKMENS?uiel=Mobile</v>
      </c>
    </row>
    <row r="127" spans="1:7">
      <c r="A127" s="9" t="s">
        <v>469</v>
      </c>
      <c r="B127" s="10">
        <v>123</v>
      </c>
      <c r="C127" s="9" t="s">
        <v>470</v>
      </c>
      <c r="D127" s="9" t="s">
        <v>471</v>
      </c>
      <c r="E127" s="11" t="str">
        <f>HYPERLINK("http://msp2.sophia-s.co.jp/sp/mspf1381_12802.html")</f>
        <v>http://msp2.sophia-s.co.jp/sp/mspf1381_12802.html</v>
      </c>
      <c r="F127" s="12" t="str">
        <f>HYPERLINK("https://www3.test-mitsui-shopping-park.com/ec/sp/torihikihou/SHAREPARKLADIES?uiel=Mobile")</f>
        <v>https://www3.test-mitsui-shopping-park.com/ec/sp/torihikihou/SHAREPARKLADIES?uiel=Mobile</v>
      </c>
      <c r="G127" s="13" t="str">
        <f>HYPERLINK("https://mitsui-shopping-park.com/ec/sp/torihikihou/SHAREPARKLADIES?uiel=Mobile")</f>
        <v>https://mitsui-shopping-park.com/ec/sp/torihikihou/SHAREPARKLADIES?uiel=Mobile</v>
      </c>
    </row>
    <row r="128" spans="1:7">
      <c r="A128" s="9" t="s">
        <v>472</v>
      </c>
      <c r="B128" s="10">
        <v>124</v>
      </c>
      <c r="C128" s="9" t="s">
        <v>473</v>
      </c>
      <c r="D128" s="9" t="s">
        <v>474</v>
      </c>
      <c r="E128" s="11" t="str">
        <f>HYPERLINK("http://msp2.sophia-s.co.jp/sp/mspf1381_12801.html")</f>
        <v>http://msp2.sophia-s.co.jp/sp/mspf1381_12801.html</v>
      </c>
      <c r="F128" s="12" t="str">
        <f>HYPERLINK("https://www3.test-mitsui-shopping-park.com/ec/sp/torihikihou/anySiS?uiel=Mobile")</f>
        <v>https://www3.test-mitsui-shopping-park.com/ec/sp/torihikihou/anySiS?uiel=Mobile</v>
      </c>
      <c r="G128" s="13" t="str">
        <f>HYPERLINK("https://mitsui-shopping-park.com/ec/sp/torihikihou/anySiS?uiel=Mobile")</f>
        <v>https://mitsui-shopping-park.com/ec/sp/torihikihou/anySiS?uiel=Mobile</v>
      </c>
    </row>
    <row r="129" spans="1:7">
      <c r="A129" s="9" t="s">
        <v>475</v>
      </c>
      <c r="B129" s="10">
        <v>125</v>
      </c>
      <c r="C129" s="9" t="s">
        <v>476</v>
      </c>
      <c r="D129" s="9" t="s">
        <v>477</v>
      </c>
      <c r="E129" s="11" t="str">
        <f>HYPERLINK("http://msp2.sophia-s.co.jp/sp/mspf1381_12800.html")</f>
        <v>http://msp2.sophia-s.co.jp/sp/mspf1381_12800.html</v>
      </c>
      <c r="F129" s="12" t="str">
        <f>HYPERLINK("https://www3.test-mitsui-shopping-park.com/ec/sp/torihikihou/anyFAM?uiel=Mobile")</f>
        <v>https://www3.test-mitsui-shopping-park.com/ec/sp/torihikihou/anyFAM?uiel=Mobile</v>
      </c>
      <c r="G129" s="13" t="str">
        <f>HYPERLINK("https://mitsui-shopping-park.com/ec/sp/torihikihou/anyFAM?uiel=Mobile")</f>
        <v>https://mitsui-shopping-park.com/ec/sp/torihikihou/anyFAM?uiel=Mobile</v>
      </c>
    </row>
    <row r="130" spans="1:7">
      <c r="A130" s="9" t="s">
        <v>478</v>
      </c>
      <c r="B130" s="10">
        <v>126</v>
      </c>
      <c r="C130" s="9" t="s">
        <v>479</v>
      </c>
      <c r="D130" s="9" t="s">
        <v>480</v>
      </c>
      <c r="E130" s="11" t="str">
        <f>HYPERLINK("http://msp2.sophia-s.co.jp/sp/mspf1381_12804.html")</f>
        <v>http://msp2.sophia-s.co.jp/sp/mspf1381_12804.html</v>
      </c>
      <c r="F130" s="12" t="str">
        <f>HYPERLINK("https://www3.test-mitsui-shopping-park.com/ec/sp/torihikihou/23ku?uiel=Mobile")</f>
        <v>https://www3.test-mitsui-shopping-park.com/ec/sp/torihikihou/23ku?uiel=Mobile</v>
      </c>
      <c r="G130" s="13" t="str">
        <f>HYPERLINK("https://mitsui-shopping-park.com/ec/sp/torihikihou/23ku?uiel=Mobile")</f>
        <v>https://mitsui-shopping-park.com/ec/sp/torihikihou/23ku?uiel=Mobile</v>
      </c>
    </row>
    <row r="131" spans="1:7">
      <c r="A131" s="9" t="s">
        <v>481</v>
      </c>
      <c r="B131" s="10">
        <v>127</v>
      </c>
      <c r="C131" s="9" t="s">
        <v>482</v>
      </c>
      <c r="D131" s="9" t="s">
        <v>483</v>
      </c>
      <c r="E131" s="11" t="str">
        <f>HYPERLINK("http://msp2.sophia-s.co.jp/sp/mspf1381_11800.html")</f>
        <v>http://msp2.sophia-s.co.jp/sp/mspf1381_11800.html</v>
      </c>
      <c r="F131" s="12" t="str">
        <f>HYPERLINK("https://www3.test-mitsui-shopping-park.com/ec/sp/torihikihou/canal4c?uiel=Mobile")</f>
        <v>https://www3.test-mitsui-shopping-park.com/ec/sp/torihikihou/canal4c?uiel=Mobile</v>
      </c>
      <c r="G131" s="13" t="str">
        <f>HYPERLINK("https://mitsui-shopping-park.com/ec/sp/torihikihou/canal4c?uiel=Mobile")</f>
        <v>https://mitsui-shopping-park.com/ec/sp/torihikihou/canal4c?uiel=Mobile</v>
      </c>
    </row>
    <row r="132" spans="1:7">
      <c r="A132" s="9" t="s">
        <v>484</v>
      </c>
      <c r="B132" s="10">
        <v>128</v>
      </c>
      <c r="C132" s="9" t="s">
        <v>485</v>
      </c>
      <c r="D132" s="9" t="s">
        <v>485</v>
      </c>
      <c r="E132" s="11" t="str">
        <f>HYPERLINK("http://msp2.sophia-s.co.jp/sp/mspf1381_10100.html")</f>
        <v>http://msp2.sophia-s.co.jp/sp/mspf1381_10100.html</v>
      </c>
      <c r="F132" s="12" t="str">
        <f>HYPERLINK("https://www3.test-mitsui-shopping-park.com/ec/sp/torihikihou/ABC-MART?uiel=Mobile")</f>
        <v>https://www3.test-mitsui-shopping-park.com/ec/sp/torihikihou/ABC-MART?uiel=Mobile</v>
      </c>
      <c r="G132" s="13" t="str">
        <f>HYPERLINK("https://mitsui-shopping-park.com/ec/sp/torihikihou/ABC-MART?uiel=Mobile")</f>
        <v>https://mitsui-shopping-park.com/ec/sp/torihikihou/ABC-MART?uiel=Mobile</v>
      </c>
    </row>
    <row r="133" spans="1:7">
      <c r="A133" s="9" t="s">
        <v>486</v>
      </c>
      <c r="B133" s="10">
        <v>129</v>
      </c>
      <c r="C133" s="9" t="s">
        <v>487</v>
      </c>
      <c r="D133" s="9" t="s">
        <v>487</v>
      </c>
      <c r="E133" s="11" t="str">
        <f>HYPERLINK("http://msp2.sophia-s.co.jp/sp/mspf1381_16200.html")</f>
        <v>http://msp2.sophia-s.co.jp/sp/mspf1381_16200.html</v>
      </c>
      <c r="F133" s="12" t="str">
        <f>HYPERLINK("https://www3.test-mitsui-shopping-park.com/ec/sp/torihikihou/snidel?uiel=Mobile")</f>
        <v>https://www3.test-mitsui-shopping-park.com/ec/sp/torihikihou/snidel?uiel=Mobile</v>
      </c>
      <c r="G133" s="13" t="str">
        <f>HYPERLINK("https://mitsui-shopping-park.com/ec/sp/torihikihou/snidel?uiel=Mobile")</f>
        <v>https://mitsui-shopping-park.com/ec/sp/torihikihou/snidel?uiel=Mobile</v>
      </c>
    </row>
    <row r="134" spans="1:7">
      <c r="A134" s="9" t="s">
        <v>488</v>
      </c>
      <c r="B134" s="10">
        <v>130</v>
      </c>
      <c r="C134" s="9" t="s">
        <v>489</v>
      </c>
      <c r="D134" s="9" t="s">
        <v>490</v>
      </c>
      <c r="E134" s="11" t="str">
        <f>HYPERLINK("http://msp2.sophia-s.co.jp/sp/mspf1381_16205.html")</f>
        <v>http://msp2.sophia-s.co.jp/sp/mspf1381_16205.html</v>
      </c>
      <c r="F134" s="12" t="str">
        <f>HYPERLINK("https://www3.test-mitsui-shopping-park.com/ec/sp/torihikihou/milaowen?uiel=Mobile")</f>
        <v>https://www3.test-mitsui-shopping-park.com/ec/sp/torihikihou/milaowen?uiel=Mobile</v>
      </c>
      <c r="G134" s="13" t="str">
        <f>HYPERLINK("https://mitsui-shopping-park.com/ec/sp/torihikihou/milaowen?uiel=Mobile")</f>
        <v>https://mitsui-shopping-park.com/ec/sp/torihikihou/milaowen?uiel=Mobile</v>
      </c>
    </row>
    <row r="135" spans="1:7">
      <c r="A135" s="9" t="s">
        <v>491</v>
      </c>
      <c r="B135" s="10">
        <v>131</v>
      </c>
      <c r="C135" s="9" t="s">
        <v>492</v>
      </c>
      <c r="D135" s="9" t="s">
        <v>493</v>
      </c>
      <c r="E135" s="11" t="str">
        <f>HYPERLINK("http://msp2.sophia-s.co.jp/sp/mspf1381_16203.html")</f>
        <v>http://msp2.sophia-s.co.jp/sp/mspf1381_16203.html</v>
      </c>
      <c r="F135" s="12" t="str">
        <f>HYPERLINK("https://www3.test-mitsui-shopping-park.com/ec/sp/torihikihou/lilybrown?uiel=Mobile")</f>
        <v>https://www3.test-mitsui-shopping-park.com/ec/sp/torihikihou/lilybrown?uiel=Mobile</v>
      </c>
      <c r="G135" s="13" t="str">
        <f>HYPERLINK("https://mitsui-shopping-park.com/ec/sp/torihikihou/lilybrown?uiel=Mobile")</f>
        <v>https://mitsui-shopping-park.com/ec/sp/torihikihou/lilybrown?uiel=Mobile</v>
      </c>
    </row>
    <row r="136" spans="1:7">
      <c r="A136" s="9" t="s">
        <v>494</v>
      </c>
      <c r="B136" s="10">
        <v>132</v>
      </c>
      <c r="C136" s="9" t="s">
        <v>495</v>
      </c>
      <c r="D136" s="9" t="s">
        <v>496</v>
      </c>
      <c r="E136" s="11" t="str">
        <f>HYPERLINK("http://msp2.sophia-s.co.jp/sp/mspf1381_16201.html")</f>
        <v>http://msp2.sophia-s.co.jp/sp/mspf1381_16201.html</v>
      </c>
      <c r="F136" s="12" t="str">
        <f>HYPERLINK("https://www3.test-mitsui-shopping-park.com/ec/sp/torihikihou/gelatopique?uiel=Mobile")</f>
        <v>https://www3.test-mitsui-shopping-park.com/ec/sp/torihikihou/gelatopique?uiel=Mobile</v>
      </c>
      <c r="G136" s="13" t="str">
        <f>HYPERLINK("https://mitsui-shopping-park.com/ec/sp/torihikihou/gelatopique?uiel=Mobile")</f>
        <v>https://mitsui-shopping-park.com/ec/sp/torihikihou/gelatopique?uiel=Mobile</v>
      </c>
    </row>
    <row r="137" spans="1:7">
      <c r="A137" s="9" t="s">
        <v>497</v>
      </c>
      <c r="B137" s="10">
        <v>133</v>
      </c>
      <c r="C137" s="9" t="s">
        <v>498</v>
      </c>
      <c r="D137" s="9" t="s">
        <v>499</v>
      </c>
      <c r="E137" s="11" t="str">
        <f>HYPERLINK("http://msp2.sophia-s.co.jp/sp/mspf1381_16202.html")</f>
        <v>http://msp2.sophia-s.co.jp/sp/mspf1381_16202.html</v>
      </c>
      <c r="F137" s="12" t="str">
        <f>HYPERLINK("https://www3.test-mitsui-shopping-park.com/ec/sp/torihikihou/frayid?uiel=Mobile")</f>
        <v>https://www3.test-mitsui-shopping-park.com/ec/sp/torihikihou/frayid?uiel=Mobile</v>
      </c>
      <c r="G137" s="13" t="str">
        <f>HYPERLINK("https://mitsui-shopping-park.com/ec/sp/torihikihou/frayid?uiel=Mobile")</f>
        <v>https://mitsui-shopping-park.com/ec/sp/torihikihou/frayid?uiel=Mobile</v>
      </c>
    </row>
    <row r="138" spans="1:7">
      <c r="A138" s="9" t="s">
        <v>500</v>
      </c>
      <c r="B138" s="10">
        <v>134</v>
      </c>
      <c r="C138" s="9" t="s">
        <v>501</v>
      </c>
      <c r="D138" s="9" t="s">
        <v>501</v>
      </c>
      <c r="E138" s="11" t="str">
        <f>HYPERLINK("http://msp2.sophia-s.co.jp/sp/mspf1381_16207.html")</f>
        <v>http://msp2.sophia-s.co.jp/sp/mspf1381_16207.html</v>
      </c>
      <c r="F138" s="12" t="str">
        <f>HYPERLINK("https://www3.test-mitsui-shopping-park.com/ec/sp/torihikihou/emmi?uiel=Mobile")</f>
        <v>https://www3.test-mitsui-shopping-park.com/ec/sp/torihikihou/emmi?uiel=Mobile</v>
      </c>
      <c r="G138" s="13" t="str">
        <f>HYPERLINK("https://mitsui-shopping-park.com/ec/sp/torihikihou/emmi?uiel=Mobile")</f>
        <v>https://mitsui-shopping-park.com/ec/sp/torihikihou/emmi?uiel=Mobile</v>
      </c>
    </row>
    <row r="139" spans="1:7">
      <c r="A139" s="9" t="s">
        <v>502</v>
      </c>
      <c r="B139" s="10">
        <v>135</v>
      </c>
      <c r="C139" s="9" t="s">
        <v>503</v>
      </c>
      <c r="D139" s="9" t="s">
        <v>503</v>
      </c>
      <c r="E139" s="11" t="str">
        <f>HYPERLINK("http://msp2.sophia-s.co.jp/sp/mspf1381_15200.html")</f>
        <v>http://msp2.sophia-s.co.jp/sp/mspf1381_15200.html</v>
      </c>
      <c r="F139" s="12" t="str">
        <f>HYPERLINK("https://www3.test-mitsui-shopping-park.com/ec/sp/torihikihou/INGNI?uiel=Mobile")</f>
        <v>https://www3.test-mitsui-shopping-park.com/ec/sp/torihikihou/INGNI?uiel=Mobile</v>
      </c>
      <c r="G139" s="13" t="str">
        <f>HYPERLINK("https://mitsui-shopping-park.com/ec/sp/torihikihou/INGNI?uiel=Mobile")</f>
        <v>https://mitsui-shopping-park.com/ec/sp/torihikihou/INGNI?uiel=Mobile</v>
      </c>
    </row>
    <row r="140" spans="1:7">
      <c r="A140" s="9" t="s">
        <v>504</v>
      </c>
      <c r="B140" s="10">
        <v>136</v>
      </c>
      <c r="C140" s="9" t="s">
        <v>505</v>
      </c>
      <c r="D140" s="9" t="s">
        <v>506</v>
      </c>
      <c r="E140" s="11" t="str">
        <f>HYPERLINK("http://msp2.sophia-s.co.jp/sp/mspf1381_14101.html")</f>
        <v>http://msp2.sophia-s.co.jp/sp/mspf1381_14101.html</v>
      </c>
      <c r="F140" s="12" t="str">
        <f>HYPERLINK("https://www3.test-mitsui-shopping-park.com/ec/sp/torihikihou/RougevifLacle?uiel=Mobile")</f>
        <v>https://www3.test-mitsui-shopping-park.com/ec/sp/torihikihou/RougevifLacle?uiel=Mobile</v>
      </c>
      <c r="G140" s="13" t="str">
        <f>HYPERLINK("https://mitsui-shopping-park.com/ec/sp/torihikihou/RougevifLacle?uiel=Mobile")</f>
        <v>https://mitsui-shopping-park.com/ec/sp/torihikihou/RougevifLacle?uiel=Mobile</v>
      </c>
    </row>
    <row r="141" spans="1:7">
      <c r="A141" s="9" t="s">
        <v>507</v>
      </c>
      <c r="B141" s="10">
        <v>137</v>
      </c>
      <c r="C141" s="9" t="s">
        <v>508</v>
      </c>
      <c r="D141" s="9" t="s">
        <v>508</v>
      </c>
      <c r="E141" s="11" t="str">
        <f>HYPERLINK("http://msp2.sophia-s.co.jp/sp/mspf1381_14102.html")</f>
        <v>http://msp2.sophia-s.co.jp/sp/mspf1381_14102.html</v>
      </c>
      <c r="F141" s="12" t="str">
        <f>HYPERLINK("https://www3.test-mitsui-shopping-park.com/ec/sp/torihikihou/qualite?uiel=Mobile")</f>
        <v>https://www3.test-mitsui-shopping-park.com/ec/sp/torihikihou/qualite?uiel=Mobile</v>
      </c>
      <c r="G141" s="13" t="str">
        <f>HYPERLINK("https://mitsui-shopping-park.com/ec/sp/torihikihou/qualite?uiel=Mobile")</f>
        <v>https://mitsui-shopping-park.com/ec/sp/torihikihou/qualite?uiel=Mobile</v>
      </c>
    </row>
    <row r="142" spans="1:7">
      <c r="A142" s="9" t="s">
        <v>509</v>
      </c>
      <c r="B142" s="10">
        <v>138</v>
      </c>
      <c r="C142" s="9" t="s">
        <v>510</v>
      </c>
      <c r="D142" s="9" t="s">
        <v>511</v>
      </c>
      <c r="E142" s="11" t="str">
        <f>HYPERLINK("http://msp2.sophia-s.co.jp/sp/mspf1381_14105.html")</f>
        <v>http://msp2.sophia-s.co.jp/sp/mspf1381_14105.html</v>
      </c>
      <c r="F142" s="12" t="str">
        <f>HYPERLINK("https://www3.test-mitsui-shopping-park.com/ec/sp/torihikihou/PicheAbahouse?uiel=Mobile")</f>
        <v>https://www3.test-mitsui-shopping-park.com/ec/sp/torihikihou/PicheAbahouse?uiel=Mobile</v>
      </c>
      <c r="G142" s="13" t="str">
        <f>HYPERLINK("https://mitsui-shopping-park.com/ec/sp/torihikihou/PicheAbahouse?uiel=Mobile")</f>
        <v>https://mitsui-shopping-park.com/ec/sp/torihikihou/PicheAbahouse?uiel=Mobile</v>
      </c>
    </row>
    <row r="143" spans="1:7">
      <c r="A143" s="9" t="s">
        <v>512</v>
      </c>
      <c r="B143" s="10">
        <v>139</v>
      </c>
      <c r="C143" s="9" t="s">
        <v>513</v>
      </c>
      <c r="D143" s="9" t="s">
        <v>514</v>
      </c>
      <c r="E143" s="11" t="str">
        <f>HYPERLINK("http://msp2.sophia-s.co.jp/sp/mspf1381_14111.html")</f>
        <v>http://msp2.sophia-s.co.jp/sp/mspf1381_14111.html</v>
      </c>
      <c r="F143" s="12" t="str">
        <f>HYPERLINK("https://www3.test-mitsui-shopping-park.com/ec/sp/torihikihou/MYSELFABAHOUSE?uiel=Mobile")</f>
        <v>https://www3.test-mitsui-shopping-park.com/ec/sp/torihikihou/MYSELFABAHOUSE?uiel=Mobile</v>
      </c>
      <c r="G143" s="13" t="str">
        <f>HYPERLINK("https://mitsui-shopping-park.com/ec/sp/torihikihou/MYSELFABAHOUSE?uiel=Mobile")</f>
        <v>https://mitsui-shopping-park.com/ec/sp/torihikihou/MYSELFABAHOUSE?uiel=Mobile</v>
      </c>
    </row>
    <row r="144" spans="1:7">
      <c r="A144" s="9" t="s">
        <v>515</v>
      </c>
      <c r="B144" s="10">
        <v>140</v>
      </c>
      <c r="C144" s="9" t="s">
        <v>516</v>
      </c>
      <c r="D144" s="9" t="s">
        <v>516</v>
      </c>
      <c r="E144" s="11" t="str">
        <f>HYPERLINK("http://msp2.sophia-s.co.jp/sp/mspf1381_14106.html")</f>
        <v>http://msp2.sophia-s.co.jp/sp/mspf1381_14106.html</v>
      </c>
      <c r="F144" s="12" t="str">
        <f>HYPERLINK("https://www3.test-mitsui-shopping-park.com/ec/sp/torihikihou/interstaple?uiel=Mobile")</f>
        <v>https://www3.test-mitsui-shopping-park.com/ec/sp/torihikihou/interstaple?uiel=Mobile</v>
      </c>
      <c r="G144" s="13" t="str">
        <f>HYPERLINK("https://mitsui-shopping-park.com/ec/sp/torihikihou/interstaple?uiel=Mobile")</f>
        <v>https://mitsui-shopping-park.com/ec/sp/torihikihou/interstaple?uiel=Mobile</v>
      </c>
    </row>
    <row r="145" spans="1:7">
      <c r="A145" s="9" t="s">
        <v>517</v>
      </c>
      <c r="B145" s="10">
        <v>141</v>
      </c>
      <c r="C145" s="9" t="s">
        <v>518</v>
      </c>
      <c r="D145" s="9" t="s">
        <v>519</v>
      </c>
      <c r="E145" s="11" t="str">
        <f>HYPERLINK("http://msp2.sophia-s.co.jp/sp/mspf1381_14104.html")</f>
        <v>http://msp2.sophia-s.co.jp/sp/mspf1381_14104.html</v>
      </c>
      <c r="F145" s="12" t="str">
        <f>HYPERLINK("https://www3.test-mitsui-shopping-park.com/ec/sp/torihikihou/AUBANNISTER?uiel=Mobile")</f>
        <v>https://www3.test-mitsui-shopping-park.com/ec/sp/torihikihou/AUBANNISTER?uiel=Mobile</v>
      </c>
      <c r="G145" s="13" t="str">
        <f>HYPERLINK("https://mitsui-shopping-park.com/ec/sp/torihikihou/AUBANNISTER?uiel=Mobile")</f>
        <v>https://mitsui-shopping-park.com/ec/sp/torihikihou/AUBANNISTER?uiel=Mobile</v>
      </c>
    </row>
    <row r="146" spans="1:7">
      <c r="A146" s="9" t="s">
        <v>520</v>
      </c>
      <c r="B146" s="10">
        <v>142</v>
      </c>
      <c r="C146" s="9" t="s">
        <v>521</v>
      </c>
      <c r="D146" s="9" t="s">
        <v>522</v>
      </c>
      <c r="E146" s="11" t="str">
        <f>HYPERLINK("http://msp2.sophia-s.co.jp/sp/mspf1381_14110.html")</f>
        <v>http://msp2.sophia-s.co.jp/sp/mspf1381_14110.html</v>
      </c>
      <c r="F146" s="12" t="str">
        <f>HYPERLINK("https://www3.test-mitsui-shopping-park.com/ec/sp/torihikihou/alfredoBANNISTER?uiel=Mobile")</f>
        <v>https://www3.test-mitsui-shopping-park.com/ec/sp/torihikihou/alfredoBANNISTER?uiel=Mobile</v>
      </c>
      <c r="G146" s="13" t="str">
        <f>HYPERLINK("https://mitsui-shopping-park.com/ec/sp/torihikihou/alfredoBANNISTER?uiel=Mobile")</f>
        <v>https://mitsui-shopping-park.com/ec/sp/torihikihou/alfredoBANNISTER?uiel=Mobile</v>
      </c>
    </row>
    <row r="147" spans="1:7">
      <c r="A147" s="9" t="s">
        <v>523</v>
      </c>
      <c r="B147" s="10">
        <v>143</v>
      </c>
      <c r="C147" s="9" t="s">
        <v>524</v>
      </c>
      <c r="D147" s="9" t="s">
        <v>524</v>
      </c>
      <c r="E147" s="11" t="str">
        <f>HYPERLINK("http://msp2.sophia-s.co.jp/sp/mspf1381_14108.html")</f>
        <v>http://msp2.sophia-s.co.jp/sp/mspf1381_14108.html</v>
      </c>
      <c r="F147" s="12" t="str">
        <f>HYPERLINK("https://www3.test-mitsui-shopping-park.com/ec/sp/torihikihou/ABAHOUSE?uiel=Mobile")</f>
        <v>https://www3.test-mitsui-shopping-park.com/ec/sp/torihikihou/ABAHOUSE?uiel=Mobile</v>
      </c>
      <c r="G147" s="13" t="str">
        <f>HYPERLINK("https://mitsui-shopping-park.com/ec/sp/torihikihou/ABAHOUSE?uiel=Mobile")</f>
        <v>https://mitsui-shopping-park.com/ec/sp/torihikihou/ABAHOUSE?uiel=Mobile</v>
      </c>
    </row>
    <row r="148" spans="1:7">
      <c r="A148" s="9" t="s">
        <v>525</v>
      </c>
      <c r="B148" s="10">
        <v>144</v>
      </c>
      <c r="C148" s="9" t="s">
        <v>526</v>
      </c>
      <c r="D148" s="9" t="s">
        <v>527</v>
      </c>
      <c r="E148" s="11" t="str">
        <f>HYPERLINK("http://msp2.sophia-s.co.jp/sp/mspf1381_14100.html")</f>
        <v>http://msp2.sophia-s.co.jp/sp/mspf1381_14100.html</v>
      </c>
      <c r="F148" s="12" t="str">
        <f>HYPERLINK("https://www3.test-mitsui-shopping-park.com/ec/sp/torihikihou/AbahouseDevinette?uiel=Mobile")</f>
        <v>https://www3.test-mitsui-shopping-park.com/ec/sp/torihikihou/AbahouseDevinette?uiel=Mobile</v>
      </c>
      <c r="G148" s="13" t="str">
        <f>HYPERLINK("https://mitsui-shopping-park.com/ec/sp/torihikihou/AbahouseDevinette?uiel=Mobile")</f>
        <v>https://mitsui-shopping-park.com/ec/sp/torihikihou/AbahouseDevinette?uiel=Mobile</v>
      </c>
    </row>
    <row r="149" spans="1:7">
      <c r="A149" s="9" t="s">
        <v>528</v>
      </c>
      <c r="B149" s="10">
        <v>145</v>
      </c>
      <c r="C149" s="9" t="s">
        <v>529</v>
      </c>
      <c r="D149" s="9" t="s">
        <v>530</v>
      </c>
      <c r="E149" s="11" t="str">
        <f>HYPERLINK("http://msp2.sophia-s.co.jp/sp/mspf1381_14109.html")</f>
        <v>http://msp2.sophia-s.co.jp/sp/mspf1381_14109.html</v>
      </c>
      <c r="F149" s="12" t="str">
        <f>HYPERLINK("https://www3.test-mitsui-shopping-park.com/ec/sp/torihikihou/5351POURLESHOMMES?uiel=Mobile")</f>
        <v>https://www3.test-mitsui-shopping-park.com/ec/sp/torihikihou/5351POURLESHOMMES?uiel=Mobile</v>
      </c>
      <c r="G149" s="13" t="str">
        <f>HYPERLINK("https://mitsui-shopping-park.com/ec/sp/torihikihou/5351POURLESHOMMES?uiel=Mobile")</f>
        <v>https://mitsui-shopping-park.com/ec/sp/torihikihou/5351POURLESHOMMES?uiel=Mobile</v>
      </c>
    </row>
    <row r="150" spans="1:7">
      <c r="A150" s="9" t="s">
        <v>531</v>
      </c>
      <c r="B150" s="10">
        <v>146</v>
      </c>
      <c r="C150" s="9" t="s">
        <v>532</v>
      </c>
      <c r="D150" s="9" t="s">
        <v>533</v>
      </c>
      <c r="E150" s="11" t="str">
        <f>HYPERLINK("http://msp2.sophia-s.co.jp/sp/mspf1381_12301.html")</f>
        <v>http://msp2.sophia-s.co.jp/sp/mspf1381_12301.html</v>
      </c>
      <c r="F150" s="12" t="str">
        <f>HYPERLINK("https://www3.test-mitsui-shopping-park.com/ec/sp/torihikihou/TIMELESSCOMFORT?uiel=Mobile")</f>
        <v>https://www3.test-mitsui-shopping-park.com/ec/sp/torihikihou/TIMELESSCOMFORT?uiel=Mobile</v>
      </c>
      <c r="G150" s="13" t="str">
        <f>HYPERLINK("https://mitsui-shopping-park.com/ec/sp/torihikihou/TIMELESSCOMFORT?uiel=Mobile")</f>
        <v>https://mitsui-shopping-park.com/ec/sp/torihikihou/TIMELESSCOMFORT?uiel=Mobile</v>
      </c>
    </row>
    <row r="151" spans="1:7">
      <c r="A151" s="9" t="s">
        <v>534</v>
      </c>
      <c r="B151" s="10">
        <v>147</v>
      </c>
      <c r="C151" s="9" t="s">
        <v>535</v>
      </c>
      <c r="D151" s="9" t="s">
        <v>536</v>
      </c>
      <c r="E151" s="11" t="str">
        <f>HYPERLINK("http://msp2.sophia-s.co.jp/sp/mspf1381_12302.html")</f>
        <v>http://msp2.sophia-s.co.jp/sp/mspf1381_12302.html</v>
      </c>
      <c r="F151" s="12" t="str">
        <f>HYPERLINK("https://www3.test-mitsui-shopping-park.com/ec/sp/torihikihou/TCFurniture?uiel=Mobile")</f>
        <v>https://www3.test-mitsui-shopping-park.com/ec/sp/torihikihou/TCFurniture?uiel=Mobile</v>
      </c>
      <c r="G151" s="13" t="str">
        <f>HYPERLINK("https://mitsui-shopping-park.com/ec/sp/torihikihou/TCFurniture?uiel=Mobile")</f>
        <v>https://mitsui-shopping-park.com/ec/sp/torihikihou/TCFurniture?uiel=Mobile</v>
      </c>
    </row>
    <row r="152" spans="1:7">
      <c r="A152" s="9" t="s">
        <v>537</v>
      </c>
      <c r="B152" s="10">
        <v>148</v>
      </c>
      <c r="C152" s="9" t="s">
        <v>538</v>
      </c>
      <c r="D152" s="9" t="s">
        <v>539</v>
      </c>
      <c r="E152" s="11" t="str">
        <f>HYPERLINK("http://msp2.sophia-s.co.jp/sp/mspf1381_12300.html")</f>
        <v>http://msp2.sophia-s.co.jp/sp/mspf1381_12300.html</v>
      </c>
      <c r="F152" s="12" t="str">
        <f>HYPERLINK("https://www3.test-mitsui-shopping-park.com/ec/sp/torihikihou/212KITCHENSTORE?uiel=Mobile")</f>
        <v>https://www3.test-mitsui-shopping-park.com/ec/sp/torihikihou/212KITCHENSTORE?uiel=Mobile</v>
      </c>
      <c r="G152" s="13" t="str">
        <f>HYPERLINK("https://mitsui-shopping-park.com/ec/sp/torihikihou/212KITCHENSTORE?uiel=Mobile")</f>
        <v>https://mitsui-shopping-park.com/ec/sp/torihikihou/212KITCHENSTORE?uiel=Mobile</v>
      </c>
    </row>
    <row r="153" spans="1:7">
      <c r="A153" s="9" t="s">
        <v>540</v>
      </c>
      <c r="B153" s="10">
        <v>149</v>
      </c>
      <c r="C153" s="9" t="s">
        <v>541</v>
      </c>
      <c r="D153" s="9" t="s">
        <v>542</v>
      </c>
      <c r="E153" s="11" t="str">
        <f>HYPERLINK("http://msp2.sophia-s.co.jp/sp/mspf1381_17000.html")</f>
        <v>http://msp2.sophia-s.co.jp/sp/mspf1381_17000.html</v>
      </c>
      <c r="F153" s="12" t="str">
        <f>HYPERLINK("https://www3.test-mitsui-shopping-park.com/ec/sp/torihikihou/LOGOSSHOP?uiel=Mobile")</f>
        <v>https://www3.test-mitsui-shopping-park.com/ec/sp/torihikihou/LOGOSSHOP?uiel=Mobile</v>
      </c>
      <c r="G153" s="13" t="str">
        <f>HYPERLINK("https://mitsui-shopping-park.com/ec/sp/torihikihou/LOGOSSHOP?uiel=Mobile")</f>
        <v>https://mitsui-shopping-park.com/ec/sp/torihikihou/LOGOSSHOP?uiel=Mobile</v>
      </c>
    </row>
    <row r="154" spans="1:7">
      <c r="A154" s="9" t="s">
        <v>543</v>
      </c>
      <c r="B154" s="10">
        <v>150</v>
      </c>
      <c r="C154" s="9" t="s">
        <v>544</v>
      </c>
      <c r="D154" s="9" t="s">
        <v>545</v>
      </c>
      <c r="E154" s="11" t="str">
        <f>HYPERLINK("http://msp2.sophia-s.co.jp/sp/mspf1381_16500.html")</f>
        <v>http://msp2.sophia-s.co.jp/sp/mspf1381_16500.html</v>
      </c>
      <c r="F154" s="12" t="str">
        <f>HYPERLINK("https://www3.test-mitsui-shopping-park.com/ec/sp/torihikihou/URBANRESEARCH?uiel=Mobile")</f>
        <v>https://www3.test-mitsui-shopping-park.com/ec/sp/torihikihou/URBANRESEARCH?uiel=Mobile</v>
      </c>
      <c r="G154" s="13" t="str">
        <f>HYPERLINK("https://mitsui-shopping-park.com/ec/sp/torihikihou/URBANRESEARCH?uiel=Mobile")</f>
        <v>https://mitsui-shopping-park.com/ec/sp/torihikihou/URBANRESEARCH?uiel=Mobile</v>
      </c>
    </row>
    <row r="155" spans="1:7">
      <c r="A155" s="9" t="s">
        <v>546</v>
      </c>
      <c r="B155" s="10">
        <v>151</v>
      </c>
      <c r="C155" s="9" t="s">
        <v>547</v>
      </c>
      <c r="D155" s="9" t="s">
        <v>548</v>
      </c>
      <c r="E155" s="11" t="str">
        <f>HYPERLINK("http://msp2.sophia-s.co.jp/sp/mspf1381_10500.html")</f>
        <v>http://msp2.sophia-s.co.jp/sp/mspf1381_10500.html</v>
      </c>
      <c r="F155" s="12" t="str">
        <f>HYPERLINK("https://www3.test-mitsui-shopping-park.com/ec/sp/torihikihou/goaTHESTORE?uiel=Mobile")</f>
        <v>https://www3.test-mitsui-shopping-park.com/ec/sp/torihikihou/goaTHESTORE?uiel=Mobile</v>
      </c>
      <c r="G155" s="13" t="str">
        <f>HYPERLINK("https://mitsui-shopping-park.com/ec/sp/torihikihou/goaTHESTORE?uiel=Mobile")</f>
        <v>https://mitsui-shopping-park.com/ec/sp/torihikihou/goaTHESTORE?uiel=Mobile</v>
      </c>
    </row>
    <row r="156" spans="1:7">
      <c r="A156" s="9" t="s">
        <v>549</v>
      </c>
      <c r="B156" s="10">
        <v>152</v>
      </c>
      <c r="C156" s="9" t="s">
        <v>550</v>
      </c>
      <c r="D156" s="9" t="s">
        <v>551</v>
      </c>
      <c r="E156" s="11" t="str">
        <f>HYPERLINK("http://msp2.sophia-s.co.jp/sp/mspf1381_17100.html")</f>
        <v>http://msp2.sophia-s.co.jp/sp/mspf1381_17100.html</v>
      </c>
      <c r="F156" s="12" t="str">
        <f>HYPERLINK("https://www3.test-mitsui-shopping-park.com/ec/sp/torihikihou/LAUNDRY?uiel=Mobile")</f>
        <v>https://www3.test-mitsui-shopping-park.com/ec/sp/torihikihou/LAUNDRY?uiel=Mobile</v>
      </c>
      <c r="G156" s="13" t="str">
        <f>HYPERLINK("https://mitsui-shopping-park.com/ec/sp/torihikihou/LAUNDRY?uiel=Mobile")</f>
        <v>https://mitsui-shopping-park.com/ec/sp/torihikihou/LAUNDRY?uiel=Mobile</v>
      </c>
    </row>
    <row r="157" spans="1:7">
      <c r="A157" s="9" t="s">
        <v>552</v>
      </c>
      <c r="B157" s="10">
        <v>153</v>
      </c>
      <c r="C157" s="9" t="s">
        <v>553</v>
      </c>
      <c r="D157" s="9" t="s">
        <v>554</v>
      </c>
      <c r="E157" s="11" t="str">
        <f>HYPERLINK("http://msp2.sophia-s.co.jp/sp/mspf1381_14702.html")</f>
        <v>http://msp2.sophia-s.co.jp/sp/mspf1381_14702.html</v>
      </c>
      <c r="F157" s="12" t="str">
        <f>HYPERLINK("https://www3.test-mitsui-shopping-park.com/ec/sp/torihikihou/Factor?uiel=Mobile")</f>
        <v>https://www3.test-mitsui-shopping-park.com/ec/sp/torihikihou/Factor?uiel=Mobile</v>
      </c>
      <c r="G157" s="13" t="str">
        <f>HYPERLINK("https://mitsui-shopping-park.com/ec/sp/torihikihou/Factor?uiel=Mobile")</f>
        <v>https://mitsui-shopping-park.com/ec/sp/torihikihou/Factor?uiel=Mobile</v>
      </c>
    </row>
    <row r="158" spans="1:7">
      <c r="A158" s="9" t="s">
        <v>555</v>
      </c>
      <c r="B158" s="10">
        <v>154</v>
      </c>
      <c r="C158" s="9" t="s">
        <v>556</v>
      </c>
      <c r="D158" s="9" t="s">
        <v>556</v>
      </c>
      <c r="E158" s="11" t="str">
        <f>HYPERLINK("http://msp2.sophia-s.co.jp/sp/mspf1381_14701.html")</f>
        <v>http://msp2.sophia-s.co.jp/sp/mspf1381_14701.html</v>
      </c>
      <c r="F158" s="12" t="str">
        <f>HYPERLINK("https://www3.test-mitsui-shopping-park.com/ec/sp/torihikihou/AULI?uiel=Mobile")</f>
        <v>https://www3.test-mitsui-shopping-park.com/ec/sp/torihikihou/AULI?uiel=Mobile</v>
      </c>
      <c r="G158" s="13" t="str">
        <f>HYPERLINK("https://mitsui-shopping-park.com/ec/sp/torihikihou/AULI?uiel=Mobile")</f>
        <v>https://mitsui-shopping-park.com/ec/sp/torihikihou/AULI?uiel=Mobile</v>
      </c>
    </row>
    <row r="159" spans="1:7">
      <c r="A159" s="9" t="s">
        <v>557</v>
      </c>
      <c r="B159" s="10">
        <v>155</v>
      </c>
      <c r="C159" s="9" t="s">
        <v>558</v>
      </c>
      <c r="D159" s="9" t="s">
        <v>558</v>
      </c>
      <c r="E159" s="11" t="str">
        <f>HYPERLINK("http://msp2.sophia-s.co.jp/sp/mspf1381_14700.html")</f>
        <v>http://msp2.sophia-s.co.jp/sp/mspf1381_14700.html</v>
      </c>
      <c r="F159" s="12" t="str">
        <f>HYPERLINK("https://www3.test-mitsui-shopping-park.com/ec/sp/torihikihou/ANAP?uiel=Mobile")</f>
        <v>https://www3.test-mitsui-shopping-park.com/ec/sp/torihikihou/ANAP?uiel=Mobile</v>
      </c>
      <c r="G159" s="13" t="str">
        <f>HYPERLINK("https://mitsui-shopping-park.com/ec/sp/torihikihou/ANAP?uiel=Mobile")</f>
        <v>https://mitsui-shopping-park.com/ec/sp/torihikihou/ANAP?uiel=Mobile</v>
      </c>
    </row>
    <row r="160" spans="1:7">
      <c r="A160" s="9" t="s">
        <v>559</v>
      </c>
      <c r="B160" s="10">
        <v>156</v>
      </c>
      <c r="C160" s="9" t="s">
        <v>560</v>
      </c>
      <c r="D160" s="9" t="s">
        <v>560</v>
      </c>
      <c r="E160" s="11" t="str">
        <f>HYPERLINK("http://msp2.sophia-s.co.jp/sp/mspf1381_14500.html")</f>
        <v>http://msp2.sophia-s.co.jp/sp/mspf1381_14500.html</v>
      </c>
      <c r="F160" s="12" t="str">
        <f>HYPERLINK("https://www3.test-mitsui-shopping-park.com/ec/sp/torihikihou/STRASBURGO?uiel=Mobile")</f>
        <v>https://www3.test-mitsui-shopping-park.com/ec/sp/torihikihou/STRASBURGO?uiel=Mobile</v>
      </c>
      <c r="G160" s="13" t="str">
        <f>HYPERLINK("https://mitsui-shopping-park.com/ec/sp/torihikihou/STRASBURGO?uiel=Mobile")</f>
        <v>https://mitsui-shopping-park.com/ec/sp/torihikihou/STRASBURGO?uiel=Mobile</v>
      </c>
    </row>
    <row r="161" spans="1:7">
      <c r="A161" s="9" t="s">
        <v>561</v>
      </c>
      <c r="B161" s="10">
        <v>157</v>
      </c>
      <c r="C161" s="9" t="s">
        <v>562</v>
      </c>
      <c r="D161" s="9" t="s">
        <v>562</v>
      </c>
      <c r="E161" s="11" t="str">
        <f>HYPERLINK("http://msp2.sophia-s.co.jp/sp/mspf1381_14502.html")</f>
        <v>http://msp2.sophia-s.co.jp/sp/mspf1381_14502.html</v>
      </c>
      <c r="F161" s="12" t="str">
        <f>HYPERLINK("https://www3.test-mitsui-shopping-park.com/ec/sp/torihikihou/LARDINI?uiel=Mobile")</f>
        <v>https://www3.test-mitsui-shopping-park.com/ec/sp/torihikihou/LARDINI?uiel=Mobile</v>
      </c>
      <c r="G161" s="13" t="str">
        <f>HYPERLINK("https://mitsui-shopping-park.com/ec/sp/torihikihou/LARDINI?uiel=Mobile")</f>
        <v>https://mitsui-shopping-park.com/ec/sp/torihikihou/LARDINI?uiel=Mobile</v>
      </c>
    </row>
    <row r="162" spans="1:7">
      <c r="A162" s="9" t="s">
        <v>563</v>
      </c>
      <c r="B162" s="10">
        <v>158</v>
      </c>
      <c r="C162" s="9" t="s">
        <v>564</v>
      </c>
      <c r="D162" s="9" t="s">
        <v>564</v>
      </c>
      <c r="E162" s="11" t="str">
        <f>HYPERLINK("http://msp2.sophia-s.co.jp/sp/mspf1381_14501.html")</f>
        <v>http://msp2.sophia-s.co.jp/sp/mspf1381_14501.html</v>
      </c>
      <c r="F162" s="12" t="str">
        <f>HYPERLINK("https://www3.test-mitsui-shopping-park.com/ec/sp/torihikihou/Cruciani?uiel=Mobile")</f>
        <v>https://www3.test-mitsui-shopping-park.com/ec/sp/torihikihou/Cruciani?uiel=Mobile</v>
      </c>
      <c r="G162" s="13" t="str">
        <f>HYPERLINK("https://mitsui-shopping-park.com/ec/sp/torihikihou/Cruciani?uiel=Mobile")</f>
        <v>https://mitsui-shopping-park.com/ec/sp/torihikihou/Cruciani?uiel=Mobile</v>
      </c>
    </row>
    <row r="163" spans="1:7">
      <c r="A163" s="9" t="s">
        <v>565</v>
      </c>
      <c r="B163" s="10">
        <v>159</v>
      </c>
      <c r="C163" s="9" t="s">
        <v>566</v>
      </c>
      <c r="D163" s="9" t="s">
        <v>567</v>
      </c>
      <c r="E163" s="11" t="str">
        <f>HYPERLINK("http://msp2.sophia-s.co.jp/sp/mspf1381_17400.html")</f>
        <v>http://msp2.sophia-s.co.jp/sp/mspf1381_17400.html</v>
      </c>
      <c r="F163" s="12" t="str">
        <f>HYPERLINK("https://www3.test-mitsui-shopping-park.com/ec/sp/torihikihou/BRANSHES?uiel=Mobile")</f>
        <v>https://www3.test-mitsui-shopping-park.com/ec/sp/torihikihou/BRANSHES?uiel=Mobile</v>
      </c>
      <c r="G163" s="13" t="str">
        <f>HYPERLINK("https://mitsui-shopping-park.com/ec/sp/torihikihou/BRANSHES?uiel=Mobile")</f>
        <v>https://mitsui-shopping-park.com/ec/sp/torihikihou/BRANSHES?uiel=Mobile</v>
      </c>
    </row>
    <row r="164" spans="1:7">
      <c r="A164" s="9" t="s">
        <v>568</v>
      </c>
      <c r="B164" s="10">
        <v>160</v>
      </c>
      <c r="C164" s="9" t="s">
        <v>569</v>
      </c>
      <c r="D164" s="9" t="s">
        <v>570</v>
      </c>
      <c r="E164" s="11" t="str">
        <f>HYPERLINK("http://msp2.sophia-s.co.jp/sp/mspf1381_15600.html")</f>
        <v>http://msp2.sophia-s.co.jp/sp/mspf1381_15600.html</v>
      </c>
      <c r="F164" s="12" t="str">
        <f>HYPERLINK("https://www3.test-mitsui-shopping-park.com/ec/sp/torihikihou/AMOSSTYLE-Triumph?uiel=Mobile")</f>
        <v>https://www3.test-mitsui-shopping-park.com/ec/sp/torihikihou/AMOSSTYLE-Triumph?uiel=Mobile</v>
      </c>
      <c r="G164" s="13" t="str">
        <f>HYPERLINK("https://mitsui-shopping-park.com/ec/sp/torihikihou/AMOSSTYLE-Triumph?uiel=Mobile")</f>
        <v>https://mitsui-shopping-park.com/ec/sp/torihikihou/AMOSSTYLE-Triumph?uiel=Mobile</v>
      </c>
    </row>
    <row r="165" spans="1:7">
      <c r="A165" s="9" t="s">
        <v>571</v>
      </c>
      <c r="B165" s="10">
        <v>161</v>
      </c>
      <c r="C165" s="9" t="s">
        <v>572</v>
      </c>
      <c r="D165" s="9" t="s">
        <v>573</v>
      </c>
      <c r="E165" s="11" t="str">
        <f>HYPERLINK("http://msp2.sophia-s.co.jp/sp/mspf1381_11000.html")</f>
        <v>http://msp2.sophia-s.co.jp/sp/mspf1381_11000.html</v>
      </c>
      <c r="F165" s="12" t="str">
        <f>HYPERLINK("https://www3.test-mitsui-shopping-park.com/ec/sp/torihikihou/Tabio?uiel=Mobile")</f>
        <v>https://www3.test-mitsui-shopping-park.com/ec/sp/torihikihou/Tabio?uiel=Mobile</v>
      </c>
      <c r="G165" s="13" t="str">
        <f>HYPERLINK("https://mitsui-shopping-park.com/ec/sp/torihikihou/Tabio?uiel=Mobile")</f>
        <v>https://mitsui-shopping-park.com/ec/sp/torihikihou/Tabio?uiel=Mobile</v>
      </c>
    </row>
    <row r="166" spans="1:7">
      <c r="A166" s="9" t="s">
        <v>574</v>
      </c>
      <c r="B166" s="10">
        <v>162</v>
      </c>
      <c r="C166" s="9" t="s">
        <v>575</v>
      </c>
      <c r="D166" s="9" t="s">
        <v>576</v>
      </c>
      <c r="E166" s="11" t="str">
        <f>HYPERLINK("http://msp2.sophia-s.co.jp/sp/mspf1381_17700.html")</f>
        <v>http://msp2.sophia-s.co.jp/sp/mspf1381_17700.html</v>
      </c>
      <c r="F166" s="12" t="str">
        <f>HYPERLINK("https://www3.test-mitsui-shopping-park.com/ec/sp/torihikihou/AXArmaniExchange?uiel=Mobile")</f>
        <v>https://www3.test-mitsui-shopping-park.com/ec/sp/torihikihou/AXArmaniExchange?uiel=Mobile</v>
      </c>
      <c r="G166" s="13" t="str">
        <f>HYPERLINK("https://mitsui-shopping-park.com/ec/sp/torihikihou/AXArmaniExchange?uiel=Mobile")</f>
        <v>https://mitsui-shopping-park.com/ec/sp/torihikihou/AXArmaniExchange?uiel=Mobile</v>
      </c>
    </row>
    <row r="167" spans="1:7">
      <c r="A167" s="9" t="s">
        <v>577</v>
      </c>
      <c r="B167" s="10">
        <v>163</v>
      </c>
      <c r="C167" s="9" t="s">
        <v>578</v>
      </c>
      <c r="D167" s="9" t="s">
        <v>579</v>
      </c>
      <c r="E167" s="11" t="str">
        <f>HYPERLINK("http://msp2.sophia-s.co.jp/sp/mspf1381_16800.html")</f>
        <v>http://msp2.sophia-s.co.jp/sp/mspf1381_16800.html</v>
      </c>
      <c r="F167" s="12" t="str">
        <f>HYPERLINK("https://www3.test-mitsui-shopping-park.com/ec/sp/torihikihou/G-Star?uiel=Mobile")</f>
        <v>https://www3.test-mitsui-shopping-park.com/ec/sp/torihikihou/G-Star?uiel=Mobile</v>
      </c>
      <c r="G167" s="13" t="str">
        <f>HYPERLINK("https://mitsui-shopping-park.com/ec/sp/torihikihou/G-Star?uiel=Mobile")</f>
        <v>https://mitsui-shopping-park.com/ec/sp/torihikihou/G-Star?uiel=Mobile</v>
      </c>
    </row>
    <row r="168" spans="1:7">
      <c r="A168" s="9" t="s">
        <v>580</v>
      </c>
      <c r="B168" s="10">
        <v>164</v>
      </c>
      <c r="C168" s="9" t="s">
        <v>581</v>
      </c>
      <c r="D168" s="9" t="s">
        <v>582</v>
      </c>
      <c r="E168" s="11" t="str">
        <f>HYPERLINK("http://msp2.sophia-s.co.jp/sp/mspf1381_15800.html")</f>
        <v>http://msp2.sophia-s.co.jp/sp/mspf1381_15800.html</v>
      </c>
      <c r="F168" s="12" t="str">
        <f>HYPERLINK("https://www3.test-mitsui-shopping-park.com/ec/sp/torihikihou/SAMSONITE?uiel=Mobile")</f>
        <v>https://www3.test-mitsui-shopping-park.com/ec/sp/torihikihou/SAMSONITE?uiel=Mobile</v>
      </c>
      <c r="G168" s="13" t="str">
        <f>HYPERLINK("https://mitsui-shopping-park.com/ec/sp/torihikihou/SAMSONITE?uiel=Mobile")</f>
        <v>https://mitsui-shopping-park.com/ec/sp/torihikihou/SAMSONITE?uiel=Mobile</v>
      </c>
    </row>
    <row r="169" spans="1:7">
      <c r="A169" s="9" t="s">
        <v>583</v>
      </c>
      <c r="B169" s="10">
        <v>165</v>
      </c>
      <c r="C169" s="9" t="s">
        <v>584</v>
      </c>
      <c r="D169" s="9" t="s">
        <v>585</v>
      </c>
      <c r="E169" s="11" t="str">
        <f>HYPERLINK("http://msp2.sophia-s.co.jp/sp/mspf1381_15801.html")</f>
        <v>http://msp2.sophia-s.co.jp/sp/mspf1381_15801.html</v>
      </c>
      <c r="F169" s="12" t="str">
        <f>HYPERLINK("https://www3.test-mitsui-shopping-park.com/ec/sp/torihikihou/GREGORY?uiel=Mobile")</f>
        <v>https://www3.test-mitsui-shopping-park.com/ec/sp/torihikihou/GREGORY?uiel=Mobile</v>
      </c>
      <c r="G169" s="13" t="str">
        <f>HYPERLINK("https://mitsui-shopping-park.com/ec/sp/torihikihou/GREGORY?uiel=Mobile")</f>
        <v>https://mitsui-shopping-park.com/ec/sp/torihikihou/GREGORY?uiel=Mobile</v>
      </c>
    </row>
    <row r="170" spans="1:7">
      <c r="A170" s="9" t="s">
        <v>586</v>
      </c>
      <c r="B170" s="10">
        <v>166</v>
      </c>
      <c r="C170" s="9" t="s">
        <v>587</v>
      </c>
      <c r="D170" s="9" t="s">
        <v>588</v>
      </c>
      <c r="E170" s="11" t="str">
        <f>HYPERLINK("http://msp2.sophia-s.co.jp/sp/mspf1381_15901.html")</f>
        <v>http://msp2.sophia-s.co.jp/sp/mspf1381_15901.html</v>
      </c>
      <c r="F170" s="12" t="str">
        <f>HYPERLINK("https://www3.test-mitsui-shopping-park.com/ec/sp/torihikihou/samanthavega?uiel=Mobile")</f>
        <v>https://www3.test-mitsui-shopping-park.com/ec/sp/torihikihou/samanthavega?uiel=Mobile</v>
      </c>
      <c r="G170" s="13" t="str">
        <f>HYPERLINK("https://mitsui-shopping-park.com/ec/sp/torihikihou/samanthavega?uiel=Mobile")</f>
        <v>https://mitsui-shopping-park.com/ec/sp/torihikihou/samanthavega?uiel=Mobile</v>
      </c>
    </row>
    <row r="171" spans="1:7">
      <c r="A171" s="9" t="s">
        <v>589</v>
      </c>
      <c r="B171" s="10">
        <v>167</v>
      </c>
      <c r="C171" s="9" t="s">
        <v>590</v>
      </c>
      <c r="D171" s="9" t="s">
        <v>591</v>
      </c>
      <c r="E171" s="11" t="str">
        <f>HYPERLINK("http://msp2.sophia-s.co.jp/sp/mspf1381_15903.html")</f>
        <v>http://msp2.sophia-s.co.jp/sp/mspf1381_15903.html</v>
      </c>
      <c r="F171" s="12" t="str">
        <f>HYPERLINK("https://www3.test-mitsui-shopping-park.com/ec/sp/torihikihou/samanthathavasa?uiel=Mobile")</f>
        <v>https://www3.test-mitsui-shopping-park.com/ec/sp/torihikihou/samanthathavasa?uiel=Mobile</v>
      </c>
      <c r="G171" s="13" t="str">
        <f>HYPERLINK("https://mitsui-shopping-park.com/ec/sp/torihikihou/samanthathavasa?uiel=Mobile")</f>
        <v>https://mitsui-shopping-park.com/ec/sp/torihikihou/samanthathavasa?uiel=Mobile</v>
      </c>
    </row>
    <row r="172" spans="1:7">
      <c r="A172" s="9" t="s">
        <v>592</v>
      </c>
      <c r="B172" s="10">
        <v>168</v>
      </c>
      <c r="C172" s="9" t="s">
        <v>593</v>
      </c>
      <c r="D172" s="9" t="s">
        <v>594</v>
      </c>
      <c r="E172" s="11" t="str">
        <f>HYPERLINK("http://msp2.sophia-s.co.jp/sp/mspf1381_15900.html")</f>
        <v>http://msp2.sophia-s.co.jp/sp/mspf1381_15900.html</v>
      </c>
      <c r="F172" s="12" t="str">
        <f>HYPERLINK("https://www3.test-mitsui-shopping-park.com/ec/sp/torihikihou/stpetitchoice?uiel=Mobile")</f>
        <v>https://www3.test-mitsui-shopping-park.com/ec/sp/torihikihou/stpetitchoice?uiel=Mobile</v>
      </c>
      <c r="G172" s="13" t="str">
        <f>HYPERLINK("https://mitsui-shopping-park.com/ec/sp/torihikihou/stpetitchoice?uiel=Mobile")</f>
        <v>https://mitsui-shopping-park.com/ec/sp/torihikihou/stpetitchoice?uiel=Mobile</v>
      </c>
    </row>
    <row r="173" spans="1:7">
      <c r="A173" s="9" t="s">
        <v>595</v>
      </c>
      <c r="B173" s="10">
        <v>169</v>
      </c>
      <c r="C173" s="9" t="s">
        <v>596</v>
      </c>
      <c r="D173" s="9" t="s">
        <v>597</v>
      </c>
      <c r="E173" s="11" t="str">
        <f>HYPERLINK("http://msp2.sophia-s.co.jp/sp/mspf1381_15904.html")</f>
        <v>http://msp2.sophia-s.co.jp/sp/mspf1381_15904.html</v>
      </c>
      <c r="F173" s="12" t="str">
        <f>HYPERLINK("https://www3.test-mitsui-shopping-park.com/ec/sp/torihikihou/stdeluxe?uiel=Mobile")</f>
        <v>https://www3.test-mitsui-shopping-park.com/ec/sp/torihikihou/stdeluxe?uiel=Mobile</v>
      </c>
      <c r="G173" s="13" t="str">
        <f>HYPERLINK("https://mitsui-shopping-park.com/ec/sp/torihikihou/stdeluxe?uiel=Mobile")</f>
        <v>https://mitsui-shopping-park.com/ec/sp/torihikihou/stdeluxe?uiel=Mobile</v>
      </c>
    </row>
    <row r="174" spans="1:7">
      <c r="A174" s="9" t="s">
        <v>598</v>
      </c>
      <c r="B174" s="10">
        <v>170</v>
      </c>
      <c r="C174" s="9" t="s">
        <v>599</v>
      </c>
      <c r="D174" s="9" t="s">
        <v>600</v>
      </c>
      <c r="E174" s="11" t="str">
        <f>HYPERLINK("http://msp2.sophia-s.co.jp/sp/mspf1381_15902.html")</f>
        <v>http://msp2.sophia-s.co.jp/sp/mspf1381_15902.html</v>
      </c>
      <c r="F174" s="12" t="str">
        <f>HYPERLINK("https://www3.test-mitsui-shopping-park.com/ec/sp/torihikihou/andchouette?uiel=Mobile")</f>
        <v>https://www3.test-mitsui-shopping-park.com/ec/sp/torihikihou/andchouette?uiel=Mobile</v>
      </c>
      <c r="G174" s="13" t="str">
        <f>HYPERLINK("https://mitsui-shopping-park.com/ec/sp/torihikihou/andchouette?uiel=Mobile")</f>
        <v>https://mitsui-shopping-park.com/ec/sp/torihikihou/andchouette?uiel=Mobile</v>
      </c>
    </row>
    <row r="175" spans="1:7">
      <c r="A175" s="9" t="s">
        <v>601</v>
      </c>
      <c r="B175" s="10">
        <v>171</v>
      </c>
      <c r="C175" s="9" t="s">
        <v>602</v>
      </c>
      <c r="D175" s="9" t="s">
        <v>603</v>
      </c>
      <c r="E175" s="11" t="str">
        <f>HYPERLINK("http://msp2.sophia-s.co.jp/sp/mspf1381_15000.html")</f>
        <v>http://msp2.sophia-s.co.jp/sp/mspf1381_15000.html</v>
      </c>
      <c r="F175" s="12" t="str">
        <f>HYPERLINK("https://www3.test-mitsui-shopping-park.com/ec/sp/torihikihou/Combimini?uiel=Mobile")</f>
        <v>https://www3.test-mitsui-shopping-park.com/ec/sp/torihikihou/Combimini?uiel=Mobile</v>
      </c>
      <c r="G175" s="13" t="str">
        <f>HYPERLINK("https://mitsui-shopping-park.com/ec/sp/torihikihou/Combimini?uiel=Mobile")</f>
        <v>https://mitsui-shopping-park.com/ec/sp/torihikihou/Combimini?uiel=Mobile</v>
      </c>
    </row>
    <row r="176" spans="1:7">
      <c r="A176" s="9" t="s">
        <v>604</v>
      </c>
      <c r="B176" s="10">
        <v>172</v>
      </c>
      <c r="C176" s="9" t="s">
        <v>605</v>
      </c>
      <c r="D176" s="9" t="s">
        <v>606</v>
      </c>
      <c r="E176" s="11" t="str">
        <f>HYPERLINK("http://msp2.sophia-s.co.jp/sp/mspf1381_15401.html")</f>
        <v>http://msp2.sophia-s.co.jp/sp/mspf1381_15401.html</v>
      </c>
      <c r="F176" s="12" t="str">
        <f>HYPERLINK("https://www3.test-mitsui-shopping-park.com/ec/sp/torihikihou/VictoriaSurf-Snow?uiel=Mobile")</f>
        <v>https://www3.test-mitsui-shopping-park.com/ec/sp/torihikihou/VictoriaSurf-Snow?uiel=Mobile</v>
      </c>
      <c r="G176" s="13" t="str">
        <f>HYPERLINK("https://mitsui-shopping-park.com/ec/sp/torihikihou/VictoriaSurf-Snow?uiel=Mobile")</f>
        <v>https://mitsui-shopping-park.com/ec/sp/torihikihou/VictoriaSurf-Snow?uiel=Mobile</v>
      </c>
    </row>
    <row r="177" spans="1:7">
      <c r="A177" s="9" t="s">
        <v>607</v>
      </c>
      <c r="B177" s="10">
        <v>173</v>
      </c>
      <c r="C177" s="9" t="s">
        <v>608</v>
      </c>
      <c r="D177" s="9" t="s">
        <v>609</v>
      </c>
      <c r="E177" s="11" t="str">
        <f>HYPERLINK("http://msp2.sophia-s.co.jp/sp/mspf1381_15403.html")</f>
        <v>http://msp2.sophia-s.co.jp/sp/mspf1381_15403.html</v>
      </c>
      <c r="F177" s="12" t="str">
        <f>HYPERLINK("https://www3.test-mitsui-shopping-park.com/ec/sp/torihikihou/VictoriaL-Breath?uiel=Mobile")</f>
        <v>https://www3.test-mitsui-shopping-park.com/ec/sp/torihikihou/VictoriaL-Breath?uiel=Mobile</v>
      </c>
      <c r="G177" s="13" t="str">
        <f>HYPERLINK("https://mitsui-shopping-park.com/ec/sp/torihikihou/VictoriaL-Breath?uiel=Mobile")</f>
        <v>https://mitsui-shopping-park.com/ec/sp/torihikihou/VictoriaL-Breath?uiel=Mobile</v>
      </c>
    </row>
    <row r="178" spans="1:7">
      <c r="A178" s="9" t="s">
        <v>610</v>
      </c>
      <c r="B178" s="10">
        <v>174</v>
      </c>
      <c r="C178" s="9" t="s">
        <v>611</v>
      </c>
      <c r="D178" s="9" t="s">
        <v>612</v>
      </c>
      <c r="E178" s="11" t="str">
        <f>HYPERLINK("http://msp2.sophia-s.co.jp/sp/mspf1381_15402.html")</f>
        <v>http://msp2.sophia-s.co.jp/sp/mspf1381_15402.html</v>
      </c>
      <c r="F178" s="12" t="str">
        <f>HYPERLINK("https://www3.test-mitsui-shopping-park.com/ec/sp/torihikihou/VictoriaGolf?uiel=Mobile")</f>
        <v>https://www3.test-mitsui-shopping-park.com/ec/sp/torihikihou/VictoriaGolf?uiel=Mobile</v>
      </c>
      <c r="G178" s="13" t="str">
        <f>HYPERLINK("https://mitsui-shopping-park.com/ec/sp/torihikihou/VictoriaGolf?uiel=Mobile")</f>
        <v>https://mitsui-shopping-park.com/ec/sp/torihikihou/VictoriaGolf?uiel=Mobile</v>
      </c>
    </row>
    <row r="179" spans="1:7">
      <c r="A179" s="9" t="s">
        <v>613</v>
      </c>
      <c r="B179" s="10">
        <v>175</v>
      </c>
      <c r="C179" s="9" t="s">
        <v>614</v>
      </c>
      <c r="D179" s="9" t="s">
        <v>615</v>
      </c>
      <c r="E179" s="11" t="str">
        <f>HYPERLINK("http://msp2.sophia-s.co.jp/sp/mspf1381_15400.html")</f>
        <v>http://msp2.sophia-s.co.jp/sp/mspf1381_15400.html</v>
      </c>
      <c r="F179" s="12" t="str">
        <f>HYPERLINK("https://www3.test-mitsui-shopping-park.com/ec/sp/torihikihou/SuperSportsXEBIO?uiel=Mobile")</f>
        <v>https://www3.test-mitsui-shopping-park.com/ec/sp/torihikihou/SuperSportsXEBIO?uiel=Mobile</v>
      </c>
      <c r="G179" s="13" t="str">
        <f>HYPERLINK("https://mitsui-shopping-park.com/ec/sp/torihikihou/SuperSportsXEBIO?uiel=Mobile")</f>
        <v>https://mitsui-shopping-park.com/ec/sp/torihikihou/SuperSportsXEBIO?uiel=Mobile</v>
      </c>
    </row>
    <row r="180" spans="1:7">
      <c r="A180" s="9" t="s">
        <v>616</v>
      </c>
      <c r="B180" s="10">
        <v>176</v>
      </c>
      <c r="C180" s="9" t="s">
        <v>617</v>
      </c>
      <c r="D180" s="9" t="s">
        <v>618</v>
      </c>
      <c r="E180" s="11" t="str">
        <f>HYPERLINK("http://msp2.sophia-s.co.jp/sp/mspf1381_11200.html")</f>
        <v>http://msp2.sophia-s.co.jp/sp/mspf1381_11200.html</v>
      </c>
      <c r="F180" s="12" t="str">
        <f>HYPERLINK("https://www3.test-mitsui-shopping-park.com/ec/sp/torihikihou/QUIKSILVER?uiel=Mobile")</f>
        <v>https://www3.test-mitsui-shopping-park.com/ec/sp/torihikihou/QUIKSILVER?uiel=Mobile</v>
      </c>
      <c r="G180" s="13" t="str">
        <f>HYPERLINK("https://mitsui-shopping-park.com/ec/sp/torihikihou/QUIKSILVER?uiel=Mobile")</f>
        <v>https://mitsui-shopping-park.com/ec/sp/torihikihou/QUIKSILVER?uiel=Mobile</v>
      </c>
    </row>
    <row r="181" spans="1:7">
      <c r="A181" s="9" t="s">
        <v>619</v>
      </c>
      <c r="B181" s="10">
        <v>177</v>
      </c>
      <c r="C181" s="9" t="s">
        <v>620</v>
      </c>
      <c r="D181" s="9" t="s">
        <v>621</v>
      </c>
      <c r="E181" s="11" t="str">
        <f>HYPERLINK("http://msp2.sophia-s.co.jp/sp/mspf1381_12401.html")</f>
        <v>http://msp2.sophia-s.co.jp/sp/mspf1381_12401.html</v>
      </c>
      <c r="F181" s="12" t="str">
        <f>HYPERLINK("https://www3.test-mitsui-shopping-park.com/ec/sp/torihikihou/JewelnaRose?uiel=Mobile")</f>
        <v>https://www3.test-mitsui-shopping-park.com/ec/sp/torihikihou/JewelnaRose?uiel=Mobile</v>
      </c>
      <c r="G181" s="13" t="str">
        <f>HYPERLINK("https://mitsui-shopping-park.com/ec/sp/torihikihou/JewelnaRose?uiel=Mobile")</f>
        <v>https://mitsui-shopping-park.com/ec/sp/torihikihou/JewelnaRose?uiel=Mobile</v>
      </c>
    </row>
    <row r="182" spans="1:7">
      <c r="A182" s="9" t="s">
        <v>622</v>
      </c>
      <c r="B182" s="10">
        <v>178</v>
      </c>
      <c r="C182" s="9" t="s">
        <v>623</v>
      </c>
      <c r="D182" s="9" t="s">
        <v>624</v>
      </c>
      <c r="E182" s="11" t="str">
        <f>HYPERLINK("http://msp2.sophia-s.co.jp/sp/mspf1381_12400.html")</f>
        <v>http://msp2.sophia-s.co.jp/sp/mspf1381_12400.html</v>
      </c>
      <c r="F182" s="12" t="str">
        <f>HYPERLINK("https://www3.test-mitsui-shopping-park.com/ec/sp/torihikihou/ace?uiel=Mobile")</f>
        <v>https://www3.test-mitsui-shopping-park.com/ec/sp/torihikihou/ace?uiel=Mobile</v>
      </c>
      <c r="G182" s="13" t="str">
        <f>HYPERLINK("https://mitsui-shopping-park.com/ec/sp/torihikihou/ace?uiel=Mobile")</f>
        <v>https://mitsui-shopping-park.com/ec/sp/torihikihou/ace?uiel=Mobile</v>
      </c>
    </row>
    <row r="183" spans="1:7">
      <c r="A183" s="9" t="s">
        <v>625</v>
      </c>
      <c r="B183" s="10">
        <v>179</v>
      </c>
      <c r="C183" s="9" t="s">
        <v>626</v>
      </c>
      <c r="D183" s="9" t="s">
        <v>627</v>
      </c>
      <c r="E183" s="11" t="str">
        <f>HYPERLINK("http://msp2.sophia-s.co.jp/sp/mspf1381_16600.html")</f>
        <v>http://msp2.sophia-s.co.jp/sp/mspf1381_16600.html</v>
      </c>
      <c r="F183" s="12" t="str">
        <f>HYPERLINK("https://www3.test-mitsui-shopping-park.com/ec/sp/torihikihou/DUN?uiel=Mobile")</f>
        <v>https://www3.test-mitsui-shopping-park.com/ec/sp/torihikihou/DUN?uiel=Mobile</v>
      </c>
      <c r="G183" s="13" t="str">
        <f>HYPERLINK("https://mitsui-shopping-park.com/ec/sp/torihikihou/DUN?uiel=Mobile")</f>
        <v>https://mitsui-shopping-park.com/ec/sp/torihikihou/DUN?uiel=Mobile</v>
      </c>
    </row>
    <row r="184" spans="1:7">
      <c r="A184" s="9" t="s">
        <v>628</v>
      </c>
      <c r="B184" s="10">
        <v>180</v>
      </c>
      <c r="C184" s="9" t="s">
        <v>629</v>
      </c>
      <c r="D184" s="9" t="s">
        <v>629</v>
      </c>
      <c r="E184" s="11" t="str">
        <f>HYPERLINK("http://msp2.sophia-s.co.jp/sp/mspf1381_16404.html")</f>
        <v>http://msp2.sophia-s.co.jp/sp/mspf1381_16404.html</v>
      </c>
      <c r="F184" s="12" t="str">
        <f>HYPERLINK("https://www3.test-mitsui-shopping-park.com/ec/sp/torihikihou/Ungrid?uiel=Mobile")</f>
        <v>https://www3.test-mitsui-shopping-park.com/ec/sp/torihikihou/Ungrid?uiel=Mobile</v>
      </c>
      <c r="G184" s="13" t="str">
        <f>HYPERLINK("https://mitsui-shopping-park.com/ec/sp/torihikihou/Ungrid?uiel=Mobile")</f>
        <v>https://mitsui-shopping-park.com/ec/sp/torihikihou/Ungrid?uiel=Mobile</v>
      </c>
    </row>
    <row r="185" spans="1:7">
      <c r="A185" s="9" t="s">
        <v>630</v>
      </c>
      <c r="B185" s="10">
        <v>181</v>
      </c>
      <c r="C185" s="9" t="s">
        <v>631</v>
      </c>
      <c r="D185" s="9" t="s">
        <v>631</v>
      </c>
      <c r="E185" s="11" t="str">
        <f>HYPERLINK("http://msp2.sophia-s.co.jp/sp/mspf1381_16401.html")</f>
        <v>http://msp2.sophia-s.co.jp/sp/mspf1381_16401.html</v>
      </c>
      <c r="F185" s="12" t="str">
        <f>HYPERLINK("https://www3.test-mitsui-shopping-park.com/ec/sp/torihikihou/EMODA?uiel=Mobile")</f>
        <v>https://www3.test-mitsui-shopping-park.com/ec/sp/torihikihou/EMODA?uiel=Mobile</v>
      </c>
      <c r="G185" s="13" t="str">
        <f>HYPERLINK("https://mitsui-shopping-park.com/ec/sp/torihikihou/EMODA?uiel=Mobile")</f>
        <v>https://mitsui-shopping-park.com/ec/sp/torihikihou/EMODA?uiel=Mobile</v>
      </c>
    </row>
    <row r="186" spans="1:7">
      <c r="A186" s="9" t="s">
        <v>632</v>
      </c>
      <c r="B186" s="10">
        <v>182</v>
      </c>
      <c r="C186" s="9" t="s">
        <v>633</v>
      </c>
      <c r="D186" s="9" t="s">
        <v>634</v>
      </c>
      <c r="E186" s="11" t="str">
        <f>HYPERLINK("http://msp2.sophia-s.co.jp/sp/mspf1381_15500.html")</f>
        <v>http://msp2.sophia-s.co.jp/sp/mspf1381_15500.html</v>
      </c>
      <c r="F186" s="12" t="str">
        <f>HYPERLINK("https://www3.test-mitsui-shopping-park.com/ec/sp/torihikihou/MAC?uiel=Mobile")</f>
        <v>https://www3.test-mitsui-shopping-park.com/ec/sp/torihikihou/MAC?uiel=Mobile</v>
      </c>
      <c r="G186" s="13" t="str">
        <f>HYPERLINK("https://mitsui-shopping-park.com/ec/sp/torihikihou/MAC?uiel=Mobile")</f>
        <v>https://mitsui-shopping-park.com/ec/sp/torihikihou/MAC?uiel=Mobile</v>
      </c>
    </row>
    <row r="187" spans="1:7">
      <c r="A187" s="9" t="s">
        <v>635</v>
      </c>
      <c r="B187" s="10">
        <v>183</v>
      </c>
      <c r="C187" s="9" t="s">
        <v>636</v>
      </c>
      <c r="D187" s="9" t="s">
        <v>637</v>
      </c>
      <c r="E187" s="11" t="str">
        <f>HYPERLINK("http://msp2.sophia-s.co.jp/sp/mspf1381_15502.html")</f>
        <v>http://msp2.sophia-s.co.jp/sp/mspf1381_15502.html</v>
      </c>
      <c r="F187" s="12" t="str">
        <f>HYPERLINK("https://www3.test-mitsui-shopping-park.com/ec/sp/torihikihou/CL?uiel=Mobile")</f>
        <v>https://www3.test-mitsui-shopping-park.com/ec/sp/torihikihou/CL?uiel=Mobile</v>
      </c>
      <c r="G187" s="13" t="str">
        <f>HYPERLINK("https://mitsui-shopping-park.com/ec/sp/torihikihou/CL?uiel=Mobile")</f>
        <v>https://mitsui-shopping-park.com/ec/sp/torihikihou/CL?uiel=Mobile</v>
      </c>
    </row>
    <row r="188" spans="1:7">
      <c r="A188" s="9" t="s">
        <v>638</v>
      </c>
      <c r="B188" s="10">
        <v>184</v>
      </c>
      <c r="C188" s="9" t="s">
        <v>639</v>
      </c>
      <c r="D188" s="9" t="s">
        <v>640</v>
      </c>
      <c r="E188" s="11" t="str">
        <f>HYPERLINK("http://msp2.sophia-s.co.jp/sp/mspf1381_12806.html")</f>
        <v>http://msp2.sophia-s.co.jp/sp/mspf1381_12806.html</v>
      </c>
      <c r="F188" s="12" t="str">
        <f>HYPERLINK("https://www3.test-mitsui-shopping-park.com/ec/sp/torihikihou/JPRESSMEN?uiel=Mobile")</f>
        <v>https://www3.test-mitsui-shopping-park.com/ec/sp/torihikihou/JPRESSMEN?uiel=Mobile</v>
      </c>
      <c r="G188" s="13" t="str">
        <f>HYPERLINK("https://mitsui-shopping-park.com/ec/sp/torihikihou/JPRESSMEN?uiel=Mobile")</f>
        <v>https://mitsui-shopping-park.com/ec/sp/torihikihou/JPRESSMEN?uiel=Mobile</v>
      </c>
    </row>
    <row r="189" spans="1:7">
      <c r="A189" s="9" t="s">
        <v>641</v>
      </c>
      <c r="B189" s="10">
        <v>185</v>
      </c>
      <c r="C189" s="9" t="s">
        <v>642</v>
      </c>
      <c r="D189" s="9" t="s">
        <v>643</v>
      </c>
      <c r="E189" s="11" t="str">
        <f>HYPERLINK("http://msp2.sophia-s.co.jp/sp/mspf1381_12807.html")</f>
        <v>http://msp2.sophia-s.co.jp/sp/mspf1381_12807.html</v>
      </c>
      <c r="F189" s="12" t="str">
        <f>HYPERLINK("https://www3.test-mitsui-shopping-park.com/ec/sp/torihikihou/JPRESSLADIES?uiel=Mobile")</f>
        <v>https://www3.test-mitsui-shopping-park.com/ec/sp/torihikihou/JPRESSLADIES?uiel=Mobile</v>
      </c>
      <c r="G189" s="13" t="str">
        <f>HYPERLINK("https://mitsui-shopping-park.com/ec/sp/torihikihou/JPRESSLADIES?uiel=Mobile")</f>
        <v>https://mitsui-shopping-park.com/ec/sp/torihikihou/JPRESSLADIES?uiel=Mobile</v>
      </c>
    </row>
    <row r="190" spans="1:7">
      <c r="A190" s="9" t="s">
        <v>644</v>
      </c>
      <c r="B190" s="10">
        <v>186</v>
      </c>
      <c r="C190" s="9" t="s">
        <v>645</v>
      </c>
      <c r="D190" s="9" t="s">
        <v>646</v>
      </c>
      <c r="E190" s="11" t="str">
        <f>HYPERLINK("http://msp2.sophia-s.co.jp/sp/mspf1381_12808.html")</f>
        <v>http://msp2.sophia-s.co.jp/sp/mspf1381_12808.html</v>
      </c>
      <c r="F190" s="12" t="str">
        <f>HYPERLINK("https://www3.test-mitsui-shopping-park.com/ec/sp/torihikihou/23kuGOLF?uiel=Mobile")</f>
        <v>https://www3.test-mitsui-shopping-park.com/ec/sp/torihikihou/23kuGOLF?uiel=Mobile</v>
      </c>
      <c r="G190" s="13" t="str">
        <f>HYPERLINK("https://mitsui-shopping-park.com/ec/sp/torihikihou/23kuGOLF?uiel=Mobile")</f>
        <v>https://mitsui-shopping-park.com/ec/sp/torihikihou/23kuGOLF?uiel=Mobile</v>
      </c>
    </row>
    <row r="191" spans="1:7">
      <c r="A191" s="9" t="s">
        <v>647</v>
      </c>
      <c r="B191" s="10">
        <v>187</v>
      </c>
      <c r="C191" s="9" t="s">
        <v>648</v>
      </c>
      <c r="D191" s="9" t="s">
        <v>648</v>
      </c>
      <c r="E191" s="11" t="str">
        <f>HYPERLINK("http://msp2.sophia-s.co.jp/sp/mspf1381_12809.html")</f>
        <v>http://msp2.sophia-s.co.jp/sp/mspf1381_12809.html</v>
      </c>
      <c r="F191" s="12" t="str">
        <f>HYPERLINK("https://www3.test-mitsui-shopping-park.com/ec/sp/torihikihou/ICB?uiel=Mobile")</f>
        <v>https://www3.test-mitsui-shopping-park.com/ec/sp/torihikihou/ICB?uiel=Mobile</v>
      </c>
      <c r="G191" s="13" t="str">
        <f>HYPERLINK("https://mitsui-shopping-park.com/ec/sp/torihikihou/ICB?uiel=Mobile")</f>
        <v>https://mitsui-shopping-park.com/ec/sp/torihikihou/ICB?uiel=Mobile</v>
      </c>
    </row>
    <row r="192" spans="1:7">
      <c r="A192" s="9" t="s">
        <v>649</v>
      </c>
      <c r="B192" s="10">
        <v>188</v>
      </c>
      <c r="C192" s="9" t="s">
        <v>650</v>
      </c>
      <c r="D192" s="9" t="s">
        <v>651</v>
      </c>
      <c r="E192" s="11" t="str">
        <f>HYPERLINK("http://msp2.sophia-s.co.jp/sp/mspf1381_12810.html")</f>
        <v>http://msp2.sophia-s.co.jp/sp/mspf1381_12810.html</v>
      </c>
      <c r="F192" s="12" t="str">
        <f>HYPERLINK("https://www3.test-mitsui-shopping-park.com/ec/sp/torihikihou/gotairiku?uiel=Mobile")</f>
        <v>https://www3.test-mitsui-shopping-park.com/ec/sp/torihikihou/gotairiku?uiel=Mobile</v>
      </c>
      <c r="G192" s="13" t="str">
        <f>HYPERLINK("https://mitsui-shopping-park.com/ec/sp/torihikihou/gotairiku?uiel=Mobile")</f>
        <v>https://mitsui-shopping-park.com/ec/sp/torihikihou/gotairiku?uiel=Mobile</v>
      </c>
    </row>
    <row r="193" spans="1:7">
      <c r="A193" s="9" t="s">
        <v>652</v>
      </c>
      <c r="B193" s="10">
        <v>189</v>
      </c>
      <c r="C193" s="9" t="s">
        <v>653</v>
      </c>
      <c r="D193" s="9" t="s">
        <v>654</v>
      </c>
      <c r="E193" s="11" t="str">
        <f>HYPERLINK("http://msp2.sophia-s.co.jp/sp/mspf1381_12811.html")</f>
        <v>http://msp2.sophia-s.co.jp/sp/mspf1381_12811.html</v>
      </c>
      <c r="F193" s="12" t="str">
        <f>HYPERLINK("https://www3.test-mitsui-shopping-park.com/ec/sp/torihikihou/jiyuku?uiel=Mobile")</f>
        <v>https://www3.test-mitsui-shopping-park.com/ec/sp/torihikihou/jiyuku?uiel=Mobile</v>
      </c>
      <c r="G193" s="13" t="str">
        <f>HYPERLINK("https://mitsui-shopping-park.com/ec/sp/torihikihou/jiyuku?uiel=Mobile")</f>
        <v>https://mitsui-shopping-park.com/ec/sp/torihikihou/jiyuku?uiel=Mobile</v>
      </c>
    </row>
    <row r="194" spans="1:7">
      <c r="A194" s="9" t="s">
        <v>655</v>
      </c>
      <c r="B194" s="10">
        <v>190</v>
      </c>
      <c r="C194" s="9" t="s">
        <v>656</v>
      </c>
      <c r="D194" s="9" t="s">
        <v>657</v>
      </c>
      <c r="E194" s="11" t="str">
        <f>HYPERLINK("http://msp2.sophia-s.co.jp/sp/mspf1381_12812.html")</f>
        <v>http://msp2.sophia-s.co.jp/sp/mspf1381_12812.html</v>
      </c>
      <c r="F194" s="12" t="str">
        <f>HYPERLINK("https://www3.test-mitsui-shopping-park.com/ec/sp/torihikihou/BEIGE?uiel=Mobile")</f>
        <v>https://www3.test-mitsui-shopping-park.com/ec/sp/torihikihou/BEIGE?uiel=Mobile</v>
      </c>
      <c r="G194" s="13" t="str">
        <f>HYPERLINK("https://mitsui-shopping-park.com/ec/sp/torihikihou/BEIGE?uiel=Mobile")</f>
        <v>https://mitsui-shopping-park.com/ec/sp/torihikihou/BEIGE?uiel=Mobile</v>
      </c>
    </row>
    <row r="195" spans="1:7">
      <c r="A195" s="9" t="s">
        <v>658</v>
      </c>
      <c r="B195" s="10">
        <v>191</v>
      </c>
      <c r="C195" s="9" t="s">
        <v>659</v>
      </c>
      <c r="D195" s="9" t="s">
        <v>659</v>
      </c>
      <c r="E195" s="11" t="str">
        <f>HYPERLINK("http://msp2.sophia-s.co.jp/sp/mspf1381_12813.html")</f>
        <v>http://msp2.sophia-s.co.jp/sp/mspf1381_12813.html</v>
      </c>
      <c r="F195" s="12" t="str">
        <f>HYPERLINK("https://www3.test-mitsui-shopping-park.com/ec/sp/torihikihou/Feroux?uiel=Mobile")</f>
        <v>https://www3.test-mitsui-shopping-park.com/ec/sp/torihikihou/Feroux?uiel=Mobile</v>
      </c>
      <c r="G195" s="13" t="str">
        <f>HYPERLINK("https://mitsui-shopping-park.com/ec/sp/torihikihou/Feroux?uiel=Mobile")</f>
        <v>https://mitsui-shopping-park.com/ec/sp/torihikihou/Feroux?uiel=Mobile</v>
      </c>
    </row>
    <row r="196" spans="1:7">
      <c r="A196" s="9" t="s">
        <v>660</v>
      </c>
      <c r="B196" s="10">
        <v>192</v>
      </c>
      <c r="C196" s="9" t="s">
        <v>661</v>
      </c>
      <c r="D196" s="9" t="s">
        <v>661</v>
      </c>
      <c r="E196" s="11" t="str">
        <f>HYPERLINK("http://msp2.sophia-s.co.jp/sp/mspf1381_19100.html")</f>
        <v>http://msp2.sophia-s.co.jp/sp/mspf1381_19100.html</v>
      </c>
      <c r="F196" s="12" t="str">
        <f>HYPERLINK("https://www3.test-mitsui-shopping-park.com/ec/sp/torihikihou/kipling?uiel=Mobile")</f>
        <v>https://www3.test-mitsui-shopping-park.com/ec/sp/torihikihou/kipling?uiel=Mobile</v>
      </c>
      <c r="G196" s="13" t="str">
        <f>HYPERLINK("https://mitsui-shopping-park.com/ec/sp/torihikihou/kipling?uiel=Mobile")</f>
        <v>https://mitsui-shopping-park.com/ec/sp/torihikihou/kipling?uiel=Mobile</v>
      </c>
    </row>
    <row r="197" spans="1:7">
      <c r="A197" s="9" t="s">
        <v>662</v>
      </c>
      <c r="B197" s="10">
        <v>193</v>
      </c>
      <c r="C197" s="9" t="s">
        <v>663</v>
      </c>
      <c r="D197" s="9" t="s">
        <v>663</v>
      </c>
      <c r="E197" s="11" t="str">
        <f>HYPERLINK("http://msp2.sophia-s.co.jp/sp/mspf1381_18400.html")</f>
        <v>http://msp2.sophia-s.co.jp/sp/mspf1381_18400.html</v>
      </c>
      <c r="F197" s="12" t="str">
        <f>HYPERLINK("https://www3.test-mitsui-shopping-park.com/ec/sp/torihikihou/DADWAY?uiel=Mobile")</f>
        <v>https://www3.test-mitsui-shopping-park.com/ec/sp/torihikihou/DADWAY?uiel=Mobile</v>
      </c>
      <c r="G197" s="13" t="str">
        <f>HYPERLINK("https://mitsui-shopping-park.com/ec/sp/torihikihou/DADWAY?uiel=Mobile")</f>
        <v>https://mitsui-shopping-park.com/ec/sp/torihikihou/DADWAY?uiel=Mobile</v>
      </c>
    </row>
    <row r="198" spans="1:7">
      <c r="A198" s="9" t="s">
        <v>664</v>
      </c>
      <c r="B198" s="10">
        <v>194</v>
      </c>
      <c r="C198" s="9" t="s">
        <v>665</v>
      </c>
      <c r="D198" s="9" t="s">
        <v>665</v>
      </c>
      <c r="E198" s="11" t="str">
        <f>HYPERLINK("http://msp2.sophia-s.co.jp/sp/mspf1381_19200.html")</f>
        <v>http://msp2.sophia-s.co.jp/sp/mspf1381_19200.html</v>
      </c>
      <c r="F198" s="12" t="str">
        <f>HYPERLINK("https://www3.test-mitsui-shopping-park.com/ec/sp/torihikihou/TENERITA?uiel=Mobile")</f>
        <v>https://www3.test-mitsui-shopping-park.com/ec/sp/torihikihou/TENERITA?uiel=Mobile</v>
      </c>
      <c r="G198" s="13" t="str">
        <f>HYPERLINK("https://mitsui-shopping-park.com/ec/sp/torihikihou/TENERITA?uiel=Mobile")</f>
        <v>https://mitsui-shopping-park.com/ec/sp/torihikihou/TENERITA?uiel=Mobile</v>
      </c>
    </row>
    <row r="199" spans="1:7">
      <c r="A199" s="9" t="s">
        <v>666</v>
      </c>
      <c r="B199" s="10">
        <v>195</v>
      </c>
      <c r="C199" s="9" t="s">
        <v>667</v>
      </c>
      <c r="D199" s="9" t="s">
        <v>668</v>
      </c>
      <c r="E199" s="11" t="str">
        <f>HYPERLINK("http://msp2.sophia-s.co.jp/sp/mspf1381_19500.html")</f>
        <v>http://msp2.sophia-s.co.jp/sp/mspf1381_19500.html</v>
      </c>
      <c r="F199" s="12" t="str">
        <f>HYPERLINK("https://www3.test-mitsui-shopping-park.com/ec/sp/torihikihou/fukuske?uiel=Mobile")</f>
        <v>https://www3.test-mitsui-shopping-park.com/ec/sp/torihikihou/fukuske?uiel=Mobile</v>
      </c>
      <c r="G199" s="13" t="str">
        <f>HYPERLINK("https://mitsui-shopping-park.com/ec/sp/torihikihou/fukuske?uiel=Mobile")</f>
        <v>https://mitsui-shopping-park.com/ec/sp/torihikihou/fukuske?uiel=Mobile</v>
      </c>
    </row>
    <row r="200" spans="1:7">
      <c r="A200" s="9" t="s">
        <v>630</v>
      </c>
      <c r="B200" s="10">
        <v>196</v>
      </c>
      <c r="C200" s="9" t="s">
        <v>631</v>
      </c>
      <c r="D200" s="9" t="s">
        <v>631</v>
      </c>
      <c r="E200" s="11" t="str">
        <f>HYPERLINK("http://msp2.sophia-s.co.jp/sp/mspf1381_16401.html")</f>
        <v>http://msp2.sophia-s.co.jp/sp/mspf1381_16401.html</v>
      </c>
      <c r="F200" s="12" t="str">
        <f>HYPERLINK("https://www3.test-mitsui-shopping-park.com/ec/sp/torihikihou/EMODA?uiel=Mobile")</f>
        <v>https://www3.test-mitsui-shopping-park.com/ec/sp/torihikihou/EMODA?uiel=Mobile</v>
      </c>
      <c r="G200" s="13" t="str">
        <f>HYPERLINK("https://mitsui-shopping-park.com/ec/sp/torihikihou/EMODA?uiel=Mobile")</f>
        <v>https://mitsui-shopping-park.com/ec/sp/torihikihou/EMODA?uiel=Mobile</v>
      </c>
    </row>
    <row r="201" spans="1:7">
      <c r="A201" s="9" t="s">
        <v>669</v>
      </c>
      <c r="B201" s="10">
        <v>197</v>
      </c>
      <c r="C201" s="9" t="s">
        <v>670</v>
      </c>
      <c r="D201" s="9" t="s">
        <v>670</v>
      </c>
      <c r="E201" s="11" t="str">
        <f>HYPERLINK("http://msp2.sophia-s.co.jp/sp/mspf1381_16405.html")</f>
        <v>http://msp2.sophia-s.co.jp/sp/mspf1381_16405.html</v>
      </c>
      <c r="F201" s="12" t="str">
        <f>HYPERLINK("https://www3.test-mitsui-shopping-park.com/ec/sp/torihikihou/GYDA?uiel=Mobile")</f>
        <v>https://www3.test-mitsui-shopping-park.com/ec/sp/torihikihou/GYDA?uiel=Mobile</v>
      </c>
      <c r="G201" s="13" t="str">
        <f>HYPERLINK("https://mitsui-shopping-park.com/ec/sp/torihikihou/GYDA?uiel=Mobile")</f>
        <v>https://mitsui-shopping-park.com/ec/sp/torihikihou/GYDA?uiel=Mobile</v>
      </c>
    </row>
    <row r="202" spans="1:7">
      <c r="A202" s="9" t="s">
        <v>671</v>
      </c>
      <c r="B202" s="10">
        <v>198</v>
      </c>
      <c r="C202" s="9" t="s">
        <v>672</v>
      </c>
      <c r="D202" s="9" t="s">
        <v>673</v>
      </c>
      <c r="E202" s="11" t="str">
        <f>HYPERLINK("http://msp2.sophia-s.co.jp/sp/mspf1381_19900.html")</f>
        <v>http://msp2.sophia-s.co.jp/sp/mspf1381_19900.html</v>
      </c>
      <c r="F202" s="12" t="str">
        <f>HYPERLINK("https://www3.test-mitsui-shopping-park.com/ec/sp/torihikihou/fossil?uiel=Mobile")</f>
        <v>https://www3.test-mitsui-shopping-park.com/ec/sp/torihikihou/fossil?uiel=Mobile</v>
      </c>
      <c r="G202" s="13" t="str">
        <f>HYPERLINK("https://mitsui-shopping-park.com/ec/sp/torihikihou/fossil?uiel=Mobile")</f>
        <v>https://mitsui-shopping-park.com/ec/sp/torihikihou/fossil?uiel=Mobile</v>
      </c>
    </row>
    <row r="203" spans="1:7">
      <c r="A203" s="9" t="s">
        <v>674</v>
      </c>
      <c r="B203" s="10">
        <v>199</v>
      </c>
      <c r="C203" s="9" t="s">
        <v>675</v>
      </c>
      <c r="D203" s="9" t="s">
        <v>676</v>
      </c>
      <c r="E203" s="11" t="str">
        <f>HYPERLINK("http://msp2.sophia-s.co.jp/sp/mspf1381_19901.html")</f>
        <v>http://msp2.sophia-s.co.jp/sp/mspf1381_19901.html</v>
      </c>
      <c r="F203" s="12" t="str">
        <f>HYPERLINK("https://www3.test-mitsui-shopping-park.com/ec/sp/torihikihou/skagen?uiel=Mobile")</f>
        <v>https://www3.test-mitsui-shopping-park.com/ec/sp/torihikihou/skagen?uiel=Mobile</v>
      </c>
      <c r="G203" s="13" t="str">
        <f>HYPERLINK("https://mitsui-shopping-park.com/ec/sp/torihikihou/skagen?uiel=Mobile")</f>
        <v>https://mitsui-shopping-park.com/ec/sp/torihikihou/skagen?uiel=Mobile</v>
      </c>
    </row>
    <row r="204" spans="1:7">
      <c r="A204" s="9" t="s">
        <v>677</v>
      </c>
      <c r="B204" s="10">
        <v>200</v>
      </c>
      <c r="C204" s="9" t="s">
        <v>678</v>
      </c>
      <c r="D204" s="9" t="s">
        <v>679</v>
      </c>
      <c r="E204" s="11" t="str">
        <f>HYPERLINK("http://msp2.sophia-s.co.jp/sp/mspf1381_19300.html")</f>
        <v>http://msp2.sophia-s.co.jp/sp/mspf1381_19300.html</v>
      </c>
      <c r="F204" s="12" t="str">
        <f>HYPERLINK("https://www3.test-mitsui-shopping-park.com/ec/sp/torihikihou/COMECHATTOCLOSET?uiel=Mobile")</f>
        <v>https://www3.test-mitsui-shopping-park.com/ec/sp/torihikihou/COMECHATTOCLOSET?uiel=Mobile</v>
      </c>
      <c r="G204" s="13" t="str">
        <f>HYPERLINK("https://mitsui-shopping-park.com/ec/sp/torihikihou/COMECHATTOCLOSET?uiel=Mobile")</f>
        <v>https://mitsui-shopping-park.com/ec/sp/torihikihou/COMECHATTOCLOSET?uiel=Mobile</v>
      </c>
    </row>
    <row r="205" spans="1:7">
      <c r="A205" s="9" t="s">
        <v>680</v>
      </c>
      <c r="B205" s="10">
        <v>201</v>
      </c>
      <c r="C205" s="9" t="s">
        <v>681</v>
      </c>
      <c r="D205" s="9" t="s">
        <v>682</v>
      </c>
      <c r="E205" s="11" t="str">
        <f>HYPERLINK("http://msp2.sophia-s.co.jp/sp/mspf1381_20700.html")</f>
        <v>http://msp2.sophia-s.co.jp/sp/mspf1381_20700.html</v>
      </c>
      <c r="F205" s="12" t="str">
        <f>HYPERLINK("https://www3.test-mitsui-shopping-park.com/ec/sp/torihikihou/CHARLESKEITH?uiel=Mobile")</f>
        <v>https://www3.test-mitsui-shopping-park.com/ec/sp/torihikihou/CHARLESKEITH?uiel=Mobile</v>
      </c>
      <c r="G205" s="13" t="str">
        <f>HYPERLINK("https://mitsui-shopping-park.com/ec/sp/torihikihou/CHARLESKEITH?uiel=Mobile")</f>
        <v>https://mitsui-shopping-park.com/ec/sp/torihikihou/CHARLESKEITH?uiel=Mobile</v>
      </c>
    </row>
    <row r="206" spans="1:7">
      <c r="A206" s="9" t="s">
        <v>683</v>
      </c>
      <c r="B206" s="10">
        <v>202</v>
      </c>
      <c r="C206" s="9" t="s">
        <v>684</v>
      </c>
      <c r="D206" s="9" t="s">
        <v>685</v>
      </c>
      <c r="E206" s="11" t="str">
        <f>HYPERLINK("http://msp2.sophia-s.co.jp/sp/mspf1381_21100.html")</f>
        <v>http://msp2.sophia-s.co.jp/sp/mspf1381_21100.html</v>
      </c>
      <c r="F206" s="12" t="str">
        <f>HYPERLINK("https://www3.test-mitsui-shopping-park.com/ec/sp/torihikihou/instant?uiel=Mobile")</f>
        <v>https://www3.test-mitsui-shopping-park.com/ec/sp/torihikihou/instant?uiel=Mobile</v>
      </c>
      <c r="G206" s="13" t="str">
        <f>HYPERLINK("https://mitsui-shopping-park.com/ec/sp/torihikihou/instant?uiel=Mobile")</f>
        <v>https://mitsui-shopping-park.com/ec/sp/torihikihou/instant?uiel=Mobile</v>
      </c>
    </row>
    <row r="207" spans="1:7">
      <c r="A207" s="9" t="s">
        <v>686</v>
      </c>
      <c r="B207" s="10">
        <v>203</v>
      </c>
      <c r="C207" s="9" t="s">
        <v>687</v>
      </c>
      <c r="D207" s="9" t="s">
        <v>687</v>
      </c>
      <c r="E207" s="11" t="str">
        <f>HYPERLINK("http://msp2.sophia-s.co.jp/sp/mspf1381_22400.html")</f>
        <v>http://msp2.sophia-s.co.jp/sp/mspf1381_22400.html</v>
      </c>
      <c r="F207" s="12" t="str">
        <f>HYPERLINK("https://www3.test-mitsui-shopping-park.com/ec/sp/torihikihou/genten?uiel=Mobile")</f>
        <v>https://www3.test-mitsui-shopping-park.com/ec/sp/torihikihou/genten?uiel=Mobile</v>
      </c>
      <c r="G207" s="13" t="str">
        <f>HYPERLINK("https://mitsui-shopping-park.com/ec/sp/torihikihou/genten?uiel=Mobile")</f>
        <v>https://mitsui-shopping-park.com/ec/sp/torihikihou/genten?uiel=Mobile</v>
      </c>
    </row>
    <row r="208" spans="1:7">
      <c r="A208" s="9" t="s">
        <v>688</v>
      </c>
      <c r="B208" s="10">
        <v>204</v>
      </c>
      <c r="C208" s="9" t="s">
        <v>689</v>
      </c>
      <c r="D208" s="9" t="s">
        <v>689</v>
      </c>
      <c r="E208" s="11" t="str">
        <f>HYPERLINK("http://msp2.sophia-s.co.jp/sp/mspf1381_22401.html")</f>
        <v>http://msp2.sophia-s.co.jp/sp/mspf1381_22401.html</v>
      </c>
      <c r="F208" s="12" t="str">
        <f>HYPERLINK("https://www3.test-mitsui-shopping-park.com/ec/sp/torihikihou/MONONISTA?uiel=Mobile")</f>
        <v>https://www3.test-mitsui-shopping-park.com/ec/sp/torihikihou/MONONISTA?uiel=Mobile</v>
      </c>
      <c r="G208" s="13" t="str">
        <f>HYPERLINK("https://mitsui-shopping-park.com/ec/sp/torihikihou/MONONISTA?uiel=Mobile")</f>
        <v>https://mitsui-shopping-park.com/ec/sp/torihikihou/MONONISTA?uiel=Mobile</v>
      </c>
    </row>
    <row r="209" spans="1:7">
      <c r="A209" s="9" t="s">
        <v>690</v>
      </c>
      <c r="B209" s="10">
        <v>205</v>
      </c>
      <c r="C209" s="9" t="s">
        <v>691</v>
      </c>
      <c r="D209" s="9" t="s">
        <v>692</v>
      </c>
      <c r="E209" s="11" t="str">
        <f>HYPERLINK("http://msp2.sophia-s.co.jp/sp/mspf1381_21800.html")</f>
        <v>http://msp2.sophia-s.co.jp/sp/mspf1381_21800.html</v>
      </c>
      <c r="F209" s="12" t="str">
        <f>HYPERLINK("https://www3.test-mitsui-shopping-park.com/ec/sp/torihikihou/MH?uiel=Mobile")</f>
        <v>https://www3.test-mitsui-shopping-park.com/ec/sp/torihikihou/MH?uiel=Mobile</v>
      </c>
      <c r="G209" s="13" t="str">
        <f>HYPERLINK("https://mitsui-shopping-park.com/ec/sp/torihikihou/MH?uiel=Mobile")</f>
        <v>https://mitsui-shopping-park.com/ec/sp/torihikihou/MH?uiel=Mobile</v>
      </c>
    </row>
    <row r="210" spans="1:7">
      <c r="A210" s="9" t="s">
        <v>693</v>
      </c>
      <c r="B210" s="10">
        <v>206</v>
      </c>
      <c r="C210" s="9" t="s">
        <v>694</v>
      </c>
      <c r="D210" s="9" t="s">
        <v>694</v>
      </c>
      <c r="E210" s="11" t="str">
        <f>HYPERLINK("http://msp2.sophia-s.co.jp/sp/mspf1381_23100.html")</f>
        <v>http://msp2.sophia-s.co.jp/sp/mspf1381_23100.html</v>
      </c>
      <c r="F210" s="12" t="str">
        <f>HYPERLINK("https://www3.test-mitsui-shopping-park.com/ec/sp/torihikihou/ROCKPORT?uiel=Mobile")</f>
        <v>https://www3.test-mitsui-shopping-park.com/ec/sp/torihikihou/ROCKPORT?uiel=Mobile</v>
      </c>
      <c r="G210" s="13" t="str">
        <f>HYPERLINK("https://mitsui-shopping-park.com/ec/sp/torihikihou/ROCKPORT?uiel=Mobile")</f>
        <v>https://mitsui-shopping-park.com/ec/sp/torihikihou/ROCKPORT?uiel=Mobile</v>
      </c>
    </row>
    <row r="211" spans="1:7">
      <c r="A211" s="9" t="s">
        <v>695</v>
      </c>
      <c r="B211" s="10">
        <v>207</v>
      </c>
      <c r="C211" s="9" t="s">
        <v>696</v>
      </c>
      <c r="D211" s="9" t="s">
        <v>697</v>
      </c>
      <c r="E211" s="11" t="str">
        <f>HYPERLINK("http://msp2.sophia-s.co.jp/sp/mspf1381_21200.html")</f>
        <v>http://msp2.sophia-s.co.jp/sp/mspf1381_21200.html</v>
      </c>
      <c r="F211" s="12" t="str">
        <f>HYPERLINK("https://www3.test-mitsui-shopping-park.com/ec/sp/torihikihou/THECLOCKHOUSE?uiel=Mobile")</f>
        <v>https://www3.test-mitsui-shopping-park.com/ec/sp/torihikihou/THECLOCKHOUSE?uiel=Mobile</v>
      </c>
      <c r="G211" s="13" t="str">
        <f>HYPERLINK("https://mitsui-shopping-park.com/ec/sp/torihikihou/THECLOCKHOUSE?uiel=Mobile")</f>
        <v>https://mitsui-shopping-park.com/ec/sp/torihikihou/THECLOCKHOUSE?uiel=Mobile</v>
      </c>
    </row>
    <row r="212" spans="1:7">
      <c r="A212" s="9" t="s">
        <v>698</v>
      </c>
      <c r="B212" s="10">
        <v>208</v>
      </c>
      <c r="C212" s="9" t="s">
        <v>699</v>
      </c>
      <c r="D212" s="9" t="s">
        <v>700</v>
      </c>
      <c r="E212" s="11" t="str">
        <f>HYPERLINK("http://msp2.sophia-s.co.jp/sp/mspf1381_21600.html")</f>
        <v>http://msp2.sophia-s.co.jp/sp/mspf1381_21600.html</v>
      </c>
      <c r="F212" s="12" t="str">
        <f>HYPERLINK("https://www3.test-mitsui-shopping-park.com/ec/sp/torihikihou/GP?uiel=Mobile")</f>
        <v>https://www3.test-mitsui-shopping-park.com/ec/sp/torihikihou/GP?uiel=Mobile</v>
      </c>
      <c r="G212" s="13" t="str">
        <f>HYPERLINK("https://mitsui-shopping-park.com/ec/sp/torihikihou/GP?uiel=Mobile")</f>
        <v>https://mitsui-shopping-park.com/ec/sp/torihikihou/GP?uiel=Mobile</v>
      </c>
    </row>
    <row r="213" spans="1:7">
      <c r="A213" s="9" t="s">
        <v>701</v>
      </c>
      <c r="B213" s="10">
        <v>209</v>
      </c>
      <c r="C213" s="9" t="s">
        <v>702</v>
      </c>
      <c r="D213" s="9" t="s">
        <v>703</v>
      </c>
      <c r="E213" s="11" t="str">
        <f>HYPERLINK("http://msp2.sophia-s.co.jp/sp/mspf1381_21601.html")</f>
        <v>http://msp2.sophia-s.co.jp/sp/mspf1381_21601.html</v>
      </c>
      <c r="F213" s="12" t="str">
        <f>HYPERLINK("https://www3.test-mitsui-shopping-park.com/ec/sp/torihikihou/TBC?uiel=Mobile")</f>
        <v>https://www3.test-mitsui-shopping-park.com/ec/sp/torihikihou/TBC?uiel=Mobile</v>
      </c>
      <c r="G213" s="13" t="str">
        <f>HYPERLINK("https://mitsui-shopping-park.com/ec/sp/torihikihou/TBC?uiel=Mobile")</f>
        <v>https://mitsui-shopping-park.com/ec/sp/torihikihou/TBC?uiel=Mobile</v>
      </c>
    </row>
    <row r="214" spans="1:7">
      <c r="A214" s="9" t="s">
        <v>704</v>
      </c>
      <c r="B214" s="10">
        <v>210</v>
      </c>
      <c r="C214" s="9" t="s">
        <v>705</v>
      </c>
      <c r="D214" s="9" t="s">
        <v>706</v>
      </c>
      <c r="E214" s="11" t="str">
        <f>HYPERLINK("http://msp2.sophia-s.co.jp/sp/mspf1381_21602.html")</f>
        <v>http://msp2.sophia-s.co.jp/sp/mspf1381_21602.html</v>
      </c>
      <c r="F214" s="12" t="str">
        <f>HYPERLINK("https://www3.test-mitsui-shopping-park.com/ec/sp/torihikihou/AMA?uiel=Mobile")</f>
        <v>https://www3.test-mitsui-shopping-park.com/ec/sp/torihikihou/AMA?uiel=Mobile</v>
      </c>
      <c r="G214" s="13" t="str">
        <f>HYPERLINK("https://mitsui-shopping-park.com/ec/sp/torihikihou/AMA?uiel=Mobile")</f>
        <v>https://mitsui-shopping-park.com/ec/sp/torihikihou/AMA?uiel=Mobile</v>
      </c>
    </row>
    <row r="215" spans="1:7">
      <c r="A215" s="9" t="s">
        <v>707</v>
      </c>
      <c r="B215" s="10">
        <v>211</v>
      </c>
      <c r="C215" s="9" t="s">
        <v>708</v>
      </c>
      <c r="D215" s="9" t="s">
        <v>709</v>
      </c>
      <c r="E215" s="11" t="str">
        <f>HYPERLINK("http://msp2.sophia-s.co.jp/sp/mspf1381_21603.html")</f>
        <v>http://msp2.sophia-s.co.jp/sp/mspf1381_21603.html</v>
      </c>
      <c r="F215" s="12" t="str">
        <f>HYPERLINK("https://www3.test-mitsui-shopping-park.com/ec/sp/torihikihou/TW?uiel=Mobile")</f>
        <v>https://www3.test-mitsui-shopping-park.com/ec/sp/torihikihou/TW?uiel=Mobile</v>
      </c>
      <c r="G215" s="13" t="str">
        <f>HYPERLINK("https://mitsui-shopping-park.com/ec/sp/torihikihou/TW?uiel=Mobile")</f>
        <v>https://mitsui-shopping-park.com/ec/sp/torihikihou/TW?uiel=Mobile</v>
      </c>
    </row>
    <row r="216" spans="1:7">
      <c r="A216" s="9" t="s">
        <v>710</v>
      </c>
      <c r="B216" s="10">
        <v>212</v>
      </c>
      <c r="C216" s="9" t="s">
        <v>711</v>
      </c>
      <c r="D216" s="9" t="s">
        <v>712</v>
      </c>
      <c r="E216" s="11" t="str">
        <f>HYPERLINK("http://msp2.sophia-s.co.jp/sp/mspf1381_21604.html")</f>
        <v>http://msp2.sophia-s.co.jp/sp/mspf1381_21604.html</v>
      </c>
      <c r="F216" s="12" t="str">
        <f>HYPERLINK("https://www3.test-mitsui-shopping-park.com/ec/sp/torihikihou/EX?uiel=Mobile")</f>
        <v>https://www3.test-mitsui-shopping-park.com/ec/sp/torihikihou/EX?uiel=Mobile</v>
      </c>
      <c r="G216" s="13" t="str">
        <f>HYPERLINK("https://mitsui-shopping-park.com/ec/sp/torihikihou/EX?uiel=Mobile")</f>
        <v>https://mitsui-shopping-park.com/ec/sp/torihikihou/EX?uiel=Mobile</v>
      </c>
    </row>
    <row r="217" spans="1:7">
      <c r="A217" s="9" t="s">
        <v>713</v>
      </c>
      <c r="B217" s="10">
        <v>213</v>
      </c>
      <c r="C217" s="9" t="s">
        <v>714</v>
      </c>
      <c r="D217" s="9" t="s">
        <v>715</v>
      </c>
      <c r="E217" s="11" t="str">
        <f>HYPERLINK("http://msp2.sophia-s.co.jp/sp/mspf1381_21605.html")</f>
        <v>http://msp2.sophia-s.co.jp/sp/mspf1381_21605.html</v>
      </c>
      <c r="F217" s="12" t="str">
        <f>HYPERLINK("https://www3.test-mitsui-shopping-park.com/ec/sp/torihikihou/EPU?uiel=Mobile")</f>
        <v>https://www3.test-mitsui-shopping-park.com/ec/sp/torihikihou/EPU?uiel=Mobile</v>
      </c>
      <c r="G217" s="13" t="str">
        <f>HYPERLINK("https://mitsui-shopping-park.com/ec/sp/torihikihou/EPU?uiel=Mobile")</f>
        <v>https://mitsui-shopping-park.com/ec/sp/torihikihou/EPU?uiel=Mobile</v>
      </c>
    </row>
    <row r="218" spans="1:7">
      <c r="A218" s="9" t="s">
        <v>716</v>
      </c>
      <c r="B218" s="10">
        <v>214</v>
      </c>
      <c r="C218" s="9" t="s">
        <v>717</v>
      </c>
      <c r="D218" s="9" t="s">
        <v>718</v>
      </c>
      <c r="E218" s="11" t="str">
        <f>HYPERLINK("http://msp2.sophia-s.co.jp/sp/mspf1381_21606.html")</f>
        <v>http://msp2.sophia-s.co.jp/sp/mspf1381_21606.html</v>
      </c>
      <c r="F218" s="12" t="str">
        <f>HYPERLINK("https://www3.test-mitsui-shopping-park.com/ec/sp/torihikihou/EP?uiel=Mobile")</f>
        <v>https://www3.test-mitsui-shopping-park.com/ec/sp/torihikihou/EP?uiel=Mobile</v>
      </c>
      <c r="G218" s="13" t="str">
        <f>HYPERLINK("https://mitsui-shopping-park.com/ec/sp/torihikihou/EP?uiel=Mobile")</f>
        <v>https://mitsui-shopping-park.com/ec/sp/torihikihou/EP?uiel=Mobile</v>
      </c>
    </row>
    <row r="219" spans="1:7">
      <c r="A219" s="9" t="s">
        <v>719</v>
      </c>
      <c r="B219" s="10">
        <v>215</v>
      </c>
      <c r="C219" s="9" t="s">
        <v>720</v>
      </c>
      <c r="D219" s="9" t="s">
        <v>721</v>
      </c>
      <c r="E219" s="11" t="str">
        <f>HYPERLINK("http://msp2.sophia-s.co.jp/sp/mspf1381_21607.html")</f>
        <v>http://msp2.sophia-s.co.jp/sp/mspf1381_21607.html</v>
      </c>
      <c r="F219" s="12" t="str">
        <f>HYPERLINK("https://www3.test-mitsui-shopping-park.com/ec/sp/torihikihou/SC?uiel=Mobile")</f>
        <v>https://www3.test-mitsui-shopping-park.com/ec/sp/torihikihou/SC?uiel=Mobile</v>
      </c>
      <c r="G219" s="13" t="str">
        <f>HYPERLINK("https://mitsui-shopping-park.com/ec/sp/torihikihou/SC?uiel=Mobile")</f>
        <v>https://mitsui-shopping-park.com/ec/sp/torihikihou/SC?uiel=Mobile</v>
      </c>
    </row>
    <row r="220" spans="1:7">
      <c r="A220" s="9" t="s">
        <v>722</v>
      </c>
      <c r="B220" s="10">
        <v>216</v>
      </c>
      <c r="C220" s="9" t="s">
        <v>723</v>
      </c>
      <c r="D220" s="9" t="s">
        <v>724</v>
      </c>
      <c r="E220" s="11" t="str">
        <f>HYPERLINK("http://msp2.sophia-s.co.jp/sp/mspf1381_21608.html")</f>
        <v>http://msp2.sophia-s.co.jp/sp/mspf1381_21608.html</v>
      </c>
      <c r="F220" s="12" t="str">
        <f>HYPERLINK("https://www3.test-mitsui-shopping-park.com/ec/sp/torihikihou/SE?uiel=Mobile")</f>
        <v>https://www3.test-mitsui-shopping-park.com/ec/sp/torihikihou/SE?uiel=Mobile</v>
      </c>
      <c r="G220" s="13" t="str">
        <f>HYPERLINK("https://mitsui-shopping-park.com/ec/sp/torihikihou/SE?uiel=Mobile")</f>
        <v>https://mitsui-shopping-park.com/ec/sp/torihikihou/SE?uiel=Mobile</v>
      </c>
    </row>
    <row r="221" spans="1:7">
      <c r="A221" s="9" t="s">
        <v>725</v>
      </c>
      <c r="B221" s="10">
        <v>217</v>
      </c>
      <c r="C221" s="9" t="s">
        <v>726</v>
      </c>
      <c r="D221" s="9" t="s">
        <v>727</v>
      </c>
      <c r="E221" s="11" t="str">
        <f>HYPERLINK("http://msp2.sophia-s.co.jp/sp/mspf1381_21609.html")</f>
        <v>http://msp2.sophia-s.co.jp/sp/mspf1381_21609.html</v>
      </c>
      <c r="F221" s="12" t="str">
        <f>HYPERLINK("https://www3.test-mitsui-shopping-park.com/ec/sp/torihikihou/YC?uiel=Mobile")</f>
        <v>https://www3.test-mitsui-shopping-park.com/ec/sp/torihikihou/YC?uiel=Mobile</v>
      </c>
      <c r="G221" s="13" t="str">
        <f>HYPERLINK("https://mitsui-shopping-park.com/ec/sp/torihikihou/YC?uiel=Mobile")</f>
        <v>https://mitsui-shopping-park.com/ec/sp/torihikihou/YC?uiel=Mobile</v>
      </c>
    </row>
    <row r="222" spans="1:7">
      <c r="A222" s="9" t="s">
        <v>728</v>
      </c>
      <c r="B222" s="10">
        <v>218</v>
      </c>
      <c r="C222" s="9" t="s">
        <v>729</v>
      </c>
      <c r="D222" s="9" t="s">
        <v>730</v>
      </c>
      <c r="E222" s="11" t="str">
        <f>HYPERLINK("http://msp2.sophia-s.co.jp/sp/mspf1381_21610.html")</f>
        <v>http://msp2.sophia-s.co.jp/sp/mspf1381_21610.html</v>
      </c>
      <c r="F222" s="12" t="str">
        <f>HYPERLINK("https://www3.test-mitsui-shopping-park.com/ec/sp/torihikihou/MP?uiel=Mobile")</f>
        <v>https://www3.test-mitsui-shopping-park.com/ec/sp/torihikihou/MP?uiel=Mobile</v>
      </c>
      <c r="G222" s="13" t="str">
        <f>HYPERLINK("https://mitsui-shopping-park.com/ec/sp/torihikihou/MP?uiel=Mobile")</f>
        <v>https://mitsui-shopping-park.com/ec/sp/torihikihou/MP?uiel=Mobile</v>
      </c>
    </row>
    <row r="223" spans="1:7">
      <c r="A223" s="9" t="s">
        <v>731</v>
      </c>
      <c r="B223" s="10">
        <v>219</v>
      </c>
      <c r="C223" s="9" t="s">
        <v>732</v>
      </c>
      <c r="D223" s="9" t="s">
        <v>732</v>
      </c>
      <c r="E223" s="11" t="str">
        <f>HYPERLINK("http://msp2.sophia-s.co.jp/sp/mspf1381_19600.html")</f>
        <v>http://msp2.sophia-s.co.jp/sp/mspf1381_19600.html</v>
      </c>
      <c r="F223" s="12" t="str">
        <f>HYPERLINK("https://www3.test-mitsui-shopping-park.com/ec/sp/torihikihou/archives?uiel=Mobile")</f>
        <v>https://www3.test-mitsui-shopping-park.com/ec/sp/torihikihou/archives?uiel=Mobile</v>
      </c>
      <c r="G223" s="13" t="str">
        <f>HYPERLINK("https://mitsui-shopping-park.com/ec/sp/torihikihou/archives?uiel=Mobile")</f>
        <v>https://mitsui-shopping-park.com/ec/sp/torihikihou/archives?uiel=Mobile</v>
      </c>
    </row>
    <row r="224" spans="1:7">
      <c r="A224" s="9" t="s">
        <v>733</v>
      </c>
      <c r="B224" s="10">
        <v>220</v>
      </c>
      <c r="C224" s="9" t="s">
        <v>734</v>
      </c>
      <c r="D224" s="9" t="s">
        <v>735</v>
      </c>
      <c r="E224" s="11" t="str">
        <f>HYPERLINK("http://msp2.sophia-s.co.jp/sp/mspf1381_19601.html")</f>
        <v>http://msp2.sophia-s.co.jp/sp/mspf1381_19601.html</v>
      </c>
      <c r="F224" s="12" t="str">
        <f>HYPERLINK("https://www3.test-mitsui-shopping-park.com/ec/sp/torihikihou/Douxarchives?uiel=Mobile")</f>
        <v>https://www3.test-mitsui-shopping-park.com/ec/sp/torihikihou/Douxarchives?uiel=Mobile</v>
      </c>
      <c r="G224" s="13" t="str">
        <f>HYPERLINK("https://mitsui-shopping-park.com/ec/sp/torihikihou/Douxarchives?uiel=Mobile")</f>
        <v>https://mitsui-shopping-park.com/ec/sp/torihikihou/Douxarchives?uiel=Mobile</v>
      </c>
    </row>
    <row r="225" spans="1:7">
      <c r="A225" s="9" t="s">
        <v>736</v>
      </c>
      <c r="B225" s="10">
        <v>221</v>
      </c>
      <c r="C225" s="9" t="s">
        <v>737</v>
      </c>
      <c r="D225" s="9" t="s">
        <v>737</v>
      </c>
      <c r="E225" s="11" t="str">
        <f>HYPERLINK("http://msp2.sophia-s.co.jp/sp/mspf1381_19602.html")</f>
        <v>http://msp2.sophia-s.co.jp/sp/mspf1381_19602.html</v>
      </c>
      <c r="F225" s="12" t="str">
        <f>HYPERLINK("https://www3.test-mitsui-shopping-park.com/ec/sp/torihikihou/Cheek?uiel=Mobile")</f>
        <v>https://www3.test-mitsui-shopping-park.com/ec/sp/torihikihou/Cheek?uiel=Mobile</v>
      </c>
      <c r="G225" s="13" t="str">
        <f>HYPERLINK("https://mitsui-shopping-park.com/ec/sp/torihikihou/Cheek?uiel=Mobile")</f>
        <v>https://mitsui-shopping-park.com/ec/sp/torihikihou/Cheek?uiel=Mobile</v>
      </c>
    </row>
    <row r="226" spans="1:7">
      <c r="A226" s="9" t="s">
        <v>738</v>
      </c>
      <c r="B226" s="10">
        <v>222</v>
      </c>
      <c r="C226" s="9" t="s">
        <v>739</v>
      </c>
      <c r="D226" s="9" t="s">
        <v>739</v>
      </c>
      <c r="E226" s="11" t="str">
        <f>HYPERLINK("http://msp2.sophia-s.co.jp/sp/mspf1381_22100.html")</f>
        <v>http://msp2.sophia-s.co.jp/sp/mspf1381_22100.html</v>
      </c>
      <c r="F226" s="12" t="str">
        <f>HYPERLINK("https://www3.test-mitsui-shopping-park.com/ec/sp/torihikihou/Blumarine?uiel=Mobile")</f>
        <v>https://www3.test-mitsui-shopping-park.com/ec/sp/torihikihou/Blumarine?uiel=Mobile</v>
      </c>
      <c r="G226" s="13" t="str">
        <f>HYPERLINK("https://mitsui-shopping-park.com/ec/sp/torihikihou/Blumarine?uiel=Mobile")</f>
        <v>https://mitsui-shopping-park.com/ec/sp/torihikihou/Blumarine?uiel=Mobile</v>
      </c>
    </row>
    <row r="227" spans="1:7">
      <c r="A227" s="9" t="s">
        <v>740</v>
      </c>
      <c r="B227" s="10">
        <v>223</v>
      </c>
      <c r="C227" s="9" t="s">
        <v>741</v>
      </c>
      <c r="D227" s="9" t="s">
        <v>741</v>
      </c>
      <c r="E227" s="11" t="str">
        <f>HYPERLINK("http://msp2.sophia-s.co.jp/sp/mspf1381_21500.html")</f>
        <v>http://msp2.sophia-s.co.jp/sp/mspf1381_21500.html</v>
      </c>
      <c r="F227" s="12" t="str">
        <f>HYPERLINK("https://www3.test-mitsui-shopping-park.com/ec/sp/torihikihou/ANTEPRIMA?uiel=Mobile")</f>
        <v>https://www3.test-mitsui-shopping-park.com/ec/sp/torihikihou/ANTEPRIMA?uiel=Mobile</v>
      </c>
      <c r="G227" s="13" t="str">
        <f>HYPERLINK("https://mitsui-shopping-park.com/ec/sp/torihikihou/ANTEPRIMA?uiel=Mobile")</f>
        <v>https://mitsui-shopping-park.com/ec/sp/torihikihou/ANTEPRIMA?uiel=Mobile</v>
      </c>
    </row>
    <row r="228" spans="1:7">
      <c r="A228" s="9" t="s">
        <v>742</v>
      </c>
      <c r="B228" s="10">
        <v>224</v>
      </c>
      <c r="C228" s="9" t="s">
        <v>743</v>
      </c>
      <c r="D228" s="9" t="s">
        <v>744</v>
      </c>
      <c r="E228" s="11" t="str">
        <f>HYPERLINK("http://msp2.sophia-s.co.jp/sp/mspf1381_23500.html")</f>
        <v>http://msp2.sophia-s.co.jp/sp/mspf1381_23500.html</v>
      </c>
      <c r="F228" s="12" t="str">
        <f>HYPERLINK("https://www3.test-mitsui-shopping-park.com/ec/sp/torihikihou/graniph?uiel=Mobile")</f>
        <v>https://www3.test-mitsui-shopping-park.com/ec/sp/torihikihou/graniph?uiel=Mobile</v>
      </c>
      <c r="G228" s="13" t="str">
        <f>HYPERLINK("https://mitsui-shopping-park.com/ec/sp/torihikihou/graniph?uiel=Mobile")</f>
        <v>https://mitsui-shopping-park.com/ec/sp/torihikihou/graniph?uiel=Mobile</v>
      </c>
    </row>
    <row r="229" spans="1:7">
      <c r="A229" s="9" t="s">
        <v>745</v>
      </c>
      <c r="B229" s="10">
        <v>225</v>
      </c>
      <c r="C229" s="9" t="s">
        <v>746</v>
      </c>
      <c r="D229" s="9" t="s">
        <v>746</v>
      </c>
      <c r="E229" s="11" t="str">
        <f>HYPERLINK("http://msp2.sophia-s.co.jp/sp/mspf1381_21000.html")</f>
        <v>http://msp2.sophia-s.co.jp/sp/mspf1381_21000.html</v>
      </c>
      <c r="F229" s="12" t="str">
        <f>HYPERLINK("https://www3.test-mitsui-shopping-park.com/ec/sp/torihikihou/MINNETONKA?uiel=Mobile")</f>
        <v>https://www3.test-mitsui-shopping-park.com/ec/sp/torihikihou/MINNETONKA?uiel=Mobile</v>
      </c>
      <c r="G229" s="13" t="str">
        <f>HYPERLINK("https://mitsui-shopping-park.com/ec/sp/torihikihou/MINNETONKA?uiel=Mobile")</f>
        <v>https://mitsui-shopping-park.com/ec/sp/torihikihou/MINNETONKA?uiel=Mobile</v>
      </c>
    </row>
    <row r="230" spans="1:7">
      <c r="A230" s="9" t="s">
        <v>747</v>
      </c>
      <c r="B230" s="10">
        <v>226</v>
      </c>
      <c r="C230" s="9" t="s">
        <v>748</v>
      </c>
      <c r="D230" s="9" t="s">
        <v>749</v>
      </c>
      <c r="E230" s="11" t="str">
        <f>HYPERLINK("http://msp2.sophia-s.co.jp/sp/mspf1381_22700.html")</f>
        <v>http://msp2.sophia-s.co.jp/sp/mspf1381_22700.html</v>
      </c>
      <c r="F230" s="12" t="str">
        <f>HYPERLINK("https://www3.test-mitsui-shopping-park.com/ec/sp/torihikihou/bebeonline?uiel=Mobile")</f>
        <v>https://www3.test-mitsui-shopping-park.com/ec/sp/torihikihou/bebeonline?uiel=Mobile</v>
      </c>
      <c r="G230" s="13" t="str">
        <f>HYPERLINK("https://mitsui-shopping-park.com/ec/sp/torihikihou/bebeonline?uiel=Mobile")</f>
        <v>https://mitsui-shopping-park.com/ec/sp/torihikihou/bebeonline?uiel=Mobile</v>
      </c>
    </row>
    <row r="231" spans="1:7">
      <c r="A231" s="9" t="s">
        <v>750</v>
      </c>
      <c r="B231" s="10">
        <v>227</v>
      </c>
      <c r="C231" s="9" t="s">
        <v>751</v>
      </c>
      <c r="D231" s="9" t="s">
        <v>752</v>
      </c>
      <c r="E231" s="11" t="str">
        <f>HYPERLINK("http://msp2.sophia-s.co.jp/sp/mspf1381_19400.html")</f>
        <v>http://msp2.sophia-s.co.jp/sp/mspf1381_19400.html</v>
      </c>
      <c r="F231" s="14" t="str">
        <f>HYPERLINK("https://www3.test-mitsui-shopping-park.com/ec/sp/torihikihou/spray?uiel=Mobile")</f>
        <v>https://www3.test-mitsui-shopping-park.com/ec/sp/torihikihou/spray?uiel=Mobile</v>
      </c>
      <c r="G231" s="13" t="str">
        <f>HYPERLINK("https://mitsui-shopping-park.com/ec/sp/torihikihou/spray?uiel=Mobile")</f>
        <v>https://mitsui-shopping-park.com/ec/sp/torihikihou/spray?uiel=Mobile</v>
      </c>
    </row>
    <row r="232" spans="1:7">
      <c r="A232" s="9" t="s">
        <v>753</v>
      </c>
      <c r="B232" s="10">
        <v>228</v>
      </c>
      <c r="C232" s="9" t="s">
        <v>754</v>
      </c>
      <c r="D232" s="9" t="s">
        <v>755</v>
      </c>
      <c r="E232" s="11" t="str">
        <f>HYPERLINK("http://msp2.sophia-s.co.jp/sp/mspf1381_20900.html")</f>
        <v>http://msp2.sophia-s.co.jp/sp/mspf1381_20900.html</v>
      </c>
      <c r="F232" s="12" t="str">
        <f>HYPERLINK("https://www3.test-mitsui-shopping-park.com/ec/sp/torihikihou/ROOTOTEGALLERY?uiel=Mobile")</f>
        <v>https://www3.test-mitsui-shopping-park.com/ec/sp/torihikihou/ROOTOTEGALLERY?uiel=Mobile</v>
      </c>
      <c r="G232" s="13" t="str">
        <f>HYPERLINK("https://mitsui-shopping-park.com/ec/sp/torihikihou/ROOTOTEGALLERY?uiel=Mobile")</f>
        <v>https://mitsui-shopping-park.com/ec/sp/torihikihou/ROOTOTEGALLERY?uiel=Mobile</v>
      </c>
    </row>
    <row r="233" spans="1:7">
      <c r="A233" s="9" t="s">
        <v>756</v>
      </c>
      <c r="B233" s="10">
        <v>229</v>
      </c>
      <c r="C233" s="9" t="s">
        <v>757</v>
      </c>
      <c r="D233" s="9" t="s">
        <v>758</v>
      </c>
      <c r="E233" s="11" t="str">
        <f>HYPERLINK("http://msp2.sophia-s.co.jp/sp/mspf1381_19800.html")</f>
        <v>http://msp2.sophia-s.co.jp/sp/mspf1381_19800.html</v>
      </c>
      <c r="F233" s="12" t="str">
        <f>HYPERLINK("https://www3.test-mitsui-shopping-park.com/ec/sp/torihikihou/Mugpop?uiel=Mobile")</f>
        <v>https://www3.test-mitsui-shopping-park.com/ec/sp/torihikihou/Mugpop?uiel=Mobile</v>
      </c>
      <c r="G233" s="13" t="str">
        <f>HYPERLINK("https://mitsui-shopping-park.com/ec/sp/torihikihou/Mugpop?uiel=Mobile")</f>
        <v>https://mitsui-shopping-park.com/ec/sp/torihikihou/Mugpop?uiel=Mobile</v>
      </c>
    </row>
    <row r="234" spans="1:7">
      <c r="A234" s="9" t="s">
        <v>759</v>
      </c>
      <c r="B234" s="10">
        <v>230</v>
      </c>
      <c r="C234" s="9" t="s">
        <v>760</v>
      </c>
      <c r="D234" s="9" t="s">
        <v>761</v>
      </c>
      <c r="E234" s="11" t="str">
        <f>HYPERLINK("http://msp2.sophia-s.co.jp/sp/mspf1381_21700.html")</f>
        <v>http://msp2.sophia-s.co.jp/sp/mspf1381_21700.html</v>
      </c>
      <c r="F234" s="12" t="str">
        <f>HYPERLINK("https://www3.test-mitsui-shopping-park.com/ec/sp/torihikihou/ChutINTIMATES?uiel=Mobile")</f>
        <v>https://www3.test-mitsui-shopping-park.com/ec/sp/torihikihou/ChutINTIMATES?uiel=Mobile</v>
      </c>
      <c r="G234" s="13" t="str">
        <f>HYPERLINK("https://mitsui-shopping-park.com/ec/sp/torihikihou/ChutINTIMATES?uiel=Mobile")</f>
        <v>https://mitsui-shopping-park.com/ec/sp/torihikihou/ChutINTIMATES?uiel=Mobile</v>
      </c>
    </row>
    <row r="235" spans="1:7">
      <c r="A235" s="9" t="s">
        <v>762</v>
      </c>
      <c r="B235" s="10">
        <v>231</v>
      </c>
      <c r="C235" s="9" t="s">
        <v>763</v>
      </c>
      <c r="D235" s="9" t="s">
        <v>764</v>
      </c>
      <c r="E235" s="11" t="str">
        <f>HYPERLINK("http://msp2.sophia-s.co.jp/sp/mspf1381_23700.html")</f>
        <v>http://msp2.sophia-s.co.jp/sp/mspf1381_23700.html</v>
      </c>
      <c r="F235" s="12" t="str">
        <f>HYPERLINK("https://www3.test-mitsui-shopping-park.com/ec/sp/torihikihou/Esmeralda?uiel=Mobile")</f>
        <v>https://www3.test-mitsui-shopping-park.com/ec/sp/torihikihou/Esmeralda?uiel=Mobile</v>
      </c>
      <c r="G235" s="13" t="str">
        <f>HYPERLINK("https://mitsui-shopping-park.com/ec/sp/torihikihou/Esmeralda?uiel=Mobile")</f>
        <v>https://mitsui-shopping-park.com/ec/sp/torihikihou/Esmeralda?uiel=Mobile</v>
      </c>
    </row>
    <row r="236" spans="1:7">
      <c r="A236" s="9" t="s">
        <v>765</v>
      </c>
      <c r="B236" s="10">
        <v>232</v>
      </c>
      <c r="C236" s="9" t="s">
        <v>766</v>
      </c>
      <c r="D236" s="9" t="s">
        <v>766</v>
      </c>
      <c r="E236" s="11" t="str">
        <f>HYPERLINK("http://msp2.sophia-s.co.jp/sp/mspf1381_21900.html")</f>
        <v>http://msp2.sophia-s.co.jp/sp/mspf1381_21900.html</v>
      </c>
      <c r="F236" s="12" t="str">
        <f>HYPERLINK("https://www3.test-mitsui-shopping-park.com/ec/sp/torihikihou/NAVAL?uiel=Mobile")</f>
        <v>https://www3.test-mitsui-shopping-park.com/ec/sp/torihikihou/NAVAL?uiel=Mobile</v>
      </c>
      <c r="G236" s="13" t="str">
        <f>HYPERLINK("https://mitsui-shopping-park.com/ec/sp/torihikihou/NAVAL?uiel=Mobile")</f>
        <v>https://mitsui-shopping-park.com/ec/sp/torihikihou/NAVAL?uiel=Mobile</v>
      </c>
    </row>
    <row r="237" spans="1:7">
      <c r="A237" s="9" t="s">
        <v>767</v>
      </c>
      <c r="B237" s="10">
        <v>233</v>
      </c>
      <c r="C237" s="9" t="s">
        <v>768</v>
      </c>
      <c r="D237" s="9" t="s">
        <v>769</v>
      </c>
      <c r="E237" s="11" t="str">
        <f>HYPERLINK("http://msp2.sophia-s.co.jp/sp/mspf1381_20500.html")</f>
        <v>http://msp2.sophia-s.co.jp/sp/mspf1381_20500.html</v>
      </c>
      <c r="F237" s="12" t="str">
        <f>HYPERLINK("https://www3.test-mitsui-shopping-park.com/ec/sp/torihikihou/CC?uiel=Mobile")</f>
        <v>https://www3.test-mitsui-shopping-park.com/ec/sp/torihikihou/CC?uiel=Mobile</v>
      </c>
      <c r="G237" s="13" t="str">
        <f>HYPERLINK("https://mitsui-shopping-park.com/ec/sp/torihikihou/CC?uiel=Mobile")</f>
        <v>https://mitsui-shopping-park.com/ec/sp/torihikihou/CC?uiel=Mobile</v>
      </c>
    </row>
    <row r="238" spans="1:7">
      <c r="A238" s="9" t="s">
        <v>770</v>
      </c>
      <c r="B238" s="10">
        <v>234</v>
      </c>
      <c r="C238" s="9" t="s">
        <v>771</v>
      </c>
      <c r="D238" s="9" t="s">
        <v>771</v>
      </c>
      <c r="E238" s="11" t="str">
        <f>HYPERLINK("http://msp2.sophia-s.co.jp/sp/mspf1381_23900.html")</f>
        <v>http://msp2.sophia-s.co.jp/sp/mspf1381_23900.html</v>
      </c>
      <c r="F238" s="12" t="str">
        <f>HYPERLINK("https://www3.test-mitsui-shopping-park.com/ec/sp/torihikihou/SKINFOOD?uiel=Mobile")</f>
        <v>https://www3.test-mitsui-shopping-park.com/ec/sp/torihikihou/SKINFOOD?uiel=Mobile</v>
      </c>
      <c r="G238" s="13" t="str">
        <f>HYPERLINK("https://mitsui-shopping-park.com/ec/sp/torihikihou/SKINFOOD?uiel=Mobile")</f>
        <v>https://mitsui-shopping-park.com/ec/sp/torihikihou/SKINFOOD?uiel=Mobile</v>
      </c>
    </row>
    <row r="239" spans="1:7">
      <c r="A239" s="9" t="s">
        <v>772</v>
      </c>
      <c r="B239" s="10">
        <v>235</v>
      </c>
      <c r="C239" s="9" t="s">
        <v>773</v>
      </c>
      <c r="D239" s="9" t="s">
        <v>773</v>
      </c>
      <c r="E239" s="11" t="str">
        <f>HYPERLINK("http://msp2.sophia-s.co.jp/sp/mspf1381_22600.html")</f>
        <v>http://msp2.sophia-s.co.jp/sp/mspf1381_22600.html</v>
      </c>
      <c r="F239" s="12" t="str">
        <f>HYPERLINK("https://www3.test-mitsui-shopping-park.com/ec/sp/torihikihou/STRAWBERRY-FIELDS?uiel=Mobile")</f>
        <v>https://www3.test-mitsui-shopping-park.com/ec/sp/torihikihou/STRAWBERRY-FIELDS?uiel=Mobile</v>
      </c>
      <c r="G239" s="13" t="str">
        <f>HYPERLINK("https://mitsui-shopping-park.com/ec/sp/torihikihou/STRAWBERRY-FIELDS?uiel=Mobile")</f>
        <v>https://mitsui-shopping-park.com/ec/sp/torihikihou/STRAWBERRY-FIELDS?uiel=Mobile</v>
      </c>
    </row>
    <row r="240" spans="1:7">
      <c r="A240" s="9" t="s">
        <v>774</v>
      </c>
      <c r="B240" s="10">
        <v>236</v>
      </c>
      <c r="C240" s="9" t="s">
        <v>775</v>
      </c>
      <c r="D240" s="9" t="s">
        <v>775</v>
      </c>
      <c r="E240" s="11" t="str">
        <f>HYPERLINK("http://msp2.sophia-s.co.jp/sp/mspf1381_20200.html")</f>
        <v>http://msp2.sophia-s.co.jp/sp/mspf1381_20200.html</v>
      </c>
      <c r="F240" s="12" t="str">
        <f>HYPERLINK("https://www3.test-mitsui-shopping-park.com/ec/sp/torihikihou/SUPRA?uiel=Mobile")</f>
        <v>https://www3.test-mitsui-shopping-park.com/ec/sp/torihikihou/SUPRA?uiel=Mobile</v>
      </c>
      <c r="G240" s="13" t="str">
        <f>HYPERLINK("https://mitsui-shopping-park.com/ec/sp/torihikihou/SUPRA?uiel=Mobile")</f>
        <v>https://mitsui-shopping-park.com/ec/sp/torihikihou/SUPRA?uiel=Mobile</v>
      </c>
    </row>
    <row r="241" spans="1:7">
      <c r="A241" s="9" t="s">
        <v>776</v>
      </c>
      <c r="B241" s="10">
        <v>237</v>
      </c>
      <c r="C241" s="9" t="s">
        <v>777</v>
      </c>
      <c r="D241" s="9" t="s">
        <v>778</v>
      </c>
      <c r="E241" s="11" t="str">
        <f>HYPERLINK("http://msp2.sophia-s.co.jp/sp/mspf1381_20600.html")</f>
        <v>http://msp2.sophia-s.co.jp/sp/mspf1381_20600.html</v>
      </c>
      <c r="F241" s="12" t="str">
        <f>HYPERLINK("https://www3.test-mitsui-shopping-park.com/ec/sp/torihikihou/DouxmierebijouSOPHIA?uiel=Mobile")</f>
        <v>https://www3.test-mitsui-shopping-park.com/ec/sp/torihikihou/DouxmierebijouSOPHIA?uiel=Mobile</v>
      </c>
      <c r="G241" s="13" t="str">
        <f>HYPERLINK("https://mitsui-shopping-park.com/ec/sp/torihikihou/DouxmierebijouSOPHIA?uiel=Mobile")</f>
        <v>https://mitsui-shopping-park.com/ec/sp/torihikihou/DouxmierebijouSOPHIA?uiel=Mobile</v>
      </c>
    </row>
    <row r="242" spans="1:7">
      <c r="A242" s="9" t="s">
        <v>779</v>
      </c>
      <c r="B242" s="10">
        <v>238</v>
      </c>
      <c r="C242" s="9" t="s">
        <v>780</v>
      </c>
      <c r="D242" s="9" t="s">
        <v>781</v>
      </c>
      <c r="E242" s="11" t="str">
        <f>HYPERLINK("http://msp2.sophia-s.co.jp/sp/mspf1381_20601.html")</f>
        <v>http://msp2.sophia-s.co.jp/sp/mspf1381_20601.html</v>
      </c>
      <c r="F242" s="12" t="str">
        <f>HYPERLINK("https://www3.test-mitsui-shopping-park.com/ec/sp/torihikihou/festariavoyage?uiel=Mobile")</f>
        <v>https://www3.test-mitsui-shopping-park.com/ec/sp/torihikihou/festariavoyage?uiel=Mobile</v>
      </c>
      <c r="G242" s="13" t="str">
        <f>HYPERLINK("https://mitsui-shopping-park.com/ec/sp/torihikihou/festariavoyage?uiel=Mobile")</f>
        <v>https://mitsui-shopping-park.com/ec/sp/torihikihou/festariavoyage?uiel=Mobile</v>
      </c>
    </row>
    <row r="243" spans="1:7">
      <c r="A243" s="9" t="s">
        <v>782</v>
      </c>
      <c r="B243" s="10">
        <v>239</v>
      </c>
      <c r="C243" s="9" t="s">
        <v>783</v>
      </c>
      <c r="D243" s="9" t="s">
        <v>784</v>
      </c>
      <c r="E243" s="11" t="str">
        <f>HYPERLINK("http://msp2.sophia-s.co.jp/sp/mspf1381_22500.html")</f>
        <v>http://msp2.sophia-s.co.jp/sp/mspf1381_22500.html</v>
      </c>
      <c r="F243" s="12" t="str">
        <f>HYPERLINK("https://www3.test-mitsui-shopping-park.com/ec/sp/torihikihou/GOSTARDEFUGA?uiel=Mobile")</f>
        <v>https://www3.test-mitsui-shopping-park.com/ec/sp/torihikihou/GOSTARDEFUGA?uiel=Mobile</v>
      </c>
      <c r="G243" s="13" t="str">
        <f>HYPERLINK("https://mitsui-shopping-park.com/ec/sp/torihikihou/GOSTARDEFUGA?uiel=Mobile")</f>
        <v>https://mitsui-shopping-park.com/ec/sp/torihikihou/GOSTARDEFUGA?uiel=Mobile</v>
      </c>
    </row>
    <row r="244" spans="1:7">
      <c r="A244" s="9" t="s">
        <v>785</v>
      </c>
      <c r="B244" s="10">
        <v>240</v>
      </c>
      <c r="C244" s="9" t="s">
        <v>786</v>
      </c>
      <c r="D244" s="9" t="s">
        <v>786</v>
      </c>
      <c r="E244" s="11" t="str">
        <f>HYPERLINK("http://msp2.sophia-s.co.jp/sp/mspf1381_20800.html")</f>
        <v>http://msp2.sophia-s.co.jp/sp/mspf1381_20800.html</v>
      </c>
      <c r="F244" s="12" t="str">
        <f>HYPERLINK("https://www3.test-mitsui-shopping-park.com/ec/sp/torihikihou/KATOJI?uiel=Mobile")</f>
        <v>https://www3.test-mitsui-shopping-park.com/ec/sp/torihikihou/KATOJI?uiel=Mobile</v>
      </c>
      <c r="G244" s="13" t="str">
        <f>HYPERLINK("https://mitsui-shopping-park.com/ec/sp/torihikihou/KATOJI?uiel=Mobile")</f>
        <v>https://mitsui-shopping-park.com/ec/sp/torihikihou/KATOJI?uiel=Mobile</v>
      </c>
    </row>
    <row r="245" spans="1:7">
      <c r="A245" s="9" t="s">
        <v>787</v>
      </c>
      <c r="B245" s="10">
        <v>241</v>
      </c>
      <c r="C245" s="9" t="s">
        <v>788</v>
      </c>
      <c r="D245" s="9" t="s">
        <v>789</v>
      </c>
      <c r="E245" s="11" t="str">
        <f>HYPERLINK("http://msp2.sophia-s.co.jp/sp/mspf1381_21400.html")</f>
        <v>http://msp2.sophia-s.co.jp/sp/mspf1381_21400.html</v>
      </c>
      <c r="F245" s="12" t="str">
        <f>HYPERLINK("https://www3.test-mitsui-shopping-park.com/ec/sp/torihikihou/TWS?uiel=Mobile")</f>
        <v>https://www3.test-mitsui-shopping-park.com/ec/sp/torihikihou/TWS?uiel=Mobile</v>
      </c>
      <c r="G245" s="13" t="str">
        <f>HYPERLINK("https://mitsui-shopping-park.com/ec/sp/torihikihou/TWS?uiel=Mobile")</f>
        <v>https://mitsui-shopping-park.com/ec/sp/torihikihou/TWS?uiel=Mobile</v>
      </c>
    </row>
    <row r="246" spans="1:7">
      <c r="A246" s="9" t="s">
        <v>790</v>
      </c>
      <c r="B246" s="10">
        <v>242</v>
      </c>
      <c r="C246" s="9" t="s">
        <v>791</v>
      </c>
      <c r="D246" s="9" t="s">
        <v>791</v>
      </c>
      <c r="E246" s="11" t="str">
        <f>HYPERLINK("http://msp2.sophia-s.co.jp/sp/mspf1381_24300.html")</f>
        <v>http://msp2.sophia-s.co.jp/sp/mspf1381_24300.html</v>
      </c>
      <c r="F246" s="12" t="str">
        <f>HYPERLINK("https://www3.test-mitsui-shopping-park.com/ec/sp/torihikihou/titivate?uiel=Mobile")</f>
        <v>https://www3.test-mitsui-shopping-park.com/ec/sp/torihikihou/titivate?uiel=Mobile</v>
      </c>
      <c r="G246" s="13" t="str">
        <f>HYPERLINK("https://mitsui-shopping-park.com/ec/sp/torihikihou/titivate?uiel=Mobile")</f>
        <v>https://mitsui-shopping-park.com/ec/sp/torihikihou/titivate?uiel=Mobile</v>
      </c>
    </row>
    <row r="247" spans="1:7">
      <c r="A247" s="9" t="s">
        <v>792</v>
      </c>
      <c r="B247" s="10">
        <v>243</v>
      </c>
      <c r="C247" s="9" t="s">
        <v>793</v>
      </c>
      <c r="D247" s="9" t="s">
        <v>794</v>
      </c>
      <c r="E247" s="11" t="str">
        <f>HYPERLINK("http://msp2.sophia-s.co.jp/sp/mspf1381_24301.html")</f>
        <v>http://msp2.sophia-s.co.jp/sp/mspf1381_24301.html</v>
      </c>
      <c r="F247" s="12" t="str">
        <f>HYPERLINK("https://www3.test-mitsui-shopping-park.com/ec/sp/torihikihou/urs?uiel=Mobile")</f>
        <v>https://www3.test-mitsui-shopping-park.com/ec/sp/torihikihou/urs?uiel=Mobile</v>
      </c>
      <c r="G247" s="13" t="str">
        <f>HYPERLINK("https://mitsui-shopping-park.com/ec/sp/torihikihou/urs?uiel=Mobile")</f>
        <v>https://mitsui-shopping-park.com/ec/sp/torihikihou/urs?uiel=Mobile</v>
      </c>
    </row>
    <row r="248" spans="1:7">
      <c r="A248" s="9" t="s">
        <v>795</v>
      </c>
      <c r="B248" s="10">
        <v>244</v>
      </c>
      <c r="C248" s="9" t="s">
        <v>796</v>
      </c>
      <c r="D248" s="9" t="s">
        <v>797</v>
      </c>
      <c r="E248" s="11" t="str">
        <f>HYPERLINK("http://msp2.sophia-s.co.jp/sp/mspf1381_24500.html")</f>
        <v>http://msp2.sophia-s.co.jp/sp/mspf1381_24500.html</v>
      </c>
      <c r="F248" s="12" t="str">
        <f>HYPERLINK("https://www3.test-mitsui-shopping-park.com/ec/sp/torihikihou/MENSBIGI?uiel=Mobile")</f>
        <v>https://www3.test-mitsui-shopping-park.com/ec/sp/torihikihou/MENSBIGI?uiel=Mobile</v>
      </c>
      <c r="G248" s="13" t="str">
        <f>HYPERLINK("https://mitsui-shopping-park.com/ec/sp/torihikihou/MENSBIGI?uiel=Mobile")</f>
        <v>https://mitsui-shopping-park.com/ec/sp/torihikihou/MENSBIGI?uiel=Mobile</v>
      </c>
    </row>
    <row r="249" spans="1:7">
      <c r="A249" s="9" t="s">
        <v>798</v>
      </c>
      <c r="B249" s="10">
        <v>245</v>
      </c>
      <c r="C249" s="9" t="s">
        <v>799</v>
      </c>
      <c r="D249" s="9" t="s">
        <v>800</v>
      </c>
      <c r="E249" s="11" t="str">
        <f>HYPERLINK("http://msp2.sophia-s.co.jp/sp/mspf1381_24400.html")</f>
        <v>http://msp2.sophia-s.co.jp/sp/mspf1381_24400.html</v>
      </c>
      <c r="F249" s="12" t="str">
        <f>HYPERLINK("https://www3.test-mitsui-shopping-park.com/ec/sp/torihikihou/yogibo?uiel=Mobile")</f>
        <v>https://www3.test-mitsui-shopping-park.com/ec/sp/torihikihou/yogibo?uiel=Mobile</v>
      </c>
      <c r="G249" s="13" t="str">
        <f>HYPERLINK("https://mitsui-shopping-park.com/ec/sp/torihikihou/yogibo?uiel=Mobile")</f>
        <v>https://mitsui-shopping-park.com/ec/sp/torihikihou/yogibo?uiel=Mobile</v>
      </c>
    </row>
    <row r="250" spans="1:7">
      <c r="A250" s="9" t="s">
        <v>801</v>
      </c>
      <c r="B250" s="10">
        <v>246</v>
      </c>
      <c r="C250" s="9" t="s">
        <v>802</v>
      </c>
      <c r="D250" s="9" t="s">
        <v>803</v>
      </c>
      <c r="E250" s="11" t="str">
        <f>HYPERLINK("http://msp2.sophia-s.co.jp/sp/mspf1381_24600.html")</f>
        <v>http://msp2.sophia-s.co.jp/sp/mspf1381_24600.html</v>
      </c>
      <c r="F250" s="12" t="str">
        <f>HYPERLINK("https://www3.test-mitsui-shopping-park.com/ec/sp/torihikihou/AneMone?uiel=Mobile")</f>
        <v>https://www3.test-mitsui-shopping-park.com/ec/sp/torihikihou/AneMone?uiel=Mobile</v>
      </c>
      <c r="G250" s="13" t="str">
        <f>HYPERLINK("https://mitsui-shopping-park.com/ec/sp/torihikihou/AneMone?uiel=Mobile")</f>
        <v>https://mitsui-shopping-park.com/ec/sp/torihikihou/AneMone?uiel=Mobile</v>
      </c>
    </row>
    <row r="251" spans="1:7">
      <c r="A251" s="9" t="s">
        <v>804</v>
      </c>
      <c r="B251" s="10">
        <v>247</v>
      </c>
      <c r="C251" s="9" t="s">
        <v>805</v>
      </c>
      <c r="D251" s="9" t="s">
        <v>806</v>
      </c>
      <c r="E251" s="11" t="str">
        <f>HYPERLINK("http://msp2.sophia-s.co.jp/sp/mspf1381_24601.html")</f>
        <v>http://msp2.sophia-s.co.jp/sp/mspf1381_24601.html</v>
      </c>
      <c r="F251" s="12" t="str">
        <f>HYPERLINK("https://www3.test-mitsui-shopping-park.com/ec/sp/torihikihou/SIENAROSE?uiel=Mobile")</f>
        <v>https://www3.test-mitsui-shopping-park.com/ec/sp/torihikihou/SIENAROSE?uiel=Mobile</v>
      </c>
      <c r="G251" s="13" t="str">
        <f>HYPERLINK("https://mitsui-shopping-park.com/ec/sp/torihikihou/SIENAROSE?uiel=Mobile")</f>
        <v>https://mitsui-shopping-park.com/ec/sp/torihikihou/SIENAROSE?uiel=Mobile</v>
      </c>
    </row>
    <row r="252" spans="1:7">
      <c r="A252" s="9" t="s">
        <v>807</v>
      </c>
      <c r="B252" s="10">
        <v>248</v>
      </c>
      <c r="C252" s="9" t="s">
        <v>808</v>
      </c>
      <c r="D252" s="9" t="s">
        <v>808</v>
      </c>
      <c r="E252" s="11" t="str">
        <f>HYPERLINK("http://msp2.sophia-s.co.jp/sp/mspf1381_21300.html")</f>
        <v>http://msp2.sophia-s.co.jp/sp/mspf1381_21300.html</v>
      </c>
      <c r="F252" s="12" t="str">
        <f>HYPERLINK("https://www3.test-mitsui-shopping-park.com/ec/sp/torihikihou/BICASA?uiel=Mobile")</f>
        <v>https://www3.test-mitsui-shopping-park.com/ec/sp/torihikihou/BICASA?uiel=Mobile</v>
      </c>
      <c r="G252" s="13" t="str">
        <f>HYPERLINK("https://mitsui-shopping-park.com/ec/sp/torihikihou/BICASA?uiel=Mobile")</f>
        <v>https://mitsui-shopping-park.com/ec/sp/torihikihou/BICASA?uiel=Mobile</v>
      </c>
    </row>
    <row r="253" spans="1:7">
      <c r="A253" s="9" t="s">
        <v>809</v>
      </c>
      <c r="B253" s="10">
        <v>249</v>
      </c>
      <c r="C253" s="9" t="s">
        <v>810</v>
      </c>
      <c r="D253" s="9" t="s">
        <v>811</v>
      </c>
      <c r="E253" s="11" t="str">
        <f>HYPERLINK("http://msp2.sophia-s.co.jp/sp/mspf1381_21301.html")</f>
        <v>http://msp2.sophia-s.co.jp/sp/mspf1381_21301.html</v>
      </c>
      <c r="F253" s="12" t="str">
        <f>HYPERLINK("https://www3.test-mitsui-shopping-park.com/ec/sp/torihikihou/BICASAfurniture?uiel=Mobile")</f>
        <v>https://www3.test-mitsui-shopping-park.com/ec/sp/torihikihou/BICASAfurniture?uiel=Mobile</v>
      </c>
      <c r="G253" s="13" t="str">
        <f>HYPERLINK("https://mitsui-shopping-park.com/ec/sp/torihikihou/BICASAfurniture?uiel=Mobile")</f>
        <v>https://mitsui-shopping-park.com/ec/sp/torihikihou/BICASAfurniture?uiel=Mobile</v>
      </c>
    </row>
    <row r="254" spans="1:7">
      <c r="A254" s="9" t="s">
        <v>812</v>
      </c>
      <c r="B254" s="10">
        <v>250</v>
      </c>
      <c r="C254" s="9" t="s">
        <v>813</v>
      </c>
      <c r="D254" s="9" t="s">
        <v>814</v>
      </c>
      <c r="E254" s="11" t="str">
        <f>HYPERLINK("http://msp2.sophia-s.co.jp/sp/mspf1381_22300.html")</f>
        <v>http://msp2.sophia-s.co.jp/sp/mspf1381_22300.html</v>
      </c>
      <c r="F254" s="12" t="str">
        <f>HYPERLINK("https://www3.test-mitsui-shopping-park.com/ec/sp/torihikihou/JLounge?uiel=Mobile")</f>
        <v>https://www3.test-mitsui-shopping-park.com/ec/sp/torihikihou/JLounge?uiel=Mobile</v>
      </c>
      <c r="G254" s="13" t="str">
        <f>HYPERLINK("https://mitsui-shopping-park.com/ec/sp/torihikihou/JLounge?uiel=Mobile")</f>
        <v>https://mitsui-shopping-park.com/ec/sp/torihikihou/JLounge?uiel=Mobile</v>
      </c>
    </row>
    <row r="255" spans="1:7">
      <c r="A255" s="9" t="s">
        <v>815</v>
      </c>
      <c r="B255" s="10">
        <v>251</v>
      </c>
      <c r="C255" s="9" t="s">
        <v>816</v>
      </c>
      <c r="D255" s="9" t="s">
        <v>816</v>
      </c>
      <c r="E255" s="11" t="str">
        <f>HYPERLINK("http://msp2.sophia-s.co.jp/sp/mspf1381_19700.html")</f>
        <v>http://msp2.sophia-s.co.jp/sp/mspf1381_19700.html</v>
      </c>
      <c r="F255" s="12" t="str">
        <f>HYPERLINK("https://www3.test-mitsui-shopping-park.com/ec/sp/torihikihou/TOPKAPI?uiel=Mobile")</f>
        <v>https://www3.test-mitsui-shopping-park.com/ec/sp/torihikihou/TOPKAPI?uiel=Mobile</v>
      </c>
      <c r="G255" s="13" t="str">
        <f>HYPERLINK("https://mitsui-shopping-park.com/ec/sp/torihikihou/TOPKAPI?uiel=Mobile")</f>
        <v>https://mitsui-shopping-park.com/ec/sp/torihikihou/TOPKAPI?uiel=Mobile</v>
      </c>
    </row>
    <row r="256" spans="1:7">
      <c r="A256" s="9" t="s">
        <v>817</v>
      </c>
      <c r="B256" s="10">
        <v>252</v>
      </c>
      <c r="C256" s="9" t="s">
        <v>818</v>
      </c>
      <c r="D256" s="9" t="s">
        <v>819</v>
      </c>
      <c r="E256" s="11" t="str">
        <f>HYPERLINK("http://msp2.sophia-s.co.jp/sp/mspf1381_22900.html")</f>
        <v>http://msp2.sophia-s.co.jp/sp/mspf1381_22900.html</v>
      </c>
      <c r="F256" s="12" t="str">
        <f>HYPERLINK("https://www3.test-mitsui-shopping-park.com/ec/sp/torihikihou/GRACECONTINENTAL?uiel=Mobile")</f>
        <v>https://www3.test-mitsui-shopping-park.com/ec/sp/torihikihou/GRACECONTINENTAL?uiel=Mobile</v>
      </c>
      <c r="G256" s="13" t="str">
        <f>HYPERLINK("https://mitsui-shopping-park.com/ec/sp/torihikihou/GRACECONTINENTAL?uiel=Mobile")</f>
        <v>https://mitsui-shopping-park.com/ec/sp/torihikihou/GRACECONTINENTAL?uiel=Mobile</v>
      </c>
    </row>
    <row r="257" spans="1:7">
      <c r="A257" s="9" t="s">
        <v>820</v>
      </c>
      <c r="B257" s="10">
        <v>253</v>
      </c>
      <c r="C257" s="9" t="s">
        <v>821</v>
      </c>
      <c r="D257" s="9" t="s">
        <v>821</v>
      </c>
      <c r="E257" s="11" t="str">
        <f>HYPERLINK("http://msp2.sophia-s.co.jp/sp/mspf1381_22901.html")</f>
        <v>http://msp2.sophia-s.co.jp/sp/mspf1381_22901.html</v>
      </c>
      <c r="F257" s="12" t="str">
        <f>HYPERLINK("https://www3.test-mitsui-shopping-park.com/ec/sp/torihikihou/WYTHECHARM?uiel=Mobile")</f>
        <v>https://www3.test-mitsui-shopping-park.com/ec/sp/torihikihou/WYTHECHARM?uiel=Mobile</v>
      </c>
      <c r="G257" s="13" t="str">
        <f>HYPERLINK("https://mitsui-shopping-park.com/ec/sp/torihikihou/WYTHECHARM?uiel=Mobile")</f>
        <v>https://mitsui-shopping-park.com/ec/sp/torihikihou/WYTHECHARM?uiel=Mobile</v>
      </c>
    </row>
    <row r="258" spans="1:7">
      <c r="A258" s="9" t="s">
        <v>822</v>
      </c>
      <c r="B258" s="10">
        <v>254</v>
      </c>
      <c r="C258" s="9" t="s">
        <v>823</v>
      </c>
      <c r="D258" s="9" t="s">
        <v>824</v>
      </c>
      <c r="E258" s="11" t="str">
        <f>HYPERLINK("http://msp2.sophia-s.co.jp/sp/mspf1381_20100.html")</f>
        <v>http://msp2.sophia-s.co.jp/sp/mspf1381_20100.html</v>
      </c>
      <c r="F258" s="12" t="str">
        <f>HYPERLINK("https://www3.test-mitsui-shopping-park.com/ec/sp/torihikihou/nishikawa-store?uiel=Mobile")</f>
        <v>https://www3.test-mitsui-shopping-park.com/ec/sp/torihikihou/nishikawa-store?uiel=Mobile</v>
      </c>
      <c r="G258" s="13" t="str">
        <f>HYPERLINK("https://mitsui-shopping-park.com/ec/sp/torihikihou/nishikawa-store?uiel=Mobile")</f>
        <v>https://mitsui-shopping-park.com/ec/sp/torihikihou/nishikawa-store?uiel=Mobile</v>
      </c>
    </row>
    <row r="259" spans="1:7">
      <c r="A259" s="9" t="s">
        <v>825</v>
      </c>
      <c r="B259" s="10">
        <v>255</v>
      </c>
      <c r="C259" s="9" t="s">
        <v>826</v>
      </c>
      <c r="D259" s="9" t="s">
        <v>827</v>
      </c>
      <c r="E259" s="11" t="str">
        <f>HYPERLINK("http://msp2.sophia-s.co.jp/sp/mspf1381_20400.html")</f>
        <v>http://msp2.sophia-s.co.jp/sp/mspf1381_20400.html</v>
      </c>
      <c r="F259" s="12" t="str">
        <f>HYPERLINK("https://www3.test-mitsui-shopping-park.com/ec/sp/torihikihou/taka-q?uiel=Mobile")</f>
        <v>https://www3.test-mitsui-shopping-park.com/ec/sp/torihikihou/taka-q?uiel=Mobile</v>
      </c>
      <c r="G259" s="13" t="str">
        <f>HYPERLINK("https://mitsui-shopping-park.com/ec/sp/torihikihou/taka-q?uiel=Mobile")</f>
        <v>https://mitsui-shopping-park.com/ec/sp/torihikihou/taka-q?uiel=Mobile</v>
      </c>
    </row>
    <row r="260" spans="1:7">
      <c r="A260" s="9" t="s">
        <v>828</v>
      </c>
      <c r="B260" s="10">
        <v>256</v>
      </c>
      <c r="C260" s="9" t="s">
        <v>829</v>
      </c>
      <c r="D260" s="9" t="s">
        <v>830</v>
      </c>
      <c r="E260" s="11" t="str">
        <f>HYPERLINK("http://msp2.sophia-s.co.jp/sp/mspf1381_22200.html")</f>
        <v>http://msp2.sophia-s.co.jp/sp/mspf1381_22200.html</v>
      </c>
      <c r="F260" s="12" t="str">
        <f>HYPERLINK("https://www3.test-mitsui-shopping-park.com/ec/sp/torihikihou/maruishoesandbag?uiel=Mobile")</f>
        <v>https://www3.test-mitsui-shopping-park.com/ec/sp/torihikihou/maruishoesandbag?uiel=Mobile</v>
      </c>
      <c r="G260" s="13" t="str">
        <f>HYPERLINK("https://mitsui-shopping-park.com/ec/sp/torihikihou/maruishoesandbag?uiel=Mobile")</f>
        <v>https://mitsui-shopping-park.com/ec/sp/torihikihou/maruishoesandbag?uiel=Mobile</v>
      </c>
    </row>
    <row r="261" spans="1:7">
      <c r="A261" s="9" t="s">
        <v>831</v>
      </c>
      <c r="B261" s="10">
        <v>257</v>
      </c>
      <c r="C261" s="9" t="s">
        <v>832</v>
      </c>
      <c r="D261" s="9" t="s">
        <v>832</v>
      </c>
      <c r="E261" s="11" t="str">
        <f>HYPERLINK("http://msp2.sophia-s.co.jp/sp/mspf1381_23300.html")</f>
        <v>http://msp2.sophia-s.co.jp/sp/mspf1381_23300.html</v>
      </c>
      <c r="F261" s="12" t="str">
        <f>HYPERLINK("https://www3.test-mitsui-shopping-park.com/ec/sp/torihikihou/Lee?uiel=Mobile")</f>
        <v>https://www3.test-mitsui-shopping-park.com/ec/sp/torihikihou/Lee?uiel=Mobile</v>
      </c>
      <c r="G261" s="13" t="str">
        <f>HYPERLINK("https://mitsui-shopping-park.com/ec/sp/torihikihou/Lee?uiel=Mobile")</f>
        <v>https://mitsui-shopping-park.com/ec/sp/torihikihou/Lee?uiel=Mobile</v>
      </c>
    </row>
    <row r="262" spans="1:7">
      <c r="A262" s="9" t="s">
        <v>833</v>
      </c>
      <c r="B262" s="10">
        <v>258</v>
      </c>
      <c r="C262" s="9" t="s">
        <v>834</v>
      </c>
      <c r="D262" s="9" t="s">
        <v>834</v>
      </c>
      <c r="E262" s="11" t="str">
        <f>HYPERLINK("http://msp2.sophia-s.co.jp/sp/mspf1381_23200.html")</f>
        <v>http://msp2.sophia-s.co.jp/sp/mspf1381_23200.html</v>
      </c>
      <c r="F262" s="12" t="str">
        <f>HYPERLINK("https://www3.test-mitsui-shopping-park.com/ec/sp/torihikihou/EDWIN?uiel=Mobile")</f>
        <v>https://www3.test-mitsui-shopping-park.com/ec/sp/torihikihou/EDWIN?uiel=Mobile</v>
      </c>
      <c r="G262" s="13" t="str">
        <f>HYPERLINK("https://mitsui-shopping-park.com/ec/sp/torihikihou/EDWIN?uiel=Mobile")</f>
        <v>https://mitsui-shopping-park.com/ec/sp/torihikihou/EDWIN?uiel=Mobile</v>
      </c>
    </row>
    <row r="263" spans="1:7">
      <c r="A263" s="9" t="s">
        <v>835</v>
      </c>
      <c r="B263" s="10">
        <v>259</v>
      </c>
      <c r="C263" s="9" t="s">
        <v>836</v>
      </c>
      <c r="D263" s="9" t="s">
        <v>836</v>
      </c>
      <c r="E263" s="11" t="str">
        <f>HYPERLINK("http://msp2.sophia-s.co.jp/sp/mspf1381_23400.html")</f>
        <v>http://msp2.sophia-s.co.jp/sp/mspf1381_23400.html</v>
      </c>
      <c r="F263" s="12" t="str">
        <f>HYPERLINK("https://www3.test-mitsui-shopping-park.com/ec/sp/torihikihou/REPLAY?uiel=Mobile")</f>
        <v>https://www3.test-mitsui-shopping-park.com/ec/sp/torihikihou/REPLAY?uiel=Mobile</v>
      </c>
      <c r="G263" s="13" t="str">
        <f>HYPERLINK("https://mitsui-shopping-park.com/ec/sp/torihikihou/REPLAY?uiel=Mobile")</f>
        <v>https://mitsui-shopping-park.com/ec/sp/torihikihou/REPLAY?uiel=Mobile</v>
      </c>
    </row>
    <row r="264" spans="1:7">
      <c r="A264" s="9" t="s">
        <v>837</v>
      </c>
      <c r="B264" s="10">
        <v>260</v>
      </c>
      <c r="C264" s="9" t="s">
        <v>838</v>
      </c>
      <c r="D264" s="9" t="s">
        <v>839</v>
      </c>
      <c r="E264" s="11" t="str">
        <f>HYPERLINK("http://msp2.sophia-s.co.jp/sp/mspf1381_24700.html")</f>
        <v>http://msp2.sophia-s.co.jp/sp/mspf1381_24700.html</v>
      </c>
      <c r="F264" s="12" t="str">
        <f>HYPERLINK("https://www3.test-mitsui-shopping-park.com/ec/sp/torihikihou/TowelMuseum?uiel=Mobile")</f>
        <v>https://www3.test-mitsui-shopping-park.com/ec/sp/torihikihou/TowelMuseum?uiel=Mobile</v>
      </c>
      <c r="G264" s="13" t="str">
        <f>HYPERLINK("https://mitsui-shopping-park.com/ec/sp/torihikihou/TowelMuseum?uiel=Mobile")</f>
        <v>https://mitsui-shopping-park.com/ec/sp/torihikihou/TowelMuseum?uiel=Mobile</v>
      </c>
    </row>
    <row r="265" spans="1:7">
      <c r="A265" s="9" t="s">
        <v>840</v>
      </c>
      <c r="B265" s="10">
        <v>261</v>
      </c>
      <c r="C265" s="9" t="s">
        <v>841</v>
      </c>
      <c r="D265" s="9" t="s">
        <v>841</v>
      </c>
      <c r="E265" s="11" t="str">
        <f>HYPERLINK("http://msp2.sophia-s.co.jp/sp/mspf1381_19000.html")</f>
        <v>http://msp2.sophia-s.co.jp/sp/mspf1381_19000.html</v>
      </c>
      <c r="F265" s="12" t="str">
        <f>HYPERLINK("https://www3.test-mitsui-shopping-park.com/ec/sp/torihikihou/Desigual?uiel=Mobile")</f>
        <v>https://www3.test-mitsui-shopping-park.com/ec/sp/torihikihou/Desigual?uiel=Mobile</v>
      </c>
      <c r="G265" s="13" t="str">
        <f>HYPERLINK("https://mitsui-shopping-park.com/ec/sp/torihikihou/Desigual?uiel=Mobile")</f>
        <v>https://mitsui-shopping-park.com/ec/sp/torihikihou/Desigual?uiel=Mobile</v>
      </c>
    </row>
    <row r="266" spans="1:7">
      <c r="A266" s="9" t="s">
        <v>842</v>
      </c>
      <c r="B266" s="10">
        <v>262</v>
      </c>
      <c r="C266" s="9" t="s">
        <v>843</v>
      </c>
      <c r="D266" s="9" t="s">
        <v>844</v>
      </c>
      <c r="E266" s="11" t="str">
        <f>HYPERLINK("http://msp2.sophia-s.co.jp/sp/mspf1381_18900.html")</f>
        <v>http://msp2.sophia-s.co.jp/sp/mspf1381_18900.html</v>
      </c>
      <c r="F266" s="12" t="str">
        <f>HYPERLINK("https://www3.test-mitsui-shopping-park.com/ec/sp/torihikihou/Coach?uiel=Mobile")</f>
        <v>https://www3.test-mitsui-shopping-park.com/ec/sp/torihikihou/Coach?uiel=Mobile</v>
      </c>
      <c r="G266" s="13" t="str">
        <f>HYPERLINK("https://mitsui-shopping-park.com/ec/sp/torihikihou/Coach?uiel=Mobile")</f>
        <v>https://mitsui-shopping-park.com/ec/sp/torihikihou/Coach?uiel=Mobile</v>
      </c>
    </row>
    <row r="267" spans="1:7">
      <c r="A267" s="9" t="s">
        <v>845</v>
      </c>
      <c r="B267" s="10">
        <v>263</v>
      </c>
      <c r="C267" s="9" t="s">
        <v>846</v>
      </c>
      <c r="D267" s="9" t="s">
        <v>846</v>
      </c>
      <c r="E267" s="11" t="str">
        <f>HYPERLINK("http://msp2.sophia-s.co.jp/sp/mspf1381_24900.html")</f>
        <v>http://msp2.sophia-s.co.jp/sp/mspf1381_24900.html</v>
      </c>
      <c r="F267" s="12" t="str">
        <f>HYPERLINK("https://www3.test-mitsui-shopping-park.com/ec/sp/torihikihou/AddElm?uiel=Mobile")</f>
        <v>https://www3.test-mitsui-shopping-park.com/ec/sp/torihikihou/AddElm?uiel=Mobile</v>
      </c>
      <c r="G267" s="13" t="str">
        <f>HYPERLINK("https://mitsui-shopping-park.com/ec/sp/torihikihou/AddElm?uiel=Mobile")</f>
        <v>https://mitsui-shopping-park.com/ec/sp/torihikihou/AddElm?uiel=Mobile</v>
      </c>
    </row>
    <row r="268" spans="1:7">
      <c r="A268" s="9" t="s">
        <v>847</v>
      </c>
      <c r="B268" s="10">
        <v>264</v>
      </c>
      <c r="C268" s="9" t="s">
        <v>848</v>
      </c>
      <c r="D268" s="9" t="s">
        <v>848</v>
      </c>
      <c r="E268" s="11" t="str">
        <f>HYPERLINK("http://msp2.sophia-s.co.jp/sp/mspf1381_23600.html")</f>
        <v>http://msp2.sophia-s.co.jp/sp/mspf1381_23600.html</v>
      </c>
      <c r="F268" s="12" t="str">
        <f>HYPERLINK("https://www3.test-mitsui-shopping-park.com/ec/sp/torihikihou/carcru?uiel=Mobile")</f>
        <v>https://www3.test-mitsui-shopping-park.com/ec/sp/torihikihou/carcru?uiel=Mobile</v>
      </c>
      <c r="G268" s="13" t="str">
        <f>HYPERLINK("https://mitsui-shopping-park.com/ec/sp/torihikihou/carcru?uiel=Mobile")</f>
        <v>https://mitsui-shopping-park.com/ec/sp/torihikihou/carcru?uiel=Mobile</v>
      </c>
    </row>
    <row r="269" spans="1:7">
      <c r="A269" s="9" t="s">
        <v>849</v>
      </c>
      <c r="B269" s="10">
        <v>265</v>
      </c>
      <c r="C269" s="9" t="s">
        <v>850</v>
      </c>
      <c r="D269" s="9" t="s">
        <v>851</v>
      </c>
      <c r="E269" s="11" t="str">
        <f>HYPERLINK("http://msp2.sophia-s.co.jp/sp/mspf1381_20401.html")</f>
        <v>http://msp2.sophia-s.co.jp/sp/mspf1381_20401.html</v>
      </c>
      <c r="F269" s="12" t="str">
        <f>HYPERLINK("https://www3.test-mitsui-shopping-park.com/ec/sp/torihikihou/semanticdesign?uiel=Mobile")</f>
        <v>https://www3.test-mitsui-shopping-park.com/ec/sp/torihikihou/semanticdesign?uiel=Mobile</v>
      </c>
      <c r="G269" s="13" t="str">
        <f>HYPERLINK("https://mitsui-shopping-park.com/ec/sp/torihikihou/semanticdesign?uiel=Mobile")</f>
        <v>https://mitsui-shopping-park.com/ec/sp/torihikihou/semanticdesign?uiel=Mobile</v>
      </c>
    </row>
    <row r="270" spans="1:7">
      <c r="A270" s="9" t="s">
        <v>852</v>
      </c>
      <c r="B270" s="10">
        <v>266</v>
      </c>
      <c r="C270" s="9" t="s">
        <v>853</v>
      </c>
      <c r="D270" s="9" t="s">
        <v>854</v>
      </c>
      <c r="E270" s="11" t="str">
        <f>HYPERLINK("http://msp2.sophia-s.co.jp/sp/mspf1381_20402.html")</f>
        <v>http://msp2.sophia-s.co.jp/sp/mspf1381_20402.html</v>
      </c>
      <c r="F270" s="12" t="str">
        <f>HYPERLINK("https://www3.test-mitsui-shopping-park.com/ec/sp/torihikihou/mfeditorial?uiel=Mobile")</f>
        <v>https://www3.test-mitsui-shopping-park.com/ec/sp/torihikihou/mfeditorial?uiel=Mobile</v>
      </c>
      <c r="G270" s="13" t="str">
        <f>HYPERLINK("https://mitsui-shopping-park.com/ec/sp/torihikihou/mfeditorial?uiel=Mobile")</f>
        <v>https://mitsui-shopping-park.com/ec/sp/torihikihou/mfeditorial?uiel=Mobile</v>
      </c>
    </row>
    <row r="271" spans="1:7">
      <c r="A271" s="9" t="s">
        <v>855</v>
      </c>
      <c r="B271" s="10">
        <v>267</v>
      </c>
      <c r="C271" s="9" t="s">
        <v>856</v>
      </c>
      <c r="D271" s="9" t="s">
        <v>857</v>
      </c>
      <c r="E271" s="11" t="str">
        <f>HYPERLINK("http://msp2.sophia-s.co.jp/sp/mspf1381_20403.html")</f>
        <v>http://msp2.sophia-s.co.jp/sp/mspf1381_20403.html</v>
      </c>
      <c r="F271" s="12" t="str">
        <f>HYPERLINK("https://www3.test-mitsui-shopping-park.com/ec/sp/torihikihou/GRANDBACK?uiel=Mobile")</f>
        <v>https://www3.test-mitsui-shopping-park.com/ec/sp/torihikihou/GRANDBACK?uiel=Mobile</v>
      </c>
      <c r="G271" s="13" t="str">
        <f>HYPERLINK("https://mitsui-shopping-park.com/ec/sp/torihikihou/GRANDBACK?uiel=Mobile")</f>
        <v>https://mitsui-shopping-park.com/ec/sp/torihikihou/GRANDBACK?uiel=Mobile</v>
      </c>
    </row>
    <row r="272" spans="1:7">
      <c r="A272" s="9" t="s">
        <v>858</v>
      </c>
      <c r="B272" s="10">
        <v>268</v>
      </c>
      <c r="C272" s="9" t="s">
        <v>859</v>
      </c>
      <c r="D272" s="9" t="s">
        <v>860</v>
      </c>
      <c r="E272" s="11" t="str">
        <f>HYPERLINK("http://msp2.sophia-s.co.jp/sp/mspf1381_20404.html")</f>
        <v>http://msp2.sophia-s.co.jp/sp/mspf1381_20404.html</v>
      </c>
      <c r="F272" s="12" t="str">
        <f>HYPERLINK("https://www3.test-mitsui-shopping-park.com/ec/sp/torihikihou/ontheday?uiel=Mobile")</f>
        <v>https://www3.test-mitsui-shopping-park.com/ec/sp/torihikihou/ontheday?uiel=Mobile</v>
      </c>
      <c r="G272" s="13" t="str">
        <f>HYPERLINK("https://mitsui-shopping-park.com/ec/sp/torihikihou/ontheday?uiel=Mobile")</f>
        <v>https://mitsui-shopping-park.com/ec/sp/torihikihou/ontheday?uiel=Mobile</v>
      </c>
    </row>
    <row r="273" spans="1:7">
      <c r="A273" s="9" t="s">
        <v>861</v>
      </c>
      <c r="B273" s="10">
        <v>269</v>
      </c>
      <c r="C273" s="9" t="s">
        <v>862</v>
      </c>
      <c r="D273" s="9" t="s">
        <v>863</v>
      </c>
      <c r="E273" s="11" t="str">
        <f>HYPERLINK("http://msp2.sophia-s.co.jp/sp/mspf1381_20405.html")</f>
        <v>http://msp2.sophia-s.co.jp/sp/mspf1381_20405.html</v>
      </c>
      <c r="F273" s="12" t="str">
        <f>HYPERLINK("https://www3.test-mitsui-shopping-park.com/ec/sp/torihikihou/aroundtheshoes?uiel=Mobile")</f>
        <v>https://www3.test-mitsui-shopping-park.com/ec/sp/torihikihou/aroundtheshoes?uiel=Mobile</v>
      </c>
      <c r="G273" s="13" t="str">
        <f>HYPERLINK("https://mitsui-shopping-park.com/ec/sp/torihikihou/aroundtheshoes?uiel=Mobile")</f>
        <v>https://mitsui-shopping-park.com/ec/sp/torihikihou/aroundtheshoes?uiel=Mobile</v>
      </c>
    </row>
    <row r="274" spans="1:7">
      <c r="A274" s="9" t="s">
        <v>864</v>
      </c>
      <c r="B274" s="10">
        <v>270</v>
      </c>
      <c r="C274" s="9" t="s">
        <v>865</v>
      </c>
      <c r="D274" s="9" t="s">
        <v>866</v>
      </c>
      <c r="E274" s="11" t="str">
        <f>HYPERLINK("http://msp2.sophia-s.co.jp/sp/mspf1381_24200.html")</f>
        <v>http://msp2.sophia-s.co.jp/sp/mspf1381_24200.html</v>
      </c>
      <c r="F274" s="12" t="str">
        <f>HYPERLINK("https://www3.test-mitsui-shopping-park.com/ec/sp/torihikihou/morrisrugslondon?uiel=Mobile")</f>
        <v>https://www3.test-mitsui-shopping-park.com/ec/sp/torihikihou/morrisrugslondon?uiel=Mobile</v>
      </c>
      <c r="G274" s="13" t="str">
        <f>HYPERLINK("https://mitsui-shopping-park.com/ec/sp/torihikihou/morrisrugslondon?uiel=Mobile")</f>
        <v>https://mitsui-shopping-park.com/ec/sp/torihikihou/morrisrugslondon?uiel=Mobile</v>
      </c>
    </row>
    <row r="275" spans="1:7">
      <c r="A275" s="9" t="s">
        <v>867</v>
      </c>
      <c r="B275" s="10">
        <v>271</v>
      </c>
      <c r="C275" s="9" t="s">
        <v>868</v>
      </c>
      <c r="D275" s="9" t="s">
        <v>869</v>
      </c>
      <c r="E275" s="11" t="str">
        <f>HYPERLINK("http://msp2.sophia-s.co.jp/sp/mspf1381_21611.html")</f>
        <v>http://msp2.sophia-s.co.jp/sp/mspf1381_21611.html</v>
      </c>
      <c r="F275" s="14" t="str">
        <f>HYPERLINK("https://www3.test-mitsui-shopping-park.com/ec/sp/torihikihou/BLCBKC?uiel=Mobile")</f>
        <v>https://www3.test-mitsui-shopping-park.com/ec/sp/torihikihou/BLCBKC?uiel=Mobile</v>
      </c>
      <c r="G275" s="13" t="str">
        <f>HYPERLINK("https://mitsui-shopping-park.com/ec/sp/torihikihou/BLCBKC?uiel=Mobile")</f>
        <v>https://mitsui-shopping-park.com/ec/sp/torihikihou/BLCBKC?uiel=Mobile</v>
      </c>
    </row>
    <row r="276" spans="1:7">
      <c r="A276" s="9" t="s">
        <v>870</v>
      </c>
      <c r="B276" s="10">
        <v>272</v>
      </c>
      <c r="C276" s="9" t="s">
        <v>871</v>
      </c>
      <c r="D276" s="9" t="s">
        <v>872</v>
      </c>
      <c r="E276" s="11" t="str">
        <f>HYPERLINK("http://msp2.sophia-s.co.jp/sp/mspf1381_23800.html")</f>
        <v>http://msp2.sophia-s.co.jp/sp/mspf1381_23800.html</v>
      </c>
      <c r="F276" s="12" t="str">
        <f>HYPERLINK("https://www3.test-mitsui-shopping-park.com/ec/sp/torihikihou/foonline?uiel=Mobile")</f>
        <v>https://www3.test-mitsui-shopping-park.com/ec/sp/torihikihou/foonline?uiel=Mobile</v>
      </c>
      <c r="G276" s="13" t="str">
        <f>HYPERLINK("https://mitsui-shopping-park.com/ec/sp/torihikihou/foonline?uiel=Mobile")</f>
        <v>https://mitsui-shopping-park.com/ec/sp/torihikihou/foonline?uiel=Mobile</v>
      </c>
    </row>
    <row r="277" spans="1:7">
      <c r="A277" s="9" t="s">
        <v>873</v>
      </c>
      <c r="B277" s="10">
        <v>273</v>
      </c>
      <c r="C277" s="9" t="s">
        <v>874</v>
      </c>
      <c r="D277" s="9" t="s">
        <v>875</v>
      </c>
      <c r="E277" s="11" t="str">
        <f>HYPERLINK("http://msp2.sophia-s.co.jp/sp/mspf1381_25800.html")</f>
        <v>http://msp2.sophia-s.co.jp/sp/mspf1381_25800.html</v>
      </c>
      <c r="F277" s="12" t="str">
        <f>HYPERLINK("https://www3.test-mitsui-shopping-park.com/ec/sp/torihikihou/RETROGIRL?uiel=Mobile")</f>
        <v>https://www3.test-mitsui-shopping-park.com/ec/sp/torihikihou/RETROGIRL?uiel=Mobile</v>
      </c>
      <c r="G277" s="13" t="str">
        <f>HYPERLINK("https://mitsui-shopping-park.com/ec/sp/torihikihou/RETROGIRL?uiel=Mobile")</f>
        <v>https://mitsui-shopping-park.com/ec/sp/torihikihou/RETROGIRL?uiel=Mobile</v>
      </c>
    </row>
    <row r="278" spans="1:7">
      <c r="A278" s="9" t="s">
        <v>876</v>
      </c>
      <c r="B278" s="10">
        <v>274</v>
      </c>
      <c r="C278" s="9" t="s">
        <v>877</v>
      </c>
      <c r="D278" s="9" t="s">
        <v>878</v>
      </c>
      <c r="E278" s="11" t="str">
        <f>HYPERLINK("http://msp2.sophia-s.co.jp/sp/mspf1381_26100.html")</f>
        <v>http://msp2.sophia-s.co.jp/sp/mspf1381_26100.html</v>
      </c>
      <c r="F278" s="12" t="str">
        <f>HYPERLINK("https://www3.test-mitsui-shopping-park.com/ec/sp/torihikihou/JellyBeans?uiel=Mobile")</f>
        <v>https://www3.test-mitsui-shopping-park.com/ec/sp/torihikihou/JellyBeans?uiel=Mobile</v>
      </c>
      <c r="G278" s="13" t="str">
        <f>HYPERLINK("https://mitsui-shopping-park.com/ec/sp/torihikihou/JellyBeans?uiel=Mobile")</f>
        <v>https://mitsui-shopping-park.com/ec/sp/torihikihou/JellyBeans?uiel=Mobile</v>
      </c>
    </row>
    <row r="279" spans="1:7">
      <c r="A279" s="9" t="s">
        <v>879</v>
      </c>
      <c r="B279" s="10">
        <v>275</v>
      </c>
      <c r="C279" s="9" t="s">
        <v>880</v>
      </c>
      <c r="D279" s="9" t="s">
        <v>880</v>
      </c>
      <c r="E279" s="11" t="str">
        <f>HYPERLINK("http://msp2.sophia-s.co.jp/sp/mspf1381_25200.html")</f>
        <v>http://msp2.sophia-s.co.jp/sp/mspf1381_25200.html</v>
      </c>
      <c r="F279" s="12" t="str">
        <f>HYPERLINK("https://www3.test-mitsui-shopping-park.com/ec/sp/torihikihou/MARcourt?uiel=Mobile")</f>
        <v>https://www3.test-mitsui-shopping-park.com/ec/sp/torihikihou/MARcourt?uiel=Mobile</v>
      </c>
      <c r="G279" s="13" t="str">
        <f>HYPERLINK("https://mitsui-shopping-park.com/ec/sp/torihikihou/MARcourt?uiel=Mobile")</f>
        <v>https://mitsui-shopping-park.com/ec/sp/torihikihou/MARcourt?uiel=Mobile</v>
      </c>
    </row>
    <row r="280" spans="1:7">
      <c r="A280" s="15" t="s">
        <v>881</v>
      </c>
      <c r="B280" s="10">
        <v>276</v>
      </c>
      <c r="C280" s="9" t="s">
        <v>882</v>
      </c>
      <c r="D280" s="15" t="s">
        <v>883</v>
      </c>
      <c r="E280" s="11" t="str">
        <f>HYPERLINK("http://msp2.sophia-s.co.jp/sp/mspf1381_24000.html")</f>
        <v>http://msp2.sophia-s.co.jp/sp/mspf1381_24000.html</v>
      </c>
      <c r="F280" s="12" t="str">
        <f>HYPERLINK("https://www3.test-mitsui-shopping-park.com/ec/sp/torihikihou/CRASHGATE?uiel=Mobile")</f>
        <v>https://www3.test-mitsui-shopping-park.com/ec/sp/torihikihou/CRASHGATE?uiel=Mobile</v>
      </c>
      <c r="G280" s="13" t="str">
        <f>HYPERLINK("https://mitsui-shopping-park.com/ec/sp/torihikihou/CRASHGATE?uiel=Mobile")</f>
        <v>https://mitsui-shopping-park.com/ec/sp/torihikihou/CRASHGATE?uiel=Mobile</v>
      </c>
    </row>
    <row r="281" spans="1:7">
      <c r="A281" s="16" t="s">
        <v>884</v>
      </c>
      <c r="B281" s="10">
        <v>277</v>
      </c>
      <c r="C281" s="9" t="s">
        <v>885</v>
      </c>
      <c r="D281" s="16" t="s">
        <v>885</v>
      </c>
      <c r="E281" s="11" t="str">
        <f>HYPERLINK("http://msp2.sophia-s.co.jp/sp/mspf1381_23000.html")</f>
        <v>http://msp2.sophia-s.co.jp/sp/mspf1381_23000.html</v>
      </c>
      <c r="F281" s="12" t="str">
        <f>HYPERLINK("https://www3.test-mitsui-shopping-park.com/ec/sp/torihikihou/WATOSA?uiel=Mobile")</f>
        <v>https://www3.test-mitsui-shopping-park.com/ec/sp/torihikihou/WATOSA?uiel=Mobile</v>
      </c>
      <c r="G281" s="13" t="str">
        <f>HYPERLINK("https://mitsui-shopping-park.com/ec/sp/torihikihou/WATOSA?uiel=Mobile")</f>
        <v>https://mitsui-shopping-park.com/ec/sp/torihikihou/WATOSA?uiel=Mobile</v>
      </c>
    </row>
    <row r="282" spans="1:7">
      <c r="A282" s="16" t="s">
        <v>886</v>
      </c>
      <c r="B282" s="10">
        <v>278</v>
      </c>
      <c r="C282" s="9" t="s">
        <v>887</v>
      </c>
      <c r="D282" s="16" t="s">
        <v>888</v>
      </c>
      <c r="E282" s="11" t="str">
        <f>HYPERLINK("http://msp2.sophia-s.co.jp/sp/mspf1381_26000.html")</f>
        <v>http://msp2.sophia-s.co.jp/sp/mspf1381_26000.html</v>
      </c>
      <c r="F282" s="12" t="str">
        <f>HYPERLINK("https://www3.test-mitsui-shopping-park.com/ec/sp/torihikihou/ZM?uiel=Mobile")</f>
        <v>https://www3.test-mitsui-shopping-park.com/ec/sp/torihikihou/ZM?uiel=Mobile</v>
      </c>
      <c r="G282" s="13" t="str">
        <f>HYPERLINK("https://mitsui-shopping-park.com/ec/sp/torihikihou/ZM?uiel=Mobile")</f>
        <v>https://mitsui-shopping-park.com/ec/sp/torihikihou/ZM?uiel=Mobile</v>
      </c>
    </row>
    <row r="283" spans="1:7">
      <c r="A283" s="16" t="s">
        <v>889</v>
      </c>
      <c r="B283" s="10">
        <v>279</v>
      </c>
      <c r="C283" s="9" t="s">
        <v>890</v>
      </c>
      <c r="D283" s="16" t="s">
        <v>890</v>
      </c>
      <c r="E283" s="11" t="str">
        <f>HYPERLINK("http://msp2.sophia-s.co.jp/sp/mspf1381_25400.html")</f>
        <v>http://msp2.sophia-s.co.jp/sp/mspf1381_25400.html</v>
      </c>
      <c r="F283" s="12" t="str">
        <f>HYPERLINK("https://www3.test-mitsui-shopping-park.com/ec/sp/torihikihou/SmaPla?uiel=Mobile")</f>
        <v>https://www3.test-mitsui-shopping-park.com/ec/sp/torihikihou/SmaPla?uiel=Mobile</v>
      </c>
      <c r="G283" s="13" t="str">
        <f>HYPERLINK("https://mitsui-shopping-park.com/ec/sp/torihikihou/SmaPla?uiel=Mobile")</f>
        <v>https://mitsui-shopping-park.com/ec/sp/torihikihou/SmaPla?uiel=Mobile</v>
      </c>
    </row>
    <row r="284" spans="1:7">
      <c r="A284" s="16" t="s">
        <v>891</v>
      </c>
      <c r="B284" s="10">
        <v>280</v>
      </c>
      <c r="C284" s="9" t="s">
        <v>892</v>
      </c>
      <c r="D284" s="16" t="s">
        <v>892</v>
      </c>
      <c r="E284" s="11" t="str">
        <f>HYPERLINK("http://msp2.sophia-s.co.jp/sp/mspf1381_25100.html")</f>
        <v>http://msp2.sophia-s.co.jp/sp/mspf1381_25100.html</v>
      </c>
      <c r="F284" s="12" t="str">
        <f>HYPERLINK("https://www3.test-mitsui-shopping-park.com/ec/sp/torihikihou/KU-CROISSANT?uiel=Mobile")</f>
        <v>https://www3.test-mitsui-shopping-park.com/ec/sp/torihikihou/KU-CROISSANT?uiel=Mobile</v>
      </c>
      <c r="G284" s="13" t="str">
        <f>HYPERLINK("https://mitsui-shopping-park.com/ec/sp/torihikihou/KU-CROISSANT?uiel=Mobile")</f>
        <v>https://mitsui-shopping-park.com/ec/sp/torihikihou/KU-CROISSANT?uiel=Mobile</v>
      </c>
    </row>
    <row r="285" spans="1:7">
      <c r="A285" s="16" t="s">
        <v>893</v>
      </c>
      <c r="B285" s="10">
        <v>281</v>
      </c>
      <c r="C285" s="9" t="s">
        <v>894</v>
      </c>
      <c r="D285" s="16" t="s">
        <v>894</v>
      </c>
      <c r="E285" s="11" t="str">
        <f>HYPERLINK("http://msp2.sophia-s.co.jp/sp/mspf1381_25900.html")</f>
        <v>http://msp2.sophia-s.co.jp/sp/mspf1381_25900.html</v>
      </c>
      <c r="F285" s="12" t="str">
        <f>HYPERLINK("https://www3.test-mitsui-shopping-park.com/ec/sp/torihikihou/BUDDYZ?uiel=Mobile")</f>
        <v>https://www3.test-mitsui-shopping-park.com/ec/sp/torihikihou/BUDDYZ?uiel=Mobile</v>
      </c>
      <c r="G285" s="13" t="str">
        <f>HYPERLINK("https://mitsui-shopping-park.com/ec/sp/torihikihou/BUDDYZ?uiel=Mobile")</f>
        <v>https://mitsui-shopping-park.com/ec/sp/torihikihou/BUDDYZ?uiel=Mobile</v>
      </c>
    </row>
    <row r="286" spans="1:7">
      <c r="A286" s="17" t="s">
        <v>895</v>
      </c>
      <c r="B286" s="10">
        <v>282</v>
      </c>
      <c r="C286" s="9" t="s">
        <v>896</v>
      </c>
      <c r="D286" s="17" t="s">
        <v>896</v>
      </c>
      <c r="E286" s="11" t="str">
        <f>HYPERLINK("http://msp2.sophia-s.co.jp/sp/mspf1381_25300.html")</f>
        <v>http://msp2.sophia-s.co.jp/sp/mspf1381_25300.html</v>
      </c>
      <c r="F286" s="12" t="str">
        <f>HYPERLINK("https://www3.test-mitsui-shopping-park.com/ec/sp/torihikihou/TOMS?uiel=Mobile")</f>
        <v>https://www3.test-mitsui-shopping-park.com/ec/sp/torihikihou/TOMS?uiel=Mobile</v>
      </c>
      <c r="G286" s="13" t="str">
        <f>HYPERLINK("https://mitsui-shopping-park.com/ec/sp/torihikihou/TOMS?uiel=Mobile")</f>
        <v>https://mitsui-shopping-park.com/ec/sp/torihikihou/TOMS?uiel=Mobile</v>
      </c>
    </row>
    <row r="287" spans="1:7">
      <c r="A287" s="17" t="s">
        <v>897</v>
      </c>
      <c r="B287" s="10">
        <v>283</v>
      </c>
      <c r="C287" s="9" t="s">
        <v>898</v>
      </c>
      <c r="D287" s="17" t="s">
        <v>898</v>
      </c>
      <c r="E287" s="11" t="str">
        <f>HYPERLINK("http://msp2.sophia-s.co.jp/sp/mspf1381_26400.html")</f>
        <v>http://msp2.sophia-s.co.jp/sp/mspf1381_26400.html</v>
      </c>
      <c r="F287" s="12" t="str">
        <f>HYPERLINK("https://www3.test-mitsui-shopping-park.com/ec/sp/torihikihou/Angelsole?uiel=Mobile")</f>
        <v>https://www3.test-mitsui-shopping-park.com/ec/sp/torihikihou/Angelsole?uiel=Mobile</v>
      </c>
      <c r="G287" s="13" t="str">
        <f>HYPERLINK("https://mitsui-shopping-park.com/ec/sp/torihikihou/Angelsole?uiel=Mobile")</f>
        <v>https://mitsui-shopping-park.com/ec/sp/torihikihou/Angelsole?uiel=Mobile</v>
      </c>
    </row>
    <row r="288" spans="1:7">
      <c r="A288" s="18" t="s">
        <v>899</v>
      </c>
      <c r="B288" s="10">
        <v>284</v>
      </c>
      <c r="C288" s="18" t="s">
        <v>900</v>
      </c>
      <c r="D288" s="18" t="s">
        <v>901</v>
      </c>
      <c r="E288" s="11" t="str">
        <f>HYPERLINK("http://msp2.sophia-s.co.jp/sp/mspf1381_20300.html")</f>
        <v>http://msp2.sophia-s.co.jp/sp/mspf1381_20300.html</v>
      </c>
      <c r="F288" s="12" t="str">
        <f>HYPERLINK("https://www3.test-mitsui-shopping-park.com/ec/sp/torihikihou/ffiona?uiel=Mobile")</f>
        <v>https://www3.test-mitsui-shopping-park.com/ec/sp/torihikihou/ffiona?uiel=Mobile</v>
      </c>
      <c r="G288" s="13" t="str">
        <f>HYPERLINK("https://mitsui-shopping-park.com/ec/sp/torihikihou/ffiona?uiel=Mobile")</f>
        <v>https://mitsui-shopping-park.com/ec/sp/torihikihou/ffiona?uiel=Mobile</v>
      </c>
    </row>
    <row r="289" spans="1:7">
      <c r="A289" s="18" t="s">
        <v>902</v>
      </c>
      <c r="B289" s="10">
        <v>285</v>
      </c>
      <c r="C289" s="18" t="s">
        <v>903</v>
      </c>
      <c r="D289" s="18" t="s">
        <v>904</v>
      </c>
      <c r="E289" s="11" t="str">
        <f>HYPERLINK("http://msp2.sophia-s.co.jp/sp/mspf1381_20301.html")</f>
        <v>http://msp2.sophia-s.co.jp/sp/mspf1381_20301.html</v>
      </c>
      <c r="F289" s="12" t="str">
        <f>HYPERLINK("https://www3.test-mitsui-shopping-park.com/ec/sp/torihikihou/Cherite?uiel=Mobile")</f>
        <v>https://www3.test-mitsui-shopping-park.com/ec/sp/torihikihou/Cherite?uiel=Mobile</v>
      </c>
      <c r="G289" s="13" t="str">
        <f>HYPERLINK("https://mitsui-shopping-park.com/ec/sp/torihikihou/Cherite?uiel=Mobile")</f>
        <v>https://mitsui-shopping-park.com/ec/sp/torihikihou/Cherite?uiel=Mobile</v>
      </c>
    </row>
    <row r="290" spans="1:7">
      <c r="A290" s="18" t="s">
        <v>905</v>
      </c>
      <c r="B290" s="10">
        <v>286</v>
      </c>
      <c r="C290" s="18" t="s">
        <v>906</v>
      </c>
      <c r="D290" s="18" t="s">
        <v>907</v>
      </c>
      <c r="E290" s="11" t="str">
        <f>HYPERLINK("http://msp2.sophia-s.co.jp/sp/mspf1381_27100.html")</f>
        <v>http://msp2.sophia-s.co.jp/sp/mspf1381_27100.html</v>
      </c>
      <c r="F290" s="12" t="str">
        <f>HYPERLINK("https://www3.test-mitsui-shopping-park.com/ec/sp/torihikihou/FABRICTOKYO?uiel=Mobile")</f>
        <v>https://www3.test-mitsui-shopping-park.com/ec/sp/torihikihou/FABRICTOKYO?uiel=Mobile</v>
      </c>
      <c r="G290" s="13" t="str">
        <f>HYPERLINK("https://mitsui-shopping-park.com/ec/sp/torihikihou/FABRICTOKYO?uiel=Mobile")</f>
        <v>https://mitsui-shopping-park.com/ec/sp/torihikihou/FABRICTOKYO?uiel=Mobile</v>
      </c>
    </row>
    <row r="291" spans="1:7">
      <c r="A291" s="18" t="s">
        <v>908</v>
      </c>
      <c r="B291" s="10">
        <v>287</v>
      </c>
      <c r="C291" s="18" t="s">
        <v>909</v>
      </c>
      <c r="D291" s="18" t="s">
        <v>909</v>
      </c>
      <c r="E291" s="11" t="str">
        <f>HYPERLINK("http://msp2.sophia-s.co.jp/sp/mspf1381_24800.html")</f>
        <v>http://msp2.sophia-s.co.jp/sp/mspf1381_24800.html</v>
      </c>
      <c r="F291" s="12" t="str">
        <f>HYPERLINK("https://www3.test-mitsui-shopping-park.com/ec/sp/torihikihou/improves?uiel=Mobile")</f>
        <v>https://www3.test-mitsui-shopping-park.com/ec/sp/torihikihou/improves?uiel=Mobile</v>
      </c>
      <c r="G291" s="13" t="str">
        <f>HYPERLINK("https://mitsui-shopping-park.com/ec/sp/torihikihou/improves?uiel=Mobile")</f>
        <v>https://mitsui-shopping-park.com/ec/sp/torihikihou/improves?uiel=Mobile</v>
      </c>
    </row>
    <row r="292" spans="1:7">
      <c r="A292" s="18" t="s">
        <v>910</v>
      </c>
      <c r="B292" s="10">
        <v>288</v>
      </c>
      <c r="C292" s="18" t="s">
        <v>911</v>
      </c>
      <c r="D292" s="18" t="s">
        <v>912</v>
      </c>
      <c r="E292" s="11" t="str">
        <f>HYPERLINK("http://msp2.sophia-s.co.jp/sp/mspf1381_26700.html")</f>
        <v>http://msp2.sophia-s.co.jp/sp/mspf1381_26700.html</v>
      </c>
      <c r="F292" s="12" t="str">
        <f>HYPERLINK("https://www3.test-mitsui-shopping-park.com/ec/sp/torihikihou/frandelingerie?uiel=Mobile")</f>
        <v>https://www3.test-mitsui-shopping-park.com/ec/sp/torihikihou/frandelingerie?uiel=Mobile</v>
      </c>
      <c r="G292" s="13" t="str">
        <f>HYPERLINK("https://mitsui-shopping-park.com/ec/sp/torihikihou/frandelingerie?uiel=Mobile")</f>
        <v>https://mitsui-shopping-park.com/ec/sp/torihikihou/frandelingerie?uiel=Mobile</v>
      </c>
    </row>
    <row r="293" spans="1:7">
      <c r="A293" s="18" t="s">
        <v>913</v>
      </c>
      <c r="B293" s="10">
        <v>289</v>
      </c>
      <c r="C293" s="18" t="s">
        <v>914</v>
      </c>
      <c r="D293" s="18" t="s">
        <v>915</v>
      </c>
      <c r="E293" s="11" t="str">
        <f>HYPERLINK("http://msp2.sophia-s.co.jp/sp/mspf1381_25600.html")</f>
        <v>http://msp2.sophia-s.co.jp/sp/mspf1381_25600.html</v>
      </c>
      <c r="F293" s="12" t="str">
        <f>HYPERLINK("https://www3.test-mitsui-shopping-park.com/ec/sp/torihikihou/EMU?uiel=Mobile")</f>
        <v>https://www3.test-mitsui-shopping-park.com/ec/sp/torihikihou/EMU?uiel=Mobile</v>
      </c>
      <c r="G293" s="13" t="str">
        <f>HYPERLINK("https://mitsui-shopping-park.com/ec/sp/torihikihou/EMU?uiel=Mobile")</f>
        <v>https://mitsui-shopping-park.com/ec/sp/torihikihou/EMU?uiel=Mobile</v>
      </c>
    </row>
    <row r="294" spans="1:7">
      <c r="A294" s="18" t="s">
        <v>916</v>
      </c>
      <c r="B294" s="10">
        <v>290</v>
      </c>
      <c r="C294" s="18" t="s">
        <v>917</v>
      </c>
      <c r="D294" s="18" t="s">
        <v>918</v>
      </c>
      <c r="E294" s="11" t="str">
        <f>HYPERLINK("http://msp2.sophia-s.co.jp/sp/mspf1381_26600.html")</f>
        <v>http://msp2.sophia-s.co.jp/sp/mspf1381_26600.html</v>
      </c>
      <c r="F294" s="12" t="str">
        <f>HYPERLINK("https://www3.test-mitsui-shopping-park.com/ec/sp/torihikihou/AGATHAPARIS?uiel=Mobile")</f>
        <v>https://www3.test-mitsui-shopping-park.com/ec/sp/torihikihou/AGATHAPARIS?uiel=Mobile</v>
      </c>
      <c r="G294" s="13" t="str">
        <f>HYPERLINK("https://mitsui-shopping-park.com/ec/sp/torihikihou/AGATHAPARIS?uiel=Mobile")</f>
        <v>https://mitsui-shopping-park.com/ec/sp/torihikihou/AGATHAPARIS?uiel=Mobile</v>
      </c>
    </row>
    <row r="295" spans="1:7">
      <c r="A295" s="18" t="s">
        <v>919</v>
      </c>
      <c r="B295" s="10">
        <v>291</v>
      </c>
      <c r="C295" s="18" t="s">
        <v>920</v>
      </c>
      <c r="D295" s="18" t="s">
        <v>920</v>
      </c>
      <c r="E295" s="11" t="str">
        <f>HYPERLINK("http://msp2.sophia-s.co.jp/sp/mspf1381_27300.html")</f>
        <v>http://msp2.sophia-s.co.jp/sp/mspf1381_27300.html</v>
      </c>
      <c r="F295" s="12" t="str">
        <f>HYPERLINK("https://www3.test-mitsui-shopping-park.com/ec/sp/torihikihou/Schoffel?uiel=Mobile")</f>
        <v>https://www3.test-mitsui-shopping-park.com/ec/sp/torihikihou/Schoffel?uiel=Mobile</v>
      </c>
      <c r="G295" s="13" t="str">
        <f>HYPERLINK("https://mitsui-shopping-park.com/ec/sp/torihikihou/Schoffel?uiel=Mobile")</f>
        <v>https://mitsui-shopping-park.com/ec/sp/torihikihou/Schoffel?uiel=Mobile</v>
      </c>
    </row>
    <row r="296" spans="1:7">
      <c r="A296" s="18" t="s">
        <v>921</v>
      </c>
      <c r="B296" s="10">
        <v>292</v>
      </c>
      <c r="C296" s="18" t="s">
        <v>922</v>
      </c>
      <c r="D296" s="18" t="s">
        <v>922</v>
      </c>
      <c r="E296" s="11" t="str">
        <f>HYPERLINK("http://msp2.sophia-s.co.jp/sp/mspf1381_26500.html")</f>
        <v>http://msp2.sophia-s.co.jp/sp/mspf1381_26500.html</v>
      </c>
      <c r="F296" s="12" t="str">
        <f>HYPERLINK("https://www3.test-mitsui-shopping-park.com/ec/sp/torihikihou/marmelo?uiel=Mobile")</f>
        <v>https://www3.test-mitsui-shopping-park.com/ec/sp/torihikihou/marmelo?uiel=Mobile</v>
      </c>
      <c r="G296" s="13" t="str">
        <f>HYPERLINK("https://mitsui-shopping-park.com/ec/sp/torihikihou/marmelo?uiel=Mobile")</f>
        <v>https://mitsui-shopping-park.com/ec/sp/torihikihou/marmelo?uiel=Mobile</v>
      </c>
    </row>
    <row r="297" spans="1:7">
      <c r="A297" s="18" t="s">
        <v>923</v>
      </c>
      <c r="B297" s="10">
        <v>293</v>
      </c>
      <c r="C297" s="18" t="s">
        <v>924</v>
      </c>
      <c r="D297" s="18" t="s">
        <v>925</v>
      </c>
      <c r="E297" s="11" t="str">
        <f>HYPERLINK("http://msp2.sophia-s.co.jp/sp/mspf1381_27400.html")</f>
        <v>http://msp2.sophia-s.co.jp/sp/mspf1381_27400.html</v>
      </c>
      <c r="F297" s="12" t="str">
        <f>HYPERLINK("https://www3.test-mitsui-shopping-park.com/ec/sp/torihikihou/melo?uiel=Mobile")</f>
        <v>https://www3.test-mitsui-shopping-park.com/ec/sp/torihikihou/melo?uiel=Mobile</v>
      </c>
      <c r="G297" s="13" t="str">
        <f>HYPERLINK("https://mitsui-shopping-park.com/ec/sp/torihikihou/melo?uiel=Mobile")</f>
        <v>https://mitsui-shopping-park.com/ec/sp/torihikihou/melo?uiel=Mobile</v>
      </c>
    </row>
    <row r="298" spans="1:7">
      <c r="A298" s="18" t="s">
        <v>926</v>
      </c>
      <c r="B298" s="10">
        <v>294</v>
      </c>
      <c r="C298" s="18" t="s">
        <v>927</v>
      </c>
      <c r="D298" s="18" t="s">
        <v>928</v>
      </c>
      <c r="E298" s="11" t="str">
        <f>HYPERLINK("http://msp2.sophia-s.co.jp/sp/mspf1381_26800.html")</f>
        <v>http://msp2.sophia-s.co.jp/sp/mspf1381_26800.html</v>
      </c>
      <c r="F298" s="12" t="str">
        <f>HYPERLINK("https://www3.test-mitsui-shopping-park.com/ec/sp/torihikihou/bridgetbirkin?uiel=Mobile")</f>
        <v>https://www3.test-mitsui-shopping-park.com/ec/sp/torihikihou/bridgetbirkin?uiel=Mobile</v>
      </c>
      <c r="G298" s="13" t="str">
        <f>HYPERLINK("https://mitsui-shopping-park.com/ec/sp/torihikihou/bridgetbirkin?uiel=Mobile")</f>
        <v>https://mitsui-shopping-park.com/ec/sp/torihikihou/bridgetbirkin?uiel=Mobile</v>
      </c>
    </row>
    <row r="299" spans="1:7">
      <c r="A299" s="18" t="s">
        <v>929</v>
      </c>
      <c r="B299" s="10">
        <v>295</v>
      </c>
      <c r="C299" s="18" t="s">
        <v>930</v>
      </c>
      <c r="D299" s="18" t="s">
        <v>931</v>
      </c>
      <c r="E299" s="11" t="str">
        <f>HYPERLINK("http://msp2.sophia-s.co.jp/sp/mspf1381_26801.html")</f>
        <v>http://msp2.sophia-s.co.jp/sp/mspf1381_26801.html</v>
      </c>
      <c r="F299" s="12" t="str">
        <f>HYPERLINK("https://www3.test-mitsui-shopping-park.com/ec/sp/torihikihou/inter-chaussures?uiel=Mobile")</f>
        <v>https://www3.test-mitsui-shopping-park.com/ec/sp/torihikihou/inter-chaussures?uiel=Mobile</v>
      </c>
      <c r="G299" s="13" t="str">
        <f>HYPERLINK("https://mitsui-shopping-park.com/ec/sp/torihikihou/inter-chaussures?uiel=Mobile")</f>
        <v>https://mitsui-shopping-park.com/ec/sp/torihikihou/inter-chaussures?uiel=Mobile</v>
      </c>
    </row>
    <row r="300" spans="1:7">
      <c r="A300" s="18" t="s">
        <v>932</v>
      </c>
      <c r="B300" s="10">
        <v>296</v>
      </c>
      <c r="C300" s="18" t="s">
        <v>933</v>
      </c>
      <c r="D300" s="18" t="s">
        <v>934</v>
      </c>
      <c r="E300" s="11" t="str">
        <f>HYPERLINK("http://msp2.sophia-s.co.jp/sp/mspf1381_27600.html")</f>
        <v>http://msp2.sophia-s.co.jp/sp/mspf1381_27600.html</v>
      </c>
      <c r="F300" s="12" t="str">
        <f>HYPERLINK("https://www3.test-mitsui-shopping-park.com/ec/sp/torihikihou/vivistore?uiel=Mobile")</f>
        <v>https://www3.test-mitsui-shopping-park.com/ec/sp/torihikihou/vivistore?uiel=Mobile</v>
      </c>
      <c r="G300" s="13" t="str">
        <f>HYPERLINK("https://mitsui-shopping-park.com/ec/sp/torihikihou/vivistore?uiel=Mobile")</f>
        <v>https://mitsui-shopping-park.com/ec/sp/torihikihou/vivistore?uiel=Mobile</v>
      </c>
    </row>
    <row r="301" spans="1:7">
      <c r="A301" s="18" t="s">
        <v>935</v>
      </c>
      <c r="B301" s="10">
        <v>297</v>
      </c>
      <c r="C301" s="18" t="s">
        <v>936</v>
      </c>
      <c r="D301" s="18" t="s">
        <v>937</v>
      </c>
      <c r="E301" s="11" t="str">
        <f>HYPERLINK("http://msp2.sophia-s.co.jp/sp/mspf1381_25500.html")</f>
        <v>http://msp2.sophia-s.co.jp/sp/mspf1381_25500.html</v>
      </c>
      <c r="F301" s="12" t="str">
        <f>HYPERLINK("https://www3.test-mitsui-shopping-park.com/ec/sp/torihikihou/hillsavenue?uiel=Mobile")</f>
        <v>https://www3.test-mitsui-shopping-park.com/ec/sp/torihikihou/hillsavenue?uiel=Mobile</v>
      </c>
      <c r="G301" s="13" t="str">
        <f>HYPERLINK("https://mitsui-shopping-park.com/ec/sp/torihikihou/hillsavenue?uiel=Mobile")</f>
        <v>https://mitsui-shopping-park.com/ec/sp/torihikihou/hillsavenue?uiel=Mobile</v>
      </c>
    </row>
    <row r="302" spans="1:7">
      <c r="A302" s="19" t="s">
        <v>938</v>
      </c>
      <c r="B302" s="10">
        <v>298</v>
      </c>
      <c r="C302" s="18" t="s">
        <v>939</v>
      </c>
      <c r="D302" s="19" t="s">
        <v>940</v>
      </c>
      <c r="E302" s="11" t="str">
        <f>HYPERLINK("http://msp2.sophia-s.co.jp/sp/mspf1381_22000.html")</f>
        <v>http://msp2.sophia-s.co.jp/sp/mspf1381_22000.html</v>
      </c>
      <c r="F302" s="12" t="str">
        <f>HYPERLINK("https://www3.test-mitsui-shopping-park.com/ec/sp/torihikihou/mifara?uiel=Mobile")</f>
        <v>https://www3.test-mitsui-shopping-park.com/ec/sp/torihikihou/mifara?uiel=Mobile</v>
      </c>
      <c r="G302" s="13" t="str">
        <f>HYPERLINK("https://mitsui-shopping-park.com/ec/sp/torihikihou/mifara?uiel=Mobile")</f>
        <v>https://mitsui-shopping-park.com/ec/sp/torihikihou/mifara?uiel=Mobile</v>
      </c>
    </row>
    <row r="303" spans="1:7">
      <c r="A303" s="20" t="s">
        <v>941</v>
      </c>
      <c r="B303" s="10">
        <v>299</v>
      </c>
      <c r="C303" s="18" t="s">
        <v>942</v>
      </c>
      <c r="D303" s="20" t="s">
        <v>943</v>
      </c>
      <c r="E303" s="11" t="str">
        <f>HYPERLINK("http://msp2.sophia-s.co.jp/sp/mspf1381_27800.html")</f>
        <v>http://msp2.sophia-s.co.jp/sp/mspf1381_27800.html</v>
      </c>
      <c r="F303" s="12" t="str">
        <f>HYPERLINK("https://www3.test-mitsui-shopping-park.com/ec/sp/torihikihou/Mdeux?uiel=Mobile")</f>
        <v>https://www3.test-mitsui-shopping-park.com/ec/sp/torihikihou/Mdeux?uiel=Mobile</v>
      </c>
      <c r="G303" s="13" t="str">
        <f>HYPERLINK("https://mitsui-shopping-park.com/ec/sp/torihikihou/Mdeux?uiel=Mobile")</f>
        <v>https://mitsui-shopping-park.com/ec/sp/torihikihou/Mdeux?uiel=Mobile</v>
      </c>
    </row>
    <row r="304" spans="1:7">
      <c r="A304" s="20" t="s">
        <v>944</v>
      </c>
      <c r="B304" s="10">
        <v>300</v>
      </c>
      <c r="C304" s="18" t="s">
        <v>945</v>
      </c>
      <c r="D304" s="20" t="s">
        <v>945</v>
      </c>
      <c r="E304" s="11" t="str">
        <f>HYPERLINK("http://msp2.sophia-s.co.jp/sp/mspf1381_28000.html")</f>
        <v>http://msp2.sophia-s.co.jp/sp/mspf1381_28000.html</v>
      </c>
      <c r="F304" s="12" t="str">
        <f>HYPERLINK("https://www3.test-mitsui-shopping-park.com/ec/sp/torihikihou/Foxfire?uiel=Mobile")</f>
        <v>https://www3.test-mitsui-shopping-park.com/ec/sp/torihikihou/Foxfire?uiel=Mobile</v>
      </c>
      <c r="G304" s="13" t="str">
        <f>HYPERLINK("https://mitsui-shopping-park.com/ec/sp/torihikihou/Foxfire?uiel=Mobile")</f>
        <v>https://mitsui-shopping-park.com/ec/sp/torihikihou/Foxfire?uiel=Mobile</v>
      </c>
    </row>
    <row r="305" spans="1:7">
      <c r="A305" s="20" t="s">
        <v>946</v>
      </c>
      <c r="B305" s="10">
        <v>301</v>
      </c>
      <c r="C305" s="18" t="s">
        <v>947</v>
      </c>
      <c r="D305" s="20" t="s">
        <v>947</v>
      </c>
      <c r="E305" s="11" t="str">
        <f>HYPERLINK("http://msp2.sophia-s.co.jp/sp/mspf1381_25700.html")</f>
        <v>http://msp2.sophia-s.co.jp/sp/mspf1381_25700.html</v>
      </c>
      <c r="F305" s="12" t="str">
        <f>HYPERLINK("https://www3.test-mitsui-shopping-park.com/ec/sp/torihikihou/reric?uiel=Mobile")</f>
        <v>https://www3.test-mitsui-shopping-park.com/ec/sp/torihikihou/reric?uiel=Mobile</v>
      </c>
      <c r="G305" s="13" t="str">
        <f>HYPERLINK("https://mitsui-shopping-park.com/ec/sp/torihikihou/reric?uiel=Mobile")</f>
        <v>https://mitsui-shopping-park.com/ec/sp/torihikihou/reric?uiel=Mobile</v>
      </c>
    </row>
    <row r="306" spans="1:7">
      <c r="A306" s="20" t="s">
        <v>948</v>
      </c>
      <c r="B306" s="10">
        <v>302</v>
      </c>
      <c r="C306" s="18" t="s">
        <v>949</v>
      </c>
      <c r="D306" s="20" t="s">
        <v>949</v>
      </c>
      <c r="E306" s="11" t="str">
        <f>HYPERLINK("http://msp2.sophia-s.co.jp/sp/mspf1381_27900.html")</f>
        <v>http://msp2.sophia-s.co.jp/sp/mspf1381_27900.html</v>
      </c>
      <c r="F306" s="12" t="str">
        <f>HYPERLINK("https://www3.test-mitsui-shopping-park.com/ec/sp/torihikihou/LeSportsac?uiel=Mobile")</f>
        <v>https://www3.test-mitsui-shopping-park.com/ec/sp/torihikihou/LeSportsac?uiel=Mobile</v>
      </c>
      <c r="G306" s="13" t="str">
        <f>HYPERLINK("https://mitsui-shopping-park.com/ec/sp/torihikihou/LeSportsac?uiel=Mobile")</f>
        <v>https://mitsui-shopping-park.com/ec/sp/torihikihou/LeSportsac?uiel=Mobile</v>
      </c>
    </row>
    <row r="307" spans="1:7">
      <c r="A307" s="18" t="s">
        <v>950</v>
      </c>
      <c r="B307" s="10">
        <v>303</v>
      </c>
      <c r="C307" s="18" t="s">
        <v>951</v>
      </c>
      <c r="D307" s="18" t="s">
        <v>951</v>
      </c>
      <c r="E307" s="11" t="str">
        <f>HYPERLINK("http://msp2.sophia-s.co.jp/sp/mspf1381_27200.html")</f>
        <v>http://msp2.sophia-s.co.jp/sp/mspf1381_27200.html</v>
      </c>
      <c r="F307" s="12" t="str">
        <f>HYPERLINK("https://www3.test-mitsui-shopping-park.com/ec/sp/torihikihou/foranew?uiel=Mobile")</f>
        <v>https://www3.test-mitsui-shopping-park.com/ec/sp/torihikihou/foranew?uiel=Mobile</v>
      </c>
      <c r="G307" s="13" t="str">
        <f>HYPERLINK("https://mitsui-shopping-park.com/ec/sp/torihikihou/foranew?uiel=Mobile")</f>
        <v>https://mitsui-shopping-park.com/ec/sp/torihikihou/foranew?uiel=Mobile</v>
      </c>
    </row>
    <row r="308" spans="1:7">
      <c r="A308" s="19" t="s">
        <v>952</v>
      </c>
      <c r="B308" s="10">
        <v>304</v>
      </c>
      <c r="C308" s="18" t="s">
        <v>953</v>
      </c>
      <c r="D308" s="19" t="s">
        <v>954</v>
      </c>
      <c r="E308" s="11" t="str">
        <f>HYPERLINK("http://msp2.sophia-s.co.jp/sp/mspf1381_29000.html")</f>
        <v>http://msp2.sophia-s.co.jp/sp/mspf1381_29000.html</v>
      </c>
      <c r="F308" s="12" t="str">
        <f>HYPERLINK("https://www3.test-mitsui-shopping-park.com/ec/sp/torihikihou/POLO?uiel=Mobile")</f>
        <v>https://www3.test-mitsui-shopping-park.com/ec/sp/torihikihou/POLO?uiel=Mobile</v>
      </c>
      <c r="G308" s="13" t="str">
        <f>HYPERLINK("https://mitsui-shopping-park.com/ec/sp/torihikihou/POLO?uiel=Mobile")</f>
        <v>https://mitsui-shopping-park.com/ec/sp/torihikihou/POLO?uiel=Mobile</v>
      </c>
    </row>
    <row r="309" spans="1:7">
      <c r="A309" s="20" t="s">
        <v>955</v>
      </c>
      <c r="B309" s="10">
        <v>305</v>
      </c>
      <c r="C309" s="18" t="s">
        <v>956</v>
      </c>
      <c r="D309" s="20" t="s">
        <v>957</v>
      </c>
      <c r="E309" s="11" t="str">
        <f>HYPERLINK("http://msp2.sophia-s.co.jp/sp/mspf1381_28601.html")</f>
        <v>http://msp2.sophia-s.co.jp/sp/mspf1381_28601.html</v>
      </c>
      <c r="F309" s="12" t="str">
        <f>HYPERLINK("https://www3.test-mitsui-shopping-park.com/ec/sp/torihikihou/CURIBISCUI?uiel=Mobile")</f>
        <v>https://www3.test-mitsui-shopping-park.com/ec/sp/torihikihou/CURIBISCUI?uiel=Mobile</v>
      </c>
      <c r="G309" s="13" t="str">
        <f>HYPERLINK("https://mitsui-shopping-park.com/ec/sp/torihikihou/CURIBISCUI?uiel=Mobile")</f>
        <v>https://mitsui-shopping-park.com/ec/sp/torihikihou/CURIBISCUI?uiel=Mobile</v>
      </c>
    </row>
    <row r="310" spans="1:7">
      <c r="A310" s="20" t="s">
        <v>958</v>
      </c>
      <c r="B310" s="10">
        <v>306</v>
      </c>
      <c r="C310" s="18" t="s">
        <v>959</v>
      </c>
      <c r="D310" s="20" t="s">
        <v>960</v>
      </c>
      <c r="E310" s="11" t="str">
        <f>HYPERLINK("http://msp2.sophia-s.co.jp/sp/mspf1381_28700.html")</f>
        <v>http://msp2.sophia-s.co.jp/sp/mspf1381_28700.html</v>
      </c>
      <c r="F310" s="12" t="str">
        <f>HYPERLINK("https://www3.test-mitsui-shopping-park.com/ec/sp/torihikihou/kajaresortfuniture?uiel=Mobile")</f>
        <v>https://www3.test-mitsui-shopping-park.com/ec/sp/torihikihou/kajaresortfuniture?uiel=Mobile</v>
      </c>
      <c r="G310" s="13" t="str">
        <f>HYPERLINK("https://mitsui-shopping-park.com/ec/sp/torihikihou/kajaresortfuniture?uiel=Mobile")</f>
        <v>https://mitsui-shopping-park.com/ec/sp/torihikihou/kajaresortfuniture?uiel=Mobile</v>
      </c>
    </row>
    <row r="311" spans="1:7">
      <c r="A311" s="20" t="s">
        <v>961</v>
      </c>
      <c r="B311" s="10">
        <v>307</v>
      </c>
      <c r="C311" s="18" t="s">
        <v>962</v>
      </c>
      <c r="D311" s="20" t="s">
        <v>963</v>
      </c>
      <c r="E311" s="11" t="str">
        <f>HYPERLINK("http://msp2.sophia-s.co.jp/sp/mspf1381_29300.html")</f>
        <v>http://msp2.sophia-s.co.jp/sp/mspf1381_29300.html</v>
      </c>
      <c r="F311" s="12" t="str">
        <f>HYPERLINK("https://www3.test-mitsui-shopping-park.com/ec/sp/torihikihou/andmallLimitedStore?uiel=Mobile")</f>
        <v>https://www3.test-mitsui-shopping-park.com/ec/sp/torihikihou/andmallLimitedStore?uiel=Mobile</v>
      </c>
      <c r="G311" s="13" t="str">
        <f>HYPERLINK("https://mitsui-shopping-park.com/ec/sp/torihikihou/andmallLimitedStore?uiel=Mobile")</f>
        <v>https://mitsui-shopping-park.com/ec/sp/torihikihou/andmallLimitedStore?uiel=Mobile</v>
      </c>
    </row>
    <row r="312" spans="1:7">
      <c r="A312" s="20" t="s">
        <v>964</v>
      </c>
      <c r="B312" s="10">
        <v>308</v>
      </c>
      <c r="C312" s="18" t="s">
        <v>965</v>
      </c>
      <c r="D312" s="20" t="s">
        <v>966</v>
      </c>
      <c r="E312" s="11" t="str">
        <f>HYPERLINK("http://msp2.sophia-s.co.jp/sp/mspf1381_30200.html")</f>
        <v>http://msp2.sophia-s.co.jp/sp/mspf1381_30200.html</v>
      </c>
      <c r="F312" s="12" t="str">
        <f>HYPERLINK("https://www3.test-mitsui-shopping-park.com/ec/sp/torihikihou/lmes?uiel=Mobile")</f>
        <v>https://www3.test-mitsui-shopping-park.com/ec/sp/torihikihou/lmes?uiel=Mobile</v>
      </c>
      <c r="G312" s="13" t="str">
        <f>HYPERLINK("https://mitsui-shopping-park.com/ec/sp/torihikihou/lmes?uiel=Mobile")</f>
        <v>https://mitsui-shopping-park.com/ec/sp/torihikihou/lmes?uiel=Mobile</v>
      </c>
    </row>
    <row r="313" spans="1:7">
      <c r="A313" s="19" t="s">
        <v>967</v>
      </c>
      <c r="B313" s="10">
        <v>309</v>
      </c>
      <c r="C313" s="18" t="s">
        <v>968</v>
      </c>
      <c r="D313" s="19" t="s">
        <v>968</v>
      </c>
      <c r="E313" s="11" t="str">
        <f>HYPERLINK("http://msp2.sophia-s.co.jp/sp/mspf1381_27000.html")</f>
        <v>http://msp2.sophia-s.co.jp/sp/mspf1381_27000.html</v>
      </c>
      <c r="F313" s="12" t="str">
        <f>HYPERLINK("https://www3.test-mitsui-shopping-park.com/ec/sp/torihikihou/KEYUCA?uiel=Mobile")</f>
        <v>https://www3.test-mitsui-shopping-park.com/ec/sp/torihikihou/KEYUCA?uiel=Mobile</v>
      </c>
      <c r="G313" s="13" t="str">
        <f>HYPERLINK("https://mitsui-shopping-park.com/ec/sp/torihikihou/KEYUCA?uiel=Mobile")</f>
        <v>https://mitsui-shopping-park.com/ec/sp/torihikihou/KEYUCA?uiel=Mobile</v>
      </c>
    </row>
    <row r="314" spans="1:7">
      <c r="A314" s="20" t="s">
        <v>969</v>
      </c>
      <c r="B314" s="10">
        <v>310</v>
      </c>
      <c r="C314" s="18" t="s">
        <v>970</v>
      </c>
      <c r="D314" s="20" t="s">
        <v>971</v>
      </c>
      <c r="E314" s="11" t="str">
        <f>HYPERLINK("http://msp2.sophia-s.co.jp/sp/mspf1381_29500.html")</f>
        <v>http://msp2.sophia-s.co.jp/sp/mspf1381_29500.html</v>
      </c>
      <c r="F314" s="12" t="str">
        <f>HYPERLINK("https://www3.test-mitsui-shopping-park.com/ec/sp/torihikihou/CUBESUGAR?uiel=Mobile")</f>
        <v>https://www3.test-mitsui-shopping-park.com/ec/sp/torihikihou/CUBESUGAR?uiel=Mobile</v>
      </c>
      <c r="G314" s="13" t="str">
        <f>HYPERLINK("https://mitsui-shopping-park.com/ec/sp/torihikihou/CUBESUGAR?uiel=Mobile")</f>
        <v>https://mitsui-shopping-park.com/ec/sp/torihikihou/CUBESUGAR?uiel=Mobile</v>
      </c>
    </row>
    <row r="315" spans="1:7">
      <c r="A315" s="20" t="s">
        <v>972</v>
      </c>
      <c r="B315" s="10">
        <v>311</v>
      </c>
      <c r="C315" s="18" t="s">
        <v>973</v>
      </c>
      <c r="D315" s="20" t="s">
        <v>973</v>
      </c>
      <c r="E315" s="11" t="str">
        <f>HYPERLINK("http://msp2.sophia-s.co.jp/sp/mspf1381_29801.html")</f>
        <v>http://msp2.sophia-s.co.jp/sp/mspf1381_29801.html</v>
      </c>
      <c r="F315" s="12" t="str">
        <f>HYPERLINK("https://www3.test-mitsui-shopping-park.com/ec/sp/torihikihou/Style?uiel=Mobile")</f>
        <v>https://www3.test-mitsui-shopping-park.com/ec/sp/torihikihou/Style?uiel=Mobile</v>
      </c>
      <c r="G315" s="13" t="str">
        <f>HYPERLINK("https://mitsui-shopping-park.com/ec/sp/torihikihou/Style?uiel=Mobile")</f>
        <v>https://mitsui-shopping-park.com/ec/sp/torihikihou/Style?uiel=Mobile</v>
      </c>
    </row>
    <row r="316" spans="1:7">
      <c r="A316" s="20" t="s">
        <v>974</v>
      </c>
      <c r="B316" s="10">
        <v>312</v>
      </c>
      <c r="C316" s="18" t="s">
        <v>975</v>
      </c>
      <c r="D316" s="20" t="s">
        <v>976</v>
      </c>
      <c r="E316" s="11" t="str">
        <f>HYPERLINK("http://msp2.sophia-s.co.jp/sp/mspf1381_29100.html")</f>
        <v>http://msp2.sophia-s.co.jp/sp/mspf1381_29100.html</v>
      </c>
      <c r="F316" s="12" t="str">
        <f>HYPERLINK("https://www3.test-mitsui-shopping-park.com/ec/sp/torihikihou/LIVINGHOUSE?uiel=Mobile")</f>
        <v>https://www3.test-mitsui-shopping-park.com/ec/sp/torihikihou/LIVINGHOUSE?uiel=Mobile</v>
      </c>
      <c r="G316" s="13" t="str">
        <f>HYPERLINK("https://mitsui-shopping-park.com/ec/sp/torihikihou/LIVINGHOUSE?uiel=Mobile")</f>
        <v>https://mitsui-shopping-park.com/ec/sp/torihikihou/LIVINGHOUSE?uiel=Mobile</v>
      </c>
    </row>
    <row r="317" spans="1:7">
      <c r="A317" s="20" t="s">
        <v>977</v>
      </c>
      <c r="B317" s="10">
        <v>313</v>
      </c>
      <c r="C317" s="18" t="s">
        <v>978</v>
      </c>
      <c r="D317" s="20" t="s">
        <v>979</v>
      </c>
      <c r="E317" s="11" t="str">
        <f>HYPERLINK("http://msp2.sophia-s.co.jp/sp/mspf1381_28100.html")</f>
        <v>http://msp2.sophia-s.co.jp/sp/mspf1381_28100.html</v>
      </c>
      <c r="F317" s="12" t="str">
        <f>HYPERLINK("https://www3.test-mitsui-shopping-park.com/ec/sp/torihikihou/calenblosso?uiel=Mobile")</f>
        <v>https://www3.test-mitsui-shopping-park.com/ec/sp/torihikihou/calenblosso?uiel=Mobile</v>
      </c>
      <c r="G317" s="13" t="str">
        <f>HYPERLINK("https://mitsui-shopping-park.com/ec/sp/torihikihou/calenblosso?uiel=Mobile")</f>
        <v>https://mitsui-shopping-park.com/ec/sp/torihikihou/calenblosso?uiel=Mobile</v>
      </c>
    </row>
    <row r="318" spans="1:7">
      <c r="A318" s="20" t="s">
        <v>980</v>
      </c>
      <c r="B318" s="10">
        <v>314</v>
      </c>
      <c r="C318" s="18" t="s">
        <v>981</v>
      </c>
      <c r="D318" s="20" t="s">
        <v>982</v>
      </c>
      <c r="E318" s="11" t="str">
        <f>HYPERLINK("http://msp2.sophia-s.co.jp/sp/mspf1381_22800.html")</f>
        <v>http://msp2.sophia-s.co.jp/sp/mspf1381_22800.html</v>
      </c>
      <c r="F318" s="12" t="str">
        <f>HYPERLINK("https://www3.test-mitsui-shopping-park.com/ec/sp/torihikihou/BleuBleuet?uiel=Mobile")</f>
        <v>https://www3.test-mitsui-shopping-park.com/ec/sp/torihikihou/BleuBleuet?uiel=Mobile</v>
      </c>
      <c r="G318" s="13" t="str">
        <f>HYPERLINK("https://mitsui-shopping-park.com/ec/sp/torihikihou/BleuBleuet?uiel=Mobile")</f>
        <v>https://mitsui-shopping-park.com/ec/sp/torihikihou/BleuBleuet?uiel=Mobile</v>
      </c>
    </row>
    <row r="319" spans="1:7">
      <c r="A319" s="20" t="s">
        <v>983</v>
      </c>
      <c r="B319" s="10">
        <v>315</v>
      </c>
      <c r="C319" s="18" t="s">
        <v>984</v>
      </c>
      <c r="D319" s="20" t="s">
        <v>984</v>
      </c>
      <c r="E319" s="11" t="str">
        <f>HYPERLINK("http://msp2.sophia-s.co.jp/sp/mspf1381_27500.html")</f>
        <v>http://msp2.sophia-s.co.jp/sp/mspf1381_27500.html</v>
      </c>
      <c r="F319" s="12" t="str">
        <f>HYPERLINK("https://www3.test-mitsui-shopping-park.com/ec/sp/torihikihou/GAS?uiel=Mobile")</f>
        <v>https://www3.test-mitsui-shopping-park.com/ec/sp/torihikihou/GAS?uiel=Mobile</v>
      </c>
      <c r="G319" s="13" t="str">
        <f>HYPERLINK("https://mitsui-shopping-park.com/ec/sp/torihikihou/GAS?uiel=Mobile")</f>
        <v>https://mitsui-shopping-park.com/ec/sp/torihikihou/GAS?uiel=Mobile</v>
      </c>
    </row>
    <row r="320" spans="1:7">
      <c r="A320" s="20" t="s">
        <v>985</v>
      </c>
      <c r="B320" s="10">
        <v>316</v>
      </c>
      <c r="C320" s="18" t="s">
        <v>986</v>
      </c>
      <c r="D320" s="20" t="s">
        <v>986</v>
      </c>
      <c r="E320" s="11" t="str">
        <f>HYPERLINK("http://msp2.sophia-s.co.jp/sp/mspf1381_28900.html")</f>
        <v>http://msp2.sophia-s.co.jp/sp/mspf1381_28900.html</v>
      </c>
      <c r="F320" s="12" t="str">
        <f>HYPERLINK("https://www3.test-mitsui-shopping-park.com/ec/sp/torihikihou/Milluflora?uiel=Mobile")</f>
        <v>https://www3.test-mitsui-shopping-park.com/ec/sp/torihikihou/Milluflora?uiel=Mobile</v>
      </c>
      <c r="G320" s="13" t="str">
        <f>HYPERLINK("https://mitsui-shopping-park.com/ec/sp/torihikihou/Milluflora?uiel=Mobile")</f>
        <v>https://mitsui-shopping-park.com/ec/sp/torihikihou/Milluflora?uiel=Mobile</v>
      </c>
    </row>
    <row r="321" spans="1:7">
      <c r="A321" s="20" t="s">
        <v>987</v>
      </c>
      <c r="B321" s="10">
        <v>317</v>
      </c>
      <c r="C321" s="18" t="s">
        <v>988</v>
      </c>
      <c r="D321" s="20" t="s">
        <v>989</v>
      </c>
      <c r="E321" s="11" t="str">
        <f>HYPERLINK("http://msp2.sophia-s.co.jp/sp/mspf1381_30400.html")</f>
        <v>http://msp2.sophia-s.co.jp/sp/mspf1381_30400.html</v>
      </c>
      <c r="F321" s="12" t="str">
        <f>HYPERLINK("https://www3.test-mitsui-shopping-park.com/ec/sp/torihikihou/CAT?uiel=Mobile")</f>
        <v>https://www3.test-mitsui-shopping-park.com/ec/sp/torihikihou/CAT?uiel=Mobile</v>
      </c>
      <c r="G321" s="13" t="str">
        <f>HYPERLINK("https://mitsui-shopping-park.com/ec/sp/torihikihou/CAT?uiel=Mobile")</f>
        <v>https://mitsui-shopping-park.com/ec/sp/torihikihou/CAT?uiel=Mobile</v>
      </c>
    </row>
    <row r="322" spans="1:7">
      <c r="A322" s="20" t="s">
        <v>990</v>
      </c>
      <c r="B322" s="10">
        <v>318</v>
      </c>
      <c r="C322" s="18" t="s">
        <v>991</v>
      </c>
      <c r="D322" s="20" t="s">
        <v>992</v>
      </c>
      <c r="E322" s="11" t="str">
        <f>HYPERLINK("http://msp2.sophia-s.co.jp/sp/mspf1381_29400.html")</f>
        <v>http://msp2.sophia-s.co.jp/sp/mspf1381_29400.html</v>
      </c>
      <c r="F322" s="12" t="str">
        <f>HYPERLINK("https://www3.test-mitsui-shopping-park.com/ec/sp/torihikihou/yutorinokukan?uiel=Mobile")</f>
        <v>https://www3.test-mitsui-shopping-park.com/ec/sp/torihikihou/yutorinokukan?uiel=Mobile</v>
      </c>
      <c r="G322" s="13" t="str">
        <f>HYPERLINK("https://mitsui-shopping-park.com/ec/sp/torihikihou/yutorinokukan?uiel=Mobile")</f>
        <v>https://mitsui-shopping-park.com/ec/sp/torihikihou/yutorinokukan?uiel=Mobile</v>
      </c>
    </row>
    <row r="323" spans="1:7">
      <c r="A323" s="20" t="s">
        <v>993</v>
      </c>
      <c r="B323" s="10">
        <v>319</v>
      </c>
      <c r="C323" s="18" t="s">
        <v>994</v>
      </c>
      <c r="D323" s="20" t="s">
        <v>995</v>
      </c>
      <c r="E323" s="11" t="str">
        <f>HYPERLINK("http://msp2.sophia-s.co.jp/sp/mspf1381_29600.html")</f>
        <v>http://msp2.sophia-s.co.jp/sp/mspf1381_29600.html</v>
      </c>
      <c r="F323" s="12" t="str">
        <f>HYPERLINK("https://www3.test-mitsui-shopping-park.com/ec/sp/torihikihou/teimen?uiel=Mobile")</f>
        <v>https://www3.test-mitsui-shopping-park.com/ec/sp/torihikihou/teimen?uiel=Mobile</v>
      </c>
      <c r="G323" s="13" t="str">
        <f>HYPERLINK("https://mitsui-shopping-park.com/ec/sp/torihikihou/teimen?uiel=Mobile")</f>
        <v>https://mitsui-shopping-park.com/ec/sp/torihikihou/teimen?uiel=Mobile</v>
      </c>
    </row>
    <row r="324" spans="1:7">
      <c r="A324" s="20" t="s">
        <v>996</v>
      </c>
      <c r="B324" s="10">
        <v>320</v>
      </c>
      <c r="C324" s="18" t="s">
        <v>997</v>
      </c>
      <c r="D324" s="20" t="s">
        <v>997</v>
      </c>
      <c r="E324" s="11" t="str">
        <f>HYPERLINK("http://msp2.sophia-s.co.jp/sp/mspf1381_29700.html")</f>
        <v>http://msp2.sophia-s.co.jp/sp/mspf1381_29700.html</v>
      </c>
      <c r="F324" s="12" t="str">
        <f>HYPERLINK("https://www3.test-mitsui-shopping-park.com/ec/sp/torihikihou/HUNTER?uiel=Mobile")</f>
        <v>https://www3.test-mitsui-shopping-park.com/ec/sp/torihikihou/HUNTER?uiel=Mobile</v>
      </c>
      <c r="G324" s="13" t="str">
        <f>HYPERLINK("https://mitsui-shopping-park.com/ec/sp/torihikihou/HUNTER?uiel=Mobile")</f>
        <v>https://mitsui-shopping-park.com/ec/sp/torihikihou/HUNTER?uiel=Mobile</v>
      </c>
    </row>
    <row r="325" spans="1:7">
      <c r="A325" s="20" t="s">
        <v>998</v>
      </c>
      <c r="B325" s="10">
        <v>321</v>
      </c>
      <c r="C325" s="18" t="s">
        <v>999</v>
      </c>
      <c r="D325" s="20" t="s">
        <v>1000</v>
      </c>
      <c r="E325" s="11" t="str">
        <f>HYPERLINK("http://msp2.sophia-s.co.jp/sp/mspf1381_30000.html")</f>
        <v>http://msp2.sophia-s.co.jp/sp/mspf1381_30000.html</v>
      </c>
      <c r="F325" s="12" t="str">
        <f>HYPERLINK("https://www3.test-mitsui-shopping-park.com/ec/sp/torihikihou/ModeetJacomo?uiel=Mobile")</f>
        <v>https://www3.test-mitsui-shopping-park.com/ec/sp/torihikihou/ModeetJacomo?uiel=Mobile</v>
      </c>
      <c r="G325" s="13" t="str">
        <f>HYPERLINK("https://mitsui-shopping-park.com/ec/sp/torihikihou/ModeetJacomo?uiel=Mobile")</f>
        <v>https://mitsui-shopping-park.com/ec/sp/torihikihou/ModeetJacomo?uiel=Mobile</v>
      </c>
    </row>
    <row r="326" spans="1:7">
      <c r="A326" s="20" t="s">
        <v>1001</v>
      </c>
      <c r="B326" s="10">
        <v>322</v>
      </c>
      <c r="C326" s="18" t="s">
        <v>1002</v>
      </c>
      <c r="D326" s="20" t="s">
        <v>1003</v>
      </c>
      <c r="E326" s="11" t="str">
        <f>HYPERLINK("http://msp2.sophia-s.co.jp/sp/mspf1381_30500.html")</f>
        <v>http://msp2.sophia-s.co.jp/sp/mspf1381_30500.html</v>
      </c>
      <c r="F326" s="12" t="str">
        <f>HYPERLINK("https://www3.test-mitsui-shopping-park.com/ec/sp/torihikihou/DIESEL?uiel=Mobile")</f>
        <v>https://www3.test-mitsui-shopping-park.com/ec/sp/torihikihou/DIESEL?uiel=Mobile</v>
      </c>
      <c r="G326" s="13" t="str">
        <f>HYPERLINK("https://mitsui-shopping-park.com/ec/sp/torihikihou/DIESEL?uiel=Mobile")</f>
        <v>https://mitsui-shopping-park.com/ec/sp/torihikihou/DIESEL?uiel=Mobile</v>
      </c>
    </row>
    <row r="327" spans="1:7">
      <c r="A327" s="20" t="s">
        <v>1004</v>
      </c>
      <c r="B327" s="10">
        <v>323</v>
      </c>
      <c r="C327" s="18" t="s">
        <v>1005</v>
      </c>
      <c r="D327" s="20" t="s">
        <v>1006</v>
      </c>
      <c r="E327" s="11" t="str">
        <f>HYPERLINK("http://msp2.sophia-s.co.jp/sp/mspf1381_30900.html")</f>
        <v>http://msp2.sophia-s.co.jp/sp/mspf1381_30900.html</v>
      </c>
      <c r="F327" s="12" t="str">
        <f>HYPERLINK("https://www3.test-mitsui-shopping-park.com/ec/sp/torihikihou/Magicofcolorshop?uiel=Mobile")</f>
        <v>https://www3.test-mitsui-shopping-park.com/ec/sp/torihikihou/Magicofcolorshop?uiel=Mobile</v>
      </c>
      <c r="G327" s="13" t="str">
        <f>HYPERLINK("https://mitsui-shopping-park.com/ec/sp/torihikihou/Magicofcolorshop?uiel=Mobile")</f>
        <v>https://mitsui-shopping-park.com/ec/sp/torihikihou/Magicofcolorshop?uiel=Mobile</v>
      </c>
    </row>
    <row r="328" spans="1:7">
      <c r="A328" s="19" t="s">
        <v>1007</v>
      </c>
      <c r="B328" s="10">
        <v>324</v>
      </c>
      <c r="C328" s="18" t="s">
        <v>1008</v>
      </c>
      <c r="D328" s="19" t="s">
        <v>1009</v>
      </c>
      <c r="E328" s="11" t="str">
        <f>HYPERLINK("http://msp2.sophia-s.co.jp/sp/mspf1381_28204.html")</f>
        <v>http://msp2.sophia-s.co.jp/sp/mspf1381_28204.html</v>
      </c>
      <c r="F328" s="12" t="str">
        <f>HYPERLINK("https://www3.test-mitsui-shopping-park.com/ec/sp/torihikihou/FabulousAngela?uiel=Mobile")</f>
        <v>https://www3.test-mitsui-shopping-park.com/ec/sp/torihikihou/FabulousAngela?uiel=Mobile</v>
      </c>
      <c r="G328" s="13" t="str">
        <f>HYPERLINK("https://mitsui-shopping-park.com/ec/sp/torihikihou/FabulousAngela?uiel=Mobile")</f>
        <v>https://mitsui-shopping-park.com/ec/sp/torihikihou/FabulousAngela?uiel=Mobile</v>
      </c>
    </row>
    <row r="329" spans="1:7">
      <c r="A329" s="20" t="s">
        <v>1010</v>
      </c>
      <c r="B329" s="10">
        <v>325</v>
      </c>
      <c r="C329" s="18" t="s">
        <v>1011</v>
      </c>
      <c r="D329" s="20" t="s">
        <v>1012</v>
      </c>
      <c r="E329" s="11" t="str">
        <f>HYPERLINK("http://msp2.sophia-s.co.jp/sp/mspf1381_28201.html")</f>
        <v>http://msp2.sophia-s.co.jp/sp/mspf1381_28201.html</v>
      </c>
      <c r="F329" s="12" t="str">
        <f>HYPERLINK("https://www3.test-mitsui-shopping-park.com/ec/sp/torihikihou/agplus?uiel=Mobile")</f>
        <v>https://www3.test-mitsui-shopping-park.com/ec/sp/torihikihou/agplus?uiel=Mobile</v>
      </c>
      <c r="G329" s="13" t="str">
        <f>HYPERLINK("https://mitsui-shopping-park.com/ec/sp/torihikihou/agplus?uiel=Mobile")</f>
        <v>https://mitsui-shopping-park.com/ec/sp/torihikihou/agplus?uiel=Mobile</v>
      </c>
    </row>
    <row r="330" spans="1:7">
      <c r="A330" s="20" t="s">
        <v>1013</v>
      </c>
      <c r="B330" s="10">
        <v>326</v>
      </c>
      <c r="C330" s="18" t="s">
        <v>1014</v>
      </c>
      <c r="D330" s="20" t="s">
        <v>1015</v>
      </c>
      <c r="E330" s="11" t="str">
        <f>HYPERLINK("http://msp2.sophia-s.co.jp/sp/mspf1381_28206.html")</f>
        <v>http://msp2.sophia-s.co.jp/sp/mspf1381_28206.html</v>
      </c>
      <c r="F330" s="12" t="str">
        <f>HYPERLINK("https://www3.test-mitsui-shopping-park.com/ec/sp/torihikihou/RIDDLEFROM?uiel=Mobile")</f>
        <v>https://www3.test-mitsui-shopping-park.com/ec/sp/torihikihou/RIDDLEFROM?uiel=Mobile</v>
      </c>
      <c r="G330" s="13" t="str">
        <f>HYPERLINK("https://mitsui-shopping-park.com/ec/sp/torihikihou/RIDDLEFROM?uiel=Mobile")</f>
        <v>https://mitsui-shopping-park.com/ec/sp/torihikihou/RIDDLEFROM?uiel=Mobile</v>
      </c>
    </row>
    <row r="331" spans="1:7">
      <c r="A331" s="20" t="s">
        <v>1016</v>
      </c>
      <c r="B331" s="10">
        <v>327</v>
      </c>
      <c r="C331" s="18" t="s">
        <v>1017</v>
      </c>
      <c r="D331" s="20" t="s">
        <v>1018</v>
      </c>
      <c r="E331" s="11" t="str">
        <f>HYPERLINK("http://msp2.sophia-s.co.jp/sp/mspf1381_28200.html")</f>
        <v>http://msp2.sophia-s.co.jp/sp/mspf1381_28200.html</v>
      </c>
      <c r="F331" s="12" t="str">
        <f>HYPERLINK("https://www3.test-mitsui-shopping-park.com/ec/sp/torihikihou/CECILMcBEE?uiel=Mobile")</f>
        <v>https://www3.test-mitsui-shopping-park.com/ec/sp/torihikihou/CECILMcBEE?uiel=Mobile</v>
      </c>
      <c r="G331" s="13" t="str">
        <f>HYPERLINK("https://mitsui-shopping-park.com/ec/sp/torihikihou/CECILMcBEE?uiel=Mobile")</f>
        <v>https://mitsui-shopping-park.com/ec/sp/torihikihou/CECILMcBEE?uiel=Mobile</v>
      </c>
    </row>
    <row r="332" spans="1:7">
      <c r="A332" s="20" t="s">
        <v>1019</v>
      </c>
      <c r="B332" s="10">
        <v>328</v>
      </c>
      <c r="C332" s="18" t="s">
        <v>1020</v>
      </c>
      <c r="D332" s="20" t="s">
        <v>1020</v>
      </c>
      <c r="E332" s="11" t="str">
        <f>HYPERLINK("http://msp2.sophia-s.co.jp/sp/mspf1381_28205.html")</f>
        <v>http://msp2.sophia-s.co.jp/sp/mspf1381_28205.html</v>
      </c>
      <c r="F332" s="12" t="str">
        <f>HYPERLINK("https://www3.test-mitsui-shopping-park.com/ec/sp/torihikihou/sophila?uiel=Mobile")</f>
        <v>https://www3.test-mitsui-shopping-park.com/ec/sp/torihikihou/sophila?uiel=Mobile</v>
      </c>
      <c r="G332" s="13" t="str">
        <f>HYPERLINK("https://mitsui-shopping-park.com/ec/sp/torihikihou/sophila?uiel=Mobile")</f>
        <v>https://mitsui-shopping-park.com/ec/sp/torihikihou/sophila?uiel=Mobile</v>
      </c>
    </row>
    <row r="333" spans="1:7">
      <c r="A333" s="20" t="s">
        <v>1021</v>
      </c>
      <c r="B333" s="10">
        <v>329</v>
      </c>
      <c r="C333" s="18" t="s">
        <v>1022</v>
      </c>
      <c r="D333" s="21" t="s">
        <v>1023</v>
      </c>
      <c r="E333" s="11" t="str">
        <f>HYPERLINK("http://msp2.sophia-s.co.jp/sp/mspf1381_28203.html")</f>
        <v>http://msp2.sophia-s.co.jp/sp/mspf1381_28203.html</v>
      </c>
      <c r="F333" s="12" t="str">
        <f>HYPERLINK("https://www3.test-mitsui-shopping-park.com/ec/sp/torihikihou/BERADIANCE?uiel=Mobile")</f>
        <v>https://www3.test-mitsui-shopping-park.com/ec/sp/torihikihou/BERADIANCE?uiel=Mobile</v>
      </c>
      <c r="G333" s="13" t="str">
        <f>HYPERLINK("https://mitsui-shopping-park.com/ec/sp/torihikihou/BERADIANCE?uiel=Mobile")</f>
        <v>https://mitsui-shopping-park.com/ec/sp/torihikihou/BERADIANCE?uiel=Mobile</v>
      </c>
    </row>
    <row r="334" spans="1:7">
      <c r="A334" s="20" t="s">
        <v>1024</v>
      </c>
      <c r="B334" s="10">
        <v>330</v>
      </c>
      <c r="C334" s="18" t="s">
        <v>1025</v>
      </c>
      <c r="D334" s="21" t="s">
        <v>1026</v>
      </c>
      <c r="E334" s="11" t="str">
        <f>HYPERLINK("http://msp2.sophia-s.co.jp/sp/mspf1381_26200.html")</f>
        <v>http://msp2.sophia-s.co.jp/sp/mspf1381_26200.html</v>
      </c>
      <c r="F334" s="12" t="str">
        <f>HYPERLINK("https://www3.test-mitsui-shopping-park.com/ec/sp/torihikihou/Bornelund?uiel=Mobile")</f>
        <v>https://www3.test-mitsui-shopping-park.com/ec/sp/torihikihou/Bornelund?uiel=Mobile</v>
      </c>
      <c r="G334" s="13" t="str">
        <f>HYPERLINK("https://mitsui-shopping-park.com/ec/sp/torihikihou/Bornelund?uiel=Mobile")</f>
        <v>https://mitsui-shopping-park.com/ec/sp/torihikihou/Bornelund?uiel=Mobile</v>
      </c>
    </row>
    <row r="335" spans="1:7">
      <c r="A335" s="20" t="s">
        <v>1027</v>
      </c>
      <c r="B335" s="10">
        <v>331</v>
      </c>
      <c r="C335" s="18" t="s">
        <v>1028</v>
      </c>
      <c r="D335" s="21" t="s">
        <v>1028</v>
      </c>
      <c r="E335" s="11" t="str">
        <f>HYPERLINK("http://msp2.sophia-s.co.jp/sp/mspf1381_24001.html")</f>
        <v>http://msp2.sophia-s.co.jp/sp/mspf1381_24001.html</v>
      </c>
      <c r="F335" s="12" t="str">
        <f>HYPERLINK("https://www3.test-mitsui-shopping-park.com/ec/sp/torihikihou/FEDERICO?uiel=Mobile")</f>
        <v>https://www3.test-mitsui-shopping-park.com/ec/sp/torihikihou/FEDERICO?uiel=Mobile</v>
      </c>
      <c r="G335" s="13" t="str">
        <f>HYPERLINK("https://mitsui-shopping-park.com/ec/sp/torihikihou/FEDERICO?uiel=Mobile")</f>
        <v>https://mitsui-shopping-park.com/ec/sp/torihikihou/FEDERICO?uiel=Mobile</v>
      </c>
    </row>
    <row r="336" spans="1:7">
      <c r="A336" s="20" t="s">
        <v>1029</v>
      </c>
      <c r="B336" s="10">
        <v>332</v>
      </c>
      <c r="C336" s="18" t="s">
        <v>1030</v>
      </c>
      <c r="D336" s="21" t="s">
        <v>1031</v>
      </c>
      <c r="E336" s="11" t="str">
        <f>HYPERLINK("http://msp2.sophia-s.co.jp/sp/mspf1381_28300.html")</f>
        <v>http://msp2.sophia-s.co.jp/sp/mspf1381_28300.html</v>
      </c>
      <c r="F336" s="12" t="str">
        <f>HYPERLINK("https://www3.test-mitsui-shopping-park.com/ec/sp/torihikihou/AZABUTHECUSTOMSTORE?uiel=Mobile")</f>
        <v>https://www3.test-mitsui-shopping-park.com/ec/sp/torihikihou/AZABUTHECUSTOMSTORE?uiel=Mobile</v>
      </c>
      <c r="G336" s="13" t="str">
        <f>HYPERLINK("https://mitsui-shopping-park.com/ec/sp/torihikihou/AZABUTHECUSTOMSTORE?uiel=Mobile")</f>
        <v>https://mitsui-shopping-park.com/ec/sp/torihikihou/AZABUTHECUSTOMSTORE?uiel=Mobile</v>
      </c>
    </row>
    <row r="337" spans="1:7">
      <c r="A337" s="20" t="s">
        <v>1032</v>
      </c>
      <c r="B337" s="10">
        <v>333</v>
      </c>
      <c r="C337" s="18" t="s">
        <v>1033</v>
      </c>
      <c r="D337" s="21" t="s">
        <v>1034</v>
      </c>
      <c r="E337" s="11" t="str">
        <f>HYPERLINK("http://msp2.sophia-s.co.jp/sp/mspf1381_29802.html")</f>
        <v>http://msp2.sophia-s.co.jp/sp/mspf1381_29802.html</v>
      </c>
      <c r="F337" s="12" t="str">
        <f>HYPERLINK("https://www3.test-mitsui-shopping-park.com/ec/sp/torihikihou/ReFaSHOP?uiel=Mobile")</f>
        <v>https://www3.test-mitsui-shopping-park.com/ec/sp/torihikihou/ReFaSHOP?uiel=Mobile</v>
      </c>
      <c r="G337" s="13" t="str">
        <f>HYPERLINK("https://mitsui-shopping-park.com/ec/sp/torihikihou/ReFaSHOP?uiel=Mobile")</f>
        <v>https://mitsui-shopping-park.com/ec/sp/torihikihou/ReFaSHOP?uiel=Mobile</v>
      </c>
    </row>
    <row r="338" spans="1:7">
      <c r="A338" s="20" t="s">
        <v>1035</v>
      </c>
      <c r="B338" s="10">
        <v>334</v>
      </c>
      <c r="C338" s="18" t="s">
        <v>1036</v>
      </c>
      <c r="D338" s="21" t="s">
        <v>1037</v>
      </c>
      <c r="E338" s="11" t="str">
        <f>HYPERLINK("http://msp2.sophia-s.co.jp/sp/mspf1381_29900.html")</f>
        <v>http://msp2.sophia-s.co.jp/sp/mspf1381_29900.html</v>
      </c>
      <c r="F338" s="12" t="str">
        <f>HYPERLINK("https://www3.test-mitsui-shopping-park.com/ec/sp/torihikihou/andluna?uiel=Mobile")</f>
        <v>https://www3.test-mitsui-shopping-park.com/ec/sp/torihikihou/andluna?uiel=Mobile</v>
      </c>
      <c r="G338" s="13" t="str">
        <f>HYPERLINK("https://mitsui-shopping-park.com/ec/sp/torihikihou/andluna?uiel=Mobile")</f>
        <v>https://mitsui-shopping-park.com/ec/sp/torihikihou/andluna?uiel=Mobile</v>
      </c>
    </row>
    <row r="339" spans="1:7">
      <c r="A339" s="20" t="s">
        <v>1038</v>
      </c>
      <c r="B339" s="10">
        <v>335</v>
      </c>
      <c r="C339" s="18" t="s">
        <v>1039</v>
      </c>
      <c r="D339" s="21" t="s">
        <v>1040</v>
      </c>
      <c r="E339" s="11" t="str">
        <f>HYPERLINK("http://msp2.sophia-s.co.jp/sp/mspf1381_30300.html")</f>
        <v>http://msp2.sophia-s.co.jp/sp/mspf1381_30300.html</v>
      </c>
      <c r="F339" s="12" t="str">
        <f>HYPERLINK("https://www3.test-mitsui-shopping-park.com/ec/sp/torihikihou/mafaveur?uiel=Mobile")</f>
        <v>https://www3.test-mitsui-shopping-park.com/ec/sp/torihikihou/mafaveur?uiel=Mobile</v>
      </c>
      <c r="G339" s="13" t="str">
        <f>HYPERLINK("https://mitsui-shopping-park.com/ec/sp/torihikihou/mafaveur?uiel=Mobile")</f>
        <v>https://mitsui-shopping-park.com/ec/sp/torihikihou/mafaveur?uiel=Mobile</v>
      </c>
    </row>
    <row r="340" spans="1:7">
      <c r="A340" s="20" t="s">
        <v>1041</v>
      </c>
      <c r="B340" s="10">
        <v>336</v>
      </c>
      <c r="C340" s="18" t="s">
        <v>1042</v>
      </c>
      <c r="D340" s="21" t="s">
        <v>1042</v>
      </c>
      <c r="E340" s="11" t="str">
        <f>HYPERLINK("http://msp2.sophia-s.co.jp/sp/mspf1381_31100.html")</f>
        <v>http://msp2.sophia-s.co.jp/sp/mspf1381_31100.html</v>
      </c>
      <c r="F340" s="12" t="str">
        <f>HYPERLINK("https://www3.test-mitsui-shopping-park.com/ec/sp/torihikihou/privspoonsclub?uiel=Mobile")</f>
        <v>https://www3.test-mitsui-shopping-park.com/ec/sp/torihikihou/privspoonsclub?uiel=Mobile</v>
      </c>
      <c r="G340" s="13" t="str">
        <f>HYPERLINK("https://mitsui-shopping-park.com/ec/sp/torihikihou/privspoonsclub?uiel=Mobile")</f>
        <v>https://mitsui-shopping-park.com/ec/sp/torihikihou/privspoonsclub?uiel=Mobile</v>
      </c>
    </row>
    <row r="341" spans="1:7">
      <c r="A341" s="20" t="s">
        <v>1043</v>
      </c>
      <c r="B341" s="10">
        <v>337</v>
      </c>
      <c r="C341" s="18" t="s">
        <v>1044</v>
      </c>
      <c r="D341" s="21" t="s">
        <v>1044</v>
      </c>
      <c r="E341" s="11" t="str">
        <f>HYPERLINK("http://msp2.sophia-s.co.jp/sp/mspf1381_30600.html")</f>
        <v>http://msp2.sophia-s.co.jp/sp/mspf1381_30600.html</v>
      </c>
      <c r="F341" s="12" t="str">
        <f>HYPERLINK("https://www3.test-mitsui-shopping-park.com/ec/sp/torihikihou/THANN?uiel=Mobile")</f>
        <v>https://www3.test-mitsui-shopping-park.com/ec/sp/torihikihou/THANN?uiel=Mobile</v>
      </c>
      <c r="G341" s="13" t="str">
        <f>HYPERLINK("https://mitsui-shopping-park.com/ec/sp/torihikihou/THANN?uiel=Mobile")</f>
        <v>https://mitsui-shopping-park.com/ec/sp/torihikihou/THANN?uiel=Mobile</v>
      </c>
    </row>
    <row r="342" spans="1:7">
      <c r="A342" s="20" t="s">
        <v>1045</v>
      </c>
      <c r="B342" s="10">
        <v>338</v>
      </c>
      <c r="C342" s="18" t="s">
        <v>1046</v>
      </c>
      <c r="D342" s="21" t="s">
        <v>1047</v>
      </c>
      <c r="E342" s="11" t="str">
        <f>HYPERLINK("http://msp2.sophia-s.co.jp/sp/mspf1381_30700.html")</f>
        <v>http://msp2.sophia-s.co.jp/sp/mspf1381_30700.html</v>
      </c>
      <c r="F342" s="12" t="str">
        <f>HYPERLINK("https://www3.test-mitsui-shopping-park.com/ec/sp/torihikihou/ALPHACREATION?uiel=Mobile")</f>
        <v>https://www3.test-mitsui-shopping-park.com/ec/sp/torihikihou/ALPHACREATION?uiel=Mobile</v>
      </c>
      <c r="G342" s="13" t="str">
        <f>HYPERLINK("https://mitsui-shopping-park.com/ec/sp/torihikihou/ALPHACREATION?uiel=Mobile")</f>
        <v>https://mitsui-shopping-park.com/ec/sp/torihikihou/ALPHACREATION?uiel=Mobile</v>
      </c>
    </row>
    <row r="343" spans="1:7">
      <c r="A343" s="20" t="s">
        <v>1048</v>
      </c>
      <c r="B343" s="10">
        <v>339</v>
      </c>
      <c r="C343" s="18" t="s">
        <v>1049</v>
      </c>
      <c r="D343" s="21" t="s">
        <v>1049</v>
      </c>
      <c r="E343" s="11" t="str">
        <f>HYPERLINK("http://msp2.sophia-s.co.jp/sp/mspf1381_30701.html")</f>
        <v>http://msp2.sophia-s.co.jp/sp/mspf1381_30701.html</v>
      </c>
      <c r="F343" s="12" t="str">
        <f>HYPERLINK("https://www3.test-mitsui-shopping-park.com/ec/sp/torihikihou/A-STUDIO?uiel=Mobile")</f>
        <v>https://www3.test-mitsui-shopping-park.com/ec/sp/torihikihou/A-STUDIO?uiel=Mobile</v>
      </c>
      <c r="G343" s="13" t="str">
        <f>HYPERLINK("https://mitsui-shopping-park.com/ec/sp/torihikihou/A-STUDIO?uiel=Mobile")</f>
        <v>https://mitsui-shopping-park.com/ec/sp/torihikihou/A-STUDIO?uiel=Mobile</v>
      </c>
    </row>
    <row r="344" spans="1:7">
      <c r="A344" s="22" t="s">
        <v>1050</v>
      </c>
      <c r="B344" s="10">
        <v>340</v>
      </c>
      <c r="C344" s="18" t="s">
        <v>1051</v>
      </c>
      <c r="D344" s="20" t="s">
        <v>1052</v>
      </c>
      <c r="E344" s="11" t="str">
        <f>HYPERLINK("http://msp2.sophia-s.co.jp/sp/mspf1381_23801.html")</f>
        <v>http://msp2.sophia-s.co.jp/sp/mspf1381_23801.html</v>
      </c>
      <c r="F344" s="12" t="str">
        <f>HYPERLINK("https://www3.test-mitsui-shopping-park.com/ec/sp/torihikihou/foonlinefukubukuro?uiel=Mobile")</f>
        <v>https://www3.test-mitsui-shopping-park.com/ec/sp/torihikihou/foonlinefukubukuro?uiel=Mobile</v>
      </c>
      <c r="G344" s="13" t="str">
        <f>HYPERLINK("https://mitsui-shopping-park.com/ec/sp/torihikihou/foonlinefukubukuro?uiel=Mobile")</f>
        <v>https://mitsui-shopping-park.com/ec/sp/torihikihou/foonlinefukubukuro?uiel=Mobile</v>
      </c>
    </row>
    <row r="345" spans="1:7">
      <c r="A345" s="22" t="s">
        <v>1053</v>
      </c>
      <c r="B345" s="10">
        <v>341</v>
      </c>
      <c r="C345" s="18" t="s">
        <v>1054</v>
      </c>
      <c r="D345" s="20" t="s">
        <v>1055</v>
      </c>
      <c r="E345" s="11" t="str">
        <f>HYPERLINK("http://msp2.sophia-s.co.jp/sp/mspf1381_24303.html")</f>
        <v>http://msp2.sophia-s.co.jp/sp/mspf1381_24303.html</v>
      </c>
      <c r="F345" s="12" t="str">
        <f>HYPERLINK("https://www3.test-mitsui-shopping-park.com/ec/sp/torihikihou/ursfukubukuro?uiel=Mobile")</f>
        <v>https://www3.test-mitsui-shopping-park.com/ec/sp/torihikihou/ursfukubukuro?uiel=Mobile</v>
      </c>
      <c r="G345" s="13" t="str">
        <f>HYPERLINK("https://mitsui-shopping-park.com/ec/sp/torihikihou/ursfukubukuro?uiel=Mobile")</f>
        <v>https://mitsui-shopping-park.com/ec/sp/torihikihou/ursfukubukuro?uiel=Mobile</v>
      </c>
    </row>
    <row r="346" spans="1:7">
      <c r="A346" s="22" t="s">
        <v>1056</v>
      </c>
      <c r="B346" s="10">
        <v>342</v>
      </c>
      <c r="C346" s="18" t="s">
        <v>1057</v>
      </c>
      <c r="D346" s="20" t="s">
        <v>1058</v>
      </c>
      <c r="E346" s="11" t="str">
        <f>HYPERLINK("http://msp2.sophia-s.co.jp/sp/mspf1381_24302.html")</f>
        <v>http://msp2.sophia-s.co.jp/sp/mspf1381_24302.html</v>
      </c>
      <c r="F346" s="12" t="str">
        <f>HYPERLINK("https://www3.test-mitsui-shopping-park.com/ec/sp/torihikihou/titivatefukubukuro?uiel=Mobile")</f>
        <v>https://www3.test-mitsui-shopping-park.com/ec/sp/torihikihou/titivatefukubukuro?uiel=Mobile</v>
      </c>
      <c r="G346" s="13" t="str">
        <f>HYPERLINK("https://mitsui-shopping-park.com/ec/sp/torihikihou/titivatefukubukuro?uiel=Mobile")</f>
        <v>https://mitsui-shopping-park.com/ec/sp/torihikihou/titivatefukubukuro?uiel=Mobile</v>
      </c>
    </row>
    <row r="347" spans="1:7">
      <c r="A347" s="18" t="s">
        <v>1059</v>
      </c>
      <c r="B347" s="10">
        <v>343</v>
      </c>
      <c r="C347" s="18" t="s">
        <v>968</v>
      </c>
      <c r="D347" s="18" t="s">
        <v>1060</v>
      </c>
      <c r="E347" s="11" t="str">
        <f>HYPERLINK("http://msp2.sophia-s.co.jp/sp/mspf1381_27001.html")</f>
        <v>http://msp2.sophia-s.co.jp/sp/mspf1381_27001.html</v>
      </c>
      <c r="F347" s="12" t="str">
        <f>HYPERLINK("https://www3.test-mitsui-shopping-park.com/ec/sp/torihikihou/KEYUCA2?uiel=Mobile")</f>
        <v>https://www3.test-mitsui-shopping-park.com/ec/sp/torihikihou/KEYUCA2?uiel=Mobile</v>
      </c>
      <c r="G347" s="13" t="str">
        <f>HYPERLINK("https://mitsui-shopping-park.com/ec/sp/torihikihou/KEYUCA2?uiel=Mobile")</f>
        <v>https://mitsui-shopping-park.com/ec/sp/torihikihou/KEYUCA2?uiel=Mobile</v>
      </c>
    </row>
    <row r="348" spans="1:7">
      <c r="A348" s="18" t="s">
        <v>1061</v>
      </c>
      <c r="B348" s="10">
        <v>344</v>
      </c>
      <c r="C348" s="18" t="s">
        <v>1062</v>
      </c>
      <c r="D348" s="18" t="s">
        <v>1063</v>
      </c>
      <c r="E348" s="11" t="str">
        <f>HYPERLINK("http://msp2.sophia-s.co.jp/sp/mspf1381_28800.html")</f>
        <v>http://msp2.sophia-s.co.jp/sp/mspf1381_28800.html</v>
      </c>
      <c r="F348" s="12" t="str">
        <f>HYPERLINK("https://www3.test-mitsui-shopping-park.com/ec/sp/torihikihou/HulaLaniHawaii?uiel=Mobile")</f>
        <v>https://www3.test-mitsui-shopping-park.com/ec/sp/torihikihou/HulaLaniHawaii?uiel=Mobile</v>
      </c>
      <c r="G348" s="13" t="str">
        <f>HYPERLINK("https://mitsui-shopping-park.com/ec/sp/torihikihou/HulaLaniHawaii?uiel=Mobile")</f>
        <v>https://mitsui-shopping-park.com/ec/sp/torihikihou/HulaLaniHawaii?uiel=Mobile</v>
      </c>
    </row>
    <row r="349" spans="1:7">
      <c r="A349" s="18" t="s">
        <v>1064</v>
      </c>
      <c r="B349" s="10">
        <v>345</v>
      </c>
      <c r="C349" s="18" t="s">
        <v>1065</v>
      </c>
      <c r="D349" s="18" t="s">
        <v>1065</v>
      </c>
      <c r="E349" s="11" t="str">
        <f>HYPERLINK("http://msp2.sophia-s.co.jp/sp/mspf1381_25601.html")</f>
        <v>http://msp2.sophia-s.co.jp/sp/mspf1381_25601.html</v>
      </c>
      <c r="F349" s="12" t="str">
        <f>HYPERLINK("https://www3.test-mitsui-shopping-park.com/ec/sp/torihikihou/UNDERCONTROL?uiel=Mobile")</f>
        <v>https://www3.test-mitsui-shopping-park.com/ec/sp/torihikihou/UNDERCONTROL?uiel=Mobile</v>
      </c>
      <c r="G349" s="13" t="str">
        <f>HYPERLINK("https://mitsui-shopping-park.com/ec/sp/torihikihou/UNDERCONTROL?uiel=Mobile")</f>
        <v>https://mitsui-shopping-park.com/ec/sp/torihikihou/UNDERCONTROL?uiel=Mobile</v>
      </c>
    </row>
    <row r="350" spans="1:7">
      <c r="A350" s="18" t="s">
        <v>1066</v>
      </c>
      <c r="B350" s="10">
        <v>346</v>
      </c>
      <c r="C350" s="18" t="s">
        <v>1067</v>
      </c>
      <c r="D350" s="18" t="s">
        <v>1067</v>
      </c>
      <c r="E350" s="11" t="str">
        <f>HYPERLINK("http://msp2.sophia-s.co.jp/sp/mspf1381_31000.html")</f>
        <v>http://msp2.sophia-s.co.jp/sp/mspf1381_31000.html</v>
      </c>
      <c r="F350" s="12" t="str">
        <f>HYPERLINK("https://www3.test-mitsui-shopping-park.com/ec/sp/torihikihou/FAIRFAX?uiel=Mobile")</f>
        <v>https://www3.test-mitsui-shopping-park.com/ec/sp/torihikihou/FAIRFAX?uiel=Mobile</v>
      </c>
      <c r="G350" s="13" t="str">
        <f>HYPERLINK("https://mitsui-shopping-park.com/ec/sp/torihikihou/FAIRFAX?uiel=Mobile")</f>
        <v>https://mitsui-shopping-park.com/ec/sp/torihikihou/FAIRFAX?uiel=Mobile</v>
      </c>
    </row>
    <row r="351" spans="1:7">
      <c r="A351" s="18" t="s">
        <v>1068</v>
      </c>
      <c r="B351" s="10">
        <v>347</v>
      </c>
      <c r="C351" s="18" t="s">
        <v>1069</v>
      </c>
      <c r="D351" s="18" t="s">
        <v>1070</v>
      </c>
      <c r="E351" s="11" t="str">
        <f>HYPERLINK("http://msp2.sophia-s.co.jp/sp/mspf1381_31400.html")</f>
        <v>http://msp2.sophia-s.co.jp/sp/mspf1381_31400.html</v>
      </c>
      <c r="F351" s="12" t="str">
        <f>HYPERLINK("https://www3.test-mitsui-shopping-park.com/ec/sp/torihikihou/makanai?uiel=Mobile")</f>
        <v>https://www3.test-mitsui-shopping-park.com/ec/sp/torihikihou/makanai?uiel=Mobile</v>
      </c>
      <c r="G351" s="13" t="str">
        <f>HYPERLINK("https://mitsui-shopping-park.com/ec/sp/torihikihou/makanai?uiel=Mobile")</f>
        <v>https://mitsui-shopping-park.com/ec/sp/torihikihou/makanai?uiel=Mobile</v>
      </c>
    </row>
    <row r="352" spans="1:7">
      <c r="A352" s="18" t="s">
        <v>1071</v>
      </c>
      <c r="B352" s="10">
        <v>348</v>
      </c>
      <c r="C352" s="18" t="s">
        <v>1072</v>
      </c>
      <c r="D352" s="18" t="s">
        <v>1072</v>
      </c>
      <c r="E352" s="11" t="str">
        <f>HYPERLINK("http://msp2.sophia-s.co.jp/sp/mspf1381_31700.html")</f>
        <v>http://msp2.sophia-s.co.jp/sp/mspf1381_31700.html</v>
      </c>
      <c r="F352" s="12" t="str">
        <f>HYPERLINK("https://www3.test-mitsui-shopping-park.com/ec/sp/torihikihou/SPORTIFF?uiel=Mobile")</f>
        <v>https://www3.test-mitsui-shopping-park.com/ec/sp/torihikihou/SPORTIFF?uiel=Mobile</v>
      </c>
      <c r="G352" s="13" t="str">
        <f>HYPERLINK("https://mitsui-shopping-park.com/ec/sp/torihikihou/SPORTIFF?uiel=Mobile")</f>
        <v>https://mitsui-shopping-park.com/ec/sp/torihikihou/SPORTIFF?uiel=Mobile</v>
      </c>
    </row>
    <row r="353" spans="1:7">
      <c r="A353" s="19" t="s">
        <v>1073</v>
      </c>
      <c r="B353" s="10">
        <v>349</v>
      </c>
      <c r="C353" s="18" t="s">
        <v>1074</v>
      </c>
      <c r="D353" s="19" t="s">
        <v>1075</v>
      </c>
      <c r="E353" s="11" t="str">
        <f>HYPERLINK("http://msp2.sophia-s.co.jp/sp/mspf1381_31300.html")</f>
        <v>http://msp2.sophia-s.co.jp/sp/mspf1381_31300.html</v>
      </c>
      <c r="F353" s="12" t="str">
        <f>HYPERLINK("https://www3.test-mitsui-shopping-park.com/ec/sp/torihikihou/NOIRDEPOUPEE?uiel=Mobile")</f>
        <v>https://www3.test-mitsui-shopping-park.com/ec/sp/torihikihou/NOIRDEPOUPEE?uiel=Mobile</v>
      </c>
      <c r="G353" s="13" t="str">
        <f>HYPERLINK("https://mitsui-shopping-park.com/ec/sp/torihikihou/NOIRDEPOUPEE?uiel=Mobile")</f>
        <v>https://mitsui-shopping-park.com/ec/sp/torihikihou/NOIRDEPOUPEE?uiel=Mobile</v>
      </c>
    </row>
    <row r="354" spans="1:7">
      <c r="A354" s="20" t="s">
        <v>1076</v>
      </c>
      <c r="B354" s="10">
        <v>350</v>
      </c>
      <c r="C354" s="18" t="s">
        <v>1077</v>
      </c>
      <c r="D354" s="20" t="s">
        <v>1078</v>
      </c>
      <c r="E354" s="11" t="str">
        <f>HYPERLINK("http://msp2.sophia-s.co.jp/sp/mspf1381_31501.html")</f>
        <v>http://msp2.sophia-s.co.jp/sp/mspf1381_31501.html</v>
      </c>
      <c r="F354" s="12" t="str">
        <f>HYPERLINK("https://www3.test-mitsui-shopping-park.com/ec/sp/torihikihou/HIGHSTREET?uiel=Mobile")</f>
        <v>https://www3.test-mitsui-shopping-park.com/ec/sp/torihikihou/HIGHSTREET?uiel=Mobile</v>
      </c>
      <c r="G354" s="13" t="str">
        <f>HYPERLINK("https://mitsui-shopping-park.com/ec/sp/torihikihou/HIGHSTREET?uiel=Mobile")</f>
        <v>https://mitsui-shopping-park.com/ec/sp/torihikihou/HIGHSTREET?uiel=Mobile</v>
      </c>
    </row>
    <row r="355" spans="1:7">
      <c r="A355" s="20" t="s">
        <v>1079</v>
      </c>
      <c r="B355" s="10">
        <v>351</v>
      </c>
      <c r="C355" s="18" t="s">
        <v>1080</v>
      </c>
      <c r="D355" s="20" t="s">
        <v>1081</v>
      </c>
      <c r="E355" s="11" t="str">
        <f>HYPERLINK("http://msp2.sophia-s.co.jp/sp/mspf1381_31500.html")</f>
        <v>http://msp2.sophia-s.co.jp/sp/mspf1381_31500.html</v>
      </c>
      <c r="F355" s="12" t="str">
        <f>HYPERLINK("https://www3.test-mitsui-shopping-park.com/ec/sp/torihikihou/TORNADOMART?uiel=Mobile")</f>
        <v>https://www3.test-mitsui-shopping-park.com/ec/sp/torihikihou/TORNADOMART?uiel=Mobile</v>
      </c>
      <c r="G355" s="13" t="str">
        <f>HYPERLINK("https://mitsui-shopping-park.com/ec/sp/torihikihou/TORNADOMART?uiel=Mobile")</f>
        <v>https://mitsui-shopping-park.com/ec/sp/torihikihou/TORNADOMART?uiel=Mobile</v>
      </c>
    </row>
    <row r="356" spans="1:7">
      <c r="A356" s="20" t="s">
        <v>1082</v>
      </c>
      <c r="B356" s="10">
        <v>352</v>
      </c>
      <c r="C356" s="18" t="s">
        <v>1083</v>
      </c>
      <c r="D356" s="20" t="s">
        <v>1083</v>
      </c>
      <c r="E356" s="11" t="str">
        <f>HYPERLINK("http://msp2.sophia-s.co.jp/sp/mspf1381_31900.html")</f>
        <v>http://msp2.sophia-s.co.jp/sp/mspf1381_31900.html</v>
      </c>
      <c r="F356" s="12" t="str">
        <f>HYPERLINK("https://www3.test-mitsui-shopping-park.com/ec/sp/torihikihou/BRONTIBAYPARIS?uiel=Mobile")</f>
        <v>https://www3.test-mitsui-shopping-park.com/ec/sp/torihikihou/BRONTIBAYPARIS?uiel=Mobile</v>
      </c>
      <c r="G356" s="13" t="str">
        <f>HYPERLINK("https://mitsui-shopping-park.com/ec/sp/torihikihou/BRONTIBAYPARIS?uiel=Mobile")</f>
        <v>https://mitsui-shopping-park.com/ec/sp/torihikihou/BRONTIBAYPARIS?uiel=Mobile</v>
      </c>
    </row>
    <row r="357" spans="1:7">
      <c r="A357" s="20" t="s">
        <v>1084</v>
      </c>
      <c r="B357" s="10">
        <v>353</v>
      </c>
      <c r="C357" s="18" t="s">
        <v>1085</v>
      </c>
      <c r="D357" s="20" t="s">
        <v>1086</v>
      </c>
      <c r="E357" s="11" t="str">
        <f>HYPERLINK("http://msp2.sophia-s.co.jp/sp/mspf1381_31800.html")</f>
        <v>http://msp2.sophia-s.co.jp/sp/mspf1381_31800.html</v>
      </c>
      <c r="F357" s="12" t="str">
        <f>HYPERLINK("https://www3.test-mitsui-shopping-park.com/ec/sp/torihikihou/phitenshop?uiel=Mobile")</f>
        <v>https://www3.test-mitsui-shopping-park.com/ec/sp/torihikihou/phitenshop?uiel=Mobile</v>
      </c>
      <c r="G357" s="13" t="str">
        <f>HYPERLINK("https://mitsui-shopping-park.com/ec/sp/torihikihou/phitenshop?uiel=Mobile")</f>
        <v>https://mitsui-shopping-park.com/ec/sp/torihikihou/phitenshop?uiel=Mobile</v>
      </c>
    </row>
    <row r="358" spans="1:7">
      <c r="A358" s="19" t="s">
        <v>1087</v>
      </c>
      <c r="B358" s="10">
        <v>354</v>
      </c>
      <c r="C358" s="18" t="s">
        <v>1088</v>
      </c>
      <c r="D358" s="19" t="s">
        <v>1089</v>
      </c>
      <c r="E358" s="11" t="str">
        <f>HYPERLINK("http://msp2.sophia-s.co.jp/sp/mspf1381_12106.html")</f>
        <v>http://msp2.sophia-s.co.jp/sp/mspf1381_12106.html</v>
      </c>
      <c r="F358" s="12" t="str">
        <f>HYPERLINK("https://www3.test-mitsui-shopping-park.com/ec/sp/torihikihou/BS1?uiel=Mobile")</f>
        <v>https://www3.test-mitsui-shopping-park.com/ec/sp/torihikihou/BS1?uiel=Mobile</v>
      </c>
      <c r="G358" s="13" t="str">
        <f>HYPERLINK("https://mitsui-shopping-park.com/ec/sp/torihikihou/BS1?uiel=Mobile")</f>
        <v>https://mitsui-shopping-park.com/ec/sp/torihikihou/BS1?uiel=Mobile</v>
      </c>
    </row>
    <row r="359" spans="1:7">
      <c r="A359" s="20" t="s">
        <v>1090</v>
      </c>
      <c r="B359" s="10">
        <v>355</v>
      </c>
      <c r="C359" s="18" t="s">
        <v>1091</v>
      </c>
      <c r="D359" s="20" t="s">
        <v>1092</v>
      </c>
      <c r="E359" s="11" t="str">
        <f>HYPERLINK("http://msp2.sophia-s.co.jp/sp/mspf1381_12105.html")</f>
        <v>http://msp2.sophia-s.co.jp/sp/mspf1381_12105.html</v>
      </c>
      <c r="F359" s="12" t="str">
        <f>HYPERLINK("https://www3.test-mitsui-shopping-park.com/ec/sp/torihikihou/PD1?uiel=Mobile")</f>
        <v>https://www3.test-mitsui-shopping-park.com/ec/sp/torihikihou/PD1?uiel=Mobile</v>
      </c>
      <c r="G359" s="13" t="str">
        <f>HYPERLINK("https://mitsui-shopping-park.com/ec/sp/torihikihou/PD1?uiel=Mobile")</f>
        <v>https://mitsui-shopping-park.com/ec/sp/torihikihou/PD1?uiel=Mobile</v>
      </c>
    </row>
    <row r="360" spans="1:7">
      <c r="A360" s="20" t="s">
        <v>1093</v>
      </c>
      <c r="B360" s="10">
        <v>356</v>
      </c>
      <c r="C360" s="18" t="s">
        <v>1094</v>
      </c>
      <c r="D360" s="20" t="s">
        <v>1095</v>
      </c>
      <c r="E360" s="11" t="str">
        <f>HYPERLINK("http://msp2.sophia-s.co.jp/sp/mspf1381_12107.html")</f>
        <v>http://msp2.sophia-s.co.jp/sp/mspf1381_12107.html</v>
      </c>
      <c r="F360" s="12" t="str">
        <f>HYPERLINK("https://www3.test-mitsui-shopping-park.com/ec/sp/torihikihou/NB1?uiel=Mobile")</f>
        <v>https://www3.test-mitsui-shopping-park.com/ec/sp/torihikihou/NB1?uiel=Mobile</v>
      </c>
      <c r="G360" s="13" t="str">
        <f>HYPERLINK("https://mitsui-shopping-park.com/ec/sp/torihikihou/NB1?uiel=Mobile")</f>
        <v>https://mitsui-shopping-park.com/ec/sp/torihikihou/NB1?uiel=Mobile</v>
      </c>
    </row>
    <row r="361" spans="1:7">
      <c r="A361" s="19" t="s">
        <v>1096</v>
      </c>
      <c r="B361" s="10">
        <v>357</v>
      </c>
      <c r="C361" s="18" t="s">
        <v>1097</v>
      </c>
      <c r="D361" s="19" t="s">
        <v>1098</v>
      </c>
      <c r="E361" s="11" t="str">
        <f>HYPERLINK("http://msp2.sophia-s.co.jp/sp/mspf1381_16406.html")</f>
        <v>http://msp2.sophia-s.co.jp/sp/mspf1381_16406.html</v>
      </c>
      <c r="F361" s="12" t="str">
        <f>HYPERLINK("https://www3.test-mitsui-shopping-park.com/ec/sp/torihikihou/COTORICA?uiel=Mobile")</f>
        <v>https://www3.test-mitsui-shopping-park.com/ec/sp/torihikihou/COTORICA?uiel=Mobile</v>
      </c>
      <c r="G361" s="13" t="str">
        <f>HYPERLINK("https://mitsui-shopping-park.com/ec/sp/torihikihou/COTORICA?uiel=Mobile")</f>
        <v>https://mitsui-shopping-park.com/ec/sp/torihikihou/COTORICA?uiel=Mobile</v>
      </c>
    </row>
    <row r="362" spans="1:7">
      <c r="A362" s="20" t="s">
        <v>1099</v>
      </c>
      <c r="B362" s="10">
        <v>358</v>
      </c>
      <c r="C362" s="18" t="s">
        <v>1100</v>
      </c>
      <c r="D362" s="20" t="s">
        <v>1101</v>
      </c>
      <c r="E362" s="11" t="str">
        <f>HYPERLINK("http://msp2.sophia-s.co.jp/sp/mspf1381_30100.html")</f>
        <v>http://msp2.sophia-s.co.jp/sp/mspf1381_30100.html</v>
      </c>
      <c r="F362" s="12" t="str">
        <f>HYPERLINK("https://www3.test-mitsui-shopping-park.com/ec/sp/torihikihou/OKICHIHIROBA?uiel=Mobile")</f>
        <v>https://www3.test-mitsui-shopping-park.com/ec/sp/torihikihou/OKICHIHIROBA?uiel=Mobile</v>
      </c>
      <c r="G362" s="13" t="str">
        <f>HYPERLINK("https://mitsui-shopping-park.com/ec/sp/torihikihou/OKICHIHIROBA?uiel=Mobile")</f>
        <v>https://mitsui-shopping-park.com/ec/sp/torihikihou/OKICHIHIROBA?uiel=Mobile</v>
      </c>
    </row>
    <row r="363" spans="1:7">
      <c r="A363" s="20" t="s">
        <v>1102</v>
      </c>
      <c r="B363" s="10">
        <v>359</v>
      </c>
      <c r="C363" s="18" t="s">
        <v>1103</v>
      </c>
      <c r="D363" s="20" t="s">
        <v>1104</v>
      </c>
      <c r="E363" s="11" t="str">
        <f>HYPERLINK("http://msp2.sophia-s.co.jp/sp/mspf1381_32100.html")</f>
        <v>http://msp2.sophia-s.co.jp/sp/mspf1381_32100.html</v>
      </c>
      <c r="F363" s="12" t="str">
        <f>HYPERLINK("https://www3.test-mitsui-shopping-park.com/ec/sp/torihikihou/RALPHLAURENHOME?uiel=Mobile")</f>
        <v>https://www3.test-mitsui-shopping-park.com/ec/sp/torihikihou/RALPHLAURENHOME?uiel=Mobile</v>
      </c>
      <c r="G363" s="13" t="str">
        <f>HYPERLINK("https://mitsui-shopping-park.com/ec/sp/torihikihou/RALPHLAURENHOME?uiel=Mobile")</f>
        <v>https://mitsui-shopping-park.com/ec/sp/torihikihou/RALPHLAURENHOME?uiel=Mobile</v>
      </c>
    </row>
    <row r="364" spans="1:7">
      <c r="A364" s="20" t="s">
        <v>1105</v>
      </c>
      <c r="B364" s="10">
        <v>360</v>
      </c>
      <c r="C364" s="18" t="s">
        <v>1106</v>
      </c>
      <c r="D364" s="20" t="s">
        <v>1107</v>
      </c>
      <c r="E364" s="11" t="str">
        <f>HYPERLINK("http://msp2.sophia-s.co.jp/sp/mspf1381_32500.html")</f>
        <v>http://msp2.sophia-s.co.jp/sp/mspf1381_32500.html</v>
      </c>
      <c r="F364" s="12" t="str">
        <f>HYPERLINK("https://www3.test-mitsui-shopping-park.com/ec/sp/torihikihou/KODANSHASHOP?uiel=Mobile")</f>
        <v>https://www3.test-mitsui-shopping-park.com/ec/sp/torihikihou/KODANSHASHOP?uiel=Mobile</v>
      </c>
      <c r="G364" s="13" t="str">
        <f>HYPERLINK("https://mitsui-shopping-park.com/ec/sp/torihikihou/KODANSHASHOP?uiel=Mobile")</f>
        <v>https://mitsui-shopping-park.com/ec/sp/torihikihou/KODANSHASHOP?uiel=Mobile</v>
      </c>
    </row>
    <row r="365" spans="1:7">
      <c r="A365" s="20" t="s">
        <v>1108</v>
      </c>
      <c r="B365" s="10">
        <v>361</v>
      </c>
      <c r="C365" s="18" t="s">
        <v>1109</v>
      </c>
      <c r="D365" s="20" t="s">
        <v>1110</v>
      </c>
      <c r="E365" s="11" t="str">
        <f>HYPERLINK("http://msp2.sophia-s.co.jp/sp/mspf1381_32300.html")</f>
        <v>http://msp2.sophia-s.co.jp/sp/mspf1381_32300.html</v>
      </c>
      <c r="F365" s="12" t="str">
        <f>HYPERLINK("https://www3.test-mitsui-shopping-park.com/ec/sp/torihikihou/MUK?uiel=Mobile")</f>
        <v>https://www3.test-mitsui-shopping-park.com/ec/sp/torihikihou/MUK?uiel=Mobile</v>
      </c>
      <c r="G365" s="13" t="str">
        <f>HYPERLINK("https://mitsui-shopping-park.com/ec/sp/torihikihou/MUK?uiel=Mobile")</f>
        <v>https://mitsui-shopping-park.com/ec/sp/torihikihou/MUK?uiel=Mobile</v>
      </c>
    </row>
    <row r="366" spans="1:7">
      <c r="A366" s="20" t="s">
        <v>1111</v>
      </c>
      <c r="B366" s="10">
        <v>362</v>
      </c>
      <c r="C366" s="18" t="s">
        <v>1112</v>
      </c>
      <c r="D366" s="20" t="s">
        <v>1113</v>
      </c>
      <c r="E366" s="11" t="str">
        <f>HYPERLINK("http://msp2.sophia-s.co.jp/sp/mspf1381_32000.html")</f>
        <v>http://msp2.sophia-s.co.jp/sp/mspf1381_32000.html</v>
      </c>
      <c r="F366" s="12" t="str">
        <f>HYPERLINK("https://www3.test-mitsui-shopping-park.com/ec/sp/torihikihou/LIBRETTOBAY?uiel=Mobile")</f>
        <v>https://www3.test-mitsui-shopping-park.com/ec/sp/torihikihou/LIBRETTOBAY?uiel=Mobile</v>
      </c>
      <c r="G366" s="13" t="str">
        <f>HYPERLINK("https://mitsui-shopping-park.com/ec/sp/torihikihou/LIBRETTOBAY?uiel=Mobile")</f>
        <v>https://mitsui-shopping-park.com/ec/sp/torihikihou/LIBRETTOBAY?uiel=Mobile</v>
      </c>
    </row>
    <row r="367" spans="1:7">
      <c r="A367" s="20" t="s">
        <v>1114</v>
      </c>
      <c r="B367" s="10">
        <v>363</v>
      </c>
      <c r="C367" s="18" t="s">
        <v>1115</v>
      </c>
      <c r="D367" s="20" t="s">
        <v>1115</v>
      </c>
      <c r="E367" s="11" t="str">
        <f>HYPERLINK("http://msp2.sophia-s.co.jp/sp/mspf1381_22101.html")</f>
        <v>http://msp2.sophia-s.co.jp/sp/mspf1381_22101.html</v>
      </c>
      <c r="F367" s="12" t="str">
        <f>HYPERLINK("https://www3.test-mitsui-shopping-park.com/ec/sp/torihikihou/Moliabal?uiel=Mobile")</f>
        <v>https://www3.test-mitsui-shopping-park.com/ec/sp/torihikihou/Moliabal?uiel=Mobile</v>
      </c>
      <c r="G367" s="13" t="str">
        <f>HYPERLINK("https://mitsui-shopping-park.com/ec/sp/torihikihou/Moliabal?uiel=Mobile")</f>
        <v>https://mitsui-shopping-park.com/ec/sp/torihikihou/Moliabal?uiel=Mobile</v>
      </c>
    </row>
    <row r="368" spans="1:7">
      <c r="A368" s="19" t="s">
        <v>1116</v>
      </c>
      <c r="B368" s="10">
        <v>364</v>
      </c>
      <c r="C368" s="18" t="s">
        <v>1117</v>
      </c>
      <c r="D368" s="19" t="s">
        <v>1118</v>
      </c>
      <c r="E368" s="11" t="str">
        <f>HYPERLINK("http://msp2.sophia-s.co.jp/sp/mspf1381_32400.html")</f>
        <v>http://msp2.sophia-s.co.jp/sp/mspf1381_32400.html</v>
      </c>
      <c r="F368" s="12" t="str">
        <f>HYPERLINK("https://www3.test-mitsui-shopping-park.com/ec/sp/torihikihou/AQUASILVER?uiel=Mobile")</f>
        <v>https://www3.test-mitsui-shopping-park.com/ec/sp/torihikihou/AQUASILVER?uiel=Mobile</v>
      </c>
      <c r="G368" s="13" t="str">
        <f>HYPERLINK("https://mitsui-shopping-park.com/ec/sp/torihikihou/AQUASILVER?uiel=Mobile")</f>
        <v>https://mitsui-shopping-park.com/ec/sp/torihikihou/AQUASILVER?uiel=Mobile</v>
      </c>
    </row>
    <row r="369" spans="1:7">
      <c r="A369" s="20" t="s">
        <v>1119</v>
      </c>
      <c r="B369" s="10">
        <v>365</v>
      </c>
      <c r="C369" s="18" t="s">
        <v>1120</v>
      </c>
      <c r="D369" s="20" t="s">
        <v>1120</v>
      </c>
      <c r="E369" s="11" t="str">
        <f>HYPERLINK("http://msp2.sophia-s.co.jp/sp/mspf1381_32600.html")</f>
        <v>http://msp2.sophia-s.co.jp/sp/mspf1381_32600.html</v>
      </c>
      <c r="F369" s="12" t="str">
        <f>HYPERLINK("https://www3.test-mitsui-shopping-park.com/ec/sp/torihikihou/UPLA?uiel=Mobile")</f>
        <v>https://www3.test-mitsui-shopping-park.com/ec/sp/torihikihou/UPLA?uiel=Mobile</v>
      </c>
      <c r="G369" s="13" t="str">
        <f>HYPERLINK("https://mitsui-shopping-park.com/ec/sp/torihikihou/UPLA?uiel=Mobile")</f>
        <v>https://mitsui-shopping-park.com/ec/sp/torihikihou/UPLA?uiel=Mobile</v>
      </c>
    </row>
    <row r="370" spans="1:7">
      <c r="A370" s="20" t="s">
        <v>1121</v>
      </c>
      <c r="B370" s="10">
        <v>366</v>
      </c>
      <c r="C370" s="18" t="s">
        <v>1122</v>
      </c>
      <c r="D370" s="20" t="s">
        <v>1122</v>
      </c>
      <c r="E370" s="11" t="str">
        <f>HYPERLINK("http://msp2.sophia-s.co.jp/sp/mspf1381_11701.html")</f>
        <v>http://msp2.sophia-s.co.jp/sp/mspf1381_11701.html</v>
      </c>
      <c r="F370" s="12" t="str">
        <f>HYPERLINK("https://www3.test-mitsui-shopping-park.com/ec/sp/torihikihou/AIGLE?uiel=Mobile")</f>
        <v>https://www3.test-mitsui-shopping-park.com/ec/sp/torihikihou/AIGLE?uiel=Mobile</v>
      </c>
      <c r="G370" s="13" t="str">
        <f>HYPERLINK("https://mitsui-shopping-park.com/ec/sp/torihikihou/AIGLE?uiel=Mobile")</f>
        <v>https://mitsui-shopping-park.com/ec/sp/torihikihou/AIGLE?uiel=Mobile</v>
      </c>
    </row>
    <row r="371" spans="1:7">
      <c r="A371" s="20" t="s">
        <v>1123</v>
      </c>
      <c r="B371" s="10">
        <v>367</v>
      </c>
      <c r="C371" s="18" t="s">
        <v>1124</v>
      </c>
      <c r="D371" s="20" t="s">
        <v>1124</v>
      </c>
      <c r="E371" s="11" t="str">
        <f>HYPERLINK("http://msp2.sophia-s.co.jp/sp/mspf1381_32800.html")</f>
        <v>http://msp2.sophia-s.co.jp/sp/mspf1381_32800.html</v>
      </c>
      <c r="F371" s="12" t="str">
        <f>HYPERLINK("https://www3.test-mitsui-shopping-park.com/ec/sp/torihikihou/Swarovski?uiel=Mobile")</f>
        <v>https://www3.test-mitsui-shopping-park.com/ec/sp/torihikihou/Swarovski?uiel=Mobile</v>
      </c>
      <c r="G371" s="13" t="str">
        <f>HYPERLINK("https://mitsui-shopping-park.com/ec/sp/torihikihou/Swarovski?uiel=Mobile")</f>
        <v>https://mitsui-shopping-park.com/ec/sp/torihikihou/Swarovski?uiel=Mobile</v>
      </c>
    </row>
    <row r="372" spans="1:7">
      <c r="A372" s="20" t="s">
        <v>1125</v>
      </c>
      <c r="B372" s="10">
        <v>368</v>
      </c>
      <c r="C372" s="18" t="s">
        <v>1126</v>
      </c>
      <c r="D372" s="20" t="s">
        <v>1127</v>
      </c>
      <c r="E372" s="11" t="str">
        <f>HYPERLINK("http://msp2.sophia-s.co.jp/sp/mspf1381_32700.html")</f>
        <v>http://msp2.sophia-s.co.jp/sp/mspf1381_32700.html</v>
      </c>
      <c r="F372" s="12" t="str">
        <f>HYPERLINK("https://www3.test-mitsui-shopping-park.com/ec/sp/torihikihou/newbalance?uiel=Mobile")</f>
        <v>https://www3.test-mitsui-shopping-park.com/ec/sp/torihikihou/newbalance?uiel=Mobile</v>
      </c>
      <c r="G372" s="13" t="str">
        <f>HYPERLINK("https://mitsui-shopping-park.com/ec/sp/torihikihou/newbalance?uiel=Mobile")</f>
        <v>https://mitsui-shopping-park.com/ec/sp/torihikihou/newbalance?uiel=Mobile</v>
      </c>
    </row>
    <row r="373" spans="1:7">
      <c r="A373" s="20" t="s">
        <v>1128</v>
      </c>
      <c r="B373" s="10">
        <v>369</v>
      </c>
      <c r="C373" s="18" t="s">
        <v>1129</v>
      </c>
      <c r="D373" s="20" t="s">
        <v>1130</v>
      </c>
      <c r="E373" s="11" t="str">
        <f>HYPERLINK("http://msp2.sophia-s.co.jp/sp/mspf1381_12108.html")</f>
        <v>http://msp2.sophia-s.co.jp/sp/mspf1381_12108.html</v>
      </c>
      <c r="F373" s="12" t="str">
        <f>HYPERLINK("https://www3.test-mitsui-shopping-park.com/ec/sp/torihikihou/ONE?uiel=Mobile")</f>
        <v>https://www3.test-mitsui-shopping-park.com/ec/sp/torihikihou/ONE?uiel=Mobile</v>
      </c>
      <c r="G373" s="13" t="str">
        <f>HYPERLINK("https://mitsui-shopping-park.com/ec/sp/torihikihou/ONE?uiel=Mobile")</f>
        <v>https://mitsui-shopping-park.com/ec/sp/torihikihou/ONE?uiel=Mobile</v>
      </c>
    </row>
    <row r="374" spans="1:7">
      <c r="A374" s="20" t="s">
        <v>1131</v>
      </c>
      <c r="B374" s="10">
        <v>370</v>
      </c>
      <c r="C374" s="18" t="s">
        <v>1132</v>
      </c>
      <c r="D374" s="20" t="s">
        <v>1133</v>
      </c>
      <c r="E374" s="11" t="str">
        <f>HYPERLINK("http://msp2.sophia-s.co.jp/sp/mspf1381_32900.html")</f>
        <v>http://msp2.sophia-s.co.jp/sp/mspf1381_32900.html</v>
      </c>
      <c r="F374" s="12" t="str">
        <f>HYPERLINK("https://www3.test-mitsui-shopping-park.com/ec/sp/torihikihou/beans?uiel=Mobile")</f>
        <v>https://www3.test-mitsui-shopping-park.com/ec/sp/torihikihou/beans?uiel=Mobile</v>
      </c>
      <c r="G374" s="13" t="str">
        <f>HYPERLINK("https://mitsui-shopping-park.com/ec/sp/torihikihou/beans?uiel=Mobile")</f>
        <v>https://mitsui-shopping-park.com/ec/sp/torihikihou/beans?uiel=Mobile</v>
      </c>
    </row>
    <row r="375" spans="1:7">
      <c r="A375" s="20" t="s">
        <v>1134</v>
      </c>
      <c r="B375" s="10">
        <v>371</v>
      </c>
      <c r="C375" s="18" t="s">
        <v>1135</v>
      </c>
      <c r="D375" s="20" t="s">
        <v>1136</v>
      </c>
      <c r="E375" s="11" t="str">
        <f>HYPERLINK("http://msp2.sophia-s.co.jp/sp/mspf1381_33100.html")</f>
        <v>http://msp2.sophia-s.co.jp/sp/mspf1381_33100.html</v>
      </c>
      <c r="F375" s="12" t="str">
        <f>HYPERLINK("https://www3.test-mitsui-shopping-park.com/ec/sp/torihikihou/BANANAREPUBLIC?uiel=Mobile")</f>
        <v>https://www3.test-mitsui-shopping-park.com/ec/sp/torihikihou/BANANAREPUBLIC?uiel=Mobile</v>
      </c>
      <c r="G375" s="13" t="str">
        <f>HYPERLINK("https://mitsui-shopping-park.com/ec/sp/torihikihou/BANANAREPUBLIC?uiel=Mobile")</f>
        <v>https://mitsui-shopping-park.com/ec/sp/torihikihou/BANANAREPUBLIC?uiel=Mobile</v>
      </c>
    </row>
    <row r="376" spans="1:7">
      <c r="A376" s="18" t="s">
        <v>1137</v>
      </c>
      <c r="B376" s="10">
        <v>372</v>
      </c>
      <c r="C376" s="18" t="s">
        <v>1138</v>
      </c>
      <c r="D376" s="18" t="s">
        <v>1139</v>
      </c>
      <c r="E376" s="11" t="str">
        <f>HYPERLINK("http://msp2.sophia-s.co.jp/sp/mspf1381_33300.html")</f>
        <v>http://msp2.sophia-s.co.jp/sp/mspf1381_33300.html</v>
      </c>
      <c r="F376" s="12" t="str">
        <f>HYPERLINK("https://www3.test-mitsui-shopping-park.com/ec/sp/torihikihou/LocalBrand?uiel=Mobile")</f>
        <v>https://www3.test-mitsui-shopping-park.com/ec/sp/torihikihou/LocalBrand?uiel=Mobile</v>
      </c>
      <c r="G376" s="13" t="str">
        <f>HYPERLINK("https://mitsui-shopping-park.com/ec/sp/torihikihou/LocalBrand?uiel=Mobile")</f>
        <v>https://mitsui-shopping-park.com/ec/sp/torihikihou/LocalBrand?uiel=Mobile</v>
      </c>
    </row>
    <row r="377" spans="1:7">
      <c r="A377" s="18" t="s">
        <v>1140</v>
      </c>
      <c r="B377" s="10">
        <v>373</v>
      </c>
      <c r="C377" s="18" t="s">
        <v>1141</v>
      </c>
      <c r="D377" s="18" t="s">
        <v>1142</v>
      </c>
      <c r="E377" s="11" t="str">
        <f>HYPERLINK("http://msp2.sophia-s.co.jp/sp/mspf1381_33600.html")</f>
        <v>http://msp2.sophia-s.co.jp/sp/mspf1381_33600.html</v>
      </c>
      <c r="F377" s="12" t="str">
        <f>HYPERLINK("https://www3.test-mitsui-shopping-park.com/ec/sp/torihikihou/karendo?uiel=Mobile")</f>
        <v>https://www3.test-mitsui-shopping-park.com/ec/sp/torihikihou/karendo?uiel=Mobile</v>
      </c>
      <c r="G377" s="13" t="str">
        <f>HYPERLINK("https://mitsui-shopping-park.com/ec/sp/torihikihou/karendo?uiel=Mobile")</f>
        <v>https://mitsui-shopping-park.com/ec/sp/torihikihou/karendo?uiel=Mobile</v>
      </c>
    </row>
    <row r="378" spans="1:7">
      <c r="A378" s="18" t="s">
        <v>1143</v>
      </c>
      <c r="B378" s="10">
        <v>374</v>
      </c>
      <c r="C378" s="18" t="s">
        <v>1144</v>
      </c>
      <c r="D378" s="18" t="s">
        <v>1145</v>
      </c>
      <c r="E378" s="11" t="str">
        <f>HYPERLINK("http://msp2.sophia-s.co.jp/sp/mspf1381_26300.html")</f>
        <v>http://msp2.sophia-s.co.jp/sp/mspf1381_26300.html</v>
      </c>
      <c r="F378" s="12" t="str">
        <f>HYPERLINK("https://www3.test-mitsui-shopping-park.com/ec/sp/torihikihou/usachancleaning?uiel=Mobile")</f>
        <v>https://www3.test-mitsui-shopping-park.com/ec/sp/torihikihou/usachancleaning?uiel=Mobile</v>
      </c>
      <c r="G378" s="13" t="str">
        <f>HYPERLINK("https://mitsui-shopping-park.com/ec/sp/torihikihou/usachancleaning?uiel=Mobile")</f>
        <v>https://mitsui-shopping-park.com/ec/sp/torihikihou/usachancleaning?uiel=Mobile</v>
      </c>
    </row>
    <row r="379" spans="1:7">
      <c r="A379" s="18" t="s">
        <v>1146</v>
      </c>
      <c r="B379" s="10">
        <v>375</v>
      </c>
      <c r="C379" s="18" t="s">
        <v>1147</v>
      </c>
      <c r="D379" s="18" t="s">
        <v>1147</v>
      </c>
      <c r="E379" s="11" t="str">
        <f>HYPERLINK("http://msp2.sophia-s.co.jp/sp/mspf1381_14203.html")</f>
        <v>http://msp2.sophia-s.co.jp/sp/mspf1381_14203.html</v>
      </c>
      <c r="F379" s="12" t="str">
        <f>HYPERLINK("https://www3.test-mitsui-shopping-park.com/ec/sp/torihikihou/TERRITOIRE?uiel=Mobile")</f>
        <v>https://www3.test-mitsui-shopping-park.com/ec/sp/torihikihou/TERRITOIRE?uiel=Mobile</v>
      </c>
      <c r="G379" s="13" t="str">
        <f>HYPERLINK("https://mitsui-shopping-park.com/ec/sp/torihikihou/TERRITOIRE?uiel=Mobile")</f>
        <v>https://mitsui-shopping-park.com/ec/sp/torihikihou/TERRITOIRE?uiel=Mobile</v>
      </c>
    </row>
    <row r="380" spans="1:7">
      <c r="A380" s="18" t="s">
        <v>1148</v>
      </c>
      <c r="B380" s="10">
        <v>376</v>
      </c>
      <c r="C380" s="18" t="s">
        <v>1149</v>
      </c>
      <c r="D380" s="18" t="s">
        <v>1149</v>
      </c>
      <c r="E380" s="11" t="str">
        <f>HYPERLINK("http://msp2.sophia-s.co.jp/sp/mspf1381_33000.html")</f>
        <v>http://msp2.sophia-s.co.jp/sp/mspf1381_33000.html</v>
      </c>
      <c r="F380" s="12" t="str">
        <f>HYPERLINK("https://www3.test-mitsui-shopping-park.com/ec/sp/torihikihou/SHIFFON?uiel=Mobile")</f>
        <v>https://www3.test-mitsui-shopping-park.com/ec/sp/torihikihou/SHIFFON?uiel=Mobile</v>
      </c>
      <c r="G380" s="13" t="str">
        <f>HYPERLINK("https://mitsui-shopping-park.com/ec/sp/torihikihou/SHIFFON?uiel=Mobile")</f>
        <v>https://mitsui-shopping-park.com/ec/sp/torihikihou/SHIFFON?uiel=Mobile</v>
      </c>
    </row>
    <row r="381" spans="1:7">
      <c r="A381" s="18" t="s">
        <v>1150</v>
      </c>
      <c r="B381" s="10">
        <v>377</v>
      </c>
      <c r="C381" s="18" t="s">
        <v>1151</v>
      </c>
      <c r="D381" s="18" t="s">
        <v>1152</v>
      </c>
      <c r="E381" s="11" t="str">
        <f>HYPERLINK("http://msp2.sophia-s.co.jp/sp/mspf1381_33800.html")</f>
        <v>http://msp2.sophia-s.co.jp/sp/mspf1381_33800.html</v>
      </c>
      <c r="F381" s="12" t="str">
        <f>HYPERLINK("https://www3.test-mitsui-shopping-park.com/ec/sp/torihikihou/ponycleaning?uiel=Mobile")</f>
        <v>https://www3.test-mitsui-shopping-park.com/ec/sp/torihikihou/ponycleaning?uiel=Mobile</v>
      </c>
      <c r="G381" s="13" t="str">
        <f>HYPERLINK("https://mitsui-shopping-park.com/ec/sp/torihikihou/ponycleaning?uiel=Mobile")</f>
        <v>https://mitsui-shopping-park.com/ec/sp/torihikihou/ponycleaning?uiel=Mobile</v>
      </c>
    </row>
    <row r="382" spans="1:7">
      <c r="A382" s="18" t="s">
        <v>1153</v>
      </c>
      <c r="B382" s="10">
        <v>378</v>
      </c>
      <c r="C382" s="18" t="s">
        <v>1154</v>
      </c>
      <c r="D382" s="18" t="s">
        <v>1155</v>
      </c>
      <c r="E382" s="11" t="str">
        <f>HYPERLINK("http://msp2.sophia-s.co.jp/sp/mspf1381_22201.html")</f>
        <v>http://msp2.sophia-s.co.jp/sp/mspf1381_22201.html</v>
      </c>
      <c r="F382" s="12" t="str">
        <f>HYPERLINK("https://www3.test-mitsui-shopping-park.com/ec/sp/torihikihou/MARUIOUTLETSTORE?uiel=Mobile")</f>
        <v>https://www3.test-mitsui-shopping-park.com/ec/sp/torihikihou/MARUIOUTLETSTORE?uiel=Mobile</v>
      </c>
      <c r="G382" s="13" t="str">
        <f>HYPERLINK("https://mitsui-shopping-park.com/ec/sp/torihikihou/MARUIOUTLETSTORE?uiel=Mobile")</f>
        <v>https://mitsui-shopping-park.com/ec/sp/torihikihou/MARUIOUTLETSTORE?uiel=Mobile</v>
      </c>
    </row>
    <row r="383" spans="1:7">
      <c r="A383" s="18" t="s">
        <v>1156</v>
      </c>
      <c r="B383" s="10">
        <v>379</v>
      </c>
      <c r="C383" s="18" t="s">
        <v>1157</v>
      </c>
      <c r="D383" s="18" t="s">
        <v>1158</v>
      </c>
      <c r="E383" s="11" t="str">
        <f>HYPERLINK("http://msp2.sophia-s.co.jp/sp/mspf1381_33700.html")</f>
        <v>http://msp2.sophia-s.co.jp/sp/mspf1381_33700.html</v>
      </c>
      <c r="F383" s="12" t="str">
        <f>HYPERLINK("https://www3.test-mitsui-shopping-park.com/ec/sp/torihikihou/NARUSYATOKYO?uiel=Mobile")</f>
        <v>https://www3.test-mitsui-shopping-park.com/ec/sp/torihikihou/NARUSYATOKYO?uiel=Mobile</v>
      </c>
      <c r="G383" s="13" t="str">
        <f>HYPERLINK("https://mitsui-shopping-park.com/ec/sp/torihikihou/NARUSYATOKYO?uiel=Mobile")</f>
        <v>https://mitsui-shopping-park.com/ec/sp/torihikihou/NARUSYATOKYO?uiel=Mobile</v>
      </c>
    </row>
    <row r="384" spans="1:7">
      <c r="A384" s="18" t="s">
        <v>1159</v>
      </c>
      <c r="B384" s="10">
        <v>380</v>
      </c>
      <c r="C384" s="18" t="s">
        <v>1160</v>
      </c>
      <c r="D384" s="18" t="s">
        <v>1161</v>
      </c>
      <c r="E384" s="11" t="str">
        <f>HYPERLINK("http://msp2.sophia-s.co.jp/sp/mspf1381_33200.html")</f>
        <v>http://msp2.sophia-s.co.jp/sp/mspf1381_33200.html</v>
      </c>
      <c r="F384" s="12" t="str">
        <f>HYPERLINK("https://www3.test-mitsui-shopping-park.com/ec/sp/torihikihou/DAIDOONLINESTORE?uiel=Mobile")</f>
        <v>https://www3.test-mitsui-shopping-park.com/ec/sp/torihikihou/DAIDOONLINESTORE?uiel=Mobile</v>
      </c>
      <c r="G384" s="13" t="str">
        <f>HYPERLINK("https://mitsui-shopping-park.com/ec/sp/torihikihou/DAIDOONLINESTORE?uiel=Mobile")</f>
        <v>https://mitsui-shopping-park.com/ec/sp/torihikihou/DAIDOONLINESTORE?uiel=Mobile</v>
      </c>
    </row>
    <row r="385" spans="1:7">
      <c r="A385" s="18" t="s">
        <v>1162</v>
      </c>
      <c r="B385" s="10">
        <v>381</v>
      </c>
      <c r="C385" s="9" t="s">
        <v>1163</v>
      </c>
      <c r="D385" s="9" t="s">
        <v>1164</v>
      </c>
      <c r="E385" s="11" t="str">
        <f>HYPERLINK("http://msp2.sophia-s.co.jp/sp/mspf1381_33500.html")</f>
        <v>http://msp2.sophia-s.co.jp/sp/mspf1381_33500.html</v>
      </c>
      <c r="F385" s="12" t="str">
        <f>HYPERLINK("https://www3.test-mitsui-shopping-park.com/ec/sp/torihikihou/RoseTiara?uiel=Mobile")</f>
        <v>https://www3.test-mitsui-shopping-park.com/ec/sp/torihikihou/RoseTiara?uiel=Mobile</v>
      </c>
      <c r="G385" s="13" t="str">
        <f>HYPERLINK("https://mitsui-shopping-park.com/ec/sp/torihikihou/RoseTiara?uiel=Mobile")</f>
        <v>https://mitsui-shopping-park.com/ec/sp/torihikihou/RoseTiara?uiel=Mobile</v>
      </c>
    </row>
    <row r="386" spans="1:7">
      <c r="A386" s="18" t="s">
        <v>1165</v>
      </c>
      <c r="B386" s="10">
        <v>382</v>
      </c>
      <c r="C386" s="9" t="s">
        <v>1166</v>
      </c>
      <c r="D386" s="9" t="s">
        <v>1166</v>
      </c>
      <c r="E386" s="11" t="str">
        <f>HYPERLINK("http://msp2.sophia-s.co.jp/sp/mspf1381_33501.html")</f>
        <v>http://msp2.sophia-s.co.jp/sp/mspf1381_33501.html</v>
      </c>
      <c r="F386" s="12" t="str">
        <f>HYPERLINK("https://www3.test-mitsui-shopping-park.com/ec/sp/torihikihou/EUCLAID?uiel=Mobile")</f>
        <v>https://www3.test-mitsui-shopping-park.com/ec/sp/torihikihou/EUCLAID?uiel=Mobile</v>
      </c>
      <c r="G386" s="13" t="str">
        <f>HYPERLINK("https://mitsui-shopping-park.com/ec/sp/torihikihou/EUCLAID?uiel=Mobile")</f>
        <v>https://mitsui-shopping-park.com/ec/sp/torihikihou/EUCLAID?uiel=Mobile</v>
      </c>
    </row>
    <row r="387" spans="1:7">
      <c r="A387" s="18" t="s">
        <v>1167</v>
      </c>
      <c r="B387" s="10">
        <v>383</v>
      </c>
      <c r="C387" s="9" t="s">
        <v>1168</v>
      </c>
      <c r="D387" s="9" t="s">
        <v>1169</v>
      </c>
      <c r="E387" s="11" t="str">
        <f>HYPERLINK("http://msp2.sophia-s.co.jp/sp/mspf1381_33502.html")</f>
        <v>http://msp2.sophia-s.co.jp/sp/mspf1381_33502.html</v>
      </c>
      <c r="F387" s="12" t="str">
        <f>HYPERLINK("https://www3.test-mitsui-shopping-park.com/ec/sp/torihikihou/Junioronlineshop?uiel=Mobile")</f>
        <v>https://www3.test-mitsui-shopping-park.com/ec/sp/torihikihou/Junioronlineshop?uiel=Mobile</v>
      </c>
      <c r="G387" s="13" t="str">
        <f>HYPERLINK("https://mitsui-shopping-park.com/ec/sp/torihikihou/Junioronlineshop?uiel=Mobile")</f>
        <v>https://mitsui-shopping-park.com/ec/sp/torihikihou/Junioronlineshop?uiel=Mobile</v>
      </c>
    </row>
    <row r="388" spans="1:7">
      <c r="A388" s="18" t="s">
        <v>1170</v>
      </c>
      <c r="B388" s="10">
        <v>384</v>
      </c>
      <c r="C388" s="9" t="s">
        <v>1171</v>
      </c>
      <c r="D388" s="9" t="s">
        <v>1172</v>
      </c>
      <c r="E388" s="11" t="str">
        <f>HYPERLINK("http://msp2.sophia-s.co.jp/sp/mspf1381_33400.html")</f>
        <v>http://msp2.sophia-s.co.jp/sp/mspf1381_33400.html</v>
      </c>
      <c r="F388" s="12" t="str">
        <f>HYPERLINK("https://www3.test-mitsui-shopping-park.com/ec/sp/torihikihou/Room903Online?uiel=Mobile")</f>
        <v>https://www3.test-mitsui-shopping-park.com/ec/sp/torihikihou/Room903Online?uiel=Mobile</v>
      </c>
      <c r="G388" s="13" t="str">
        <f>HYPERLINK("https://mitsui-shopping-park.com/ec/sp/torihikihou/Room903Online?uiel=Mobile")</f>
        <v>https://mitsui-shopping-park.com/ec/sp/torihikihou/Room903Online?uiel=Mobile</v>
      </c>
    </row>
    <row r="389" spans="1:7">
      <c r="A389" s="18" t="s">
        <v>1173</v>
      </c>
      <c r="B389" s="10">
        <v>385</v>
      </c>
      <c r="C389" s="9" t="s">
        <v>1174</v>
      </c>
      <c r="D389" s="9" t="s">
        <v>1174</v>
      </c>
      <c r="E389" s="11" t="str">
        <f>HYPERLINK("http://msp2.sophia-s.co.jp/sp/mspf1381_34000.html")</f>
        <v>http://msp2.sophia-s.co.jp/sp/mspf1381_34000.html</v>
      </c>
      <c r="F389" s="12" t="str">
        <f>HYPERLINK("https://www3.test-mitsui-shopping-park.com/ec/sp/torihikihou/AMPHI?uiel=Mobile")</f>
        <v>https://www3.test-mitsui-shopping-park.com/ec/sp/torihikihou/AMPHI?uiel=Mobile</v>
      </c>
      <c r="G389" s="13" t="str">
        <f>HYPERLINK("https://mitsui-shopping-park.com/ec/sp/torihikihou/AMPHI?uiel=Mobile")</f>
        <v>https://mitsui-shopping-park.com/ec/sp/torihikihou/AMPHI?uiel=Mobile</v>
      </c>
    </row>
    <row r="390" spans="1:7">
      <c r="A390" s="18" t="s">
        <v>1175</v>
      </c>
      <c r="B390" s="10">
        <v>386</v>
      </c>
      <c r="C390" s="18" t="s">
        <v>1176</v>
      </c>
      <c r="D390" s="18" t="s">
        <v>1176</v>
      </c>
      <c r="E390" s="11" t="str">
        <f>HYPERLINK("http://msp2.sophia-s.co.jp/sp/mspf1381_34100.html")</f>
        <v>http://msp2.sophia-s.co.jp/sp/mspf1381_34100.html</v>
      </c>
      <c r="F390" s="12" t="str">
        <f>HYPERLINK("https://www3.test-mitsui-shopping-park.com/ec/sp/torihikihou/CASHYAGE?uiel=Mobile")</f>
        <v>https://www3.test-mitsui-shopping-park.com/ec/sp/torihikihou/CASHYAGE?uiel=Mobile</v>
      </c>
      <c r="G390" s="13" t="str">
        <f>HYPERLINK("https://mitsui-shopping-park.com/ec/sp/torihikihou/CASHYAGE?uiel=Mobile")</f>
        <v>https://mitsui-shopping-park.com/ec/sp/torihikihou/CASHYAGE?uiel=Mobile</v>
      </c>
    </row>
    <row r="391" spans="1:7">
      <c r="A391" s="18" t="s">
        <v>1177</v>
      </c>
      <c r="B391" s="10">
        <v>387</v>
      </c>
      <c r="C391" s="18" t="s">
        <v>1178</v>
      </c>
      <c r="D391" s="18" t="s">
        <v>1179</v>
      </c>
      <c r="E391" s="11" t="str">
        <f>HYPERLINK("http://msp2.sophia-s.co.jp/sp/mspf1381_34101.html")</f>
        <v>http://msp2.sophia-s.co.jp/sp/mspf1381_34101.html</v>
      </c>
      <c r="F391" s="12" t="str">
        <f>HYPERLINK("https://www3.test-mitsui-shopping-park.com/ec/sp/torihikihou/CASHMERESTAR?uiel=Mobile")</f>
        <v>https://www3.test-mitsui-shopping-park.com/ec/sp/torihikihou/CASHMERESTAR?uiel=Mobile</v>
      </c>
      <c r="G391" s="13" t="str">
        <f>HYPERLINK("https://mitsui-shopping-park.com/ec/sp/torihikihou/CASHMERESTAR?uiel=Mobile")</f>
        <v>https://mitsui-shopping-park.com/ec/sp/torihikihou/CASHMERESTAR?uiel=Mobile</v>
      </c>
    </row>
    <row r="392" spans="1:7">
      <c r="A392" s="23" t="s">
        <v>1180</v>
      </c>
      <c r="B392" s="10">
        <v>388</v>
      </c>
      <c r="C392" s="24" t="s">
        <v>1181</v>
      </c>
      <c r="D392" s="25" t="s">
        <v>1182</v>
      </c>
      <c r="E392" s="11" t="str">
        <f>HYPERLINK("http://msp2.sophia-s.co.jp/sp/mspf1381_13313.html")</f>
        <v>http://msp2.sophia-s.co.jp/sp/mspf1381_13313.html</v>
      </c>
      <c r="F392" s="12" t="str">
        <f>HYPERLINK("https://www3.test-mitsui-shopping-park.com/ec/sp/torihikihou/COMMECAISMHB?uiel=Mobile")</f>
        <v>https://www3.test-mitsui-shopping-park.com/ec/sp/torihikihou/COMMECAISMHB?uiel=Mobile</v>
      </c>
      <c r="G392" s="13" t="str">
        <f>HYPERLINK("https://mitsui-shopping-park.com/ec/sp/torihikihou/COMMECAISMHB?uiel=Mobile")</f>
        <v>https://mitsui-shopping-park.com/ec/sp/torihikihou/COMMECAISMHB?uiel=Mobile</v>
      </c>
    </row>
    <row r="393" spans="1:7">
      <c r="A393" s="22" t="s">
        <v>1183</v>
      </c>
      <c r="B393" s="10">
        <v>389</v>
      </c>
      <c r="C393" s="26" t="s">
        <v>1184</v>
      </c>
      <c r="D393" s="18" t="s">
        <v>1185</v>
      </c>
      <c r="E393" s="11" t="str">
        <f>HYPERLINK("http://msp2.sophia-s.co.jp/sp/mspf1381_13314.html")</f>
        <v>http://msp2.sophia-s.co.jp/sp/mspf1381_13314.html</v>
      </c>
      <c r="F393" s="12" t="str">
        <f>HYPERLINK("https://www3.test-mitsui-shopping-park.com/ec/sp/torihikihou/Purple-YellowHB?uiel=Mobile")</f>
        <v>https://www3.test-mitsui-shopping-park.com/ec/sp/torihikihou/Purple-YellowHB?uiel=Mobile</v>
      </c>
      <c r="G393" s="13" t="str">
        <f>HYPERLINK("https://mitsui-shopping-park.com/ec/sp/torihikihou/Purple-YellowHB?uiel=Mobile")</f>
        <v>https://mitsui-shopping-park.com/ec/sp/torihikihou/Purple-YellowHB?uiel=Mobile</v>
      </c>
    </row>
    <row r="394" spans="1:7">
      <c r="A394" s="22" t="s">
        <v>1186</v>
      </c>
      <c r="B394" s="10">
        <v>390</v>
      </c>
      <c r="C394" s="26" t="s">
        <v>1187</v>
      </c>
      <c r="D394" s="18" t="s">
        <v>1188</v>
      </c>
      <c r="E394" s="11" t="str">
        <f>HYPERLINK("http://msp2.sophia-s.co.jp/sp/mspf1381_15201.html")</f>
        <v>http://msp2.sophia-s.co.jp/sp/mspf1381_15201.html</v>
      </c>
      <c r="F394" s="12" t="str">
        <f>HYPERLINK("https://www3.test-mitsui-shopping-park.com/ec/sp/torihikihou/INGNIfukubukuro?uiel=Mobile")</f>
        <v>https://www3.test-mitsui-shopping-park.com/ec/sp/torihikihou/INGNIfukubukuro?uiel=Mobile</v>
      </c>
      <c r="G394" s="13" t="str">
        <f>HYPERLINK("https://mitsui-shopping-park.com/ec/sp/torihikihou/INGNIfukubukuro?uiel=Mobile")</f>
        <v>https://mitsui-shopping-park.com/ec/sp/torihikihou/INGNIfukubukuro?uiel=Mobile</v>
      </c>
    </row>
    <row r="395" spans="1:7">
      <c r="A395" s="22" t="s">
        <v>1189</v>
      </c>
      <c r="B395" s="10">
        <v>391</v>
      </c>
      <c r="C395" s="26" t="s">
        <v>1190</v>
      </c>
      <c r="D395" s="18" t="s">
        <v>1191</v>
      </c>
      <c r="E395" s="11" t="str">
        <f>HYPERLINK("http://msp2.sophia-s.co.jp/sp/mspf1381_14301.html")</f>
        <v>http://msp2.sophia-s.co.jp/sp/mspf1381_14301.html</v>
      </c>
      <c r="F395" s="12" t="str">
        <f>HYPERLINK("https://www3.test-mitsui-shopping-park.com/ec/sp/torihikihou/NYRfukubukuro?uiel=Mobile")</f>
        <v>https://www3.test-mitsui-shopping-park.com/ec/sp/torihikihou/NYRfukubukuro?uiel=Mobile</v>
      </c>
      <c r="G395" s="13" t="str">
        <f>HYPERLINK("https://mitsui-shopping-park.com/ec/sp/torihikihou/NYRfukubukuro?uiel=Mobile")</f>
        <v>https://mitsui-shopping-park.com/ec/sp/torihikihou/NYRfukubukuro?uiel=Mobile</v>
      </c>
    </row>
    <row r="396" spans="1:7">
      <c r="A396" s="18" t="s">
        <v>1192</v>
      </c>
      <c r="B396" s="10">
        <v>392</v>
      </c>
      <c r="C396" s="18" t="s">
        <v>1193</v>
      </c>
      <c r="D396" s="18" t="s">
        <v>1193</v>
      </c>
      <c r="E396" s="11" t="str">
        <f>HYPERLINK("http://msp2.sophia-s.co.jp/sp/mspf1381_34300.html")</f>
        <v>http://msp2.sophia-s.co.jp/sp/mspf1381_34300.html</v>
      </c>
      <c r="F396" s="12" t="str">
        <f>HYPERLINK("https://www3.test-mitsui-shopping-park.com/ec/sp/torihikihou/B-COMPANY?uiel=Mobile")</f>
        <v>https://www3.test-mitsui-shopping-park.com/ec/sp/torihikihou/B-COMPANY?uiel=Mobile</v>
      </c>
      <c r="G396" s="13" t="str">
        <f>HYPERLINK("https://mitsui-shopping-park.com/ec/sp/torihikihou/B-COMPANY?uiel=Mobile")</f>
        <v>https://mitsui-shopping-park.com/ec/sp/torihikihou/B-COMPANY?uiel=Mobile</v>
      </c>
    </row>
    <row r="397" spans="1:7">
      <c r="A397" s="18" t="s">
        <v>1194</v>
      </c>
      <c r="B397" s="10">
        <v>393</v>
      </c>
      <c r="C397" s="18" t="s">
        <v>1195</v>
      </c>
      <c r="D397" s="18" t="s">
        <v>1196</v>
      </c>
      <c r="E397" s="11" t="str">
        <f>HYPERLINK("http://msp2.sophia-s.co.jp/sp/mspf1381_29401.html")</f>
        <v>http://msp2.sophia-s.co.jp/sp/mspf1381_29401.html</v>
      </c>
      <c r="F397" s="12" t="str">
        <f>HYPERLINK("https://www3.test-mitsui-shopping-park.com/ec/sp/torihikihou/yutorinokukanHB?uiel=Mobile")</f>
        <v>https://www3.test-mitsui-shopping-park.com/ec/sp/torihikihou/yutorinokukanHB?uiel=Mobile</v>
      </c>
      <c r="G397" s="13" t="str">
        <f>HYPERLINK("https://mitsui-shopping-park.com/ec/sp/torihikihou/yutorinokukanHB?uiel=Mobile")</f>
        <v>https://mitsui-shopping-park.com/ec/sp/torihikihou/yutorinokukanHB?uiel=Mobile</v>
      </c>
    </row>
    <row r="398" spans="1:7">
      <c r="A398" s="18" t="s">
        <v>1197</v>
      </c>
      <c r="B398" s="10">
        <v>394</v>
      </c>
      <c r="C398" s="18" t="s">
        <v>1198</v>
      </c>
      <c r="D398" s="18" t="s">
        <v>1199</v>
      </c>
      <c r="E398" s="11" t="str">
        <f>HYPERLINK("http://msp2.sophia-s.co.jp/sp/mspf1381_16035.html")</f>
        <v>http://msp2.sophia-s.co.jp/sp/mspf1381_16035.html</v>
      </c>
      <c r="F398" s="12" t="str">
        <f>HYPERLINK("https://www3.test-mitsui-shopping-park.com/ec/sp/torihikihou/ITSDEMOONLINESTORE?uiel=Mobile")</f>
        <v>https://www3.test-mitsui-shopping-park.com/ec/sp/torihikihou/ITSDEMOONLINESTORE?uiel=Mobile</v>
      </c>
      <c r="G398" s="13" t="str">
        <f>HYPERLINK("https://mitsui-shopping-park.com/ec/sp/torihikihou/ITSDEMOONLINESTORE?uiel=Mobile")</f>
        <v>https://mitsui-shopping-park.com/ec/sp/torihikihou/ITSDEMOONLINESTORE?uiel=Mobile</v>
      </c>
    </row>
    <row r="399" spans="1:7">
      <c r="A399" s="18" t="s">
        <v>1200</v>
      </c>
      <c r="B399" s="10">
        <v>395</v>
      </c>
      <c r="C399" s="18" t="s">
        <v>1201</v>
      </c>
      <c r="D399" s="18" t="s">
        <v>1202</v>
      </c>
      <c r="E399" s="11" t="str">
        <f>HYPERLINK("http://msp2.sophia-s.co.jp/sp/mspf1381_28207.html")</f>
        <v>http://msp2.sophia-s.co.jp/sp/mspf1381_28207.html</v>
      </c>
      <c r="F399" s="12" t="str">
        <f>HYPERLINK("https://www3.test-mitsui-shopping-park.com/ec/sp/torihikihou/CECILMcBEEfukubukuro?uiel=Mobile")</f>
        <v>https://www3.test-mitsui-shopping-park.com/ec/sp/torihikihou/CECILMcBEEfukubukuro?uiel=Mobile</v>
      </c>
      <c r="G399" s="13" t="str">
        <f>HYPERLINK("https://mitsui-shopping-park.com/ec/sp/torihikihou/CECILMcBEEfukubukuro?uiel=Mobile")</f>
        <v>https://mitsui-shopping-park.com/ec/sp/torihikihou/CECILMcBEEfukubukuro?uiel=Mobile</v>
      </c>
    </row>
    <row r="400" spans="1:7">
      <c r="A400" s="18" t="s">
        <v>1203</v>
      </c>
      <c r="B400" s="10">
        <v>396</v>
      </c>
      <c r="C400" s="18" t="s">
        <v>1204</v>
      </c>
      <c r="D400" s="18" t="s">
        <v>1205</v>
      </c>
      <c r="E400" s="11" t="str">
        <f>HYPERLINK("http://msp2.sophia-s.co.jp/sp/mspf1381_22902.html")</f>
        <v>http://msp2.sophia-s.co.jp/sp/mspf1381_22902.html</v>
      </c>
      <c r="F400" s="12" t="str">
        <f>HYPERLINK("https://www3.test-mitsui-shopping-park.com/ec/sp/torihikihou/GRACECONTINENTALFUKUBUKURO?uiel=Mobile")</f>
        <v>https://www3.test-mitsui-shopping-park.com/ec/sp/torihikihou/GRACECONTINENTALFUKUBUKURO?uiel=Mobile</v>
      </c>
      <c r="G400" s="13" t="str">
        <f>HYPERLINK("https://mitsui-shopping-park.com/ec/sp/torihikihou/GRACECONTINENTALFUKUBUKURO?uiel=Mobile")</f>
        <v>https://mitsui-shopping-park.com/ec/sp/torihikihou/GRACECONTINENTALFUKUBUKURO?uiel=Mobile</v>
      </c>
    </row>
    <row r="401" spans="1:7">
      <c r="A401" s="18" t="s">
        <v>1206</v>
      </c>
      <c r="B401" s="10">
        <v>397</v>
      </c>
      <c r="C401" s="18" t="s">
        <v>1207</v>
      </c>
      <c r="D401" s="18" t="s">
        <v>1208</v>
      </c>
      <c r="E401" s="11" t="str">
        <f>HYPERLINK("http://msp2.sophia-s.co.jp/sp/mspf1381_28301.html")</f>
        <v>http://msp2.sophia-s.co.jp/sp/mspf1381_28301.html</v>
      </c>
      <c r="F401" s="12" t="str">
        <f>HYPERLINK("https://www3.test-mitsui-shopping-park.com/ec/sp/torihikihou/phuhiep?uiel=Mobile")</f>
        <v>https://www3.test-mitsui-shopping-park.com/ec/sp/torihikihou/phuhiep?uiel=Mobile</v>
      </c>
      <c r="G401" s="13" t="str">
        <f>HYPERLINK("https://mitsui-shopping-park.com/ec/sp/torihikihou/phuhiep?uiel=Mobile")</f>
        <v>https://mitsui-shopping-park.com/ec/sp/torihikihou/phuhiep?uiel=Mobile</v>
      </c>
    </row>
    <row r="402" spans="1:7">
      <c r="A402" s="18" t="s">
        <v>1209</v>
      </c>
      <c r="B402" s="10">
        <v>398</v>
      </c>
      <c r="C402" s="18" t="s">
        <v>1210</v>
      </c>
      <c r="D402" s="18" t="s">
        <v>1211</v>
      </c>
      <c r="E402" s="11" t="str">
        <f>HYPERLINK("http://msp2.sophia-s.co.jp/sp/mspf1381_34400.html")</f>
        <v>http://msp2.sophia-s.co.jp/sp/mspf1381_34400.html</v>
      </c>
      <c r="F402" s="12" t="str">
        <f>HYPERLINK("https://www3.test-mitsui-shopping-park.com/ec/sp/torihikihou/GEORGES?uiel=Mobile")</f>
        <v>https://www3.test-mitsui-shopping-park.com/ec/sp/torihikihou/GEORGES?uiel=Mobile</v>
      </c>
      <c r="G402" s="13" t="str">
        <f>HYPERLINK("https://mitsui-shopping-park.com/ec/sp/torihikihou/GEORGES?uiel=Mobile")</f>
        <v>https://mitsui-shopping-park.com/ec/sp/torihikihou/GEORGES?uiel=Mobile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リンク不正ファイル</vt:lpstr>
      <vt:lpstr>2020年3月リニューアル 静的ページ一覧（特商法以外）</vt:lpstr>
      <vt:lpstr>2020年3月リニューアル 静的ページ一覧（特商法ショップ）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ntaka</cp:lastModifiedBy>
  <dcterms:created xsi:type="dcterms:W3CDTF">2020-03-06T02:47:00Z</dcterms:created>
  <dcterms:modified xsi:type="dcterms:W3CDTF">2020-03-11T08:36:51Z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