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<sst xmlns="http://schemas.openxmlformats.org/spreadsheetml/2006/main" count="254" uniqueCount="176">
  <si>
    <t>Table S12.A. Example calculation for 10 year cardiovascular risk simplified models - PREVENT Base model</t>
  </si>
  <si>
    <t>codes</t>
  </si>
  <si>
    <t>Input variables</t>
  </si>
  <si>
    <t>Allowable range</t>
  </si>
  <si>
    <t>Input Values</t>
  </si>
  <si>
    <t>gender</t>
  </si>
  <si>
    <t>male=1 female=0</t>
  </si>
  <si>
    <t xml:space="preserve">Output: Estimated 10-year Risk </t>
  </si>
  <si>
    <t>Age, years</t>
  </si>
  <si>
    <t>30-79 years</t>
  </si>
  <si>
    <t>Total CVD</t>
  </si>
  <si>
    <t>ASCVD</t>
  </si>
  <si>
    <t>Heart Failure</t>
  </si>
  <si>
    <t>Coronary Heart Disease</t>
  </si>
  <si>
    <t>Stroke</t>
  </si>
  <si>
    <t>2093-3</t>
  </si>
  <si>
    <t xml:space="preserve">Total cholesterol (TC), mg/dl </t>
  </si>
  <si>
    <t>130 to 320 mg/dl</t>
  </si>
  <si>
    <t>2085-9</t>
  </si>
  <si>
    <t>High-density lipoprotein cholesterol (HDL-C), mg/dl</t>
  </si>
  <si>
    <t>20 to 100 mg/dl</t>
  </si>
  <si>
    <t xml:space="preserve">Note: Total CVD and ASCVD risks are less than the sum of their components since some individuals will develop more than one event. </t>
  </si>
  <si>
    <t>8480-6</t>
  </si>
  <si>
    <t>Systolic blood pressure (SBP), mmHg</t>
  </si>
  <si>
    <t>90 to 200 mmHg</t>
  </si>
  <si>
    <t>2345-7</t>
  </si>
  <si>
    <t>Diabetes, yes=1 no=0</t>
  </si>
  <si>
    <t>0 or 1</t>
  </si>
  <si>
    <t>72166-2</t>
  </si>
  <si>
    <t>Current smoking (Cursmk), yes=1 no=0</t>
  </si>
  <si>
    <t>39156-5</t>
  </si>
  <si>
    <r>
      <rPr>
        <rFont val="Arial"/>
        <color rgb="FF000000"/>
        <sz val="9.0"/>
      </rPr>
      <t>Body-mass index (BMI), kg/m</t>
    </r>
    <r>
      <rPr>
        <rFont val="Arial"/>
        <color rgb="FF000000"/>
        <sz val="9.0"/>
        <vertAlign val="superscript"/>
      </rPr>
      <t>2</t>
    </r>
  </si>
  <si>
    <r>
      <rPr>
        <rFont val="Arial"/>
        <color rgb="FF000000"/>
        <sz val="9.0"/>
      </rPr>
      <t>18.5 to &lt;40 kg/m</t>
    </r>
    <r>
      <rPr>
        <rFont val="Arial"/>
        <color rgb="FF000000"/>
        <sz val="9.0"/>
        <vertAlign val="superscript"/>
      </rPr>
      <t>2</t>
    </r>
  </si>
  <si>
    <t>PREVENT 10 yrs risk for CVD event (%)</t>
  </si>
  <si>
    <t>Clinical impact</t>
  </si>
  <si>
    <t>CA score factor impact</t>
  </si>
  <si>
    <t>ABI factor impact</t>
  </si>
  <si>
    <t>Carotid US factor impact</t>
  </si>
  <si>
    <t>BREEOOT CVD risk Score (%) Modified PREVENT</t>
  </si>
  <si>
    <t>CLOCK (100 - great; 20 - poor)</t>
  </si>
  <si>
    <t>33914-3</t>
  </si>
  <si>
    <r>
      <rPr>
        <rFont val="Arial"/>
        <color rgb="FF000000"/>
        <sz val="9.0"/>
      </rPr>
      <t>Estimated GFR (eGFR), ml/min/1.73m</t>
    </r>
    <r>
      <rPr>
        <rFont val="Arial"/>
        <color rgb="FF000000"/>
        <sz val="9.0"/>
        <vertAlign val="superscript"/>
      </rPr>
      <t>2</t>
    </r>
  </si>
  <si>
    <r>
      <rPr>
        <rFont val="Arial"/>
        <color rgb="FF000000"/>
        <sz val="9.0"/>
      </rPr>
      <t>15 to 150 ml/min/1.73m</t>
    </r>
    <r>
      <rPr>
        <rFont val="Arial"/>
        <color rgb="FF000000"/>
        <sz val="9.0"/>
        <vertAlign val="superscript"/>
      </rPr>
      <t>2</t>
    </r>
  </si>
  <si>
    <t>Consider statins</t>
  </si>
  <si>
    <t>Start statins, further evalution for CVD</t>
  </si>
  <si>
    <t>Anti-hypertension medication use (Antihtn), yes=1 no=0</t>
  </si>
  <si>
    <t>Statin use, yes=1 no=0</t>
  </si>
  <si>
    <t>36934-8</t>
  </si>
  <si>
    <t xml:space="preserve">Calcium score </t>
  </si>
  <si>
    <t>77194-9</t>
  </si>
  <si>
    <t>ABI</t>
  </si>
  <si>
    <t>24616-5</t>
  </si>
  <si>
    <t>Carotid US</t>
  </si>
  <si>
    <t>Table. Intermediate calculations for simplified PREVENT equations: Derived variables (include centering, scaling, splines and interactions) multiplied by the respective beta coefficients then added to calculate the risk</t>
  </si>
  <si>
    <t>Input variables and intermediate derived variables formula</t>
  </si>
  <si>
    <t>Derived values</t>
  </si>
  <si>
    <t>Women</t>
  </si>
  <si>
    <t>Men</t>
  </si>
  <si>
    <t>(Age-55)/10</t>
  </si>
  <si>
    <t>(TC – HDL-C) × 0.02586 (to convert to mmol/L) – 3.5</t>
  </si>
  <si>
    <t xml:space="preserve">(HDL-C × 0.02586 (to convert to mmol/L)  – 1.3) /0.3 </t>
  </si>
  <si>
    <t>(min(SBP, 110) – 110) /20</t>
  </si>
  <si>
    <t>(max(SBP, 110) – 130) /20</t>
  </si>
  <si>
    <t>Diabetes</t>
  </si>
  <si>
    <t>Cursmk</t>
  </si>
  <si>
    <t>(min(BMI, 30) – 25) /5</t>
  </si>
  <si>
    <t>(max(BMI, 30) – 30) /5</t>
  </si>
  <si>
    <t>(min(eGFR, 60) – 60) / -15</t>
  </si>
  <si>
    <t>(max(eGFR, 60)  – 90) / -15</t>
  </si>
  <si>
    <t>Antihtn</t>
  </si>
  <si>
    <t>Statin</t>
  </si>
  <si>
    <r>
      <rPr>
        <rFont val="Arial"/>
        <color rgb="FF000000"/>
        <sz val="9.0"/>
      </rPr>
      <t xml:space="preserve">(max(SBP, 110) – 130) /20 </t>
    </r>
    <r>
      <rPr>
        <rFont val="Arial"/>
        <color rgb="FF000000"/>
        <sz val="9.0"/>
      </rPr>
      <t>×</t>
    </r>
    <r>
      <rPr>
        <rFont val="Arial"/>
        <color rgb="FF000000"/>
        <sz val="9.0"/>
      </rPr>
      <t xml:space="preserve"> Antihtn</t>
    </r>
  </si>
  <si>
    <t>((TC – HDL-C) × 0.02586 – 3.5) × Statin</t>
  </si>
  <si>
    <t xml:space="preserve">(age-55)/10 × ((TC – HDL-C) × 0.02586 – 3.5) </t>
  </si>
  <si>
    <t xml:space="preserve">(age-55)/10 × (HDL-C × 0.02586 – 1.3) /0.3 </t>
  </si>
  <si>
    <t>(age-55)/10 × (max(SBP, 110) – 130) /20</t>
  </si>
  <si>
    <t>(Age-55)/10 × Diabetes</t>
  </si>
  <si>
    <t>(Age-55)/10 × Cursmk</t>
  </si>
  <si>
    <t>(Age-55)/10 × (max(BMI, 30) – 30) /5</t>
  </si>
  <si>
    <t>(Age-55)/10 × (min(eGFR, 60) – 60) / -15</t>
  </si>
  <si>
    <t>Constant</t>
  </si>
  <si>
    <t xml:space="preserve">log-Odds </t>
  </si>
  <si>
    <t>NA (calculated from the inputs above)</t>
  </si>
  <si>
    <t>Risk</t>
  </si>
  <si>
    <t>Table. Beta coefficients for simplified PREVENT Equations (regression of log-odds of the risk from the full PREVENT model on risk factors) and goodness of fit statistics (R-square)</t>
  </si>
  <si>
    <t>Risk Factors</t>
  </si>
  <si>
    <t>Age per 10 years</t>
  </si>
  <si>
    <t>non-HDL-C per 1 mmol/L</t>
  </si>
  <si>
    <t>HDL-C per 0.3 mmol/L</t>
  </si>
  <si>
    <t>SBP &lt;110 per 20 mmHg</t>
  </si>
  <si>
    <t>SBP ≥110 per 20 mmHg</t>
  </si>
  <si>
    <t>Current smoking</t>
  </si>
  <si>
    <t>BMI &lt;30, per 5 kg/m2</t>
  </si>
  <si>
    <t>BMI 30+, per 5 kg/m2</t>
  </si>
  <si>
    <t>eGFR &lt;60, per -15 ml</t>
  </si>
  <si>
    <t>eGFR 60+, per -15 ml</t>
  </si>
  <si>
    <t>Anti-hypertensive use</t>
  </si>
  <si>
    <t>Statin use</t>
  </si>
  <si>
    <t>Treated SBP ≥110 mm Hg per 20 mm Hg</t>
  </si>
  <si>
    <t>Treated non-HDL-C</t>
  </si>
  <si>
    <t>Age per 10yr * non-HDL-C per 1 mmol/L</t>
  </si>
  <si>
    <t>Age per 10yr * HDL-C per 0.3 mml/L</t>
  </si>
  <si>
    <t>Age per 10yr * SBP ≥110 mm Hg per 20 mmHg</t>
  </si>
  <si>
    <t>Age per 10yr * diabetes</t>
  </si>
  <si>
    <t>Age per 10yr * current smoking</t>
  </si>
  <si>
    <t>Age per 10yr * BMI 30+ per 5 kg/m2</t>
  </si>
  <si>
    <t>Age per 10yr * eGFR &lt;60, per -15 ml</t>
  </si>
  <si>
    <t>*Beta coefficients can be interpreted as log odds ratios.  The dependent variable is the log-odds of the risk (log of risk /(1-risk)). Continous variables were centered at age 55, non-HDL-C 3.5, HDL-C 1.3, SBP 130, BMI 25, eGFR 90, ACR 1. Categorical variables used a value of 0 for no DM,  non-smoker, and no medication as the reference group. Therefore, the constant (intercept) applies to an individual with all of the values listed in this footnote. Appendix 4 provides the details of the computation, including the algebra for creating piece-wise linear splines (SBP, BMI, and eGFR).  Cholesterol (TC, HDL and calculated non-HDL-C) is converted to mmol/L from mg/dl by multiplying by 0.02586.  eGFR is calculated from serum creatinine using the CKD-EPI race free equation.</t>
  </si>
  <si>
    <t>R-square of the simplified risk equation regression</t>
  </si>
  <si>
    <t>Ca AGATSTON score</t>
  </si>
  <si>
    <t>Arterial Age in Years (95% CI)</t>
  </si>
  <si>
    <t>risk</t>
  </si>
  <si>
    <t xml:space="preserve">AGATSTON - patient's Calcium score </t>
  </si>
  <si>
    <t>suggested change to PREVENT score (multiplication factore</t>
  </si>
  <si>
    <t>39 (32–46)</t>
  </si>
  <si>
    <t>no calcium deposits</t>
  </si>
  <si>
    <t>56 (53–60)</t>
  </si>
  <si>
    <t>low risk, less than 10% risk for heart disease</t>
  </si>
  <si>
    <t>61 (59–63)</t>
  </si>
  <si>
    <t>mild calcium deposits</t>
  </si>
  <si>
    <t>64 (62–66)</t>
  </si>
  <si>
    <t>66 (65–67)</t>
  </si>
  <si>
    <t>68 (67–69)</t>
  </si>
  <si>
    <t>69 (68–70)</t>
  </si>
  <si>
    <t>70 (69–71)</t>
  </si>
  <si>
    <t>71 (70–72)</t>
  </si>
  <si>
    <t>72 (71–73)</t>
  </si>
  <si>
    <t>73 (71–74)</t>
  </si>
  <si>
    <t>moderate calcium deposits</t>
  </si>
  <si>
    <t>78 (75–80)</t>
  </si>
  <si>
    <t>80 (78–83)</t>
  </si>
  <si>
    <t>83 (79–86)</t>
  </si>
  <si>
    <t>severe calcium deposits</t>
  </si>
  <si>
    <t>84 (80–88)</t>
  </si>
  <si>
    <t>87 (83–92)</t>
  </si>
  <si>
    <t>89 (84–94)</t>
  </si>
  <si>
    <t>very high risk - more than 25% risk for heart attack within a year</t>
  </si>
  <si>
    <t>92 (87–98)</t>
  </si>
  <si>
    <t>94 (88–100)</t>
  </si>
  <si>
    <t>96 (89–102)</t>
  </si>
  <si>
    <t>OUTPUT -&gt;</t>
  </si>
  <si>
    <t>ABI score</t>
  </si>
  <si>
    <t>risk for PAD</t>
  </si>
  <si>
    <t>associated risk for CAD</t>
  </si>
  <si>
    <t>Outputs</t>
  </si>
  <si>
    <t>0.91-1.3</t>
  </si>
  <si>
    <t>normal</t>
  </si>
  <si>
    <t>Normal</t>
  </si>
  <si>
    <t>0.81-0.9</t>
  </si>
  <si>
    <t>mild</t>
  </si>
  <si>
    <t>low</t>
  </si>
  <si>
    <t>0.5-0.8</t>
  </si>
  <si>
    <t>moderate</t>
  </si>
  <si>
    <t>0-0.49</t>
  </si>
  <si>
    <t>severe</t>
  </si>
  <si>
    <t>high</t>
  </si>
  <si>
    <t>&gt;1.3</t>
  </si>
  <si>
    <t>calcified/stiffened vessel (suspected DM. ABI not diagnostic)</t>
  </si>
  <si>
    <t>undetermined</t>
  </si>
  <si>
    <r>
      <rPr>
        <rFont val="Arial"/>
        <color rgb="FF000000"/>
        <sz val="9.0"/>
      </rPr>
      <t xml:space="preserve">Carotid focoused Vascular Ultrasound </t>
    </r>
    <r>
      <rPr>
        <rFont val="Arial"/>
        <b/>
        <color rgb="FF000000"/>
        <sz val="9.0"/>
      </rPr>
      <t>grade</t>
    </r>
  </si>
  <si>
    <r>
      <rPr>
        <rFont val="Arial"/>
        <color rgb="FF000000"/>
        <sz val="9.0"/>
      </rPr>
      <t xml:space="preserve">Carotid focoused Vascular Ultrasound </t>
    </r>
    <r>
      <rPr>
        <rFont val="Arial"/>
        <b/>
        <color rgb="FF000000"/>
        <sz val="9.0"/>
      </rPr>
      <t>grade</t>
    </r>
  </si>
  <si>
    <r>
      <rPr>
        <rFont val="Arial"/>
        <color rgb="FF000000"/>
        <sz val="9.0"/>
      </rPr>
      <t xml:space="preserve">Carotid focoused Vascular Ultrasound </t>
    </r>
    <r>
      <rPr>
        <rFont val="Arial"/>
        <b/>
        <color rgb="FF000000"/>
        <sz val="9.0"/>
      </rPr>
      <t>score</t>
    </r>
  </si>
  <si>
    <r>
      <rPr>
        <rFont val="Arial"/>
        <color rgb="FF000000"/>
        <sz val="9.0"/>
      </rPr>
      <t xml:space="preserve">Carotid focoused Vascular Ultrasound </t>
    </r>
    <r>
      <rPr>
        <rFont val="Arial"/>
        <b/>
        <color rgb="FF000000"/>
        <sz val="9.0"/>
      </rPr>
      <t>score</t>
    </r>
  </si>
  <si>
    <t>no plaque</t>
  </si>
  <si>
    <t>low risk</t>
  </si>
  <si>
    <t>mid</t>
  </si>
  <si>
    <t>mod</t>
  </si>
  <si>
    <t>PREVENT CALCULATOR</t>
  </si>
  <si>
    <t>10 years CVD Risk by PREVENT calculator</t>
  </si>
  <si>
    <t>Breeoot Clock (100-great, 20-poor)</t>
  </si>
  <si>
    <t>Low risk (&lt;5%)</t>
  </si>
  <si>
    <t>Borderline risk (5% to 7.4%)</t>
  </si>
  <si>
    <t>Intermediate risk (7.5% to 19.9%)</t>
  </si>
  <si>
    <t>High risk (≥20%)</t>
  </si>
  <si>
    <t>Very high risk (≥40%)</t>
  </si>
  <si>
    <t>OUTPUT-&gt;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</si>
</sst>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"/>
    <numFmt numFmtId="166" formatCode="0.00000"/>
  </numFmts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color theme="1"/>
      <name val="Arial"/>
      <scheme val="minor"/>
    </font>
    <font>
      <sz val="9.0"/>
      <color theme="1"/>
      <name val="Arial"/>
    </font>
    <font/>
    <font>
      <u/>
      <sz val="9.0"/>
      <color rgb="FF467886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EEE"/>
        <bgColor rgb="FFF1CEEE"/>
      </patternFill>
    </fill>
    <fill>
      <patternFill patternType="solid">
        <fgColor rgb="FFEA9999"/>
        <bgColor rgb="FFEA9999"/>
      </patternFill>
    </fill>
    <fill>
      <patternFill patternType="solid">
        <fgColor rgb="FFD8D8D8"/>
        <bgColor rgb="FFD8D8D8"/>
      </patternFill>
    </fill>
    <fill>
      <patternFill patternType="solid">
        <fgColor rgb="FFD9F2D0"/>
        <bgColor rgb="FFD9F2D0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FFFFFF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EEB0AE"/>
        <bgColor rgb="FFEEB0AE"/>
      </patternFill>
    </fill>
    <fill>
      <patternFill patternType="solid">
        <fgColor rgb="FFE96154"/>
        <bgColor rgb="FFE96154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2" fontId="1" numFmtId="164" xfId="0" applyAlignment="1" applyFill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readingOrder="0" vertical="center"/>
    </xf>
    <xf borderId="0" fillId="0" fontId="4" numFmtId="165" xfId="0" applyAlignment="1" applyFont="1" applyNumberFormat="1">
      <alignment horizontal="left"/>
    </xf>
    <xf borderId="0" fillId="2" fontId="4" numFmtId="165" xfId="0" applyAlignment="1" applyFont="1" applyNumberFormat="1">
      <alignment horizontal="left" readingOrder="0"/>
    </xf>
    <xf borderId="1" fillId="0" fontId="1" numFmtId="164" xfId="0" applyAlignment="1" applyBorder="1" applyFont="1" applyNumberFormat="1">
      <alignment horizontal="left" vertical="center"/>
    </xf>
    <xf borderId="2" fillId="0" fontId="5" numFmtId="0" xfId="0" applyBorder="1" applyFont="1"/>
    <xf borderId="3" fillId="0" fontId="5" numFmtId="0" xfId="0" applyBorder="1" applyFont="1"/>
    <xf borderId="0" fillId="2" fontId="2" numFmtId="2" xfId="0" applyAlignment="1" applyFont="1" applyNumberFormat="1">
      <alignment horizontal="left" readingOrder="0" vertical="center"/>
    </xf>
    <xf borderId="4" fillId="0" fontId="1" numFmtId="164" xfId="0" applyAlignment="1" applyBorder="1" applyFont="1" applyNumberForma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5" fillId="0" fontId="1" numFmtId="164" xfId="0" applyAlignment="1" applyBorder="1" applyFont="1" applyNumberFormat="1">
      <alignment horizontal="left" shrinkToFit="0" vertical="center" wrapText="1"/>
    </xf>
    <xf borderId="6" fillId="2" fontId="4" numFmtId="166" xfId="0" applyAlignment="1" applyBorder="1" applyFont="1" applyNumberFormat="1">
      <alignment horizontal="center"/>
    </xf>
    <xf borderId="7" fillId="2" fontId="4" numFmtId="166" xfId="0" applyAlignment="1" applyBorder="1" applyFont="1" applyNumberFormat="1">
      <alignment horizontal="center"/>
    </xf>
    <xf borderId="8" fillId="2" fontId="4" numFmtId="166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left" shrinkToFit="0" vertical="center" wrapText="1"/>
    </xf>
    <xf borderId="9" fillId="2" fontId="1" numFmtId="164" xfId="0" applyAlignment="1" applyBorder="1" applyFont="1" applyNumberFormat="1">
      <alignment horizontal="left" readingOrder="0" shrinkToFit="0" vertical="center" wrapText="1"/>
    </xf>
    <xf borderId="10" fillId="0" fontId="2" numFmtId="164" xfId="0" applyAlignment="1" applyBorder="1" applyFont="1" applyNumberFormat="1">
      <alignment horizontal="left" shrinkToFit="0" vertical="center" wrapText="1"/>
    </xf>
    <xf borderId="11" fillId="0" fontId="2" numFmtId="164" xfId="0" applyAlignment="1" applyBorder="1" applyFont="1" applyNumberFormat="1">
      <alignment horizontal="left" shrinkToFit="0" vertical="center" wrapText="1"/>
    </xf>
    <xf borderId="12" fillId="3" fontId="2" numFmtId="164" xfId="0" applyAlignment="1" applyBorder="1" applyFill="1" applyFont="1" applyNumberFormat="1">
      <alignment horizontal="left" shrinkToFit="0" vertical="center" wrapText="1"/>
    </xf>
    <xf borderId="12" fillId="2" fontId="2" numFmtId="164" xfId="0" applyAlignment="1" applyBorder="1" applyFont="1" applyNumberFormat="1">
      <alignment horizontal="left" shrinkToFit="0" vertical="center" wrapText="1"/>
    </xf>
    <xf borderId="0" fillId="4" fontId="2" numFmtId="164" xfId="0" applyAlignment="1" applyFill="1" applyFont="1" applyNumberFormat="1">
      <alignment horizontal="left" vertical="center"/>
    </xf>
    <xf borderId="13" fillId="2" fontId="2" numFmtId="164" xfId="0" applyAlignment="1" applyBorder="1" applyFont="1" applyNumberFormat="1">
      <alignment horizontal="left" vertical="center"/>
    </xf>
    <xf borderId="0" fillId="0" fontId="3" numFmtId="164" xfId="0" applyFont="1" applyNumberFormat="1"/>
    <xf borderId="9" fillId="5" fontId="2" numFmtId="164" xfId="0" applyAlignment="1" applyBorder="1" applyFill="1" applyFont="1" applyNumberFormat="1">
      <alignment horizontal="left" shrinkToFit="0" vertical="center" wrapText="0"/>
    </xf>
    <xf borderId="14" fillId="5" fontId="2" numFmtId="164" xfId="0" applyAlignment="1" applyBorder="1" applyFont="1" applyNumberFormat="1">
      <alignment horizontal="left" shrinkToFit="0" vertical="center" wrapText="0"/>
    </xf>
    <xf borderId="14" fillId="2" fontId="2" numFmtId="164" xfId="0" applyAlignment="1" applyBorder="1" applyFont="1" applyNumberFormat="1">
      <alignment horizontal="left" shrinkToFit="0" vertical="center" wrapText="0"/>
    </xf>
    <xf borderId="15" fillId="0" fontId="2" numFmtId="164" xfId="0" applyAlignment="1" applyBorder="1" applyFont="1" applyNumberFormat="1">
      <alignment horizontal="left" shrinkToFit="0" vertical="center" wrapText="0"/>
    </xf>
    <xf borderId="8" fillId="0" fontId="2" numFmtId="164" xfId="0" applyAlignment="1" applyBorder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4" fontId="2" numFmtId="164" xfId="0" applyAlignment="1" applyFont="1" applyNumberFormat="1">
      <alignment horizontal="left" shrinkToFit="0" vertical="center" wrapText="0"/>
    </xf>
    <xf borderId="9" fillId="6" fontId="2" numFmtId="164" xfId="0" applyAlignment="1" applyBorder="1" applyFill="1" applyFont="1" applyNumberFormat="1">
      <alignment horizontal="left" shrinkToFit="0" vertical="center" wrapText="1"/>
    </xf>
    <xf borderId="9" fillId="7" fontId="2" numFmtId="164" xfId="0" applyAlignment="1" applyBorder="1" applyFill="1" applyFont="1" applyNumberFormat="1">
      <alignment horizontal="left" shrinkToFit="0" vertical="center" wrapText="1"/>
    </xf>
    <xf borderId="9" fillId="2" fontId="2" numFmtId="164" xfId="0" applyAlignment="1" applyBorder="1" applyFont="1" applyNumberFormat="1">
      <alignment horizontal="left" shrinkToFit="0" vertical="center" wrapText="1"/>
    </xf>
    <xf borderId="9" fillId="2" fontId="2" numFmtId="164" xfId="0" applyAlignment="1" applyBorder="1" applyFont="1" applyNumberForma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vertical="center"/>
    </xf>
    <xf borderId="9" fillId="8" fontId="2" numFmtId="164" xfId="0" applyAlignment="1" applyBorder="1" applyFill="1" applyFont="1" applyNumberFormat="1">
      <alignment horizontal="left" vertical="center"/>
    </xf>
    <xf borderId="9" fillId="0" fontId="2" numFmtId="164" xfId="0" applyAlignment="1" applyBorder="1" applyFont="1" applyNumberFormat="1">
      <alignment horizontal="left" shrinkToFit="0" vertical="center" wrapText="1"/>
    </xf>
    <xf borderId="9" fillId="9" fontId="2" numFmtId="164" xfId="0" applyAlignment="1" applyBorder="1" applyFill="1" applyFont="1" applyNumberFormat="1">
      <alignment horizontal="left" shrinkToFit="0" vertical="center" wrapText="1"/>
    </xf>
    <xf borderId="9" fillId="10" fontId="6" numFmtId="164" xfId="0" applyAlignment="1" applyBorder="1" applyFill="1" applyFont="1" applyNumberFormat="1">
      <alignment horizontal="left" shrinkToFit="0" vertical="center" wrapText="1"/>
    </xf>
    <xf borderId="14" fillId="10" fontId="4" numFmtId="164" xfId="0" applyAlignment="1" applyBorder="1" applyFont="1" applyNumberFormat="1">
      <alignment horizontal="left" shrinkToFit="0" vertical="center" wrapText="1"/>
    </xf>
    <xf borderId="16" fillId="2" fontId="4" numFmtId="164" xfId="0" applyAlignment="1" applyBorder="1" applyFont="1" applyNumberFormat="1">
      <alignment horizontal="left" shrinkToFit="0" vertical="center" wrapText="1"/>
    </xf>
    <xf borderId="15" fillId="0" fontId="4" numFmtId="164" xfId="0" applyAlignment="1" applyBorder="1" applyFont="1" applyNumberFormat="1">
      <alignment horizontal="left" shrinkToFit="0" vertical="center" wrapText="1"/>
    </xf>
    <xf borderId="17" fillId="0" fontId="4" numFmtId="164" xfId="0" applyAlignment="1" applyBorder="1" applyFont="1" applyNumberFormat="1">
      <alignment horizontal="left" shrinkToFit="0" vertical="center" wrapText="1"/>
    </xf>
    <xf borderId="17" fillId="11" fontId="4" numFmtId="164" xfId="0" applyAlignment="1" applyBorder="1" applyFill="1" applyFont="1" applyNumberFormat="1">
      <alignment horizontal="left" shrinkToFit="0" vertical="center" wrapText="1"/>
    </xf>
    <xf borderId="18" fillId="11" fontId="4" numFmtId="164" xfId="0" applyAlignment="1" applyBorder="1" applyFont="1" applyNumberFormat="1">
      <alignment horizontal="left" shrinkToFit="0" vertical="center" wrapText="1"/>
    </xf>
    <xf borderId="17" fillId="12" fontId="4" numFmtId="164" xfId="0" applyAlignment="1" applyBorder="1" applyFill="1" applyFont="1" applyNumberFormat="1">
      <alignment horizontal="left" shrinkToFit="0" vertical="center" wrapText="1"/>
    </xf>
    <xf borderId="18" fillId="12" fontId="4" numFmtId="164" xfId="0" applyAlignment="1" applyBorder="1" applyFont="1" applyNumberFormat="1">
      <alignment horizontal="left" shrinkToFit="0" vertical="center" wrapText="1"/>
    </xf>
    <xf borderId="8" fillId="0" fontId="4" numFmtId="164" xfId="0" applyAlignment="1" applyBorder="1" applyFont="1" applyNumberFormat="1">
      <alignment horizontal="left" shrinkToFit="0" vertical="center" wrapText="1"/>
    </xf>
    <xf borderId="8" fillId="13" fontId="4" numFmtId="164" xfId="0" applyAlignment="1" applyBorder="1" applyFill="1" applyFont="1" applyNumberFormat="1">
      <alignment horizontal="left" shrinkToFit="0" vertical="center" wrapText="1"/>
    </xf>
    <xf borderId="0" fillId="0" fontId="4" numFmtId="164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fessional.heart.org/en/guidelines-and-statements/prevent-calculato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8.0"/>
    <col customWidth="1" min="3" max="8" width="15.75"/>
    <col customWidth="1" min="9" max="9" width="16.88"/>
    <col customWidth="1" min="10" max="27" width="15.75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</v>
      </c>
      <c r="B3" s="1" t="s">
        <v>2</v>
      </c>
      <c r="C3" s="1" t="s">
        <v>3</v>
      </c>
      <c r="D3" s="3" t="s">
        <v>4</v>
      </c>
      <c r="E3" s="1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5" t="s">
        <v>5</v>
      </c>
      <c r="C4" s="6" t="s">
        <v>6</v>
      </c>
      <c r="D4" s="7"/>
      <c r="E4" s="1"/>
      <c r="F4" s="8" t="s">
        <v>7</v>
      </c>
      <c r="G4" s="9"/>
      <c r="H4" s="9"/>
      <c r="I4" s="9"/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 t="s">
        <v>8</v>
      </c>
      <c r="C5" s="2" t="s">
        <v>9</v>
      </c>
      <c r="D5" s="11"/>
      <c r="E5" s="1"/>
      <c r="F5" s="12" t="s">
        <v>10</v>
      </c>
      <c r="G5" s="13" t="s">
        <v>11</v>
      </c>
      <c r="H5" s="13" t="s">
        <v>12</v>
      </c>
      <c r="I5" s="13" t="s">
        <v>13</v>
      </c>
      <c r="J5" s="14" t="s">
        <v>14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15</v>
      </c>
      <c r="B6" s="2" t="s">
        <v>16</v>
      </c>
      <c r="C6" s="2" t="s">
        <v>17</v>
      </c>
      <c r="D6" s="11"/>
      <c r="E6" s="1"/>
      <c r="F6" s="15" t="str">
        <f>IF(D4=1,D46,C46)</f>
        <v>#VALUE!</v>
      </c>
      <c r="G6" s="16" t="str">
        <f>IF(D4=1,F46,E46)</f>
        <v>#VALUE!</v>
      </c>
      <c r="H6" s="16" t="str">
        <f>IF(D4=1,H46,G46)</f>
        <v>#VALUE!</v>
      </c>
      <c r="I6" s="16" t="str">
        <f>IF(D4=1,J46,I46)</f>
        <v>#VALUE!</v>
      </c>
      <c r="J6" s="17" t="str">
        <f>IF(D4=1,L46,K46)</f>
        <v>#VALUE!</v>
      </c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18</v>
      </c>
      <c r="B7" s="2" t="s">
        <v>19</v>
      </c>
      <c r="C7" s="2" t="s">
        <v>20</v>
      </c>
      <c r="D7" s="11"/>
      <c r="E7" s="1"/>
      <c r="F7" s="2" t="s">
        <v>21</v>
      </c>
      <c r="G7" s="4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22</v>
      </c>
      <c r="B8" s="2" t="s">
        <v>23</v>
      </c>
      <c r="C8" s="2" t="s">
        <v>24</v>
      </c>
      <c r="D8" s="11"/>
      <c r="E8" s="1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25</v>
      </c>
      <c r="B9" s="2" t="s">
        <v>26</v>
      </c>
      <c r="C9" s="2" t="s">
        <v>27</v>
      </c>
      <c r="D9" s="1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 t="s">
        <v>28</v>
      </c>
      <c r="B10" s="2" t="s">
        <v>29</v>
      </c>
      <c r="C10" s="2" t="s">
        <v>27</v>
      </c>
      <c r="D10" s="1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0" customHeight="1">
      <c r="A11" s="18" t="s">
        <v>30</v>
      </c>
      <c r="B11" s="18" t="s">
        <v>31</v>
      </c>
      <c r="C11" s="2" t="s">
        <v>32</v>
      </c>
      <c r="D11" s="11"/>
      <c r="E11" s="1"/>
      <c r="F11" s="19" t="s">
        <v>33</v>
      </c>
      <c r="G11" s="19" t="s">
        <v>34</v>
      </c>
      <c r="H11" s="19" t="s">
        <v>35</v>
      </c>
      <c r="I11" s="19" t="s">
        <v>36</v>
      </c>
      <c r="J11" s="19" t="s">
        <v>37</v>
      </c>
      <c r="K11" s="19" t="s">
        <v>38</v>
      </c>
      <c r="L11" s="19" t="s">
        <v>34</v>
      </c>
      <c r="M11" s="19" t="s">
        <v>39</v>
      </c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 t="s">
        <v>40</v>
      </c>
      <c r="B12" s="2" t="s">
        <v>41</v>
      </c>
      <c r="C12" s="2" t="s">
        <v>42</v>
      </c>
      <c r="D12" s="11"/>
      <c r="E12" s="1"/>
      <c r="F12" s="20" t="str">
        <f>F6</f>
        <v>#VALUE!</v>
      </c>
      <c r="G12" s="21" t="s">
        <v>43</v>
      </c>
      <c r="H12" s="21">
        <f>E99</f>
        <v>0.95</v>
      </c>
      <c r="I12" s="21">
        <f>E108</f>
        <v>1.3</v>
      </c>
      <c r="J12" s="21">
        <f>F120</f>
        <v>1</v>
      </c>
      <c r="K12" s="22" t="str">
        <f>F12*H12*I12*J12</f>
        <v>#VALUE!</v>
      </c>
      <c r="L12" s="22" t="s">
        <v>44</v>
      </c>
      <c r="M12" s="23" t="str">
        <f>C146</f>
        <v>#VALUE!</v>
      </c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 t="s">
        <v>45</v>
      </c>
      <c r="C13" s="2" t="s">
        <v>27</v>
      </c>
      <c r="D13" s="1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 t="s">
        <v>46</v>
      </c>
      <c r="C14" s="2" t="s">
        <v>27</v>
      </c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47</v>
      </c>
      <c r="B15" s="5" t="s">
        <v>48</v>
      </c>
      <c r="C15" s="2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 t="s">
        <v>49</v>
      </c>
      <c r="B16" s="5" t="s">
        <v>50</v>
      </c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 t="s">
        <v>51</v>
      </c>
      <c r="B17" s="5" t="s">
        <v>52</v>
      </c>
      <c r="C17" s="1"/>
      <c r="D17" s="1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53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3" t="s">
        <v>54</v>
      </c>
      <c r="B20" s="13" t="s">
        <v>55</v>
      </c>
      <c r="C20" s="1" t="s">
        <v>10</v>
      </c>
      <c r="E20" s="1" t="s">
        <v>11</v>
      </c>
      <c r="G20" s="1" t="s">
        <v>12</v>
      </c>
      <c r="I20" s="1" t="s">
        <v>13</v>
      </c>
      <c r="K20" s="1" t="s">
        <v>14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C21" s="1" t="s">
        <v>56</v>
      </c>
      <c r="D21" s="1" t="s">
        <v>57</v>
      </c>
      <c r="E21" s="1" t="s">
        <v>56</v>
      </c>
      <c r="F21" s="1" t="s">
        <v>57</v>
      </c>
      <c r="G21" s="1" t="s">
        <v>56</v>
      </c>
      <c r="H21" s="1" t="s">
        <v>57</v>
      </c>
      <c r="I21" s="1" t="s">
        <v>56</v>
      </c>
      <c r="J21" s="1" t="s">
        <v>57</v>
      </c>
      <c r="K21" s="1" t="s">
        <v>56</v>
      </c>
      <c r="L21" s="1" t="s">
        <v>57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58</v>
      </c>
      <c r="B22" s="2" t="str">
        <f>IF(AND(D5&gt;=30,D5&lt;80),(D5-55)/10, "out of range")</f>
        <v>out of range</v>
      </c>
      <c r="C22" s="2" t="str">
        <f t="shared" ref="C22:L22" si="1">$B22*C51</f>
        <v>#VALUE!</v>
      </c>
      <c r="D22" s="2" t="str">
        <f t="shared" si="1"/>
        <v>#VALUE!</v>
      </c>
      <c r="E22" s="2" t="str">
        <f t="shared" si="1"/>
        <v>#VALUE!</v>
      </c>
      <c r="F22" s="2" t="str">
        <f t="shared" si="1"/>
        <v>#VALUE!</v>
      </c>
      <c r="G22" s="2" t="str">
        <f t="shared" si="1"/>
        <v>#VALUE!</v>
      </c>
      <c r="H22" s="2" t="str">
        <f t="shared" si="1"/>
        <v>#VALUE!</v>
      </c>
      <c r="I22" s="2" t="str">
        <f t="shared" si="1"/>
        <v>#VALUE!</v>
      </c>
      <c r="J22" s="2" t="str">
        <f t="shared" si="1"/>
        <v>#VALUE!</v>
      </c>
      <c r="K22" s="2" t="str">
        <f t="shared" si="1"/>
        <v>#VALUE!</v>
      </c>
      <c r="L22" s="2" t="str">
        <f t="shared" si="1"/>
        <v>#VALUE!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59</v>
      </c>
      <c r="B23" s="2" t="str">
        <f>IF(AND(D6&gt;=130,D6&lt;=320,D7&gt;=20,D7&lt;=100),(D6-D7)*0.02586-3.5,"out of range")</f>
        <v>out of range</v>
      </c>
      <c r="C23" s="2" t="str">
        <f t="shared" ref="C23:L23" si="2">$B23*C52</f>
        <v>#VALUE!</v>
      </c>
      <c r="D23" s="2" t="str">
        <f t="shared" si="2"/>
        <v>#VALUE!</v>
      </c>
      <c r="E23" s="2" t="str">
        <f t="shared" si="2"/>
        <v>#VALUE!</v>
      </c>
      <c r="F23" s="2" t="str">
        <f t="shared" si="2"/>
        <v>#VALUE!</v>
      </c>
      <c r="G23" s="2" t="str">
        <f t="shared" si="2"/>
        <v>#VALUE!</v>
      </c>
      <c r="H23" s="2" t="str">
        <f t="shared" si="2"/>
        <v>#VALUE!</v>
      </c>
      <c r="I23" s="2" t="str">
        <f t="shared" si="2"/>
        <v>#VALUE!</v>
      </c>
      <c r="J23" s="2" t="str">
        <f t="shared" si="2"/>
        <v>#VALUE!</v>
      </c>
      <c r="K23" s="2" t="str">
        <f t="shared" si="2"/>
        <v>#VALUE!</v>
      </c>
      <c r="L23" s="2" t="str">
        <f t="shared" si="2"/>
        <v>#VALUE!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60</v>
      </c>
      <c r="B24" s="2" t="str">
        <f>IF(AND(D7&gt;=20,D7&lt;=100),(D7*0.02586-1.3)/0.3,"out of range")</f>
        <v>out of range</v>
      </c>
      <c r="C24" s="2" t="str">
        <f t="shared" ref="C24:L24" si="3">$B24*C53</f>
        <v>#VALUE!</v>
      </c>
      <c r="D24" s="2" t="str">
        <f t="shared" si="3"/>
        <v>#VALUE!</v>
      </c>
      <c r="E24" s="2" t="str">
        <f t="shared" si="3"/>
        <v>#VALUE!</v>
      </c>
      <c r="F24" s="2" t="str">
        <f t="shared" si="3"/>
        <v>#VALUE!</v>
      </c>
      <c r="G24" s="2" t="str">
        <f t="shared" si="3"/>
        <v>#VALUE!</v>
      </c>
      <c r="H24" s="2" t="str">
        <f t="shared" si="3"/>
        <v>#VALUE!</v>
      </c>
      <c r="I24" s="2" t="str">
        <f t="shared" si="3"/>
        <v>#VALUE!</v>
      </c>
      <c r="J24" s="2" t="str">
        <f t="shared" si="3"/>
        <v>#VALUE!</v>
      </c>
      <c r="K24" s="2" t="str">
        <f t="shared" si="3"/>
        <v>#VALUE!</v>
      </c>
      <c r="L24" s="2" t="str">
        <f t="shared" si="3"/>
        <v>#VALUE!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 t="s">
        <v>61</v>
      </c>
      <c r="B25" s="2" t="str">
        <f>IF(AND(D8&gt;=90,D8&lt;=200),(MIN(D8,110)-110)/20,"out of range")</f>
        <v>out of range</v>
      </c>
      <c r="C25" s="2" t="str">
        <f t="shared" ref="C25:L25" si="4">$B25*C54</f>
        <v>#VALUE!</v>
      </c>
      <c r="D25" s="2" t="str">
        <f t="shared" si="4"/>
        <v>#VALUE!</v>
      </c>
      <c r="E25" s="2" t="str">
        <f t="shared" si="4"/>
        <v>#VALUE!</v>
      </c>
      <c r="F25" s="2" t="str">
        <f t="shared" si="4"/>
        <v>#VALUE!</v>
      </c>
      <c r="G25" s="2" t="str">
        <f t="shared" si="4"/>
        <v>#VALUE!</v>
      </c>
      <c r="H25" s="2" t="str">
        <f t="shared" si="4"/>
        <v>#VALUE!</v>
      </c>
      <c r="I25" s="2" t="str">
        <f t="shared" si="4"/>
        <v>#VALUE!</v>
      </c>
      <c r="J25" s="2" t="str">
        <f t="shared" si="4"/>
        <v>#VALUE!</v>
      </c>
      <c r="K25" s="2" t="str">
        <f t="shared" si="4"/>
        <v>#VALUE!</v>
      </c>
      <c r="L25" s="2" t="str">
        <f t="shared" si="4"/>
        <v>#VALUE!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 t="s">
        <v>62</v>
      </c>
      <c r="B26" s="2" t="str">
        <f>IF(AND(D8&gt;=90,D8&lt;=200),(MAX(D8,110)-130)/20,"out of range")</f>
        <v>out of range</v>
      </c>
      <c r="C26" s="2" t="str">
        <f t="shared" ref="C26:L26" si="5">$B26*C55</f>
        <v>#VALUE!</v>
      </c>
      <c r="D26" s="2" t="str">
        <f t="shared" si="5"/>
        <v>#VALUE!</v>
      </c>
      <c r="E26" s="2" t="str">
        <f t="shared" si="5"/>
        <v>#VALUE!</v>
      </c>
      <c r="F26" s="2" t="str">
        <f t="shared" si="5"/>
        <v>#VALUE!</v>
      </c>
      <c r="G26" s="2" t="str">
        <f t="shared" si="5"/>
        <v>#VALUE!</v>
      </c>
      <c r="H26" s="2" t="str">
        <f t="shared" si="5"/>
        <v>#VALUE!</v>
      </c>
      <c r="I26" s="2" t="str">
        <f t="shared" si="5"/>
        <v>#VALUE!</v>
      </c>
      <c r="J26" s="2" t="str">
        <f t="shared" si="5"/>
        <v>#VALUE!</v>
      </c>
      <c r="K26" s="2" t="str">
        <f t="shared" si="5"/>
        <v>#VALUE!</v>
      </c>
      <c r="L26" s="2" t="str">
        <f t="shared" si="5"/>
        <v>#VALUE!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63</v>
      </c>
      <c r="B27" s="2" t="str">
        <f t="shared" ref="B27:B28" si="7">IF(OR(D9=0,D9=1),D9,"out of range")</f>
        <v/>
      </c>
      <c r="C27" s="2">
        <f t="shared" ref="C27:L27" si="6">$B27*C56</f>
        <v>0</v>
      </c>
      <c r="D27" s="2">
        <f t="shared" si="6"/>
        <v>0</v>
      </c>
      <c r="E27" s="2">
        <f t="shared" si="6"/>
        <v>0</v>
      </c>
      <c r="F27" s="2">
        <f t="shared" si="6"/>
        <v>0</v>
      </c>
      <c r="G27" s="2">
        <f t="shared" si="6"/>
        <v>0</v>
      </c>
      <c r="H27" s="2">
        <f t="shared" si="6"/>
        <v>0</v>
      </c>
      <c r="I27" s="2">
        <f t="shared" si="6"/>
        <v>0</v>
      </c>
      <c r="J27" s="2">
        <f t="shared" si="6"/>
        <v>0</v>
      </c>
      <c r="K27" s="2">
        <f t="shared" si="6"/>
        <v>0</v>
      </c>
      <c r="L27" s="2">
        <f t="shared" si="6"/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 t="s">
        <v>64</v>
      </c>
      <c r="B28" s="2" t="str">
        <f t="shared" si="7"/>
        <v/>
      </c>
      <c r="C28" s="2">
        <f t="shared" ref="C28:L28" si="8">$B28*C57</f>
        <v>0</v>
      </c>
      <c r="D28" s="2">
        <f t="shared" si="8"/>
        <v>0</v>
      </c>
      <c r="E28" s="2">
        <f t="shared" si="8"/>
        <v>0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 t="s">
        <v>65</v>
      </c>
      <c r="B29" s="2" t="str">
        <f>IF(AND(D11&gt;=18.5,D11&lt;40),(MIN(D11,30)-25)/5,"out of range")</f>
        <v>out of range</v>
      </c>
      <c r="C29" s="2" t="str">
        <f t="shared" ref="C29:L29" si="9">$B29*C58</f>
        <v>#VALUE!</v>
      </c>
      <c r="D29" s="2" t="str">
        <f t="shared" si="9"/>
        <v>#VALUE!</v>
      </c>
      <c r="E29" s="2" t="str">
        <f t="shared" si="9"/>
        <v>#VALUE!</v>
      </c>
      <c r="F29" s="2" t="str">
        <f t="shared" si="9"/>
        <v>#VALUE!</v>
      </c>
      <c r="G29" s="2" t="str">
        <f t="shared" si="9"/>
        <v>#VALUE!</v>
      </c>
      <c r="H29" s="2" t="str">
        <f t="shared" si="9"/>
        <v>#VALUE!</v>
      </c>
      <c r="I29" s="2" t="str">
        <f t="shared" si="9"/>
        <v>#VALUE!</v>
      </c>
      <c r="J29" s="2" t="str">
        <f t="shared" si="9"/>
        <v>#VALUE!</v>
      </c>
      <c r="K29" s="2" t="str">
        <f t="shared" si="9"/>
        <v>#VALUE!</v>
      </c>
      <c r="L29" s="2" t="str">
        <f t="shared" si="9"/>
        <v>#VALUE!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66</v>
      </c>
      <c r="B30" s="2" t="str">
        <f>IF(AND(D11&gt;=18.5,D11&lt;40),(MAX(D11,30)-30)/5,"out of range")</f>
        <v>out of range</v>
      </c>
      <c r="C30" s="2" t="str">
        <f t="shared" ref="C30:L30" si="10">$B30*C59</f>
        <v>#VALUE!</v>
      </c>
      <c r="D30" s="2" t="str">
        <f t="shared" si="10"/>
        <v>#VALUE!</v>
      </c>
      <c r="E30" s="2" t="str">
        <f t="shared" si="10"/>
        <v>#VALUE!</v>
      </c>
      <c r="F30" s="2" t="str">
        <f t="shared" si="10"/>
        <v>#VALUE!</v>
      </c>
      <c r="G30" s="2" t="str">
        <f t="shared" si="10"/>
        <v>#VALUE!</v>
      </c>
      <c r="H30" s="2" t="str">
        <f t="shared" si="10"/>
        <v>#VALUE!</v>
      </c>
      <c r="I30" s="2" t="str">
        <f t="shared" si="10"/>
        <v>#VALUE!</v>
      </c>
      <c r="J30" s="2" t="str">
        <f t="shared" si="10"/>
        <v>#VALUE!</v>
      </c>
      <c r="K30" s="2" t="str">
        <f t="shared" si="10"/>
        <v>#VALUE!</v>
      </c>
      <c r="L30" s="2" t="str">
        <f t="shared" si="10"/>
        <v>#VALUE!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67</v>
      </c>
      <c r="B31" s="2" t="str">
        <f>IF(AND(D12&gt;=15,D12&lt;=150),(MIN(D12,60)-60)/-15,"out of range")</f>
        <v>out of range</v>
      </c>
      <c r="C31" s="2" t="str">
        <f t="shared" ref="C31:L31" si="11">$B31*C60</f>
        <v>#VALUE!</v>
      </c>
      <c r="D31" s="2" t="str">
        <f t="shared" si="11"/>
        <v>#VALUE!</v>
      </c>
      <c r="E31" s="2" t="str">
        <f t="shared" si="11"/>
        <v>#VALUE!</v>
      </c>
      <c r="F31" s="2" t="str">
        <f t="shared" si="11"/>
        <v>#VALUE!</v>
      </c>
      <c r="G31" s="2" t="str">
        <f t="shared" si="11"/>
        <v>#VALUE!</v>
      </c>
      <c r="H31" s="2" t="str">
        <f t="shared" si="11"/>
        <v>#VALUE!</v>
      </c>
      <c r="I31" s="2" t="str">
        <f t="shared" si="11"/>
        <v>#VALUE!</v>
      </c>
      <c r="J31" s="2" t="str">
        <f t="shared" si="11"/>
        <v>#VALUE!</v>
      </c>
      <c r="K31" s="2" t="str">
        <f t="shared" si="11"/>
        <v>#VALUE!</v>
      </c>
      <c r="L31" s="2" t="str">
        <f t="shared" si="11"/>
        <v>#VALUE!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68</v>
      </c>
      <c r="B32" s="2" t="str">
        <f>IF(AND(D12&gt;=15,D12&lt;=150),(MAX(D12,60)-90)/-15,"out of range")</f>
        <v>out of range</v>
      </c>
      <c r="C32" s="2" t="str">
        <f t="shared" ref="C32:L32" si="12">$B32*C61</f>
        <v>#VALUE!</v>
      </c>
      <c r="D32" s="2" t="str">
        <f t="shared" si="12"/>
        <v>#VALUE!</v>
      </c>
      <c r="E32" s="2" t="str">
        <f t="shared" si="12"/>
        <v>#VALUE!</v>
      </c>
      <c r="F32" s="2" t="str">
        <f t="shared" si="12"/>
        <v>#VALUE!</v>
      </c>
      <c r="G32" s="2" t="str">
        <f t="shared" si="12"/>
        <v>#VALUE!</v>
      </c>
      <c r="H32" s="2" t="str">
        <f t="shared" si="12"/>
        <v>#VALUE!</v>
      </c>
      <c r="I32" s="2" t="str">
        <f t="shared" si="12"/>
        <v>#VALUE!</v>
      </c>
      <c r="J32" s="2" t="str">
        <f t="shared" si="12"/>
        <v>#VALUE!</v>
      </c>
      <c r="K32" s="2" t="str">
        <f t="shared" si="12"/>
        <v>#VALUE!</v>
      </c>
      <c r="L32" s="2" t="str">
        <f t="shared" si="12"/>
        <v>#VALUE!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69</v>
      </c>
      <c r="B33" s="2" t="str">
        <f t="shared" ref="B33:B34" si="14">IF(OR(D13=0,D13=1),D13,"out of range")</f>
        <v/>
      </c>
      <c r="C33" s="2">
        <f t="shared" ref="C33:L33" si="13">$B33*C62</f>
        <v>0</v>
      </c>
      <c r="D33" s="2">
        <f t="shared" si="13"/>
        <v>0</v>
      </c>
      <c r="E33" s="2">
        <f t="shared" si="13"/>
        <v>0</v>
      </c>
      <c r="F33" s="2">
        <f t="shared" si="13"/>
        <v>0</v>
      </c>
      <c r="G33" s="2">
        <f t="shared" si="13"/>
        <v>0</v>
      </c>
      <c r="H33" s="2">
        <f t="shared" si="13"/>
        <v>0</v>
      </c>
      <c r="I33" s="2">
        <f t="shared" si="13"/>
        <v>0</v>
      </c>
      <c r="J33" s="2">
        <f t="shared" si="13"/>
        <v>0</v>
      </c>
      <c r="K33" s="2">
        <f t="shared" si="13"/>
        <v>0</v>
      </c>
      <c r="L33" s="2">
        <f t="shared" si="13"/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70</v>
      </c>
      <c r="B34" s="2" t="str">
        <f t="shared" si="14"/>
        <v/>
      </c>
      <c r="C34" s="2">
        <f t="shared" ref="C34:L34" si="15">$B34*C63</f>
        <v>0</v>
      </c>
      <c r="D34" s="2">
        <f t="shared" si="15"/>
        <v>0</v>
      </c>
      <c r="E34" s="2">
        <f t="shared" si="15"/>
        <v>0</v>
      </c>
      <c r="F34" s="2">
        <f t="shared" si="15"/>
        <v>0</v>
      </c>
      <c r="G34" s="2">
        <f t="shared" si="15"/>
        <v>0</v>
      </c>
      <c r="H34" s="2">
        <f t="shared" si="15"/>
        <v>0</v>
      </c>
      <c r="I34" s="2">
        <f t="shared" si="15"/>
        <v>0</v>
      </c>
      <c r="J34" s="2">
        <f t="shared" si="15"/>
        <v>0</v>
      </c>
      <c r="K34" s="2">
        <f t="shared" si="15"/>
        <v>0</v>
      </c>
      <c r="L34" s="2">
        <f t="shared" si="15"/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71</v>
      </c>
      <c r="B35" s="2" t="str">
        <f>B26*B33</f>
        <v>#VALUE!</v>
      </c>
      <c r="C35" s="2" t="str">
        <f t="shared" ref="C35:L35" si="16">$B35*C64</f>
        <v>#VALUE!</v>
      </c>
      <c r="D35" s="2" t="str">
        <f t="shared" si="16"/>
        <v>#VALUE!</v>
      </c>
      <c r="E35" s="2" t="str">
        <f t="shared" si="16"/>
        <v>#VALUE!</v>
      </c>
      <c r="F35" s="2" t="str">
        <f t="shared" si="16"/>
        <v>#VALUE!</v>
      </c>
      <c r="G35" s="2" t="str">
        <f t="shared" si="16"/>
        <v>#VALUE!</v>
      </c>
      <c r="H35" s="2" t="str">
        <f t="shared" si="16"/>
        <v>#VALUE!</v>
      </c>
      <c r="I35" s="2" t="str">
        <f t="shared" si="16"/>
        <v>#VALUE!</v>
      </c>
      <c r="J35" s="2" t="str">
        <f t="shared" si="16"/>
        <v>#VALUE!</v>
      </c>
      <c r="K35" s="2" t="str">
        <f t="shared" si="16"/>
        <v>#VALUE!</v>
      </c>
      <c r="L35" s="2" t="str">
        <f t="shared" si="16"/>
        <v>#VALUE!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72</v>
      </c>
      <c r="B36" s="2" t="str">
        <f>B23*B34</f>
        <v>#VALUE!</v>
      </c>
      <c r="C36" s="2" t="str">
        <f t="shared" ref="C36:L36" si="17">$B36*C65</f>
        <v>#VALUE!</v>
      </c>
      <c r="D36" s="2" t="str">
        <f t="shared" si="17"/>
        <v>#VALUE!</v>
      </c>
      <c r="E36" s="2" t="str">
        <f t="shared" si="17"/>
        <v>#VALUE!</v>
      </c>
      <c r="F36" s="2" t="str">
        <f t="shared" si="17"/>
        <v>#VALUE!</v>
      </c>
      <c r="G36" s="2" t="str">
        <f t="shared" si="17"/>
        <v>#VALUE!</v>
      </c>
      <c r="H36" s="2" t="str">
        <f t="shared" si="17"/>
        <v>#VALUE!</v>
      </c>
      <c r="I36" s="2" t="str">
        <f t="shared" si="17"/>
        <v>#VALUE!</v>
      </c>
      <c r="J36" s="2" t="str">
        <f t="shared" si="17"/>
        <v>#VALUE!</v>
      </c>
      <c r="K36" s="2" t="str">
        <f t="shared" si="17"/>
        <v>#VALUE!</v>
      </c>
      <c r="L36" s="2" t="str">
        <f t="shared" si="17"/>
        <v>#VALUE!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73</v>
      </c>
      <c r="B37" s="2" t="str">
        <f>B22*B23</f>
        <v>#VALUE!</v>
      </c>
      <c r="C37" s="24" t="str">
        <f t="shared" ref="C37:L37" si="18">$B37*C66</f>
        <v>#VALUE!</v>
      </c>
      <c r="D37" s="2" t="str">
        <f t="shared" si="18"/>
        <v>#VALUE!</v>
      </c>
      <c r="E37" s="2" t="str">
        <f t="shared" si="18"/>
        <v>#VALUE!</v>
      </c>
      <c r="F37" s="2" t="str">
        <f t="shared" si="18"/>
        <v>#VALUE!</v>
      </c>
      <c r="G37" s="2" t="str">
        <f t="shared" si="18"/>
        <v>#VALUE!</v>
      </c>
      <c r="H37" s="2" t="str">
        <f t="shared" si="18"/>
        <v>#VALUE!</v>
      </c>
      <c r="I37" s="2" t="str">
        <f t="shared" si="18"/>
        <v>#VALUE!</v>
      </c>
      <c r="J37" s="2" t="str">
        <f t="shared" si="18"/>
        <v>#VALUE!</v>
      </c>
      <c r="K37" s="2" t="str">
        <f t="shared" si="18"/>
        <v>#VALUE!</v>
      </c>
      <c r="L37" s="2" t="str">
        <f t="shared" si="18"/>
        <v>#VALUE!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74</v>
      </c>
      <c r="B38" s="2" t="str">
        <f>B22*B24</f>
        <v>#VALUE!</v>
      </c>
      <c r="C38" s="24" t="str">
        <f t="shared" ref="C38:L38" si="19">$B38*C67</f>
        <v>#VALUE!</v>
      </c>
      <c r="D38" s="2" t="str">
        <f t="shared" si="19"/>
        <v>#VALUE!</v>
      </c>
      <c r="E38" s="2" t="str">
        <f t="shared" si="19"/>
        <v>#VALUE!</v>
      </c>
      <c r="F38" s="2" t="str">
        <f t="shared" si="19"/>
        <v>#VALUE!</v>
      </c>
      <c r="G38" s="2" t="str">
        <f t="shared" si="19"/>
        <v>#VALUE!</v>
      </c>
      <c r="H38" s="2" t="str">
        <f t="shared" si="19"/>
        <v>#VALUE!</v>
      </c>
      <c r="I38" s="2" t="str">
        <f t="shared" si="19"/>
        <v>#VALUE!</v>
      </c>
      <c r="J38" s="2" t="str">
        <f t="shared" si="19"/>
        <v>#VALUE!</v>
      </c>
      <c r="K38" s="2" t="str">
        <f t="shared" si="19"/>
        <v>#VALUE!</v>
      </c>
      <c r="L38" s="2" t="str">
        <f t="shared" si="19"/>
        <v>#VALUE!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75</v>
      </c>
      <c r="B39" s="2" t="str">
        <f>B22*B26</f>
        <v>#VALUE!</v>
      </c>
      <c r="C39" s="24" t="str">
        <f t="shared" ref="C39:L39" si="20">$B39*C68</f>
        <v>#VALUE!</v>
      </c>
      <c r="D39" s="2" t="str">
        <f t="shared" si="20"/>
        <v>#VALUE!</v>
      </c>
      <c r="E39" s="2" t="str">
        <f t="shared" si="20"/>
        <v>#VALUE!</v>
      </c>
      <c r="F39" s="2" t="str">
        <f t="shared" si="20"/>
        <v>#VALUE!</v>
      </c>
      <c r="G39" s="2" t="str">
        <f t="shared" si="20"/>
        <v>#VALUE!</v>
      </c>
      <c r="H39" s="2" t="str">
        <f t="shared" si="20"/>
        <v>#VALUE!</v>
      </c>
      <c r="I39" s="2" t="str">
        <f t="shared" si="20"/>
        <v>#VALUE!</v>
      </c>
      <c r="J39" s="2" t="str">
        <f t="shared" si="20"/>
        <v>#VALUE!</v>
      </c>
      <c r="K39" s="2" t="str">
        <f t="shared" si="20"/>
        <v>#VALUE!</v>
      </c>
      <c r="L39" s="2" t="str">
        <f t="shared" si="20"/>
        <v>#VALUE!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76</v>
      </c>
      <c r="B40" s="2" t="str">
        <f>B22*B27</f>
        <v>#VALUE!</v>
      </c>
      <c r="C40" s="2" t="str">
        <f t="shared" ref="C40:L40" si="21">$B40*C69</f>
        <v>#VALUE!</v>
      </c>
      <c r="D40" s="2" t="str">
        <f t="shared" si="21"/>
        <v>#VALUE!</v>
      </c>
      <c r="E40" s="2" t="str">
        <f t="shared" si="21"/>
        <v>#VALUE!</v>
      </c>
      <c r="F40" s="2" t="str">
        <f t="shared" si="21"/>
        <v>#VALUE!</v>
      </c>
      <c r="G40" s="2" t="str">
        <f t="shared" si="21"/>
        <v>#VALUE!</v>
      </c>
      <c r="H40" s="2" t="str">
        <f t="shared" si="21"/>
        <v>#VALUE!</v>
      </c>
      <c r="I40" s="2" t="str">
        <f t="shared" si="21"/>
        <v>#VALUE!</v>
      </c>
      <c r="J40" s="2" t="str">
        <f t="shared" si="21"/>
        <v>#VALUE!</v>
      </c>
      <c r="K40" s="2" t="str">
        <f t="shared" si="21"/>
        <v>#VALUE!</v>
      </c>
      <c r="L40" s="2" t="str">
        <f t="shared" si="21"/>
        <v>#VALUE!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77</v>
      </c>
      <c r="B41" s="2" t="str">
        <f>B22*B28</f>
        <v>#VALUE!</v>
      </c>
      <c r="C41" s="24" t="str">
        <f t="shared" ref="C41:L41" si="22">$B41*C70</f>
        <v>#VALUE!</v>
      </c>
      <c r="D41" s="2" t="str">
        <f t="shared" si="22"/>
        <v>#VALUE!</v>
      </c>
      <c r="E41" s="2" t="str">
        <f t="shared" si="22"/>
        <v>#VALUE!</v>
      </c>
      <c r="F41" s="2" t="str">
        <f t="shared" si="22"/>
        <v>#VALUE!</v>
      </c>
      <c r="G41" s="2" t="str">
        <f t="shared" si="22"/>
        <v>#VALUE!</v>
      </c>
      <c r="H41" s="2" t="str">
        <f t="shared" si="22"/>
        <v>#VALUE!</v>
      </c>
      <c r="I41" s="2" t="str">
        <f t="shared" si="22"/>
        <v>#VALUE!</v>
      </c>
      <c r="J41" s="2" t="str">
        <f t="shared" si="22"/>
        <v>#VALUE!</v>
      </c>
      <c r="K41" s="2" t="str">
        <f t="shared" si="22"/>
        <v>#VALUE!</v>
      </c>
      <c r="L41" s="2" t="str">
        <f t="shared" si="22"/>
        <v>#VALUE!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78</v>
      </c>
      <c r="B42" s="2" t="str">
        <f>B22*B30</f>
        <v>#VALUE!</v>
      </c>
      <c r="C42" s="2" t="str">
        <f t="shared" ref="C42:L42" si="23">$B42*C71</f>
        <v>#VALUE!</v>
      </c>
      <c r="D42" s="2" t="str">
        <f t="shared" si="23"/>
        <v>#VALUE!</v>
      </c>
      <c r="E42" s="2" t="str">
        <f t="shared" si="23"/>
        <v>#VALUE!</v>
      </c>
      <c r="F42" s="2" t="str">
        <f t="shared" si="23"/>
        <v>#VALUE!</v>
      </c>
      <c r="G42" s="2" t="str">
        <f t="shared" si="23"/>
        <v>#VALUE!</v>
      </c>
      <c r="H42" s="2" t="str">
        <f t="shared" si="23"/>
        <v>#VALUE!</v>
      </c>
      <c r="I42" s="2" t="str">
        <f t="shared" si="23"/>
        <v>#VALUE!</v>
      </c>
      <c r="J42" s="2" t="str">
        <f t="shared" si="23"/>
        <v>#VALUE!</v>
      </c>
      <c r="K42" s="2" t="str">
        <f t="shared" si="23"/>
        <v>#VALUE!</v>
      </c>
      <c r="L42" s="2" t="str">
        <f t="shared" si="23"/>
        <v>#VALUE!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79</v>
      </c>
      <c r="B43" s="2" t="str">
        <f>B22*B31</f>
        <v>#VALUE!</v>
      </c>
      <c r="C43" s="2" t="str">
        <f t="shared" ref="C43:L43" si="24">$B43*C72</f>
        <v>#VALUE!</v>
      </c>
      <c r="D43" s="2" t="str">
        <f t="shared" si="24"/>
        <v>#VALUE!</v>
      </c>
      <c r="E43" s="2" t="str">
        <f t="shared" si="24"/>
        <v>#VALUE!</v>
      </c>
      <c r="F43" s="2" t="str">
        <f t="shared" si="24"/>
        <v>#VALUE!</v>
      </c>
      <c r="G43" s="2" t="str">
        <f t="shared" si="24"/>
        <v>#VALUE!</v>
      </c>
      <c r="H43" s="2" t="str">
        <f t="shared" si="24"/>
        <v>#VALUE!</v>
      </c>
      <c r="I43" s="2" t="str">
        <f t="shared" si="24"/>
        <v>#VALUE!</v>
      </c>
      <c r="J43" s="2" t="str">
        <f t="shared" si="24"/>
        <v>#VALUE!</v>
      </c>
      <c r="K43" s="2" t="str">
        <f t="shared" si="24"/>
        <v>#VALUE!</v>
      </c>
      <c r="L43" s="2" t="str">
        <f t="shared" si="24"/>
        <v>#VALUE!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80</v>
      </c>
      <c r="B44" s="2">
        <v>1.0</v>
      </c>
      <c r="C44" s="2">
        <f t="shared" ref="C44:L44" si="25">$B44*C73</f>
        <v>-3.307728</v>
      </c>
      <c r="D44" s="2">
        <f t="shared" si="25"/>
        <v>-3.031168</v>
      </c>
      <c r="E44" s="2">
        <f t="shared" si="25"/>
        <v>-3.819975</v>
      </c>
      <c r="F44" s="2">
        <f t="shared" si="25"/>
        <v>-3.500655</v>
      </c>
      <c r="G44" s="2">
        <f t="shared" si="25"/>
        <v>-4.310409</v>
      </c>
      <c r="H44" s="2">
        <f t="shared" si="25"/>
        <v>-3.946391</v>
      </c>
      <c r="I44" s="2">
        <f t="shared" si="25"/>
        <v>-4.608751</v>
      </c>
      <c r="J44" s="2">
        <f t="shared" si="25"/>
        <v>-4.156753</v>
      </c>
      <c r="K44" s="2">
        <f t="shared" si="25"/>
        <v>-4.409199</v>
      </c>
      <c r="L44" s="2">
        <f t="shared" si="25"/>
        <v>-4.20881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1" t="s">
        <v>81</v>
      </c>
      <c r="B45" s="18" t="s">
        <v>82</v>
      </c>
      <c r="C45" s="2" t="str">
        <f t="shared" ref="C45:L45" si="26">SUM(C22:C44)</f>
        <v>#VALUE!</v>
      </c>
      <c r="D45" s="2" t="str">
        <f t="shared" si="26"/>
        <v>#VALUE!</v>
      </c>
      <c r="E45" s="2" t="str">
        <f t="shared" si="26"/>
        <v>#VALUE!</v>
      </c>
      <c r="F45" s="2" t="str">
        <f t="shared" si="26"/>
        <v>#VALUE!</v>
      </c>
      <c r="G45" s="2" t="str">
        <f t="shared" si="26"/>
        <v>#VALUE!</v>
      </c>
      <c r="H45" s="2" t="str">
        <f t="shared" si="26"/>
        <v>#VALUE!</v>
      </c>
      <c r="I45" s="2" t="str">
        <f t="shared" si="26"/>
        <v>#VALUE!</v>
      </c>
      <c r="J45" s="2" t="str">
        <f t="shared" si="26"/>
        <v>#VALUE!</v>
      </c>
      <c r="K45" s="2" t="str">
        <f t="shared" si="26"/>
        <v>#VALUE!</v>
      </c>
      <c r="L45" s="2" t="str">
        <f t="shared" si="26"/>
        <v>#VALUE!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" t="s">
        <v>83</v>
      </c>
      <c r="C46" s="25" t="str">
        <f t="shared" ref="C46:L46" si="27">EXP(C45)/(1+EXP(C45))</f>
        <v>#VALUE!</v>
      </c>
      <c r="D46" s="25" t="str">
        <f t="shared" si="27"/>
        <v>#VALUE!</v>
      </c>
      <c r="E46" s="25" t="str">
        <f t="shared" si="27"/>
        <v>#VALUE!</v>
      </c>
      <c r="F46" s="25" t="str">
        <f t="shared" si="27"/>
        <v>#VALUE!</v>
      </c>
      <c r="G46" s="25" t="str">
        <f t="shared" si="27"/>
        <v>#VALUE!</v>
      </c>
      <c r="H46" s="25" t="str">
        <f t="shared" si="27"/>
        <v>#VALUE!</v>
      </c>
      <c r="I46" s="25" t="str">
        <f t="shared" si="27"/>
        <v>#VALUE!</v>
      </c>
      <c r="J46" s="25" t="str">
        <f t="shared" si="27"/>
        <v>#VALUE!</v>
      </c>
      <c r="K46" s="25" t="str">
        <f t="shared" si="27"/>
        <v>#VALUE!</v>
      </c>
      <c r="L46" s="25" t="str">
        <f t="shared" si="27"/>
        <v>#VALUE!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"/>
      <c r="B47" s="18"/>
      <c r="C47" s="2"/>
      <c r="D47" s="2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" t="s">
        <v>84</v>
      </c>
      <c r="B48" s="1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3" t="s">
        <v>85</v>
      </c>
      <c r="B49" s="2"/>
      <c r="C49" s="1" t="s">
        <v>10</v>
      </c>
      <c r="E49" s="1" t="s">
        <v>11</v>
      </c>
      <c r="G49" s="1" t="s">
        <v>12</v>
      </c>
      <c r="I49" s="1" t="s">
        <v>13</v>
      </c>
      <c r="K49" s="1" t="s">
        <v>14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B50" s="1"/>
      <c r="C50" s="1" t="s">
        <v>56</v>
      </c>
      <c r="D50" s="1" t="s">
        <v>57</v>
      </c>
      <c r="E50" s="1" t="s">
        <v>56</v>
      </c>
      <c r="F50" s="1" t="s">
        <v>57</v>
      </c>
      <c r="G50" s="1" t="s">
        <v>56</v>
      </c>
      <c r="H50" s="1" t="s">
        <v>57</v>
      </c>
      <c r="I50" s="1" t="s">
        <v>56</v>
      </c>
      <c r="J50" s="1" t="s">
        <v>57</v>
      </c>
      <c r="K50" s="1" t="s">
        <v>56</v>
      </c>
      <c r="L50" s="1" t="s">
        <v>57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" t="s">
        <v>86</v>
      </c>
      <c r="B51" s="2"/>
      <c r="C51" s="2">
        <v>0.7939329</v>
      </c>
      <c r="D51" s="2">
        <v>0.7688528</v>
      </c>
      <c r="E51" s="2">
        <v>0.719883</v>
      </c>
      <c r="F51" s="2">
        <v>0.7099847</v>
      </c>
      <c r="G51" s="2">
        <v>0.8998235</v>
      </c>
      <c r="H51" s="2">
        <v>0.8972642</v>
      </c>
      <c r="I51" s="2">
        <v>0.7587146</v>
      </c>
      <c r="J51" s="2">
        <v>0.7423283</v>
      </c>
      <c r="K51" s="2">
        <v>0.6907849</v>
      </c>
      <c r="L51" s="2">
        <v>0.722513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" t="s">
        <v>87</v>
      </c>
      <c r="B52" s="2"/>
      <c r="C52" s="2">
        <v>0.0305239</v>
      </c>
      <c r="D52" s="2">
        <v>0.0736174</v>
      </c>
      <c r="E52" s="2">
        <v>0.1176967</v>
      </c>
      <c r="F52" s="2">
        <v>0.1658663</v>
      </c>
      <c r="G52" s="2"/>
      <c r="H52" s="2"/>
      <c r="I52" s="2">
        <v>0.1810949</v>
      </c>
      <c r="J52" s="2">
        <v>0.2572109</v>
      </c>
      <c r="K52" s="2">
        <v>0.0534279</v>
      </c>
      <c r="L52" s="2">
        <v>0.0263348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" t="s">
        <v>88</v>
      </c>
      <c r="B53" s="2"/>
      <c r="C53" s="2">
        <v>-0.1606857</v>
      </c>
      <c r="D53" s="2">
        <v>-0.0954431</v>
      </c>
      <c r="E53" s="2">
        <v>-0.151185</v>
      </c>
      <c r="F53" s="2">
        <v>-0.1144285</v>
      </c>
      <c r="G53" s="2"/>
      <c r="H53" s="2"/>
      <c r="I53" s="2">
        <v>-0.2014507</v>
      </c>
      <c r="J53" s="2">
        <v>-0.1820374</v>
      </c>
      <c r="K53" s="2">
        <v>-0.1055109</v>
      </c>
      <c r="L53" s="2">
        <v>-0.0248959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" t="s">
        <v>89</v>
      </c>
      <c r="B54" s="2"/>
      <c r="C54" s="2">
        <v>-0.2394003</v>
      </c>
      <c r="D54" s="2">
        <v>-0.4347345</v>
      </c>
      <c r="E54" s="2">
        <v>-0.0835358</v>
      </c>
      <c r="F54" s="2">
        <v>-0.2837212</v>
      </c>
      <c r="G54" s="2">
        <v>-0.4559771</v>
      </c>
      <c r="H54" s="2">
        <v>-0.6811466</v>
      </c>
      <c r="I54" s="2">
        <v>-0.0881827</v>
      </c>
      <c r="J54" s="2">
        <v>-0.3174515</v>
      </c>
      <c r="K54" s="2">
        <v>-0.113078</v>
      </c>
      <c r="L54" s="2">
        <v>-0.268104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" t="s">
        <v>90</v>
      </c>
      <c r="B55" s="2"/>
      <c r="C55" s="2">
        <v>0.3600781</v>
      </c>
      <c r="D55" s="2">
        <v>0.3362658</v>
      </c>
      <c r="E55" s="2">
        <v>0.3592852</v>
      </c>
      <c r="F55" s="2">
        <v>0.3239977</v>
      </c>
      <c r="G55" s="2">
        <v>0.3576505</v>
      </c>
      <c r="H55" s="2">
        <v>0.3634461</v>
      </c>
      <c r="I55" s="2">
        <v>0.3547731</v>
      </c>
      <c r="J55" s="2">
        <v>0.312778</v>
      </c>
      <c r="K55" s="2">
        <v>0.3665217</v>
      </c>
      <c r="L55" s="2">
        <v>0.3474634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" t="s">
        <v>63</v>
      </c>
      <c r="B56" s="2"/>
      <c r="C56" s="2">
        <v>0.8667604</v>
      </c>
      <c r="D56" s="2">
        <v>0.7692857</v>
      </c>
      <c r="E56" s="2">
        <v>0.8348585</v>
      </c>
      <c r="F56" s="2">
        <v>0.7189597</v>
      </c>
      <c r="G56" s="2">
        <v>1.038346</v>
      </c>
      <c r="H56" s="2">
        <v>0.923776</v>
      </c>
      <c r="I56" s="2">
        <v>0.9045358</v>
      </c>
      <c r="J56" s="2">
        <v>0.7485249</v>
      </c>
      <c r="K56" s="2">
        <v>0.8013721</v>
      </c>
      <c r="L56" s="2">
        <v>0.684699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1" t="s">
        <v>91</v>
      </c>
      <c r="B57" s="2"/>
      <c r="C57" s="2">
        <v>0.5360739</v>
      </c>
      <c r="D57" s="2">
        <v>0.4386871</v>
      </c>
      <c r="E57" s="2">
        <v>0.4831078</v>
      </c>
      <c r="F57" s="2">
        <v>0.3956973</v>
      </c>
      <c r="G57" s="2">
        <v>0.583916</v>
      </c>
      <c r="H57" s="2">
        <v>0.5023736</v>
      </c>
      <c r="I57" s="2">
        <v>0.5410917</v>
      </c>
      <c r="J57" s="2">
        <v>0.3912047</v>
      </c>
      <c r="K57" s="2">
        <v>0.4187039</v>
      </c>
      <c r="L57" s="2">
        <v>0.3874844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1" t="s">
        <v>92</v>
      </c>
      <c r="B58" s="2"/>
      <c r="C58" s="2"/>
      <c r="D58" s="2"/>
      <c r="E58" s="2"/>
      <c r="F58" s="2"/>
      <c r="G58" s="2">
        <v>-0.0072294</v>
      </c>
      <c r="H58" s="2">
        <v>-0.0485841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1" t="s">
        <v>93</v>
      </c>
      <c r="B59" s="2"/>
      <c r="C59" s="2"/>
      <c r="D59" s="2"/>
      <c r="E59" s="2"/>
      <c r="F59" s="2"/>
      <c r="G59" s="2">
        <v>0.2997706</v>
      </c>
      <c r="H59" s="2">
        <v>0.3726929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1" t="s">
        <v>94</v>
      </c>
      <c r="B60" s="2"/>
      <c r="C60" s="2">
        <v>0.6045917</v>
      </c>
      <c r="D60" s="2">
        <v>0.5378979</v>
      </c>
      <c r="E60" s="2">
        <v>0.4864619</v>
      </c>
      <c r="F60" s="2">
        <v>0.3690075</v>
      </c>
      <c r="G60" s="2">
        <v>0.7451638</v>
      </c>
      <c r="H60" s="2">
        <v>0.6926917</v>
      </c>
      <c r="I60" s="2">
        <v>0.5198725</v>
      </c>
      <c r="J60" s="2">
        <v>0.376487</v>
      </c>
      <c r="K60" s="2">
        <v>0.4539767</v>
      </c>
      <c r="L60" s="2">
        <v>0.3877827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" t="s">
        <v>95</v>
      </c>
      <c r="B61" s="2"/>
      <c r="C61" s="2">
        <v>0.0433769</v>
      </c>
      <c r="D61" s="2">
        <v>0.0164827</v>
      </c>
      <c r="E61" s="2">
        <v>0.0397779</v>
      </c>
      <c r="F61" s="2">
        <v>0.0203619</v>
      </c>
      <c r="G61" s="2">
        <v>0.0557087</v>
      </c>
      <c r="H61" s="2">
        <v>0.0251827</v>
      </c>
      <c r="I61" s="2">
        <v>0.0325935</v>
      </c>
      <c r="J61" s="2">
        <v>0.0193687</v>
      </c>
      <c r="K61" s="2">
        <v>0.0515087</v>
      </c>
      <c r="L61" s="2">
        <v>0.0201965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" t="s">
        <v>96</v>
      </c>
      <c r="B62" s="2"/>
      <c r="C62" s="2">
        <v>0.3151672</v>
      </c>
      <c r="D62" s="2">
        <v>0.288879</v>
      </c>
      <c r="E62" s="2">
        <v>0.2265309</v>
      </c>
      <c r="F62" s="2">
        <v>0.2036522</v>
      </c>
      <c r="G62" s="2">
        <v>0.3534442</v>
      </c>
      <c r="H62" s="2">
        <v>0.2980922</v>
      </c>
      <c r="I62" s="2">
        <v>0.2010642</v>
      </c>
      <c r="J62" s="2">
        <v>0.1588199</v>
      </c>
      <c r="K62" s="2">
        <v>0.2494624</v>
      </c>
      <c r="L62" s="2">
        <v>0.232963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1" t="s">
        <v>97</v>
      </c>
      <c r="B63" s="2"/>
      <c r="C63" s="2">
        <v>-0.1477655</v>
      </c>
      <c r="D63" s="2">
        <v>-0.1337349</v>
      </c>
      <c r="E63" s="2">
        <v>-0.0592374</v>
      </c>
      <c r="F63" s="2">
        <v>-0.0865581</v>
      </c>
      <c r="G63" s="2"/>
      <c r="H63" s="2"/>
      <c r="I63" s="2">
        <v>-0.036195</v>
      </c>
      <c r="J63" s="2">
        <v>-0.0494555</v>
      </c>
      <c r="K63" s="2">
        <v>-0.0798829</v>
      </c>
      <c r="L63" s="2">
        <v>-0.1178935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1" t="s">
        <v>98</v>
      </c>
      <c r="B64" s="2"/>
      <c r="C64" s="2">
        <v>-0.0663612</v>
      </c>
      <c r="D64" s="2">
        <v>-0.0475924</v>
      </c>
      <c r="E64" s="2">
        <v>-0.0395762</v>
      </c>
      <c r="F64" s="2">
        <v>-0.0322916</v>
      </c>
      <c r="G64" s="2">
        <v>-0.0981511</v>
      </c>
      <c r="H64" s="2">
        <v>-0.0497731</v>
      </c>
      <c r="I64" s="2">
        <v>-0.0891238</v>
      </c>
      <c r="J64" s="2">
        <v>-0.0577851</v>
      </c>
      <c r="K64" s="2">
        <v>-0.0079039</v>
      </c>
      <c r="L64" s="2">
        <v>0.0120926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" t="s">
        <v>99</v>
      </c>
      <c r="B65" s="2"/>
      <c r="C65" s="2">
        <v>0.1197879</v>
      </c>
      <c r="D65" s="2">
        <v>0.150273</v>
      </c>
      <c r="E65" s="2">
        <v>0.0844423</v>
      </c>
      <c r="F65" s="2">
        <v>0.114563</v>
      </c>
      <c r="G65" s="2"/>
      <c r="H65" s="2"/>
      <c r="I65" s="2">
        <v>0.0750716</v>
      </c>
      <c r="J65" s="2">
        <v>0.0809765</v>
      </c>
      <c r="K65" s="2">
        <v>0.0833101</v>
      </c>
      <c r="L65" s="2">
        <v>0.155739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" t="s">
        <v>100</v>
      </c>
      <c r="B66" s="2"/>
      <c r="C66" s="2">
        <v>-0.0819715</v>
      </c>
      <c r="D66" s="2">
        <v>-0.0517874</v>
      </c>
      <c r="E66" s="2">
        <v>-0.0567839</v>
      </c>
      <c r="F66" s="2">
        <v>-0.0300005</v>
      </c>
      <c r="G66" s="2"/>
      <c r="H66" s="2"/>
      <c r="I66" s="2">
        <v>-0.0683256</v>
      </c>
      <c r="J66" s="2">
        <v>-0.0517872</v>
      </c>
      <c r="K66" s="2">
        <v>-0.0409242</v>
      </c>
      <c r="L66" s="2">
        <v>0.0141928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" t="s">
        <v>101</v>
      </c>
      <c r="B67" s="2"/>
      <c r="C67" s="2">
        <v>0.0306769</v>
      </c>
      <c r="D67" s="2">
        <v>0.0191169</v>
      </c>
      <c r="E67" s="2">
        <v>0.0325692</v>
      </c>
      <c r="F67" s="2">
        <v>0.0232747</v>
      </c>
      <c r="G67" s="2"/>
      <c r="H67" s="2"/>
      <c r="I67" s="2">
        <v>0.0484755</v>
      </c>
      <c r="J67" s="2">
        <v>0.0489033</v>
      </c>
      <c r="K67" s="2">
        <v>0.016994</v>
      </c>
      <c r="L67" s="2">
        <v>-0.0111745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" t="s">
        <v>102</v>
      </c>
      <c r="B68" s="2"/>
      <c r="C68" s="2">
        <v>-0.0946348</v>
      </c>
      <c r="D68" s="2">
        <v>-0.1049477</v>
      </c>
      <c r="E68" s="2">
        <v>-0.1035985</v>
      </c>
      <c r="F68" s="2">
        <v>-0.0927024</v>
      </c>
      <c r="G68" s="2">
        <v>-0.0946663</v>
      </c>
      <c r="H68" s="2">
        <v>-0.1289201</v>
      </c>
      <c r="I68" s="2">
        <v>-0.0898086</v>
      </c>
      <c r="J68" s="2">
        <v>-0.0850404</v>
      </c>
      <c r="K68" s="2">
        <v>-0.1191213</v>
      </c>
      <c r="L68" s="2">
        <v>-0.1155391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" t="s">
        <v>103</v>
      </c>
      <c r="B69" s="2"/>
      <c r="C69" s="2">
        <v>-0.27057</v>
      </c>
      <c r="D69" s="2">
        <v>-0.2251948</v>
      </c>
      <c r="E69" s="2">
        <v>-0.2417542</v>
      </c>
      <c r="F69" s="2">
        <v>-0.2018525</v>
      </c>
      <c r="G69" s="2">
        <v>-0.3581041</v>
      </c>
      <c r="H69" s="2">
        <v>-0.3040924</v>
      </c>
      <c r="I69" s="2">
        <v>-0.2569041</v>
      </c>
      <c r="J69" s="2">
        <v>-0.2107552</v>
      </c>
      <c r="K69" s="2">
        <v>-0.2480549</v>
      </c>
      <c r="L69" s="2">
        <v>-0.2123743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" t="s">
        <v>104</v>
      </c>
      <c r="B70" s="2"/>
      <c r="C70" s="2">
        <v>-0.078715</v>
      </c>
      <c r="D70" s="2">
        <v>-0.0895067</v>
      </c>
      <c r="E70" s="2">
        <v>-0.0791142</v>
      </c>
      <c r="F70" s="2">
        <v>-0.0970527</v>
      </c>
      <c r="G70" s="2">
        <v>-0.1159453</v>
      </c>
      <c r="H70" s="2">
        <v>-0.1401688</v>
      </c>
      <c r="I70" s="2">
        <v>-0.0786607</v>
      </c>
      <c r="J70" s="2">
        <v>-0.1206397</v>
      </c>
      <c r="K70" s="2">
        <v>-0.0998063</v>
      </c>
      <c r="L70" s="2">
        <v>-0.0824133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" t="s">
        <v>105</v>
      </c>
      <c r="B71" s="2"/>
      <c r="C71" s="2"/>
      <c r="D71" s="2"/>
      <c r="E71" s="2"/>
      <c r="F71" s="2"/>
      <c r="G71" s="2">
        <v>-0.003878</v>
      </c>
      <c r="H71" s="2">
        <v>0.0068126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" t="s">
        <v>106</v>
      </c>
      <c r="B72" s="2"/>
      <c r="C72" s="2">
        <v>-0.1637806</v>
      </c>
      <c r="D72" s="2">
        <v>-0.1543702</v>
      </c>
      <c r="E72" s="2">
        <v>-0.1671492</v>
      </c>
      <c r="F72" s="2">
        <v>-0.1217081</v>
      </c>
      <c r="G72" s="2">
        <v>-0.1884289</v>
      </c>
      <c r="H72" s="2">
        <v>-0.1797778</v>
      </c>
      <c r="I72" s="2">
        <v>-0.1597513</v>
      </c>
      <c r="J72" s="2">
        <v>-0.07795</v>
      </c>
      <c r="K72" s="2">
        <v>-0.1759075</v>
      </c>
      <c r="L72" s="2">
        <v>-0.180789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" t="s">
        <v>80</v>
      </c>
      <c r="B73" s="2"/>
      <c r="C73" s="2">
        <v>-3.307728</v>
      </c>
      <c r="D73" s="2">
        <v>-3.031168</v>
      </c>
      <c r="E73" s="2">
        <v>-3.819975</v>
      </c>
      <c r="F73" s="2">
        <v>-3.500655</v>
      </c>
      <c r="G73" s="2">
        <v>-4.310409</v>
      </c>
      <c r="H73" s="2">
        <v>-3.946391</v>
      </c>
      <c r="I73" s="2">
        <v>-4.608751</v>
      </c>
      <c r="J73" s="2">
        <v>-4.156753</v>
      </c>
      <c r="K73" s="2">
        <v>-4.409199</v>
      </c>
      <c r="L73" s="2">
        <v>-4.20881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57.75" customHeight="1">
      <c r="A74" s="18" t="s">
        <v>107</v>
      </c>
      <c r="M74" s="2"/>
      <c r="N74" s="18"/>
      <c r="O74" s="18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108</v>
      </c>
      <c r="B75" s="1"/>
      <c r="C75" s="2">
        <v>0.9997</v>
      </c>
      <c r="D75" s="2">
        <v>0.9992</v>
      </c>
      <c r="E75" s="2">
        <v>0.9996</v>
      </c>
      <c r="F75" s="2">
        <v>0.9989</v>
      </c>
      <c r="G75" s="2">
        <v>0.9997</v>
      </c>
      <c r="H75" s="2">
        <v>0.9993</v>
      </c>
      <c r="I75" s="2">
        <v>0.9995</v>
      </c>
      <c r="J75" s="2">
        <v>0.9988</v>
      </c>
      <c r="K75" s="2">
        <v>0.9994</v>
      </c>
      <c r="L75" s="2">
        <v>0.9987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7" t="s">
        <v>109</v>
      </c>
      <c r="B78" s="28" t="s">
        <v>110</v>
      </c>
      <c r="C78" s="28" t="s">
        <v>111</v>
      </c>
      <c r="D78" s="28" t="s">
        <v>112</v>
      </c>
      <c r="E78" s="29" t="s">
        <v>113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30">
        <v>0.0</v>
      </c>
      <c r="B79" s="31" t="s">
        <v>114</v>
      </c>
      <c r="C79" s="31" t="s">
        <v>115</v>
      </c>
      <c r="D79" s="31">
        <f t="shared" ref="D79:D98" si="28">ABS(A79-$D$15)</f>
        <v>0</v>
      </c>
      <c r="E79" s="31">
        <v>0.95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30">
        <v>10.0</v>
      </c>
      <c r="B80" s="31" t="s">
        <v>116</v>
      </c>
      <c r="C80" s="31" t="s">
        <v>117</v>
      </c>
      <c r="D80" s="31">
        <f t="shared" si="28"/>
        <v>10</v>
      </c>
      <c r="E80" s="31">
        <v>0.97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30">
        <v>20.0</v>
      </c>
      <c r="B81" s="31" t="s">
        <v>118</v>
      </c>
      <c r="C81" s="31" t="s">
        <v>119</v>
      </c>
      <c r="D81" s="31">
        <f t="shared" si="28"/>
        <v>20</v>
      </c>
      <c r="E81" s="31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30">
        <v>30.0</v>
      </c>
      <c r="B82" s="31" t="s">
        <v>120</v>
      </c>
      <c r="C82" s="31" t="s">
        <v>119</v>
      </c>
      <c r="D82" s="31">
        <f t="shared" si="28"/>
        <v>30</v>
      </c>
      <c r="E82" s="31">
        <v>1.0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30">
        <v>40.0</v>
      </c>
      <c r="B83" s="31" t="s">
        <v>121</v>
      </c>
      <c r="C83" s="31" t="s">
        <v>119</v>
      </c>
      <c r="D83" s="31">
        <f t="shared" si="28"/>
        <v>40</v>
      </c>
      <c r="E83" s="31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30">
        <v>50.0</v>
      </c>
      <c r="B84" s="31" t="s">
        <v>122</v>
      </c>
      <c r="C84" s="31" t="s">
        <v>119</v>
      </c>
      <c r="D84" s="31">
        <f t="shared" si="28"/>
        <v>50</v>
      </c>
      <c r="E84" s="31">
        <v>1.0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30">
        <v>60.0</v>
      </c>
      <c r="B85" s="31" t="s">
        <v>123</v>
      </c>
      <c r="C85" s="31" t="s">
        <v>119</v>
      </c>
      <c r="D85" s="31">
        <f t="shared" si="28"/>
        <v>60</v>
      </c>
      <c r="E85" s="31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30">
        <v>70.0</v>
      </c>
      <c r="B86" s="31" t="s">
        <v>124</v>
      </c>
      <c r="C86" s="31" t="s">
        <v>119</v>
      </c>
      <c r="D86" s="31">
        <f t="shared" si="28"/>
        <v>70</v>
      </c>
      <c r="E86" s="31">
        <v>1.0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30">
        <v>80.0</v>
      </c>
      <c r="B87" s="31" t="s">
        <v>125</v>
      </c>
      <c r="C87" s="31" t="s">
        <v>119</v>
      </c>
      <c r="D87" s="31">
        <f t="shared" si="28"/>
        <v>80</v>
      </c>
      <c r="E87" s="31">
        <v>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30">
        <v>90.0</v>
      </c>
      <c r="B88" s="31" t="s">
        <v>126</v>
      </c>
      <c r="C88" s="31" t="s">
        <v>119</v>
      </c>
      <c r="D88" s="31">
        <f t="shared" si="28"/>
        <v>90</v>
      </c>
      <c r="E88" s="31">
        <v>1.0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30">
        <v>100.0</v>
      </c>
      <c r="B89" s="31" t="s">
        <v>127</v>
      </c>
      <c r="C89" s="31" t="s">
        <v>128</v>
      </c>
      <c r="D89" s="31">
        <f t="shared" si="28"/>
        <v>100</v>
      </c>
      <c r="E89" s="31">
        <v>1.12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30">
        <v>200.0</v>
      </c>
      <c r="B90" s="31" t="s">
        <v>129</v>
      </c>
      <c r="C90" s="31" t="s">
        <v>128</v>
      </c>
      <c r="D90" s="31">
        <f t="shared" si="28"/>
        <v>200</v>
      </c>
      <c r="E90" s="31">
        <v>1.15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30">
        <v>300.0</v>
      </c>
      <c r="B91" s="31" t="s">
        <v>130</v>
      </c>
      <c r="C91" s="31" t="s">
        <v>128</v>
      </c>
      <c r="D91" s="31">
        <f t="shared" si="28"/>
        <v>300</v>
      </c>
      <c r="E91" s="31">
        <v>1.17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30">
        <v>400.0</v>
      </c>
      <c r="B92" s="31" t="s">
        <v>131</v>
      </c>
      <c r="C92" s="31" t="s">
        <v>132</v>
      </c>
      <c r="D92" s="31">
        <f t="shared" si="28"/>
        <v>400</v>
      </c>
      <c r="E92" s="31">
        <v>1.2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30">
        <v>500.0</v>
      </c>
      <c r="B93" s="31" t="s">
        <v>133</v>
      </c>
      <c r="C93" s="31" t="s">
        <v>132</v>
      </c>
      <c r="D93" s="31">
        <f t="shared" si="28"/>
        <v>500</v>
      </c>
      <c r="E93" s="31">
        <v>1.21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30">
        <v>750.0</v>
      </c>
      <c r="B94" s="31" t="s">
        <v>134</v>
      </c>
      <c r="C94" s="31" t="s">
        <v>132</v>
      </c>
      <c r="D94" s="31">
        <f t="shared" si="28"/>
        <v>750</v>
      </c>
      <c r="E94" s="31">
        <v>1.23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30">
        <v>1000.0</v>
      </c>
      <c r="B95" s="31" t="s">
        <v>135</v>
      </c>
      <c r="C95" s="31" t="s">
        <v>136</v>
      </c>
      <c r="D95" s="31">
        <f t="shared" si="28"/>
        <v>1000</v>
      </c>
      <c r="E95" s="31">
        <v>1.25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30">
        <v>1500.0</v>
      </c>
      <c r="B96" s="31" t="s">
        <v>137</v>
      </c>
      <c r="C96" s="31" t="s">
        <v>136</v>
      </c>
      <c r="D96" s="31">
        <f t="shared" si="28"/>
        <v>1500</v>
      </c>
      <c r="E96" s="31">
        <v>1.25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30">
        <v>2000.0</v>
      </c>
      <c r="B97" s="31" t="s">
        <v>138</v>
      </c>
      <c r="C97" s="31" t="s">
        <v>136</v>
      </c>
      <c r="D97" s="31">
        <f t="shared" si="28"/>
        <v>2000</v>
      </c>
      <c r="E97" s="31">
        <v>1.3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30">
        <v>2500.0</v>
      </c>
      <c r="B98" s="31" t="s">
        <v>139</v>
      </c>
      <c r="C98" s="31" t="s">
        <v>136</v>
      </c>
      <c r="D98" s="31">
        <f t="shared" si="28"/>
        <v>2500</v>
      </c>
      <c r="E98" s="31">
        <v>1.3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32"/>
      <c r="B99" s="32"/>
      <c r="C99" s="33" t="s">
        <v>140</v>
      </c>
      <c r="D99" s="31">
        <f>MIN(A79:A98)</f>
        <v>0</v>
      </c>
      <c r="E99" s="33">
        <f t="array" ref="E99">INDEX(E79:E98, MATCH(D99, D79:D98, 0))</f>
        <v>0.95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6.25" customHeight="1">
      <c r="A102" s="34" t="s">
        <v>141</v>
      </c>
      <c r="B102" s="34" t="s">
        <v>142</v>
      </c>
      <c r="C102" s="35" t="s">
        <v>143</v>
      </c>
      <c r="D102" s="36" t="s">
        <v>113</v>
      </c>
      <c r="E102" s="37" t="s">
        <v>144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38" t="s">
        <v>145</v>
      </c>
      <c r="B103" s="38" t="s">
        <v>146</v>
      </c>
      <c r="C103" s="38" t="s">
        <v>147</v>
      </c>
      <c r="D103" s="38">
        <v>1.0</v>
      </c>
      <c r="E103" s="38">
        <f>IF(AND(D16 &gt;= 0.91 , D16&lt;= 1.3),1,0)</f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38" t="s">
        <v>148</v>
      </c>
      <c r="B104" s="38" t="s">
        <v>149</v>
      </c>
      <c r="C104" s="38" t="s">
        <v>150</v>
      </c>
      <c r="D104" s="38">
        <v>1.1</v>
      </c>
      <c r="E104" s="39">
        <f>IF(AND(D16 &gt;= 0.81 , D16&lt;= 0.9),1.1,0)</f>
        <v>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38" t="s">
        <v>151</v>
      </c>
      <c r="B105" s="38" t="s">
        <v>152</v>
      </c>
      <c r="C105" s="38" t="s">
        <v>152</v>
      </c>
      <c r="D105" s="38">
        <v>1.2</v>
      </c>
      <c r="E105" s="39">
        <f>IF(AND(D16 &gt;= 0.5 , D16&lt;= 0.8),1.2,0)</f>
        <v>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38" t="s">
        <v>153</v>
      </c>
      <c r="B106" s="38" t="s">
        <v>154</v>
      </c>
      <c r="C106" s="38" t="s">
        <v>155</v>
      </c>
      <c r="D106" s="38">
        <v>1.3</v>
      </c>
      <c r="E106" s="39">
        <f>IF(AND(D16 &gt;= 0 , D16&lt;= 0.49),1.3,0)</f>
        <v>1.3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38" t="s">
        <v>156</v>
      </c>
      <c r="B107" s="40" t="s">
        <v>157</v>
      </c>
      <c r="C107" s="38" t="s">
        <v>158</v>
      </c>
      <c r="D107" s="38">
        <v>1.0</v>
      </c>
      <c r="E107" s="39">
        <f>IF(D16 &gt; 1.3 ,1,0)</f>
        <v>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33" t="s">
        <v>140</v>
      </c>
      <c r="E108" s="33">
        <f>sum(E103:E107)</f>
        <v>1.3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48.0" customHeight="1">
      <c r="A112" s="41" t="s">
        <v>159</v>
      </c>
      <c r="B112" s="41" t="s">
        <v>160</v>
      </c>
      <c r="C112" s="41" t="s">
        <v>161</v>
      </c>
      <c r="D112" s="41" t="s">
        <v>162</v>
      </c>
      <c r="E112" s="36" t="s">
        <v>113</v>
      </c>
      <c r="F112" s="37" t="s">
        <v>144</v>
      </c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38">
        <v>0.0</v>
      </c>
      <c r="B113" s="38" t="s">
        <v>163</v>
      </c>
      <c r="C113" s="38">
        <v>0.0</v>
      </c>
      <c r="D113" s="38" t="s">
        <v>163</v>
      </c>
      <c r="E113" s="38">
        <v>1.0</v>
      </c>
      <c r="F113" s="38">
        <f>IF(D17=C113,E113,0)</f>
        <v>1</v>
      </c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38">
        <v>1.0</v>
      </c>
      <c r="B114" s="38" t="s">
        <v>164</v>
      </c>
      <c r="C114" s="38">
        <v>1.0</v>
      </c>
      <c r="D114" s="38" t="s">
        <v>149</v>
      </c>
      <c r="E114" s="38">
        <v>1.1</v>
      </c>
      <c r="F114" s="39">
        <f>IF(D17=C114,E114,0)</f>
        <v>0</v>
      </c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38">
        <v>2.0</v>
      </c>
      <c r="B115" s="38" t="s">
        <v>165</v>
      </c>
      <c r="C115" s="38">
        <v>2.0</v>
      </c>
      <c r="D115" s="38" t="s">
        <v>166</v>
      </c>
      <c r="E115" s="38">
        <v>1.15</v>
      </c>
      <c r="F115" s="39">
        <f>IF(D17=C115,E115,0)</f>
        <v>0</v>
      </c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38">
        <v>3.0</v>
      </c>
      <c r="B116" s="38" t="s">
        <v>155</v>
      </c>
      <c r="C116" s="38">
        <v>3.0</v>
      </c>
      <c r="D116" s="38" t="s">
        <v>154</v>
      </c>
      <c r="E116" s="38">
        <v>1.2</v>
      </c>
      <c r="F116" s="39">
        <f>IF(D17=C116,E116,0)</f>
        <v>0</v>
      </c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38"/>
      <c r="B117" s="38"/>
      <c r="C117" s="38">
        <v>4.0</v>
      </c>
      <c r="D117" s="38" t="s">
        <v>154</v>
      </c>
      <c r="E117" s="38">
        <v>1.2</v>
      </c>
      <c r="F117" s="39">
        <f>IF(D17=C117,E117,0)</f>
        <v>0</v>
      </c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38"/>
      <c r="B118" s="38"/>
      <c r="C118" s="38">
        <v>5.0</v>
      </c>
      <c r="D118" s="38" t="s">
        <v>154</v>
      </c>
      <c r="E118" s="38">
        <v>1.25</v>
      </c>
      <c r="F118" s="39">
        <f>IF(D17=C118,E118,0)</f>
        <v>0</v>
      </c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38"/>
      <c r="B119" s="38"/>
      <c r="C119" s="38">
        <v>6.0</v>
      </c>
      <c r="D119" s="38" t="s">
        <v>154</v>
      </c>
      <c r="E119" s="38">
        <v>1.3</v>
      </c>
      <c r="F119" s="39">
        <f>IF(D17=C119,E119,0)</f>
        <v>0</v>
      </c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33" t="s">
        <v>140</v>
      </c>
      <c r="F120" s="33">
        <f>sum(F113:F119)</f>
        <v>1</v>
      </c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 t="str">
        <f>F12*100</f>
        <v>#VALUE!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33.75" customHeight="1">
      <c r="A123" s="42" t="s">
        <v>167</v>
      </c>
      <c r="B123" s="43" t="s">
        <v>168</v>
      </c>
      <c r="C123" s="44" t="s">
        <v>169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6.5" customHeight="1">
      <c r="A124" s="45">
        <v>0.0</v>
      </c>
      <c r="B124" s="46" t="s">
        <v>170</v>
      </c>
      <c r="C124" s="47">
        <v>100.0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6.5" customHeight="1">
      <c r="A125" s="45">
        <v>1.0</v>
      </c>
      <c r="B125" s="46" t="s">
        <v>170</v>
      </c>
      <c r="C125" s="47">
        <v>99.0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6.5" customHeight="1">
      <c r="A126" s="45">
        <v>2.0</v>
      </c>
      <c r="B126" s="46" t="s">
        <v>170</v>
      </c>
      <c r="C126" s="47">
        <v>98.0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6.5" customHeight="1">
      <c r="A127" s="45">
        <v>3.0</v>
      </c>
      <c r="B127" s="46" t="s">
        <v>170</v>
      </c>
      <c r="C127" s="47">
        <v>97.0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6.5" customHeight="1">
      <c r="A128" s="45">
        <v>4.0</v>
      </c>
      <c r="B128" s="46" t="s">
        <v>170</v>
      </c>
      <c r="C128" s="48">
        <v>96.0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6.5" customHeight="1">
      <c r="A129" s="45">
        <v>5.0</v>
      </c>
      <c r="B129" s="46" t="s">
        <v>171</v>
      </c>
      <c r="C129" s="49">
        <v>90.0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6.5" customHeight="1">
      <c r="A130" s="45">
        <v>6.0</v>
      </c>
      <c r="B130" s="46" t="s">
        <v>171</v>
      </c>
      <c r="C130" s="49">
        <v>88.0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6.5" customHeight="1">
      <c r="A131" s="45">
        <v>7.0</v>
      </c>
      <c r="B131" s="46" t="s">
        <v>171</v>
      </c>
      <c r="C131" s="49">
        <v>85.0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6.5" customHeight="1">
      <c r="A132" s="45">
        <v>7.5</v>
      </c>
      <c r="B132" s="46" t="s">
        <v>172</v>
      </c>
      <c r="C132" s="49">
        <v>80.0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6.5" customHeight="1">
      <c r="A133" s="45">
        <v>10.0</v>
      </c>
      <c r="B133" s="46" t="s">
        <v>172</v>
      </c>
      <c r="C133" s="49">
        <v>70.0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6.5" customHeight="1">
      <c r="A134" s="45">
        <v>12.5</v>
      </c>
      <c r="B134" s="46" t="s">
        <v>172</v>
      </c>
      <c r="C134" s="49">
        <v>60.0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6.5" customHeight="1">
      <c r="A135" s="45">
        <v>15.0</v>
      </c>
      <c r="B135" s="46" t="s">
        <v>172</v>
      </c>
      <c r="C135" s="49">
        <v>50.0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6.5" customHeight="1">
      <c r="A136" s="45">
        <v>17.5</v>
      </c>
      <c r="B136" s="46" t="s">
        <v>172</v>
      </c>
      <c r="C136" s="50">
        <v>40.0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6.5" customHeight="1">
      <c r="A137" s="45">
        <v>20.0</v>
      </c>
      <c r="B137" s="51" t="s">
        <v>173</v>
      </c>
      <c r="C137" s="52">
        <v>30.0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6.5" customHeight="1">
      <c r="A138" s="45">
        <v>25.0</v>
      </c>
      <c r="B138" s="51" t="s">
        <v>173</v>
      </c>
      <c r="C138" s="52">
        <v>27.0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6.5" customHeight="1">
      <c r="A139" s="45">
        <v>30.0</v>
      </c>
      <c r="B139" s="51" t="s">
        <v>173</v>
      </c>
      <c r="C139" s="52">
        <v>26.0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6.5" customHeight="1">
      <c r="A140" s="45">
        <v>40.0</v>
      </c>
      <c r="B140" s="51" t="s">
        <v>174</v>
      </c>
      <c r="C140" s="52">
        <v>25.0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6.5" customHeight="1">
      <c r="A141" s="45">
        <v>50.0</v>
      </c>
      <c r="B141" s="51" t="s">
        <v>174</v>
      </c>
      <c r="C141" s="52">
        <v>24.0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6.5" customHeight="1">
      <c r="A142" s="45">
        <v>60.0</v>
      </c>
      <c r="B142" s="51" t="s">
        <v>174</v>
      </c>
      <c r="C142" s="52">
        <v>23.0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6.5" customHeight="1">
      <c r="A143" s="45">
        <v>70.0</v>
      </c>
      <c r="B143" s="51" t="s">
        <v>174</v>
      </c>
      <c r="C143" s="52">
        <v>22.0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6.5" customHeight="1">
      <c r="A144" s="45">
        <v>80.0</v>
      </c>
      <c r="B144" s="51" t="s">
        <v>174</v>
      </c>
      <c r="C144" s="52">
        <v>21.0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6.5" customHeight="1">
      <c r="A145" s="45">
        <v>90.0</v>
      </c>
      <c r="B145" s="51" t="s">
        <v>174</v>
      </c>
      <c r="C145" s="52">
        <v>20.0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53"/>
      <c r="B146" s="33" t="s">
        <v>175</v>
      </c>
      <c r="C146" s="33" t="str">
        <f t="array" ref="C146">INDEX(C124:C145, MATCH(MIN(ABS(A124:A145-C122)), ABS(A124:A145-C122), 0))</f>
        <v>#VALUE!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mergeCells count="16">
    <mergeCell ref="F4:J4"/>
    <mergeCell ref="A20:A21"/>
    <mergeCell ref="C20:D20"/>
    <mergeCell ref="E20:F20"/>
    <mergeCell ref="G20:H20"/>
    <mergeCell ref="I20:J20"/>
    <mergeCell ref="K20:L20"/>
    <mergeCell ref="K49:L49"/>
    <mergeCell ref="A74:L74"/>
    <mergeCell ref="B20:B21"/>
    <mergeCell ref="B45:B46"/>
    <mergeCell ref="A49:A50"/>
    <mergeCell ref="C49:D49"/>
    <mergeCell ref="E49:F49"/>
    <mergeCell ref="G49:H49"/>
    <mergeCell ref="I49:J49"/>
  </mergeCells>
  <hyperlinks>
    <hyperlink r:id="rId1" ref="A123"/>
  </hyperlinks>
  <printOptions/>
  <pageMargins bottom="0.75" footer="0.0" header="0.0" left="0.25" right="0.25" top="0.75"/>
  <pageSetup orientation="landscape"/>
  <drawing r:id="rId2"/>
</worksheet>
</file>