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filterPrivacy="1"/>
  <xr:revisionPtr revIDLastSave="0" documentId="13_ncr:1_{693F1183-9740-4FCD-9D86-A362AB7F12F9}" xr6:coauthVersionLast="47" xr6:coauthVersionMax="47" xr10:uidLastSave="{00000000-0000-0000-0000-000000000000}"/>
  <bookViews>
    <workbookView xWindow="-98" yWindow="-98" windowWidth="21795" windowHeight="12975" tabRatio="662" firstSheet="116" activeTab="117" xr2:uid="{00000000-000D-0000-FFFF-FFFF00000000}"/>
  </bookViews>
  <sheets>
    <sheet name="apr-19" sheetId="34" r:id="rId1"/>
    <sheet name="Sheet8" sheetId="157" r:id="rId2"/>
    <sheet name="may-19" sheetId="33" r:id="rId3"/>
    <sheet name="up to May-19" sheetId="38" r:id="rId4"/>
    <sheet name="jun-18" sheetId="32" r:id="rId5"/>
    <sheet name="UP TO JUNE-19" sheetId="39" r:id="rId6"/>
    <sheet name="UP TO JULY-19" sheetId="40" r:id="rId7"/>
    <sheet name="aug-18" sheetId="30" r:id="rId8"/>
    <sheet name="UPTO AUG" sheetId="42" r:id="rId9"/>
    <sheet name="sept-18" sheetId="29" r:id="rId10"/>
    <sheet name="UP TO SEP 2019" sheetId="45" r:id="rId11"/>
    <sheet name="oct-18" sheetId="28" r:id="rId12"/>
    <sheet name="Sheet1" sheetId="46" r:id="rId13"/>
    <sheet name="nov-19" sheetId="27" r:id="rId14"/>
    <sheet name="dec-18" sheetId="26" r:id="rId15"/>
    <sheet name="UPTO DEC" sheetId="47" r:id="rId16"/>
    <sheet name="jan-20" sheetId="24" r:id="rId17"/>
    <sheet name="feb-19" sheetId="23" r:id="rId18"/>
    <sheet name="upto feb2020" sheetId="50" r:id="rId19"/>
    <sheet name="mar-18" sheetId="22" r:id="rId20"/>
    <sheet name="total -19-20" sheetId="15" r:id="rId21"/>
    <sheet name="TARGET 2019-20" sheetId="7" r:id="rId22"/>
    <sheet name="NEW TOPSHEET" sheetId="49" r:id="rId23"/>
    <sheet name="Sheet2" sheetId="37" r:id="rId24"/>
    <sheet name="PF" sheetId="41" r:id="rId25"/>
    <sheet name="Sheet4" sheetId="44" r:id="rId26"/>
    <sheet name="Sheet5" sheetId="48" r:id="rId27"/>
    <sheet name="july-19" sheetId="31" r:id="rId28"/>
    <sheet name="APRIL 2020" sheetId="52" r:id="rId29"/>
    <sheet name="MAY 2020" sheetId="54" r:id="rId30"/>
    <sheet name="UPTO MAY 2020" sheetId="55" r:id="rId31"/>
    <sheet name="JUNE-2020" sheetId="56" r:id="rId32"/>
    <sheet name="UPTO JUNE 2020" sheetId="57" r:id="rId33"/>
    <sheet name="JULY-2020" sheetId="58" r:id="rId34"/>
    <sheet name="UPTO JULY 2020" sheetId="59" r:id="rId35"/>
    <sheet name="AUG-2020" sheetId="60" r:id="rId36"/>
    <sheet name="UPTO AUG 2020" sheetId="61" r:id="rId37"/>
    <sheet name="SEP-2020" sheetId="62" r:id="rId38"/>
    <sheet name="UPTO SEP 2020" sheetId="63" r:id="rId39"/>
    <sheet name="OCT-2020" sheetId="64" r:id="rId40"/>
    <sheet name="UPTO OCT-2020" sheetId="65" r:id="rId41"/>
    <sheet name="UPTO NOV-20" sheetId="67" r:id="rId42"/>
    <sheet name="DEC-20" sheetId="68" r:id="rId43"/>
    <sheet name="UPTO DEC-2020" sheetId="69" r:id="rId44"/>
    <sheet name="TARGET-2021" sheetId="70" r:id="rId45"/>
    <sheet name="JAN-2021" sheetId="72" r:id="rId46"/>
    <sheet name="SUB -NONSUB" sheetId="71" r:id="rId47"/>
    <sheet name="UPTO JAN2021" sheetId="73" r:id="rId48"/>
    <sheet name="APRIL-21" sheetId="79" r:id="rId49"/>
    <sheet name="MAY-21" sheetId="80" r:id="rId50"/>
    <sheet name="UPTO MAY-2021" sheetId="81" r:id="rId51"/>
    <sheet name="JUNE-21" sheetId="82" r:id="rId52"/>
    <sheet name="UPTO JUNE-2021" sheetId="83" r:id="rId53"/>
    <sheet name="PROJECTION" sheetId="53" r:id="rId54"/>
    <sheet name="UPTO JULY 2021" sheetId="87" r:id="rId55"/>
    <sheet name="Sheet3" sheetId="88" r:id="rId56"/>
    <sheet name="UPTO AUG 2021" sheetId="90" r:id="rId57"/>
    <sheet name="UPTO SEPT 2021" sheetId="92" r:id="rId58"/>
    <sheet name="SEPTEMBER 2021" sheetId="91" r:id="rId59"/>
    <sheet name="NOV-20" sheetId="66" r:id="rId60"/>
    <sheet name="UPTO DEC-2021" sheetId="100" r:id="rId61"/>
    <sheet name="UPTO JAN -22" sheetId="103" r:id="rId62"/>
    <sheet name="FEB-21" sheetId="74" r:id="rId63"/>
    <sheet name="UPTO FEB-21" sheetId="75" r:id="rId64"/>
    <sheet name="Sheet6" sheetId="104" r:id="rId65"/>
    <sheet name="march-21" sheetId="77" r:id="rId66"/>
    <sheet name="TARGET SHEET 2021-22" sheetId="84" r:id="rId67"/>
    <sheet name="UPTO MARCH 21" sheetId="76" r:id="rId68"/>
    <sheet name="REVISED TARGET" sheetId="101" r:id="rId69"/>
    <sheet name="UPTO MAY-22" sheetId="114" r:id="rId70"/>
    <sheet name="MM " sheetId="117" r:id="rId71"/>
    <sheet name="UPTOJUNE" sheetId="116" r:id="rId72"/>
    <sheet name="JULY-2021" sheetId="86" r:id="rId73"/>
    <sheet name="AUG-2021" sheetId="89" r:id="rId74"/>
    <sheet name="UPTO OCT 2021" sheetId="94" r:id="rId75"/>
    <sheet name="OCTOBER-2021" sheetId="93" r:id="rId76"/>
    <sheet name="UPTO NOV2021" sheetId="96" r:id="rId77"/>
    <sheet name="NOVEMBER-2021" sheetId="95" r:id="rId78"/>
    <sheet name="DEC 2021" sheetId="99" r:id="rId79"/>
    <sheet name="JUNE-22" sheetId="115" r:id="rId80"/>
    <sheet name="JANUARY-2022" sheetId="102" r:id="rId81"/>
    <sheet name="DEC-2023 (2)" sheetId="153" r:id="rId82"/>
    <sheet name="UPTO FEB-22" sheetId="106" r:id="rId83"/>
    <sheet name="FEB -2022" sheetId="105" r:id="rId84"/>
    <sheet name="MARCH 2022" sheetId="108" r:id="rId85"/>
    <sheet name="Sheet9" sheetId="128" r:id="rId86"/>
    <sheet name="target FY 22-23" sheetId="107" r:id="rId87"/>
    <sheet name="Sheet7" sheetId="134" r:id="rId88"/>
    <sheet name="SR.DCM" sheetId="135" r:id="rId89"/>
    <sheet name="MARCH -23 " sheetId="127" r:id="rId90"/>
    <sheet name="APRIL-2023 (2)" sheetId="137" r:id="rId91"/>
    <sheet name="UPTO MARCH 22" sheetId="109" r:id="rId92"/>
    <sheet name="COMP" sheetId="35" r:id="rId93"/>
    <sheet name="PROJECTION-1" sheetId="110" r:id="rId94"/>
    <sheet name="APRIL-22" sheetId="112" r:id="rId95"/>
    <sheet name="APRIL-2023" sheetId="130" r:id="rId96"/>
    <sheet name="MAY-22" sheetId="113" r:id="rId97"/>
    <sheet name="MAY-2023" sheetId="138" r:id="rId98"/>
    <sheet name="JUNE-23" sheetId="139" r:id="rId99"/>
    <sheet name="JULY 22" sheetId="118" r:id="rId100"/>
    <sheet name="JULY-23" sheetId="140" r:id="rId101"/>
    <sheet name="AUG-22" sheetId="119" r:id="rId102"/>
    <sheet name="AUGUST -23" sheetId="143" r:id="rId103"/>
    <sheet name="SEP-2022" sheetId="120" r:id="rId104"/>
    <sheet name="SEP-23" sheetId="145" r:id="rId105"/>
    <sheet name="OCT-2022" sheetId="121" r:id="rId106"/>
    <sheet name="OCT-23" sheetId="150" r:id="rId107"/>
    <sheet name="BOOK LINK" sheetId="147" r:id="rId108"/>
    <sheet name="NOV-2023" sheetId="151" r:id="rId109"/>
    <sheet name="DEC-22" sheetId="123" r:id="rId110"/>
    <sheet name="DEC-2023" sheetId="152" r:id="rId111"/>
    <sheet name="JAN-2024" sheetId="154" r:id="rId112"/>
    <sheet name="JAN-23" sheetId="125" r:id="rId113"/>
    <sheet name="FEB -23" sheetId="126" r:id="rId114"/>
    <sheet name="MARCH 2024" sheetId="156" r:id="rId115"/>
    <sheet name="FEB-2024" sheetId="155" r:id="rId116"/>
    <sheet name="ACTUAL- 23-24" sheetId="132" r:id="rId117"/>
    <sheet name="TARGET 23-24" sheetId="131" r:id="rId118"/>
    <sheet name="NOV -22" sheetId="122" r:id="rId119"/>
    <sheet name="EMU ANALYSIS" sheetId="85" r:id="rId120"/>
    <sheet name="actual fig" sheetId="78" r:id="rId121"/>
    <sheet name="Meeting data" sheetId="97" r:id="rId122"/>
    <sheet name="KPI" sheetId="149" r:id="rId123"/>
    <sheet name="Sheet11" sheetId="148" r:id="rId124"/>
    <sheet name="Sheet10" sheetId="141" r:id="rId125"/>
    <sheet name="SUNDRY" sheetId="142" r:id="rId126"/>
    <sheet name="OTHER COG" sheetId="144" r:id="rId127"/>
  </sheets>
  <externalReferences>
    <externalReference r:id="rId128"/>
    <externalReference r:id="rId129"/>
    <externalReference r:id="rId130"/>
  </externalReferences>
  <definedNames>
    <definedName name="_xlnm._FilterDatabase" localSheetId="26" hidden="1">Sheet5!$H$5:$H$32</definedName>
    <definedName name="_xlnm._FilterDatabase" localSheetId="86" hidden="1">'target FY 22-23'!$J$1:$P$26</definedName>
    <definedName name="_xlnm.Print_Area" localSheetId="0">'apr-19'!$A$1:$H$50</definedName>
    <definedName name="_xlnm.Print_Area" localSheetId="28">'APRIL 2020'!$A$1:$I$48</definedName>
    <definedName name="_xlnm.Print_Area" localSheetId="7">'aug-18'!$A$1:$H$50</definedName>
    <definedName name="_xlnm.Print_Area" localSheetId="14">'dec-18'!$A$1:$H$50</definedName>
    <definedName name="_xlnm.Print_Area" localSheetId="17">'feb-19'!$A$1:$H$50</definedName>
    <definedName name="_xlnm.Print_Area" localSheetId="16">'jan-20'!$A$1:$H$50</definedName>
    <definedName name="_xlnm.Print_Area" localSheetId="27">'july-19'!$A$1:$H$50</definedName>
    <definedName name="_xlnm.Print_Area" localSheetId="4">'jun-18'!$A$1:$H$50</definedName>
    <definedName name="_xlnm.Print_Area" localSheetId="19">'mar-18'!$A$1:$H$50</definedName>
    <definedName name="_xlnm.Print_Area" localSheetId="29">'MAY 2020'!$A$1:$I$48</definedName>
    <definedName name="_xlnm.Print_Area" localSheetId="2">'may-19'!$A$1:$H$50</definedName>
    <definedName name="_xlnm.Print_Area" localSheetId="13">'nov-19'!$A$1:$H$50</definedName>
    <definedName name="_xlnm.Print_Area" localSheetId="11">'oct-18'!$A$1:$H$50</definedName>
    <definedName name="_xlnm.Print_Area" localSheetId="9">'sept-18'!$A$1:$H$50</definedName>
    <definedName name="_xlnm.Print_Area" localSheetId="20">'total -19-20'!$A$1:$H$52</definedName>
    <definedName name="_xlnm.Print_Area" localSheetId="63">'UPTO FEB-21'!$A$2:$I$48</definedName>
    <definedName name="Table1" localSheetId="28">#REF!</definedName>
    <definedName name="Table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2" i="131" l="1"/>
  <c r="K93" i="131"/>
  <c r="K94" i="131"/>
  <c r="K95" i="131"/>
  <c r="K96" i="131"/>
  <c r="L96" i="131" s="1"/>
  <c r="K97" i="131"/>
  <c r="K98" i="131"/>
  <c r="K99" i="131"/>
  <c r="K100" i="131"/>
  <c r="K101" i="131"/>
  <c r="K102" i="131"/>
  <c r="L102" i="131" s="1"/>
  <c r="K91" i="131"/>
  <c r="J92" i="131"/>
  <c r="J93" i="131"/>
  <c r="L93" i="131" s="1"/>
  <c r="J94" i="131"/>
  <c r="J95" i="131"/>
  <c r="J96" i="131"/>
  <c r="J97" i="131"/>
  <c r="J98" i="131"/>
  <c r="J99" i="131"/>
  <c r="J100" i="131"/>
  <c r="L100" i="131" s="1"/>
  <c r="J101" i="131"/>
  <c r="J102" i="131"/>
  <c r="J91" i="131"/>
  <c r="L99" i="131"/>
  <c r="L98" i="131"/>
  <c r="L97" i="131"/>
  <c r="L95" i="131"/>
  <c r="L94" i="131"/>
  <c r="I103" i="131"/>
  <c r="I92" i="131"/>
  <c r="I93" i="131"/>
  <c r="I94" i="131"/>
  <c r="I95" i="131"/>
  <c r="I96" i="131"/>
  <c r="I97" i="131"/>
  <c r="I98" i="131"/>
  <c r="I99" i="131"/>
  <c r="I100" i="131"/>
  <c r="I101" i="131"/>
  <c r="I102" i="131"/>
  <c r="I91" i="131"/>
  <c r="H92" i="131"/>
  <c r="H93" i="131"/>
  <c r="H94" i="131"/>
  <c r="H95" i="131"/>
  <c r="H96" i="131"/>
  <c r="H97" i="131"/>
  <c r="H98" i="131"/>
  <c r="H99" i="131"/>
  <c r="H100" i="131"/>
  <c r="H101" i="131"/>
  <c r="H102" i="131"/>
  <c r="H91" i="131"/>
  <c r="F92" i="131"/>
  <c r="F103" i="131" s="1"/>
  <c r="G92" i="131"/>
  <c r="F93" i="131"/>
  <c r="G93" i="131"/>
  <c r="F94" i="131"/>
  <c r="G94" i="131"/>
  <c r="F95" i="131"/>
  <c r="G95" i="131"/>
  <c r="F96" i="131"/>
  <c r="G96" i="131"/>
  <c r="F97" i="131"/>
  <c r="G97" i="131"/>
  <c r="F98" i="131"/>
  <c r="G98" i="131"/>
  <c r="F99" i="131"/>
  <c r="G99" i="131"/>
  <c r="F100" i="131"/>
  <c r="G100" i="131"/>
  <c r="F101" i="131"/>
  <c r="G101" i="131"/>
  <c r="F102" i="131"/>
  <c r="G102" i="131"/>
  <c r="G91" i="131"/>
  <c r="F91" i="131"/>
  <c r="E103" i="131"/>
  <c r="E92" i="131"/>
  <c r="E93" i="131"/>
  <c r="E94" i="131"/>
  <c r="E95" i="131"/>
  <c r="E96" i="131"/>
  <c r="E97" i="131"/>
  <c r="E98" i="131"/>
  <c r="E99" i="131"/>
  <c r="E100" i="131"/>
  <c r="E101" i="131"/>
  <c r="E102" i="131"/>
  <c r="E91" i="131"/>
  <c r="C49" i="132"/>
  <c r="D49" i="132"/>
  <c r="E49" i="132"/>
  <c r="F49" i="132"/>
  <c r="F50" i="132" s="1"/>
  <c r="G49" i="132"/>
  <c r="H49" i="132"/>
  <c r="I49" i="132"/>
  <c r="J49" i="132"/>
  <c r="J50" i="132" s="1"/>
  <c r="B49" i="132"/>
  <c r="B51" i="132"/>
  <c r="G51" i="132"/>
  <c r="AN16" i="97"/>
  <c r="AO16" i="97"/>
  <c r="AS16" i="97"/>
  <c r="AT16" i="97"/>
  <c r="AU16" i="97"/>
  <c r="AV16" i="97"/>
  <c r="AJ20" i="97"/>
  <c r="AE20" i="97"/>
  <c r="AF20" i="97"/>
  <c r="AG20" i="97"/>
  <c r="AH20" i="97"/>
  <c r="AI20" i="97"/>
  <c r="AV20" i="97"/>
  <c r="AT20" i="97"/>
  <c r="AV38" i="97"/>
  <c r="AU38" i="97"/>
  <c r="AT38" i="97"/>
  <c r="AV34" i="97"/>
  <c r="AT34" i="97"/>
  <c r="AU34" i="97"/>
  <c r="AH36" i="97"/>
  <c r="AV24" i="97"/>
  <c r="AE38" i="97"/>
  <c r="AF38" i="97"/>
  <c r="AG38" i="97"/>
  <c r="AH38" i="97"/>
  <c r="AI38" i="97"/>
  <c r="AJ38" i="97"/>
  <c r="AK38" i="97"/>
  <c r="AL38" i="97"/>
  <c r="AM38" i="97"/>
  <c r="AM35" i="97"/>
  <c r="AG34" i="97"/>
  <c r="AG35" i="97" s="1"/>
  <c r="AF34" i="97"/>
  <c r="AE34" i="97"/>
  <c r="Z35" i="97"/>
  <c r="AA35" i="97"/>
  <c r="AE35" i="97"/>
  <c r="AF35" i="97"/>
  <c r="AH35" i="97"/>
  <c r="AI35" i="97"/>
  <c r="AJ35" i="97"/>
  <c r="AK35" i="97"/>
  <c r="AL35" i="97"/>
  <c r="Y35" i="97"/>
  <c r="AE16" i="97"/>
  <c r="AG16" i="97" s="1"/>
  <c r="AF16" i="97"/>
  <c r="Z17" i="97"/>
  <c r="Y17" i="97"/>
  <c r="AC18" i="97"/>
  <c r="AC16" i="97"/>
  <c r="AC7" i="97"/>
  <c r="AC8" i="97"/>
  <c r="AC9" i="97"/>
  <c r="AC10" i="97"/>
  <c r="AC11" i="97"/>
  <c r="AC12" i="97"/>
  <c r="AC13" i="97"/>
  <c r="AC14" i="97"/>
  <c r="AC15" i="97"/>
  <c r="AC6" i="97"/>
  <c r="AB18" i="97"/>
  <c r="AB16" i="97"/>
  <c r="AB7" i="97"/>
  <c r="AB8" i="97"/>
  <c r="AB9" i="97"/>
  <c r="AB10" i="97"/>
  <c r="AB11" i="97"/>
  <c r="AB12" i="97"/>
  <c r="AB13" i="97"/>
  <c r="AB14" i="97"/>
  <c r="AB15" i="97"/>
  <c r="AB6" i="97"/>
  <c r="B91" i="131"/>
  <c r="C51" i="132"/>
  <c r="D51" i="132"/>
  <c r="E51" i="132"/>
  <c r="F51" i="132"/>
  <c r="H51" i="132"/>
  <c r="I51" i="132"/>
  <c r="C50" i="132"/>
  <c r="D50" i="132"/>
  <c r="E50" i="132"/>
  <c r="H50" i="132"/>
  <c r="I50" i="132"/>
  <c r="B50" i="132"/>
  <c r="J48" i="132"/>
  <c r="I48" i="132"/>
  <c r="H48" i="132"/>
  <c r="G48" i="132"/>
  <c r="F48" i="132"/>
  <c r="E48" i="132"/>
  <c r="D48" i="132"/>
  <c r="C48" i="132"/>
  <c r="B48" i="132"/>
  <c r="AD32" i="131"/>
  <c r="AE31" i="131"/>
  <c r="AE32" i="131" s="1"/>
  <c r="AE33" i="131" s="1"/>
  <c r="AO20" i="97" l="1"/>
  <c r="L92" i="131"/>
  <c r="K103" i="131"/>
  <c r="L101" i="131"/>
  <c r="J103" i="131"/>
  <c r="L91" i="131"/>
  <c r="H103" i="131"/>
  <c r="G103" i="131"/>
  <c r="J51" i="132"/>
  <c r="G50" i="132"/>
  <c r="AU20" i="97"/>
  <c r="AB17" i="97"/>
  <c r="AB20" i="97" s="1"/>
  <c r="AN20" i="97" s="1"/>
  <c r="AC17" i="97"/>
  <c r="AC20" i="97" s="1"/>
  <c r="Q9" i="131"/>
  <c r="P35" i="132"/>
  <c r="Q35" i="132"/>
  <c r="R35" i="132"/>
  <c r="O35" i="132"/>
  <c r="L103" i="131" l="1"/>
  <c r="I21" i="149"/>
  <c r="K20" i="149"/>
  <c r="H20" i="149"/>
  <c r="G20" i="149"/>
  <c r="P21" i="149"/>
  <c r="O21" i="149"/>
  <c r="H21" i="149"/>
  <c r="G21" i="149"/>
  <c r="E8" i="156" l="1"/>
  <c r="Q8" i="156" s="1"/>
  <c r="E7" i="156"/>
  <c r="Q7" i="156" s="1"/>
  <c r="S53" i="156"/>
  <c r="R53" i="156"/>
  <c r="G53" i="156"/>
  <c r="F53" i="156"/>
  <c r="H15" i="156" l="1"/>
  <c r="R31" i="156"/>
  <c r="F36" i="156"/>
  <c r="G36" i="156"/>
  <c r="F37" i="156"/>
  <c r="R37" i="156" s="1"/>
  <c r="G37" i="156"/>
  <c r="F38" i="156"/>
  <c r="G38" i="156"/>
  <c r="G35" i="156"/>
  <c r="F35" i="156"/>
  <c r="G32" i="156"/>
  <c r="G33" i="156"/>
  <c r="G31" i="156"/>
  <c r="F32" i="156"/>
  <c r="F33" i="156"/>
  <c r="F31" i="156"/>
  <c r="S20" i="154"/>
  <c r="S7" i="154" s="1"/>
  <c r="K12" i="156"/>
  <c r="J12" i="156"/>
  <c r="K6" i="156"/>
  <c r="F48" i="156"/>
  <c r="F47" i="156"/>
  <c r="R47" i="156" s="1"/>
  <c r="F16" i="156"/>
  <c r="F15" i="156"/>
  <c r="C55" i="156" s="1"/>
  <c r="D152" i="156"/>
  <c r="H66" i="156" s="1"/>
  <c r="J66" i="156" s="1"/>
  <c r="R38" i="156"/>
  <c r="R36" i="156"/>
  <c r="R35" i="156"/>
  <c r="R32" i="156"/>
  <c r="R33" i="156"/>
  <c r="R48" i="156"/>
  <c r="R21" i="156"/>
  <c r="S21" i="156"/>
  <c r="R22" i="156"/>
  <c r="S22" i="156"/>
  <c r="R23" i="156"/>
  <c r="S23" i="156"/>
  <c r="R24" i="156"/>
  <c r="S24" i="156"/>
  <c r="R25" i="156"/>
  <c r="S25" i="156"/>
  <c r="R26" i="156"/>
  <c r="S26" i="156"/>
  <c r="S20" i="156"/>
  <c r="R20" i="156"/>
  <c r="O21" i="156"/>
  <c r="Q21" i="156" s="1"/>
  <c r="P21" i="156"/>
  <c r="O22" i="156"/>
  <c r="P22" i="156"/>
  <c r="P27" i="156" s="1"/>
  <c r="O23" i="156"/>
  <c r="P23" i="156"/>
  <c r="O24" i="156"/>
  <c r="P24" i="156"/>
  <c r="O25" i="156"/>
  <c r="P25" i="156"/>
  <c r="O26" i="156"/>
  <c r="P26" i="156"/>
  <c r="P20" i="156"/>
  <c r="O20" i="156"/>
  <c r="R16" i="156"/>
  <c r="E48" i="156"/>
  <c r="Q48" i="156" s="1"/>
  <c r="E47" i="156"/>
  <c r="E12" i="156" s="1"/>
  <c r="E33" i="156"/>
  <c r="Q33" i="156" s="1"/>
  <c r="W33" i="156" s="1"/>
  <c r="E32" i="156"/>
  <c r="Q32" i="156" s="1"/>
  <c r="W32" i="156" s="1"/>
  <c r="E31" i="156"/>
  <c r="H31" i="156" s="1"/>
  <c r="E16" i="156"/>
  <c r="E15" i="156"/>
  <c r="F31" i="131"/>
  <c r="G31" i="131"/>
  <c r="E31" i="131"/>
  <c r="E32" i="131" s="1"/>
  <c r="R5" i="131"/>
  <c r="S5" i="131"/>
  <c r="T5" i="131"/>
  <c r="U5" i="131"/>
  <c r="U6" i="131" s="1"/>
  <c r="V5" i="131"/>
  <c r="W5" i="131"/>
  <c r="X5" i="131"/>
  <c r="Y5" i="131"/>
  <c r="Y6" i="131" s="1"/>
  <c r="Z5" i="131"/>
  <c r="AA5" i="131"/>
  <c r="Q5" i="131"/>
  <c r="Q6" i="131" s="1"/>
  <c r="F32" i="131"/>
  <c r="G32" i="131"/>
  <c r="F30" i="131"/>
  <c r="G30" i="131"/>
  <c r="E30" i="131"/>
  <c r="W6" i="131"/>
  <c r="X6" i="131"/>
  <c r="Z6" i="131"/>
  <c r="AA6" i="131"/>
  <c r="V6" i="131"/>
  <c r="R6" i="131"/>
  <c r="S6" i="131"/>
  <c r="T6" i="131"/>
  <c r="AA4" i="131"/>
  <c r="Z4" i="131"/>
  <c r="X4" i="131"/>
  <c r="Y4" i="131"/>
  <c r="W4" i="131"/>
  <c r="V4" i="131"/>
  <c r="U4" i="131"/>
  <c r="T4" i="131"/>
  <c r="R4" i="131"/>
  <c r="S4" i="131"/>
  <c r="Q4" i="131"/>
  <c r="M152" i="156"/>
  <c r="L152" i="156"/>
  <c r="K152" i="156"/>
  <c r="H76" i="156" s="1"/>
  <c r="E76" i="156" s="1"/>
  <c r="J152" i="156"/>
  <c r="H74" i="156" s="1"/>
  <c r="E74" i="156" s="1"/>
  <c r="I152" i="156"/>
  <c r="H152" i="156"/>
  <c r="G152" i="156"/>
  <c r="H61" i="156" s="1"/>
  <c r="E61" i="156" s="1"/>
  <c r="F152" i="156"/>
  <c r="H67" i="156" s="1"/>
  <c r="J67" i="156" s="1"/>
  <c r="E152" i="156"/>
  <c r="H60" i="156" s="1"/>
  <c r="E60" i="156" s="1"/>
  <c r="M115" i="156"/>
  <c r="L115" i="156"/>
  <c r="K115" i="156"/>
  <c r="J115" i="156"/>
  <c r="I115" i="156"/>
  <c r="I62" i="156" s="1"/>
  <c r="F62" i="156" s="1"/>
  <c r="G17" i="156" s="1"/>
  <c r="H115" i="156"/>
  <c r="G115" i="156"/>
  <c r="I61" i="156" s="1"/>
  <c r="F61" i="156" s="1"/>
  <c r="G16" i="156" s="1"/>
  <c r="F115" i="156"/>
  <c r="I67" i="156" s="1"/>
  <c r="K67" i="156" s="1"/>
  <c r="L68" i="156" s="1"/>
  <c r="E115" i="156"/>
  <c r="I60" i="156" s="1"/>
  <c r="F60" i="156" s="1"/>
  <c r="G15" i="156" s="1"/>
  <c r="D115" i="156"/>
  <c r="I66" i="156" s="1"/>
  <c r="R95" i="156"/>
  <c r="Q95" i="156"/>
  <c r="P95" i="156"/>
  <c r="O95" i="156"/>
  <c r="R94" i="156"/>
  <c r="Q94" i="156"/>
  <c r="P94" i="156"/>
  <c r="O94" i="156"/>
  <c r="Q86" i="156"/>
  <c r="Q85" i="156"/>
  <c r="Q84" i="156"/>
  <c r="K79" i="156"/>
  <c r="F72" i="156" s="1"/>
  <c r="J79" i="156"/>
  <c r="L80" i="156" s="1"/>
  <c r="L78" i="156"/>
  <c r="F77" i="156"/>
  <c r="E77" i="156"/>
  <c r="I76" i="156"/>
  <c r="F76" i="156" s="1"/>
  <c r="K75" i="156"/>
  <c r="J75" i="156"/>
  <c r="H75" i="156" s="1"/>
  <c r="E75" i="156" s="1"/>
  <c r="I75" i="156"/>
  <c r="F75" i="156" s="1"/>
  <c r="Q74" i="156"/>
  <c r="K74" i="156"/>
  <c r="I74" i="156"/>
  <c r="F74" i="156" s="1"/>
  <c r="F73" i="156"/>
  <c r="E73" i="156"/>
  <c r="AC72" i="156"/>
  <c r="AA72" i="156"/>
  <c r="Z72" i="156"/>
  <c r="X72" i="156"/>
  <c r="W72" i="156"/>
  <c r="U72" i="156"/>
  <c r="T72" i="156"/>
  <c r="C72" i="156"/>
  <c r="F71" i="156"/>
  <c r="E71" i="156"/>
  <c r="I68" i="156"/>
  <c r="K68" i="156" s="1"/>
  <c r="L69" i="156" s="1"/>
  <c r="H68" i="156"/>
  <c r="E68" i="156" s="1"/>
  <c r="F49" i="156" s="1"/>
  <c r="AD65" i="156"/>
  <c r="AC65" i="156"/>
  <c r="AA65" i="156"/>
  <c r="Z65" i="156"/>
  <c r="X65" i="156"/>
  <c r="W65" i="156"/>
  <c r="U65" i="156"/>
  <c r="T65" i="156"/>
  <c r="J65" i="156"/>
  <c r="O64" i="156"/>
  <c r="I64" i="156"/>
  <c r="L62" i="156"/>
  <c r="H62" i="156"/>
  <c r="E62" i="156" s="1"/>
  <c r="F17" i="156" s="1"/>
  <c r="L61" i="156"/>
  <c r="P60" i="156"/>
  <c r="O60" i="156"/>
  <c r="L60" i="156"/>
  <c r="AA59" i="156"/>
  <c r="U59" i="156"/>
  <c r="T59" i="156"/>
  <c r="Z59" i="156" s="1"/>
  <c r="L59" i="156"/>
  <c r="R58" i="156"/>
  <c r="I58" i="156"/>
  <c r="H58" i="156"/>
  <c r="W55" i="156"/>
  <c r="U53" i="156"/>
  <c r="I53" i="156"/>
  <c r="U52" i="156"/>
  <c r="I52" i="156"/>
  <c r="U51" i="156"/>
  <c r="I51" i="156"/>
  <c r="D48" i="156"/>
  <c r="D47" i="156"/>
  <c r="J46" i="156"/>
  <c r="Y45" i="156"/>
  <c r="X45" i="156"/>
  <c r="AA45" i="156" s="1"/>
  <c r="J45" i="156"/>
  <c r="AA44" i="156"/>
  <c r="Z44" i="156"/>
  <c r="J44" i="156"/>
  <c r="G44" i="156"/>
  <c r="AA43" i="156"/>
  <c r="W43" i="156"/>
  <c r="Z43" i="156" s="1"/>
  <c r="S43" i="156"/>
  <c r="AM43" i="156" s="1"/>
  <c r="J43" i="156"/>
  <c r="I43" i="156"/>
  <c r="H43" i="156"/>
  <c r="AA42" i="156"/>
  <c r="W42" i="156"/>
  <c r="Z42" i="156" s="1"/>
  <c r="Q42" i="156"/>
  <c r="J42" i="156"/>
  <c r="G42" i="156"/>
  <c r="I42" i="156" s="1"/>
  <c r="AL41" i="156"/>
  <c r="AA41" i="156"/>
  <c r="Z41" i="156"/>
  <c r="W41" i="156"/>
  <c r="W45" i="156" s="1"/>
  <c r="J41" i="156"/>
  <c r="G41" i="156"/>
  <c r="I41" i="156" s="1"/>
  <c r="G40" i="156"/>
  <c r="K37" i="156"/>
  <c r="I37" i="156"/>
  <c r="W35" i="156"/>
  <c r="O34" i="156"/>
  <c r="F34" i="156"/>
  <c r="C34" i="156"/>
  <c r="D33" i="156"/>
  <c r="D34" i="156" s="1"/>
  <c r="P32" i="156"/>
  <c r="K32" i="156"/>
  <c r="G34" i="156"/>
  <c r="D32" i="156"/>
  <c r="K31" i="156"/>
  <c r="Q29" i="156"/>
  <c r="E29" i="156"/>
  <c r="V27" i="156"/>
  <c r="G27" i="156"/>
  <c r="F27" i="156"/>
  <c r="D27" i="156"/>
  <c r="C27" i="156"/>
  <c r="V26" i="156"/>
  <c r="AJ24" i="156"/>
  <c r="Z23" i="156"/>
  <c r="Q23" i="156"/>
  <c r="I23" i="156"/>
  <c r="E23" i="156"/>
  <c r="U22" i="156"/>
  <c r="Q22" i="156"/>
  <c r="I22" i="156"/>
  <c r="E22" i="156"/>
  <c r="Y21" i="156"/>
  <c r="U21" i="156"/>
  <c r="I21" i="156"/>
  <c r="E21" i="156"/>
  <c r="U20" i="156"/>
  <c r="Q20" i="156"/>
  <c r="I20" i="156"/>
  <c r="E20" i="156"/>
  <c r="S19" i="156"/>
  <c r="R19" i="156"/>
  <c r="P19" i="156"/>
  <c r="O19" i="156"/>
  <c r="G19" i="156"/>
  <c r="D19" i="156" s="1"/>
  <c r="F19" i="156"/>
  <c r="C19" i="156" s="1"/>
  <c r="D16" i="156"/>
  <c r="J15" i="156"/>
  <c r="D15" i="156"/>
  <c r="AO12" i="156"/>
  <c r="AM12" i="156"/>
  <c r="AN10" i="156"/>
  <c r="AL10" i="156"/>
  <c r="AH10" i="156"/>
  <c r="AG10" i="156"/>
  <c r="AF10" i="156"/>
  <c r="AE10" i="156"/>
  <c r="AD10" i="156"/>
  <c r="Y10" i="156"/>
  <c r="P10" i="156"/>
  <c r="D10" i="156"/>
  <c r="C10" i="156"/>
  <c r="AO9" i="156"/>
  <c r="AO10" i="156" s="1"/>
  <c r="Y9" i="156"/>
  <c r="X9" i="156"/>
  <c r="R9" i="156"/>
  <c r="Q9" i="156"/>
  <c r="F9" i="156"/>
  <c r="AM8" i="156"/>
  <c r="Y8" i="156"/>
  <c r="X8" i="156"/>
  <c r="F8" i="156"/>
  <c r="AM7" i="156"/>
  <c r="Y7" i="156"/>
  <c r="X7" i="156"/>
  <c r="G7" i="156"/>
  <c r="H23" i="156" s="1"/>
  <c r="F7" i="156"/>
  <c r="AM6" i="156"/>
  <c r="Y6" i="156"/>
  <c r="X6" i="156"/>
  <c r="X10" i="156" s="1"/>
  <c r="Q4" i="156"/>
  <c r="E4" i="156"/>
  <c r="AE18" i="78"/>
  <c r="AF17" i="78"/>
  <c r="AD18" i="78"/>
  <c r="AE17" i="78"/>
  <c r="AF16" i="78"/>
  <c r="AD16" i="78"/>
  <c r="Z17" i="78"/>
  <c r="AC18" i="78" s="1"/>
  <c r="AC17" i="78"/>
  <c r="T35" i="132"/>
  <c r="Y16" i="132"/>
  <c r="P16" i="132"/>
  <c r="Q16" i="132"/>
  <c r="R16" i="132"/>
  <c r="S16" i="132"/>
  <c r="T16" i="132"/>
  <c r="O16" i="132"/>
  <c r="S13" i="132"/>
  <c r="G36" i="155" s="1"/>
  <c r="E32" i="132"/>
  <c r="E34" i="132" s="1"/>
  <c r="E33" i="132"/>
  <c r="U43" i="155"/>
  <c r="U21" i="155"/>
  <c r="U22" i="155"/>
  <c r="U23" i="155"/>
  <c r="U20" i="155"/>
  <c r="G33" i="155"/>
  <c r="G32" i="155"/>
  <c r="AE13" i="132"/>
  <c r="V57" i="132"/>
  <c r="W57" i="132" s="1"/>
  <c r="V58" i="132" s="1"/>
  <c r="V56" i="132"/>
  <c r="O64" i="155"/>
  <c r="G40" i="155"/>
  <c r="AJ24" i="155"/>
  <c r="S43" i="155"/>
  <c r="Y30" i="132"/>
  <c r="G42" i="155"/>
  <c r="G44" i="155"/>
  <c r="G41" i="155"/>
  <c r="S41" i="155" s="1"/>
  <c r="U41" i="155" s="1"/>
  <c r="G37" i="155"/>
  <c r="G35" i="155"/>
  <c r="G31" i="155"/>
  <c r="X35" i="78"/>
  <c r="AA32" i="78"/>
  <c r="AA35" i="78" s="1"/>
  <c r="U32" i="78"/>
  <c r="V32" i="78"/>
  <c r="W32" i="78"/>
  <c r="X32" i="78"/>
  <c r="Y32" i="78"/>
  <c r="Z32" i="78"/>
  <c r="T32" i="78"/>
  <c r="T35" i="78" s="1"/>
  <c r="Y35" i="78"/>
  <c r="Z35" i="78"/>
  <c r="T34" i="78"/>
  <c r="U35" i="78"/>
  <c r="V35" i="78"/>
  <c r="W35" i="78"/>
  <c r="T33" i="78"/>
  <c r="U34" i="78"/>
  <c r="V34" i="78"/>
  <c r="W34" i="78"/>
  <c r="X34" i="78"/>
  <c r="P20" i="78"/>
  <c r="F34" i="155"/>
  <c r="Q42" i="155"/>
  <c r="Q9" i="155"/>
  <c r="H86" i="131"/>
  <c r="O13" i="132"/>
  <c r="K16" i="132"/>
  <c r="I152" i="155"/>
  <c r="H152" i="155"/>
  <c r="H115" i="155"/>
  <c r="I115" i="155"/>
  <c r="K129" i="85"/>
  <c r="P129" i="85"/>
  <c r="O129" i="85"/>
  <c r="N129" i="85"/>
  <c r="M129" i="85"/>
  <c r="L129" i="85"/>
  <c r="L113" i="85"/>
  <c r="M113" i="85"/>
  <c r="N113" i="85"/>
  <c r="O113" i="85"/>
  <c r="P113" i="85"/>
  <c r="K113" i="85"/>
  <c r="L27" i="85"/>
  <c r="N27" i="85" s="1"/>
  <c r="K26" i="85"/>
  <c r="L26" i="85" s="1"/>
  <c r="N26" i="85" s="1"/>
  <c r="K27" i="85"/>
  <c r="K28" i="85"/>
  <c r="L28" i="85" s="1"/>
  <c r="N28" i="85" s="1"/>
  <c r="K29" i="85"/>
  <c r="L29" i="85" s="1"/>
  <c r="N29" i="85" s="1"/>
  <c r="P27" i="155"/>
  <c r="P26" i="155"/>
  <c r="L152" i="155"/>
  <c r="J152" i="155"/>
  <c r="AB5" i="131"/>
  <c r="X91" i="154"/>
  <c r="V175" i="154"/>
  <c r="U175" i="154"/>
  <c r="W175" i="154" s="1"/>
  <c r="T175" i="154"/>
  <c r="S175" i="154"/>
  <c r="R175" i="154"/>
  <c r="W174" i="154"/>
  <c r="W173" i="154"/>
  <c r="W172" i="154"/>
  <c r="W171" i="154"/>
  <c r="W170" i="154"/>
  <c r="W169" i="154"/>
  <c r="W168" i="154"/>
  <c r="W167" i="154"/>
  <c r="W166" i="154"/>
  <c r="W165" i="154"/>
  <c r="T166" i="154"/>
  <c r="T167" i="154"/>
  <c r="T168" i="154"/>
  <c r="T169" i="154"/>
  <c r="T170" i="154"/>
  <c r="T171" i="154"/>
  <c r="T172" i="154"/>
  <c r="T173" i="154"/>
  <c r="T174" i="154"/>
  <c r="T165" i="154"/>
  <c r="DR21" i="97"/>
  <c r="DS21" i="97"/>
  <c r="DQ21" i="97"/>
  <c r="DU21" i="97"/>
  <c r="DT21" i="97"/>
  <c r="DP21" i="97"/>
  <c r="DO21" i="97"/>
  <c r="DN21" i="97"/>
  <c r="DM21" i="97"/>
  <c r="DL21" i="97"/>
  <c r="DK21" i="97"/>
  <c r="DJ21" i="97"/>
  <c r="DI21" i="97"/>
  <c r="DH21" i="97"/>
  <c r="DG21" i="97"/>
  <c r="AE33" i="97"/>
  <c r="AI18" i="97"/>
  <c r="AI16" i="97"/>
  <c r="AI7" i="97"/>
  <c r="AI8" i="97"/>
  <c r="AI9" i="97"/>
  <c r="AI10" i="97"/>
  <c r="AI11" i="97"/>
  <c r="AI12" i="97"/>
  <c r="AI13" i="97"/>
  <c r="AI14" i="97"/>
  <c r="AI15" i="97"/>
  <c r="AI6" i="97"/>
  <c r="AI17" i="97" s="1"/>
  <c r="AH18" i="97"/>
  <c r="AH16" i="97"/>
  <c r="AH7" i="97"/>
  <c r="AH8" i="97"/>
  <c r="AH9" i="97"/>
  <c r="AH10" i="97"/>
  <c r="AH11" i="97"/>
  <c r="AH12" i="97"/>
  <c r="AH13" i="97"/>
  <c r="AH14" i="97"/>
  <c r="AH15" i="97"/>
  <c r="AH6" i="97"/>
  <c r="AH17" i="97" s="1"/>
  <c r="AE7" i="97"/>
  <c r="AE8" i="97"/>
  <c r="AE9" i="97"/>
  <c r="AE10" i="97"/>
  <c r="AE11" i="97"/>
  <c r="AE12" i="97"/>
  <c r="AE13" i="97"/>
  <c r="AE14" i="97"/>
  <c r="AE15" i="97"/>
  <c r="AN15" i="97" s="1"/>
  <c r="AE6" i="97"/>
  <c r="AD8" i="97"/>
  <c r="AD12" i="97"/>
  <c r="AD7" i="97"/>
  <c r="AD11" i="97"/>
  <c r="AD15" i="97"/>
  <c r="AD9" i="97"/>
  <c r="AD10" i="97"/>
  <c r="AD13" i="97"/>
  <c r="AD14" i="97"/>
  <c r="C91" i="131"/>
  <c r="B92" i="131"/>
  <c r="B93" i="131"/>
  <c r="B94" i="131"/>
  <c r="B95" i="131"/>
  <c r="B96" i="131"/>
  <c r="B97" i="131"/>
  <c r="B98" i="131"/>
  <c r="B99" i="131"/>
  <c r="B100" i="131"/>
  <c r="B101" i="131"/>
  <c r="B102" i="131"/>
  <c r="I67" i="131"/>
  <c r="I68" i="131"/>
  <c r="I69" i="131"/>
  <c r="I70" i="131"/>
  <c r="I71" i="131"/>
  <c r="I72" i="131"/>
  <c r="I73" i="131"/>
  <c r="I74" i="131"/>
  <c r="I75" i="131"/>
  <c r="I76" i="131"/>
  <c r="I77" i="131"/>
  <c r="I78" i="131"/>
  <c r="I79" i="131"/>
  <c r="I80" i="131"/>
  <c r="I81" i="131"/>
  <c r="I82" i="131"/>
  <c r="I83" i="131"/>
  <c r="I84" i="131"/>
  <c r="I85" i="131"/>
  <c r="I86" i="131"/>
  <c r="I87" i="131"/>
  <c r="I66" i="131"/>
  <c r="G41" i="154"/>
  <c r="G44" i="154"/>
  <c r="U35" i="132"/>
  <c r="E47" i="132"/>
  <c r="B47" i="132"/>
  <c r="C47" i="132"/>
  <c r="D47" i="132"/>
  <c r="V66" i="131"/>
  <c r="Y88" i="131"/>
  <c r="X88" i="131"/>
  <c r="W88" i="131"/>
  <c r="V88" i="131"/>
  <c r="Y87" i="131"/>
  <c r="X87" i="131"/>
  <c r="W87" i="131"/>
  <c r="V87" i="131"/>
  <c r="Y86" i="131"/>
  <c r="X86" i="131"/>
  <c r="W86" i="131"/>
  <c r="V86" i="131"/>
  <c r="Y85" i="131"/>
  <c r="X85" i="131"/>
  <c r="W85" i="131"/>
  <c r="V85" i="131"/>
  <c r="Y84" i="131"/>
  <c r="X84" i="131"/>
  <c r="W84" i="131"/>
  <c r="V84" i="131"/>
  <c r="Y83" i="131"/>
  <c r="X83" i="131"/>
  <c r="W83" i="131"/>
  <c r="V83" i="131"/>
  <c r="Y82" i="131"/>
  <c r="X82" i="131"/>
  <c r="W82" i="131"/>
  <c r="V82" i="131"/>
  <c r="Y81" i="131"/>
  <c r="X81" i="131"/>
  <c r="W81" i="131"/>
  <c r="V81" i="131"/>
  <c r="Y80" i="131"/>
  <c r="X80" i="131"/>
  <c r="W80" i="131"/>
  <c r="V80" i="131"/>
  <c r="Y79" i="131"/>
  <c r="X79" i="131"/>
  <c r="W79" i="131"/>
  <c r="V79" i="131"/>
  <c r="Y78" i="131"/>
  <c r="X78" i="131"/>
  <c r="W78" i="131"/>
  <c r="V78" i="131"/>
  <c r="Y77" i="131"/>
  <c r="X77" i="131"/>
  <c r="W77" i="131"/>
  <c r="V77" i="131"/>
  <c r="Y76" i="131"/>
  <c r="X76" i="131"/>
  <c r="W76" i="131"/>
  <c r="V76" i="131"/>
  <c r="Y75" i="131"/>
  <c r="X75" i="131"/>
  <c r="W75" i="131"/>
  <c r="V75" i="131"/>
  <c r="Y74" i="131"/>
  <c r="X74" i="131"/>
  <c r="W74" i="131"/>
  <c r="V74" i="131"/>
  <c r="Y73" i="131"/>
  <c r="X73" i="131"/>
  <c r="W73" i="131"/>
  <c r="V73" i="131"/>
  <c r="Y72" i="131"/>
  <c r="X72" i="131"/>
  <c r="W72" i="131"/>
  <c r="V72" i="131"/>
  <c r="Y71" i="131"/>
  <c r="X71" i="131"/>
  <c r="W71" i="131"/>
  <c r="V71" i="131"/>
  <c r="Y69" i="131"/>
  <c r="X69" i="131"/>
  <c r="W69" i="131"/>
  <c r="V69" i="131"/>
  <c r="Y67" i="131"/>
  <c r="X67" i="131"/>
  <c r="W67" i="131"/>
  <c r="V67" i="131"/>
  <c r="Y66" i="131"/>
  <c r="Y68" i="131" s="1"/>
  <c r="Y70" i="131" s="1"/>
  <c r="X66" i="131"/>
  <c r="X68" i="131" s="1"/>
  <c r="X70" i="131" s="1"/>
  <c r="W66" i="131"/>
  <c r="W68" i="131" s="1"/>
  <c r="W70" i="131" s="1"/>
  <c r="V68" i="131"/>
  <c r="V70" i="131" s="1"/>
  <c r="P31" i="131"/>
  <c r="E34" i="156" l="1"/>
  <c r="Q31" i="156"/>
  <c r="W31" i="156" s="1"/>
  <c r="Q47" i="156"/>
  <c r="AN6" i="97"/>
  <c r="AE17" i="97"/>
  <c r="AT15" i="97"/>
  <c r="AI19" i="97"/>
  <c r="AH19" i="97"/>
  <c r="E35" i="132"/>
  <c r="H40" i="156"/>
  <c r="H41" i="156"/>
  <c r="S41" i="156"/>
  <c r="U41" i="156" s="1"/>
  <c r="I40" i="156"/>
  <c r="S27" i="156"/>
  <c r="U26" i="156"/>
  <c r="R34" i="156"/>
  <c r="E72" i="156"/>
  <c r="R49" i="156"/>
  <c r="S56" i="156" s="1"/>
  <c r="X55" i="156" s="1"/>
  <c r="Z55" i="156" s="1"/>
  <c r="J48" i="156"/>
  <c r="G56" i="156"/>
  <c r="F12" i="156"/>
  <c r="J68" i="156"/>
  <c r="R17" i="156"/>
  <c r="Y15" i="156" s="1"/>
  <c r="C56" i="156"/>
  <c r="J16" i="156"/>
  <c r="F6" i="156"/>
  <c r="F10" i="156" s="1"/>
  <c r="I16" i="156"/>
  <c r="D56" i="156"/>
  <c r="K16" i="156"/>
  <c r="L16" i="156" s="1"/>
  <c r="H16" i="156" s="1"/>
  <c r="I15" i="156"/>
  <c r="D55" i="156"/>
  <c r="E55" i="156" s="1"/>
  <c r="G6" i="156"/>
  <c r="G55" i="156"/>
  <c r="I17" i="156"/>
  <c r="L17" i="156"/>
  <c r="K18" i="156"/>
  <c r="R15" i="156"/>
  <c r="J18" i="156"/>
  <c r="K66" i="156"/>
  <c r="L67" i="156" s="1"/>
  <c r="F66" i="156"/>
  <c r="G47" i="156" s="1"/>
  <c r="E66" i="156"/>
  <c r="P115" i="156"/>
  <c r="O27" i="156"/>
  <c r="S7" i="156"/>
  <c r="T22" i="156" s="1"/>
  <c r="T26" i="156"/>
  <c r="I7" i="156"/>
  <c r="J7" i="156"/>
  <c r="K7" i="156" s="1"/>
  <c r="L7" i="156" s="1"/>
  <c r="H20" i="156"/>
  <c r="H25" i="156"/>
  <c r="I27" i="156"/>
  <c r="E27" i="156"/>
  <c r="Q12" i="156"/>
  <c r="E6" i="156"/>
  <c r="R12" i="156"/>
  <c r="R8" i="156"/>
  <c r="R7" i="156"/>
  <c r="U7" i="156" s="1"/>
  <c r="R27" i="156"/>
  <c r="U27" i="156" s="1"/>
  <c r="E56" i="156"/>
  <c r="O55" i="156"/>
  <c r="W27" i="156"/>
  <c r="Q27" i="156"/>
  <c r="G8" i="156"/>
  <c r="I34" i="156"/>
  <c r="H34" i="156"/>
  <c r="H7" i="156"/>
  <c r="T7" i="156"/>
  <c r="H21" i="156"/>
  <c r="T21" i="156"/>
  <c r="H22" i="156"/>
  <c r="U23" i="156"/>
  <c r="I31" i="156"/>
  <c r="P33" i="156"/>
  <c r="P34" i="156" s="1"/>
  <c r="Q34" i="156"/>
  <c r="AM41" i="156"/>
  <c r="S55" i="156"/>
  <c r="S58" i="156" s="1"/>
  <c r="O56" i="156"/>
  <c r="V16" i="156"/>
  <c r="U43" i="156"/>
  <c r="Z45" i="156"/>
  <c r="E67" i="156"/>
  <c r="F68" i="156"/>
  <c r="G49" i="156" s="1"/>
  <c r="R6" i="156"/>
  <c r="H24" i="156"/>
  <c r="H32" i="156"/>
  <c r="H33" i="156"/>
  <c r="H42" i="156"/>
  <c r="V50" i="156"/>
  <c r="F67" i="156"/>
  <c r="G48" i="156" s="1"/>
  <c r="V18" i="156"/>
  <c r="T24" i="156"/>
  <c r="I32" i="156"/>
  <c r="I33" i="156"/>
  <c r="AD17" i="78"/>
  <c r="T36" i="78"/>
  <c r="AT17" i="97" l="1"/>
  <c r="V48" i="156"/>
  <c r="I6" i="156"/>
  <c r="I49" i="156"/>
  <c r="I48" i="156"/>
  <c r="K48" i="156"/>
  <c r="H56" i="156"/>
  <c r="I56" i="156" s="1"/>
  <c r="L18" i="156"/>
  <c r="G12" i="156"/>
  <c r="I47" i="156"/>
  <c r="H47" i="156"/>
  <c r="H55" i="156"/>
  <c r="I55" i="156" s="1"/>
  <c r="T23" i="156"/>
  <c r="T20" i="156"/>
  <c r="V7" i="156"/>
  <c r="T25" i="156"/>
  <c r="T27" i="156" s="1"/>
  <c r="H27" i="156"/>
  <c r="E10" i="156"/>
  <c r="H6" i="156"/>
  <c r="R10" i="156"/>
  <c r="J8" i="156"/>
  <c r="K8" i="156" s="1"/>
  <c r="L8" i="156" s="1"/>
  <c r="H8" i="156"/>
  <c r="I8" i="156"/>
  <c r="E71" i="155"/>
  <c r="R31" i="155" s="1"/>
  <c r="F71" i="155"/>
  <c r="Q8" i="155"/>
  <c r="Q7" i="155"/>
  <c r="M152" i="155"/>
  <c r="J75" i="155"/>
  <c r="H75" i="155" s="1"/>
  <c r="E75" i="155" s="1"/>
  <c r="K152" i="155"/>
  <c r="H76" i="155" s="1"/>
  <c r="E76" i="155" s="1"/>
  <c r="H74" i="155"/>
  <c r="H62" i="155"/>
  <c r="E62" i="155" s="1"/>
  <c r="H68" i="155"/>
  <c r="G152" i="155"/>
  <c r="H61" i="155" s="1"/>
  <c r="E61" i="155" s="1"/>
  <c r="F152" i="155"/>
  <c r="H67" i="155" s="1"/>
  <c r="J67" i="155" s="1"/>
  <c r="E152" i="155"/>
  <c r="H60" i="155" s="1"/>
  <c r="E60" i="155" s="1"/>
  <c r="D152" i="155"/>
  <c r="H66" i="155" s="1"/>
  <c r="M115" i="155"/>
  <c r="L115" i="155"/>
  <c r="K75" i="155" s="1"/>
  <c r="I75" i="155" s="1"/>
  <c r="F75" i="155" s="1"/>
  <c r="K115" i="155"/>
  <c r="I76" i="155" s="1"/>
  <c r="F76" i="155" s="1"/>
  <c r="J115" i="155"/>
  <c r="I74" i="155" s="1"/>
  <c r="I62" i="155"/>
  <c r="F62" i="155" s="1"/>
  <c r="I68" i="155"/>
  <c r="G115" i="155"/>
  <c r="I61" i="155" s="1"/>
  <c r="F61" i="155" s="1"/>
  <c r="F115" i="155"/>
  <c r="I67" i="155" s="1"/>
  <c r="K67" i="155" s="1"/>
  <c r="L68" i="155" s="1"/>
  <c r="E115" i="155"/>
  <c r="I60" i="155" s="1"/>
  <c r="F60" i="155" s="1"/>
  <c r="D115" i="155"/>
  <c r="I66" i="155" s="1"/>
  <c r="F66" i="155" s="1"/>
  <c r="R95" i="155"/>
  <c r="Q95" i="155"/>
  <c r="P95" i="155"/>
  <c r="O95" i="155"/>
  <c r="R94" i="155"/>
  <c r="Q94" i="155"/>
  <c r="P94" i="155"/>
  <c r="O94" i="155"/>
  <c r="Q86" i="155"/>
  <c r="Q85" i="155"/>
  <c r="Q84" i="155"/>
  <c r="K79" i="155"/>
  <c r="F72" i="155" s="1"/>
  <c r="H32" i="155" s="1"/>
  <c r="J79" i="155"/>
  <c r="L80" i="155" s="1"/>
  <c r="L78" i="155"/>
  <c r="F77" i="155"/>
  <c r="E77" i="155"/>
  <c r="Q74" i="155"/>
  <c r="K74" i="155"/>
  <c r="F73" i="155"/>
  <c r="E73" i="155"/>
  <c r="AC72" i="155"/>
  <c r="AA72" i="155"/>
  <c r="Z72" i="155"/>
  <c r="X72" i="155"/>
  <c r="W72" i="155"/>
  <c r="U72" i="155"/>
  <c r="T72" i="155"/>
  <c r="C72" i="155"/>
  <c r="AD65" i="155"/>
  <c r="AC65" i="155"/>
  <c r="AA65" i="155"/>
  <c r="Z65" i="155"/>
  <c r="X65" i="155"/>
  <c r="W65" i="155"/>
  <c r="U65" i="155"/>
  <c r="T65" i="155"/>
  <c r="J65" i="155"/>
  <c r="I64" i="155"/>
  <c r="L62" i="155"/>
  <c r="L61" i="155"/>
  <c r="P60" i="155"/>
  <c r="O60" i="155"/>
  <c r="L60" i="155"/>
  <c r="AA59" i="155"/>
  <c r="U59" i="155"/>
  <c r="T59" i="155"/>
  <c r="Z59" i="155" s="1"/>
  <c r="L59" i="155"/>
  <c r="R58" i="155"/>
  <c r="I58" i="155"/>
  <c r="H58" i="155"/>
  <c r="W55" i="155"/>
  <c r="S53" i="155"/>
  <c r="U53" i="155" s="1"/>
  <c r="R53" i="155"/>
  <c r="G53" i="155"/>
  <c r="F53" i="155"/>
  <c r="I53" i="155" s="1"/>
  <c r="U52" i="155"/>
  <c r="I52" i="155"/>
  <c r="U51" i="155"/>
  <c r="I51" i="155"/>
  <c r="D48" i="155"/>
  <c r="D47" i="155"/>
  <c r="J46" i="155"/>
  <c r="AA45" i="155"/>
  <c r="Y45" i="155"/>
  <c r="X45" i="155"/>
  <c r="J45" i="155"/>
  <c r="AA44" i="155"/>
  <c r="Z44" i="155"/>
  <c r="J44" i="155"/>
  <c r="AA43" i="155"/>
  <c r="W43" i="155"/>
  <c r="Z43" i="155" s="1"/>
  <c r="AM43" i="155"/>
  <c r="J43" i="155"/>
  <c r="I43" i="155"/>
  <c r="H43" i="155"/>
  <c r="AA42" i="155"/>
  <c r="W42" i="155"/>
  <c r="Z42" i="155" s="1"/>
  <c r="J42" i="155"/>
  <c r="H42" i="155"/>
  <c r="I42" i="155"/>
  <c r="AM41" i="155"/>
  <c r="AL41" i="155"/>
  <c r="AA41" i="155"/>
  <c r="W41" i="155"/>
  <c r="Z41" i="155" s="1"/>
  <c r="J41" i="155"/>
  <c r="I41" i="155"/>
  <c r="I40" i="155"/>
  <c r="K37" i="155"/>
  <c r="W35" i="155"/>
  <c r="O34" i="155"/>
  <c r="C34" i="155"/>
  <c r="D33" i="155"/>
  <c r="D34" i="155" s="1"/>
  <c r="K32" i="155"/>
  <c r="D32" i="155"/>
  <c r="P32" i="155" s="1"/>
  <c r="K31" i="155"/>
  <c r="Q29" i="155"/>
  <c r="E29" i="155"/>
  <c r="V27" i="155"/>
  <c r="G27" i="155"/>
  <c r="F27" i="155"/>
  <c r="D27" i="155"/>
  <c r="C27" i="155"/>
  <c r="V26" i="155"/>
  <c r="Z23" i="155"/>
  <c r="I23" i="155"/>
  <c r="E23" i="155"/>
  <c r="I22" i="155"/>
  <c r="E22" i="155"/>
  <c r="Y21" i="155"/>
  <c r="I21" i="155"/>
  <c r="E21" i="155"/>
  <c r="I20" i="155"/>
  <c r="E20" i="155"/>
  <c r="S19" i="155"/>
  <c r="R19" i="155"/>
  <c r="P19" i="155"/>
  <c r="O19" i="155"/>
  <c r="G19" i="155"/>
  <c r="D19" i="155" s="1"/>
  <c r="F19" i="155"/>
  <c r="C19" i="155" s="1"/>
  <c r="D16" i="155"/>
  <c r="J15" i="155"/>
  <c r="D15" i="155"/>
  <c r="AO12" i="155"/>
  <c r="AM12" i="155"/>
  <c r="AO10" i="155"/>
  <c r="AN10" i="155"/>
  <c r="AL10" i="155"/>
  <c r="AH10" i="155"/>
  <c r="AG10" i="155"/>
  <c r="AF10" i="155"/>
  <c r="AE10" i="155"/>
  <c r="AD10" i="155"/>
  <c r="P10" i="155"/>
  <c r="D10" i="155"/>
  <c r="C10" i="155"/>
  <c r="AO9" i="155"/>
  <c r="Y9" i="155"/>
  <c r="X9" i="155"/>
  <c r="R9" i="155"/>
  <c r="F9" i="155"/>
  <c r="AM8" i="155"/>
  <c r="Y8" i="155"/>
  <c r="X8" i="155"/>
  <c r="X10" i="155" s="1"/>
  <c r="AM7" i="155"/>
  <c r="Y7" i="155"/>
  <c r="X7" i="155"/>
  <c r="G7" i="155"/>
  <c r="H21" i="155" s="1"/>
  <c r="F7" i="155"/>
  <c r="AM6" i="155"/>
  <c r="Y6" i="155"/>
  <c r="X6" i="155"/>
  <c r="Q4" i="155"/>
  <c r="E4" i="155"/>
  <c r="W17" i="78"/>
  <c r="V17" i="78"/>
  <c r="L49" i="156" l="1"/>
  <c r="L48" i="156"/>
  <c r="H48" i="156" s="1"/>
  <c r="H12" i="156"/>
  <c r="I12" i="156"/>
  <c r="E34" i="155"/>
  <c r="E6" i="155"/>
  <c r="E10" i="155" s="1"/>
  <c r="E72" i="155"/>
  <c r="E74" i="155"/>
  <c r="F8" i="155" s="1"/>
  <c r="E66" i="155"/>
  <c r="I47" i="155" s="1"/>
  <c r="J66" i="155"/>
  <c r="F74" i="155"/>
  <c r="H40" i="155"/>
  <c r="H23" i="155"/>
  <c r="J7" i="155"/>
  <c r="K7" i="155" s="1"/>
  <c r="L7" i="155" s="1"/>
  <c r="R37" i="155"/>
  <c r="I37" i="155"/>
  <c r="J68" i="155"/>
  <c r="E68" i="155"/>
  <c r="K68" i="155"/>
  <c r="L69" i="155" s="1"/>
  <c r="F68" i="155"/>
  <c r="F67" i="155"/>
  <c r="H55" i="155" s="1"/>
  <c r="K66" i="155"/>
  <c r="L67" i="155" s="1"/>
  <c r="E67" i="155"/>
  <c r="K16" i="155"/>
  <c r="L16" i="155" s="1"/>
  <c r="H16" i="155" s="1"/>
  <c r="H15" i="155"/>
  <c r="C55" i="155"/>
  <c r="P115" i="155"/>
  <c r="E12" i="155"/>
  <c r="H25" i="155"/>
  <c r="H7" i="155"/>
  <c r="I7" i="155"/>
  <c r="H20" i="155"/>
  <c r="J18" i="155"/>
  <c r="F6" i="155"/>
  <c r="G6" i="155"/>
  <c r="J6" i="155" s="1"/>
  <c r="K6" i="155" s="1"/>
  <c r="L6" i="155" s="1"/>
  <c r="I17" i="155"/>
  <c r="I27" i="155"/>
  <c r="Y10" i="155"/>
  <c r="H31" i="155"/>
  <c r="I31" i="155"/>
  <c r="G34" i="155"/>
  <c r="I33" i="155"/>
  <c r="H33" i="155"/>
  <c r="D56" i="155"/>
  <c r="K18" i="155"/>
  <c r="I16" i="155"/>
  <c r="H47" i="155"/>
  <c r="D55" i="155"/>
  <c r="I15" i="155"/>
  <c r="E27" i="155"/>
  <c r="W45" i="155"/>
  <c r="Z45" i="155" s="1"/>
  <c r="H22" i="155"/>
  <c r="H24" i="155"/>
  <c r="H41" i="155"/>
  <c r="C56" i="155"/>
  <c r="J16" i="155"/>
  <c r="P33" i="155"/>
  <c r="P34" i="155" s="1"/>
  <c r="T33" i="132"/>
  <c r="U33" i="132"/>
  <c r="I32" i="155" l="1"/>
  <c r="I34" i="155"/>
  <c r="F10" i="155"/>
  <c r="J48" i="155"/>
  <c r="G56" i="155"/>
  <c r="L18" i="155"/>
  <c r="G55" i="155"/>
  <c r="I55" i="155" s="1"/>
  <c r="F12" i="155"/>
  <c r="H56" i="155"/>
  <c r="I56" i="155" s="1"/>
  <c r="L17" i="155"/>
  <c r="I48" i="155"/>
  <c r="H27" i="155"/>
  <c r="E55" i="155"/>
  <c r="H6" i="155"/>
  <c r="I6" i="155"/>
  <c r="H34" i="155"/>
  <c r="E56" i="155"/>
  <c r="K48" i="155" l="1"/>
  <c r="L49" i="155" s="1"/>
  <c r="G12" i="155"/>
  <c r="H12" i="155" s="1"/>
  <c r="I49" i="155"/>
  <c r="U36" i="78"/>
  <c r="V36" i="78"/>
  <c r="W36" i="78"/>
  <c r="X36" i="78"/>
  <c r="L48" i="155" l="1"/>
  <c r="H48" i="155" s="1"/>
  <c r="I12" i="155"/>
  <c r="U17" i="78"/>
  <c r="X17" i="78"/>
  <c r="Y17" i="78"/>
  <c r="AA17" i="78"/>
  <c r="T17" i="78"/>
  <c r="T16" i="78"/>
  <c r="Y34" i="78"/>
  <c r="Z34" i="78"/>
  <c r="AA34" i="78"/>
  <c r="P32" i="132"/>
  <c r="R43" i="154"/>
  <c r="R44" i="154"/>
  <c r="S43" i="154"/>
  <c r="S53" i="154"/>
  <c r="R53" i="154"/>
  <c r="V52" i="154"/>
  <c r="V51" i="154"/>
  <c r="V53" i="154" l="1"/>
  <c r="P33" i="132"/>
  <c r="P36" i="132"/>
  <c r="P34" i="132"/>
  <c r="G33" i="154"/>
  <c r="G32" i="154"/>
  <c r="G31" i="154"/>
  <c r="G40" i="154"/>
  <c r="G42" i="154"/>
  <c r="G36" i="154"/>
  <c r="G35" i="154"/>
  <c r="F27" i="154"/>
  <c r="Q42" i="154" l="1"/>
  <c r="AX9" i="152"/>
  <c r="H84" i="131"/>
  <c r="Y29" i="132"/>
  <c r="O12" i="132"/>
  <c r="L17" i="78"/>
  <c r="L57" i="78"/>
  <c r="L94" i="78"/>
  <c r="L93" i="78"/>
  <c r="D152" i="154"/>
  <c r="K152" i="154"/>
  <c r="I152" i="154"/>
  <c r="J152" i="154"/>
  <c r="AT14" i="97"/>
  <c r="B103" i="131"/>
  <c r="C103" i="131"/>
  <c r="D92" i="131"/>
  <c r="D93" i="131"/>
  <c r="D94" i="131"/>
  <c r="D95" i="131"/>
  <c r="D96" i="131"/>
  <c r="D97" i="131"/>
  <c r="D98" i="131"/>
  <c r="D99" i="131"/>
  <c r="D100" i="131"/>
  <c r="D101" i="131"/>
  <c r="D102" i="131"/>
  <c r="D91" i="131"/>
  <c r="C92" i="131"/>
  <c r="C93" i="131"/>
  <c r="C94" i="131"/>
  <c r="C95" i="131"/>
  <c r="C96" i="131"/>
  <c r="C97" i="131"/>
  <c r="C98" i="131"/>
  <c r="C99" i="131"/>
  <c r="C100" i="131"/>
  <c r="C101" i="131"/>
  <c r="C102" i="131"/>
  <c r="D10" i="152"/>
  <c r="AD6" i="97" l="1"/>
  <c r="AN14" i="97"/>
  <c r="D103" i="131"/>
  <c r="G37" i="154"/>
  <c r="E8" i="152"/>
  <c r="E7" i="152"/>
  <c r="E16" i="152"/>
  <c r="E15" i="152"/>
  <c r="Q12" i="152"/>
  <c r="AE31" i="97"/>
  <c r="AE32" i="97"/>
  <c r="AN17" i="97" l="1"/>
  <c r="V48" i="152"/>
  <c r="V50" i="152"/>
  <c r="V16" i="152"/>
  <c r="V18" i="152"/>
  <c r="M33" i="78"/>
  <c r="L32" i="78"/>
  <c r="L33" i="78"/>
  <c r="L1" i="78"/>
  <c r="W21" i="152"/>
  <c r="X21" i="152"/>
  <c r="W22" i="152"/>
  <c r="X22" i="152"/>
  <c r="W23" i="152"/>
  <c r="X23" i="152"/>
  <c r="X20" i="152"/>
  <c r="W20" i="152"/>
  <c r="R9" i="152"/>
  <c r="BC48" i="152"/>
  <c r="BC16" i="152"/>
  <c r="AX48" i="152"/>
  <c r="AX47" i="152"/>
  <c r="AX12" i="152" s="1"/>
  <c r="AX41" i="152"/>
  <c r="Q41" i="154" s="1"/>
  <c r="AW41" i="152"/>
  <c r="AX40" i="152"/>
  <c r="Q40" i="154" s="1"/>
  <c r="AW40" i="152"/>
  <c r="AX31" i="152"/>
  <c r="AX32" i="152"/>
  <c r="AX33" i="152"/>
  <c r="AW31" i="152"/>
  <c r="AY48" i="152"/>
  <c r="AY49" i="152"/>
  <c r="AY47" i="152"/>
  <c r="AY41" i="152"/>
  <c r="AY42" i="152"/>
  <c r="AY43" i="152"/>
  <c r="AZ43" i="152"/>
  <c r="AY44" i="152"/>
  <c r="AY45" i="152"/>
  <c r="AY40" i="152"/>
  <c r="AY37" i="152"/>
  <c r="AY38" i="152"/>
  <c r="AY36" i="152"/>
  <c r="AY35" i="152"/>
  <c r="AY32" i="152"/>
  <c r="AY33" i="152"/>
  <c r="AY34" i="152" s="1"/>
  <c r="AY31" i="152"/>
  <c r="AZ26" i="152"/>
  <c r="AY26" i="152"/>
  <c r="AZ25" i="152"/>
  <c r="AY25" i="152"/>
  <c r="AZ24" i="152"/>
  <c r="AY24" i="152"/>
  <c r="AZ23" i="152"/>
  <c r="BB23" i="152" s="1"/>
  <c r="AY23" i="152"/>
  <c r="AZ22" i="152"/>
  <c r="AY22" i="152"/>
  <c r="AZ21" i="152"/>
  <c r="AY21" i="152"/>
  <c r="AY27" i="152" s="1"/>
  <c r="AZ20" i="152"/>
  <c r="AY20" i="152"/>
  <c r="AV21" i="152"/>
  <c r="AW21" i="152"/>
  <c r="AV22" i="152"/>
  <c r="AW22" i="152"/>
  <c r="AX22" i="152" s="1"/>
  <c r="AV23" i="152"/>
  <c r="AW23" i="152"/>
  <c r="AV24" i="152"/>
  <c r="AW24" i="152"/>
  <c r="AV25" i="152"/>
  <c r="AW25" i="152"/>
  <c r="AV26" i="152"/>
  <c r="AW26" i="152"/>
  <c r="AW20" i="152"/>
  <c r="AV20" i="152"/>
  <c r="AY16" i="152"/>
  <c r="AY17" i="152"/>
  <c r="AY15" i="152"/>
  <c r="AX8" i="152"/>
  <c r="AX7" i="152"/>
  <c r="AX16" i="152"/>
  <c r="AX15" i="152"/>
  <c r="AW8" i="152"/>
  <c r="AW7" i="152"/>
  <c r="AW6" i="152"/>
  <c r="AZ53" i="152"/>
  <c r="BB53" i="152" s="1"/>
  <c r="AY53" i="152"/>
  <c r="BB52" i="152"/>
  <c r="BB51" i="152"/>
  <c r="AY8" i="152"/>
  <c r="AV34" i="152"/>
  <c r="AX34" i="152"/>
  <c r="AX29" i="152"/>
  <c r="BB26" i="152"/>
  <c r="AX23" i="152"/>
  <c r="BB22" i="152"/>
  <c r="BB21" i="152"/>
  <c r="AX21" i="152"/>
  <c r="AZ27" i="152"/>
  <c r="AV27" i="152"/>
  <c r="AZ19" i="152"/>
  <c r="AY19" i="152"/>
  <c r="AW19" i="152"/>
  <c r="AV19" i="152"/>
  <c r="AX6" i="152"/>
  <c r="AY7" i="152"/>
  <c r="H82" i="131"/>
  <c r="H80" i="131"/>
  <c r="H78" i="131"/>
  <c r="H76" i="131"/>
  <c r="H74" i="131"/>
  <c r="H72" i="131"/>
  <c r="H70" i="131"/>
  <c r="H68" i="131"/>
  <c r="U87" i="131"/>
  <c r="U66" i="131"/>
  <c r="R68" i="131"/>
  <c r="R70" i="131" s="1"/>
  <c r="R72" i="131" s="1"/>
  <c r="R74" i="131" s="1"/>
  <c r="R76" i="131" s="1"/>
  <c r="R78" i="131" s="1"/>
  <c r="R80" i="131" s="1"/>
  <c r="X63" i="131"/>
  <c r="W64" i="131" s="1"/>
  <c r="X64" i="131" s="1"/>
  <c r="U85" i="131"/>
  <c r="U83" i="131"/>
  <c r="U81" i="131"/>
  <c r="U79" i="131"/>
  <c r="U77" i="131"/>
  <c r="U75" i="131"/>
  <c r="U73" i="131"/>
  <c r="U71" i="131"/>
  <c r="U69" i="131"/>
  <c r="T68" i="131"/>
  <c r="T70" i="131" s="1"/>
  <c r="T72" i="131" s="1"/>
  <c r="T74" i="131" s="1"/>
  <c r="T76" i="131" s="1"/>
  <c r="T78" i="131" s="1"/>
  <c r="T80" i="131" s="1"/>
  <c r="T82" i="131" s="1"/>
  <c r="T84" i="131" s="1"/>
  <c r="T86" i="131" s="1"/>
  <c r="T88" i="131" s="1"/>
  <c r="S68" i="131"/>
  <c r="S70" i="131" s="1"/>
  <c r="S72" i="131" s="1"/>
  <c r="S74" i="131" s="1"/>
  <c r="S76" i="131" s="1"/>
  <c r="S78" i="131" s="1"/>
  <c r="S80" i="131" s="1"/>
  <c r="S82" i="131" s="1"/>
  <c r="S84" i="131" s="1"/>
  <c r="S86" i="131" s="1"/>
  <c r="S88" i="131" s="1"/>
  <c r="U67" i="131"/>
  <c r="U68" i="131"/>
  <c r="N87" i="131"/>
  <c r="N85" i="131"/>
  <c r="N83" i="131"/>
  <c r="N81" i="131"/>
  <c r="N79" i="131"/>
  <c r="N77" i="131"/>
  <c r="N75" i="131"/>
  <c r="N73" i="131"/>
  <c r="N71" i="131"/>
  <c r="N69" i="131"/>
  <c r="P68" i="131"/>
  <c r="P70" i="131" s="1"/>
  <c r="P72" i="131" s="1"/>
  <c r="P74" i="131" s="1"/>
  <c r="P76" i="131" s="1"/>
  <c r="P78" i="131" s="1"/>
  <c r="P80" i="131" s="1"/>
  <c r="P82" i="131" s="1"/>
  <c r="P84" i="131" s="1"/>
  <c r="P86" i="131" s="1"/>
  <c r="P88" i="131" s="1"/>
  <c r="O68" i="131"/>
  <c r="O70" i="131" s="1"/>
  <c r="O72" i="131" s="1"/>
  <c r="O74" i="131" s="1"/>
  <c r="O76" i="131" s="1"/>
  <c r="O78" i="131" s="1"/>
  <c r="O80" i="131" s="1"/>
  <c r="O82" i="131" s="1"/>
  <c r="O84" i="131" s="1"/>
  <c r="O86" i="131" s="1"/>
  <c r="O88" i="131" s="1"/>
  <c r="M68" i="131"/>
  <c r="M70" i="131" s="1"/>
  <c r="M72" i="131" s="1"/>
  <c r="M74" i="131" s="1"/>
  <c r="M76" i="131" s="1"/>
  <c r="M78" i="131" s="1"/>
  <c r="M80" i="131" s="1"/>
  <c r="M82" i="131" s="1"/>
  <c r="M84" i="131" s="1"/>
  <c r="M86" i="131" s="1"/>
  <c r="M88" i="131" s="1"/>
  <c r="L68" i="131"/>
  <c r="L70" i="131" s="1"/>
  <c r="N67" i="131"/>
  <c r="N66" i="131"/>
  <c r="D75" i="131"/>
  <c r="G75" i="131" s="1"/>
  <c r="D87" i="131"/>
  <c r="G87" i="131" s="1"/>
  <c r="D85" i="131"/>
  <c r="G85" i="131" s="1"/>
  <c r="H88" i="131"/>
  <c r="D83" i="131"/>
  <c r="G83" i="131" s="1"/>
  <c r="D81" i="131"/>
  <c r="G81" i="131" s="1"/>
  <c r="D79" i="131"/>
  <c r="G79" i="131" s="1"/>
  <c r="D77" i="131"/>
  <c r="G77" i="131" s="1"/>
  <c r="D73" i="131"/>
  <c r="G73" i="131" s="1"/>
  <c r="D71" i="131"/>
  <c r="G71" i="131" s="1"/>
  <c r="D69" i="131"/>
  <c r="G69" i="131" s="1"/>
  <c r="F68" i="131"/>
  <c r="F70" i="131" s="1"/>
  <c r="F72" i="131" s="1"/>
  <c r="F74" i="131" s="1"/>
  <c r="F76" i="131" s="1"/>
  <c r="F78" i="131" s="1"/>
  <c r="F80" i="131" s="1"/>
  <c r="F82" i="131" s="1"/>
  <c r="F84" i="131" s="1"/>
  <c r="F86" i="131" s="1"/>
  <c r="F88" i="131" s="1"/>
  <c r="E68" i="131"/>
  <c r="E70" i="131" s="1"/>
  <c r="E72" i="131" s="1"/>
  <c r="E74" i="131" s="1"/>
  <c r="E76" i="131" s="1"/>
  <c r="E78" i="131" s="1"/>
  <c r="E80" i="131" s="1"/>
  <c r="E82" i="131" s="1"/>
  <c r="E84" i="131" s="1"/>
  <c r="E86" i="131" s="1"/>
  <c r="E88" i="131" s="1"/>
  <c r="C68" i="131"/>
  <c r="C70" i="131" s="1"/>
  <c r="C72" i="131" s="1"/>
  <c r="C74" i="131" s="1"/>
  <c r="C76" i="131" s="1"/>
  <c r="C78" i="131" s="1"/>
  <c r="C80" i="131" s="1"/>
  <c r="C82" i="131" s="1"/>
  <c r="C84" i="131" s="1"/>
  <c r="C86" i="131" s="1"/>
  <c r="C88" i="131" s="1"/>
  <c r="B68" i="131"/>
  <c r="D67" i="131"/>
  <c r="G67" i="131" s="1"/>
  <c r="D66" i="131"/>
  <c r="G66" i="131" s="1"/>
  <c r="Q40" i="156" l="1"/>
  <c r="Q40" i="155"/>
  <c r="Q41" i="156"/>
  <c r="T41" i="156" s="1"/>
  <c r="Q41" i="155"/>
  <c r="T41" i="155" s="1"/>
  <c r="AX10" i="152"/>
  <c r="AW9" i="152"/>
  <c r="AW10" i="152" s="1"/>
  <c r="I88" i="131"/>
  <c r="AZ55" i="152"/>
  <c r="AY9" i="152"/>
  <c r="AW27" i="152"/>
  <c r="BB27" i="152"/>
  <c r="BA24" i="152"/>
  <c r="AX27" i="152"/>
  <c r="AV55" i="152"/>
  <c r="AZ7" i="152"/>
  <c r="BA21" i="152" s="1"/>
  <c r="AX20" i="152"/>
  <c r="BB20" i="152"/>
  <c r="BA22" i="152"/>
  <c r="AZ56" i="152"/>
  <c r="AY12" i="152"/>
  <c r="AV56" i="152"/>
  <c r="AY6" i="152"/>
  <c r="AY10" i="152" s="1"/>
  <c r="U70" i="131"/>
  <c r="U72" i="131" s="1"/>
  <c r="U74" i="131"/>
  <c r="U76" i="131" s="1"/>
  <c r="U78" i="131" s="1"/>
  <c r="U80" i="131"/>
  <c r="U82" i="131" s="1"/>
  <c r="U84" i="131" s="1"/>
  <c r="U86" i="131" s="1"/>
  <c r="U88" i="131" s="1"/>
  <c r="R82" i="131"/>
  <c r="R84" i="131" s="1"/>
  <c r="R86" i="131" s="1"/>
  <c r="R88" i="131" s="1"/>
  <c r="L72" i="131"/>
  <c r="N70" i="131"/>
  <c r="N68" i="131"/>
  <c r="G68" i="131"/>
  <c r="G70" i="131" s="1"/>
  <c r="G72" i="131" s="1"/>
  <c r="G74" i="131" s="1"/>
  <c r="D68" i="131"/>
  <c r="D70" i="131" s="1"/>
  <c r="D72" i="131" s="1"/>
  <c r="D74" i="131" s="1"/>
  <c r="D76" i="131" s="1"/>
  <c r="D78" i="131" s="1"/>
  <c r="D80" i="131" s="1"/>
  <c r="D82" i="131" s="1"/>
  <c r="D84" i="131" s="1"/>
  <c r="D86" i="131" s="1"/>
  <c r="D88" i="131" s="1"/>
  <c r="B70" i="131"/>
  <c r="B72" i="131" s="1"/>
  <c r="B74" i="131" s="1"/>
  <c r="B76" i="131" s="1"/>
  <c r="B78" i="131" s="1"/>
  <c r="B80" i="131" s="1"/>
  <c r="B82" i="131" s="1"/>
  <c r="B84" i="131" s="1"/>
  <c r="B86" i="131" s="1"/>
  <c r="B88" i="131" s="1"/>
  <c r="D115" i="154"/>
  <c r="K66" i="154" s="1"/>
  <c r="L67" i="154" s="1"/>
  <c r="I115" i="154"/>
  <c r="F62" i="154" s="1"/>
  <c r="G17" i="154" s="1"/>
  <c r="H76" i="154"/>
  <c r="E76" i="154" s="1"/>
  <c r="E62" i="154"/>
  <c r="F17" i="154" s="1"/>
  <c r="R17" i="154" s="1"/>
  <c r="R17" i="155" s="1"/>
  <c r="G152" i="154"/>
  <c r="E61" i="154" s="1"/>
  <c r="F16" i="154" s="1"/>
  <c r="E152" i="154"/>
  <c r="E60" i="154" s="1"/>
  <c r="F15" i="154" s="1"/>
  <c r="R15" i="154" s="1"/>
  <c r="R15" i="155" s="1"/>
  <c r="F152" i="154"/>
  <c r="J67" i="154" s="1"/>
  <c r="H152" i="154"/>
  <c r="H74" i="154"/>
  <c r="E74" i="154" s="1"/>
  <c r="L152" i="154"/>
  <c r="J75" i="154" s="1"/>
  <c r="H75" i="154" s="1"/>
  <c r="E75" i="154" s="1"/>
  <c r="R36" i="154" s="1"/>
  <c r="R36" i="155" s="1"/>
  <c r="O21" i="154"/>
  <c r="P21" i="154"/>
  <c r="O22" i="154"/>
  <c r="P22" i="154"/>
  <c r="O23" i="154"/>
  <c r="P23" i="154"/>
  <c r="O24" i="154"/>
  <c r="O24" i="155" s="1"/>
  <c r="P24" i="154"/>
  <c r="P24" i="155" s="1"/>
  <c r="O25" i="154"/>
  <c r="P25" i="154"/>
  <c r="P25" i="155" s="1"/>
  <c r="O26" i="154"/>
  <c r="P26" i="154"/>
  <c r="P20" i="154"/>
  <c r="O20" i="154"/>
  <c r="S26" i="154"/>
  <c r="S26" i="155" s="1"/>
  <c r="R26" i="154"/>
  <c r="R26" i="155" s="1"/>
  <c r="S25" i="154"/>
  <c r="S25" i="155" s="1"/>
  <c r="R25" i="154"/>
  <c r="R25" i="155" s="1"/>
  <c r="S24" i="154"/>
  <c r="S24" i="155" s="1"/>
  <c r="R24" i="154"/>
  <c r="R24" i="155" s="1"/>
  <c r="S23" i="154"/>
  <c r="R23" i="154"/>
  <c r="R23" i="155" s="1"/>
  <c r="S22" i="154"/>
  <c r="R22" i="154"/>
  <c r="R22" i="155" s="1"/>
  <c r="S21" i="154"/>
  <c r="R21" i="154"/>
  <c r="R21" i="155" s="1"/>
  <c r="R20" i="154"/>
  <c r="R20" i="155" s="1"/>
  <c r="Q15" i="154"/>
  <c r="Q15" i="155" s="1"/>
  <c r="Q15" i="156" s="1"/>
  <c r="Q33" i="154"/>
  <c r="Q33" i="155" s="1"/>
  <c r="Q32" i="154"/>
  <c r="Q32" i="155" s="1"/>
  <c r="W32" i="155" s="1"/>
  <c r="Q4" i="154"/>
  <c r="M152" i="154"/>
  <c r="M115" i="154"/>
  <c r="L115" i="154"/>
  <c r="K75" i="154" s="1"/>
  <c r="I75" i="154" s="1"/>
  <c r="F75" i="154" s="1"/>
  <c r="K115" i="154"/>
  <c r="I76" i="154" s="1"/>
  <c r="F76" i="154" s="1"/>
  <c r="J115" i="154"/>
  <c r="I74" i="154" s="1"/>
  <c r="F74" i="154" s="1"/>
  <c r="H115" i="154"/>
  <c r="K68" i="154" s="1"/>
  <c r="L69" i="154" s="1"/>
  <c r="G115" i="154"/>
  <c r="F61" i="154" s="1"/>
  <c r="G16" i="154" s="1"/>
  <c r="F115" i="154"/>
  <c r="K67" i="154" s="1"/>
  <c r="L68" i="154" s="1"/>
  <c r="E115" i="154"/>
  <c r="R95" i="154"/>
  <c r="Q95" i="154"/>
  <c r="P95" i="154"/>
  <c r="O95" i="154"/>
  <c r="R94" i="154"/>
  <c r="Q94" i="154"/>
  <c r="P94" i="154"/>
  <c r="O94" i="154"/>
  <c r="Q86" i="154"/>
  <c r="Q85" i="154"/>
  <c r="Q84" i="154"/>
  <c r="K79" i="154"/>
  <c r="F72" i="154" s="1"/>
  <c r="J79" i="154"/>
  <c r="L78" i="154"/>
  <c r="F77" i="154"/>
  <c r="E77" i="154"/>
  <c r="Q74" i="154"/>
  <c r="K74" i="154"/>
  <c r="F73" i="154"/>
  <c r="E73" i="154"/>
  <c r="AD72" i="154"/>
  <c r="AB72" i="154"/>
  <c r="AA72" i="154"/>
  <c r="Y72" i="154"/>
  <c r="X72" i="154"/>
  <c r="V72" i="154"/>
  <c r="U72" i="154"/>
  <c r="C72" i="154"/>
  <c r="I71" i="154"/>
  <c r="F71" i="154" s="1"/>
  <c r="H71" i="154"/>
  <c r="E71" i="154" s="1"/>
  <c r="AE65" i="154"/>
  <c r="AD65" i="154"/>
  <c r="AB65" i="154"/>
  <c r="AA65" i="154"/>
  <c r="Y65" i="154"/>
  <c r="X65" i="154"/>
  <c r="V65" i="154"/>
  <c r="U65" i="154"/>
  <c r="J65" i="154"/>
  <c r="I64" i="154" s="1"/>
  <c r="L61" i="154"/>
  <c r="L62" i="154" s="1"/>
  <c r="P60" i="154"/>
  <c r="O60" i="154"/>
  <c r="AB59" i="154"/>
  <c r="V59" i="154"/>
  <c r="U59" i="154"/>
  <c r="AA59" i="154" s="1"/>
  <c r="L59" i="154"/>
  <c r="L60" i="154" s="1"/>
  <c r="R58" i="154"/>
  <c r="I58" i="154"/>
  <c r="H58" i="154"/>
  <c r="X55" i="154"/>
  <c r="G53" i="154"/>
  <c r="F53" i="154"/>
  <c r="I52" i="154"/>
  <c r="I51" i="154"/>
  <c r="J46" i="154"/>
  <c r="Z45" i="154"/>
  <c r="Y45" i="154"/>
  <c r="J45" i="154"/>
  <c r="AB44" i="154"/>
  <c r="AA44" i="154"/>
  <c r="J44" i="154"/>
  <c r="AB43" i="154"/>
  <c r="X43" i="154"/>
  <c r="AA43" i="154" s="1"/>
  <c r="AN43" i="154"/>
  <c r="J43" i="154"/>
  <c r="I43" i="154"/>
  <c r="H43" i="154"/>
  <c r="AB42" i="154"/>
  <c r="X42" i="154"/>
  <c r="AA42" i="154" s="1"/>
  <c r="J42" i="154"/>
  <c r="AM41" i="154"/>
  <c r="AB41" i="154"/>
  <c r="X41" i="154"/>
  <c r="R9" i="154"/>
  <c r="J41" i="154"/>
  <c r="I41" i="154"/>
  <c r="K37" i="154"/>
  <c r="X35" i="154"/>
  <c r="O34" i="154"/>
  <c r="C34" i="154"/>
  <c r="K32" i="154"/>
  <c r="K31" i="154"/>
  <c r="Q29" i="154"/>
  <c r="E29" i="154"/>
  <c r="W27" i="154"/>
  <c r="G27" i="154"/>
  <c r="D27" i="154"/>
  <c r="C27" i="154"/>
  <c r="W26" i="154"/>
  <c r="AA23" i="154"/>
  <c r="I23" i="154"/>
  <c r="E23" i="154"/>
  <c r="I22" i="154"/>
  <c r="E22" i="154"/>
  <c r="Z21" i="154"/>
  <c r="I21" i="154"/>
  <c r="E21" i="154"/>
  <c r="I20" i="154"/>
  <c r="E20" i="154"/>
  <c r="S19" i="154"/>
  <c r="R19" i="154"/>
  <c r="P19" i="154"/>
  <c r="O19" i="154"/>
  <c r="G19" i="154"/>
  <c r="D19" i="154" s="1"/>
  <c r="F19" i="154"/>
  <c r="C19" i="154" s="1"/>
  <c r="J15" i="154"/>
  <c r="AP12" i="154"/>
  <c r="AO10" i="154"/>
  <c r="AM10" i="154"/>
  <c r="AI10" i="154"/>
  <c r="AH10" i="154"/>
  <c r="AG10" i="154"/>
  <c r="AF10" i="154"/>
  <c r="AE10" i="154"/>
  <c r="C10" i="154"/>
  <c r="AP9" i="154"/>
  <c r="AP10" i="154" s="1"/>
  <c r="Z9" i="154"/>
  <c r="Y9" i="154"/>
  <c r="P10" i="154"/>
  <c r="F9" i="154"/>
  <c r="D10" i="154"/>
  <c r="Z8" i="154"/>
  <c r="Y8" i="154"/>
  <c r="Z7" i="154"/>
  <c r="Y7" i="154"/>
  <c r="G7" i="154"/>
  <c r="H24" i="154" s="1"/>
  <c r="F7" i="154"/>
  <c r="Z6" i="154"/>
  <c r="Y6" i="154"/>
  <c r="E4" i="154"/>
  <c r="Q22" i="155" l="1"/>
  <c r="Q20" i="155"/>
  <c r="Y10" i="154"/>
  <c r="R7" i="155"/>
  <c r="R27" i="155"/>
  <c r="S27" i="155"/>
  <c r="S7" i="155"/>
  <c r="U26" i="155"/>
  <c r="L80" i="154"/>
  <c r="E72" i="154"/>
  <c r="W33" i="155"/>
  <c r="Q34" i="155"/>
  <c r="O27" i="155"/>
  <c r="Q23" i="155"/>
  <c r="Q21" i="155"/>
  <c r="I53" i="154"/>
  <c r="V21" i="154"/>
  <c r="X45" i="154"/>
  <c r="AA45" i="154" s="1"/>
  <c r="V20" i="154"/>
  <c r="BA25" i="152"/>
  <c r="BB7" i="152"/>
  <c r="BA7" i="152"/>
  <c r="BA23" i="152"/>
  <c r="BA20" i="152"/>
  <c r="BA26" i="152"/>
  <c r="L74" i="131"/>
  <c r="N72" i="131"/>
  <c r="G76" i="131"/>
  <c r="G78" i="131" s="1"/>
  <c r="G80" i="131" s="1"/>
  <c r="G82" i="131" s="1"/>
  <c r="G84" i="131" s="1"/>
  <c r="G86" i="131" s="1"/>
  <c r="G88" i="131" s="1"/>
  <c r="Q47" i="154"/>
  <c r="Q47" i="155" s="1"/>
  <c r="Q48" i="154"/>
  <c r="Q48" i="155" s="1"/>
  <c r="H31" i="154"/>
  <c r="I31" i="154"/>
  <c r="E34" i="154"/>
  <c r="P115" i="154"/>
  <c r="R35" i="154"/>
  <c r="R35" i="155" s="1"/>
  <c r="I35" i="154"/>
  <c r="R16" i="154"/>
  <c r="C56" i="154"/>
  <c r="J16" i="154"/>
  <c r="C55" i="154"/>
  <c r="F6" i="154"/>
  <c r="J18" i="154"/>
  <c r="H33" i="154"/>
  <c r="R33" i="154"/>
  <c r="R33" i="155" s="1"/>
  <c r="I33" i="154"/>
  <c r="R38" i="154"/>
  <c r="R38" i="155" s="1"/>
  <c r="I37" i="154"/>
  <c r="U26" i="154"/>
  <c r="V22" i="154"/>
  <c r="I7" i="154"/>
  <c r="Q23" i="154"/>
  <c r="Q20" i="154"/>
  <c r="Q22" i="154"/>
  <c r="I17" i="154"/>
  <c r="F60" i="154"/>
  <c r="G15" i="154" s="1"/>
  <c r="K18" i="154" s="1"/>
  <c r="J66" i="154"/>
  <c r="E66" i="154"/>
  <c r="E68" i="154"/>
  <c r="J68" i="154"/>
  <c r="E27" i="154"/>
  <c r="H40" i="154"/>
  <c r="H41" i="154"/>
  <c r="AA41" i="154"/>
  <c r="H42" i="154"/>
  <c r="AB45" i="154"/>
  <c r="Q31" i="154"/>
  <c r="Z10" i="154"/>
  <c r="I40" i="154"/>
  <c r="I42" i="154"/>
  <c r="H7" i="154"/>
  <c r="R7" i="154"/>
  <c r="H32" i="154"/>
  <c r="F66" i="154"/>
  <c r="G47" i="154" s="1"/>
  <c r="O27" i="154"/>
  <c r="Q21" i="154"/>
  <c r="P27" i="154"/>
  <c r="J7" i="154"/>
  <c r="K7" i="154" s="1"/>
  <c r="L7" i="154" s="1"/>
  <c r="W7" i="154"/>
  <c r="V23" i="154"/>
  <c r="V26" i="154"/>
  <c r="R27" i="154"/>
  <c r="I27" i="154"/>
  <c r="X33" i="154"/>
  <c r="G34" i="154"/>
  <c r="D56" i="154"/>
  <c r="I16" i="154"/>
  <c r="H21" i="154"/>
  <c r="H23" i="154"/>
  <c r="H25" i="154"/>
  <c r="S27" i="154"/>
  <c r="E67" i="154"/>
  <c r="F68" i="154"/>
  <c r="G49" i="154" s="1"/>
  <c r="X32" i="154"/>
  <c r="F67" i="154"/>
  <c r="G48" i="154" s="1"/>
  <c r="K16" i="154"/>
  <c r="H20" i="154"/>
  <c r="H22" i="154"/>
  <c r="T20" i="155" l="1"/>
  <c r="V7" i="155"/>
  <c r="T24" i="155"/>
  <c r="U27" i="155"/>
  <c r="T23" i="155"/>
  <c r="Q12" i="155"/>
  <c r="T22" i="155"/>
  <c r="T26" i="155"/>
  <c r="T21" i="155"/>
  <c r="X31" i="154"/>
  <c r="Q31" i="155"/>
  <c r="W31" i="155" s="1"/>
  <c r="U7" i="155"/>
  <c r="T7" i="155"/>
  <c r="Z15" i="154"/>
  <c r="R16" i="155"/>
  <c r="Q27" i="155"/>
  <c r="W27" i="155"/>
  <c r="T25" i="155"/>
  <c r="U20" i="154"/>
  <c r="Q12" i="154"/>
  <c r="U21" i="154"/>
  <c r="U25" i="154"/>
  <c r="U23" i="154"/>
  <c r="U24" i="154"/>
  <c r="V7" i="154"/>
  <c r="H15" i="154"/>
  <c r="I15" i="154"/>
  <c r="D55" i="154"/>
  <c r="E55" i="154" s="1"/>
  <c r="BA27" i="152"/>
  <c r="L76" i="131"/>
  <c r="N74" i="131"/>
  <c r="H34" i="154"/>
  <c r="E12" i="154"/>
  <c r="H19" i="149" s="1"/>
  <c r="H47" i="154"/>
  <c r="G12" i="154"/>
  <c r="K19" i="149" s="1"/>
  <c r="H55" i="154"/>
  <c r="H56" i="154"/>
  <c r="K48" i="154"/>
  <c r="L48" i="154" s="1"/>
  <c r="H48" i="154" s="1"/>
  <c r="G6" i="154"/>
  <c r="I6" i="154" s="1"/>
  <c r="R49" i="154"/>
  <c r="R49" i="155" s="1"/>
  <c r="I49" i="154"/>
  <c r="R6" i="154"/>
  <c r="E56" i="154"/>
  <c r="O55" i="154"/>
  <c r="W18" i="154"/>
  <c r="O56" i="154"/>
  <c r="W16" i="154"/>
  <c r="I48" i="154"/>
  <c r="R48" i="154"/>
  <c r="R48" i="155" s="1"/>
  <c r="G56" i="154"/>
  <c r="J48" i="154"/>
  <c r="L18" i="154"/>
  <c r="I47" i="154"/>
  <c r="G55" i="154"/>
  <c r="R47" i="154"/>
  <c r="R47" i="155" s="1"/>
  <c r="F12" i="154"/>
  <c r="F34" i="154"/>
  <c r="I34" i="154" s="1"/>
  <c r="I32" i="154"/>
  <c r="R32" i="154"/>
  <c r="R32" i="155" s="1"/>
  <c r="R8" i="155" s="1"/>
  <c r="F8" i="154"/>
  <c r="F10" i="154" s="1"/>
  <c r="U22" i="154"/>
  <c r="H27" i="154"/>
  <c r="Q27" i="154"/>
  <c r="AN41" i="154"/>
  <c r="X27" i="154"/>
  <c r="V27" i="154"/>
  <c r="L17" i="154"/>
  <c r="Q34" i="154"/>
  <c r="T27" i="155" l="1"/>
  <c r="R12" i="155"/>
  <c r="O56" i="155"/>
  <c r="V16" i="155"/>
  <c r="Y15" i="155"/>
  <c r="V18" i="155"/>
  <c r="O55" i="155"/>
  <c r="R6" i="155"/>
  <c r="R10" i="155" s="1"/>
  <c r="S56" i="155"/>
  <c r="X55" i="155" s="1"/>
  <c r="Z55" i="155" s="1"/>
  <c r="S55" i="155"/>
  <c r="V48" i="155"/>
  <c r="V50" i="155"/>
  <c r="R34" i="155"/>
  <c r="U27" i="154"/>
  <c r="I56" i="154"/>
  <c r="I55" i="154"/>
  <c r="L78" i="131"/>
  <c r="N76" i="131"/>
  <c r="H12" i="154"/>
  <c r="I12" i="154"/>
  <c r="L49" i="154"/>
  <c r="J6" i="154"/>
  <c r="K6" i="154" s="1"/>
  <c r="L6" i="154" s="1"/>
  <c r="W6" i="154"/>
  <c r="S56" i="154"/>
  <c r="Y55" i="154" s="1"/>
  <c r="AA55" i="154" s="1"/>
  <c r="W48" i="154"/>
  <c r="R12" i="154"/>
  <c r="W50" i="154"/>
  <c r="S55" i="154"/>
  <c r="R34" i="154"/>
  <c r="R8" i="154"/>
  <c r="R10" i="154" s="1"/>
  <c r="M16" i="132"/>
  <c r="Y15" i="132"/>
  <c r="AE16" i="78"/>
  <c r="V16" i="78"/>
  <c r="T1" i="78"/>
  <c r="S58" i="155" l="1"/>
  <c r="L80" i="131"/>
  <c r="N78" i="131"/>
  <c r="S58" i="154"/>
  <c r="I18" i="149"/>
  <c r="L82" i="131" l="1"/>
  <c r="N80" i="131"/>
  <c r="G36" i="152"/>
  <c r="G35" i="152"/>
  <c r="O11" i="132"/>
  <c r="G37" i="152" s="1"/>
  <c r="G33" i="152"/>
  <c r="G32" i="152"/>
  <c r="G31" i="152"/>
  <c r="AE11" i="132"/>
  <c r="L84" i="131" l="1"/>
  <c r="N82" i="131"/>
  <c r="D46" i="132"/>
  <c r="C46" i="132"/>
  <c r="B46" i="132"/>
  <c r="S53" i="152"/>
  <c r="R53" i="152"/>
  <c r="F53" i="152"/>
  <c r="E46" i="132" l="1"/>
  <c r="L86" i="131"/>
  <c r="N84" i="131"/>
  <c r="R40" i="123"/>
  <c r="S40" i="123"/>
  <c r="R41" i="123"/>
  <c r="S41" i="123"/>
  <c r="R42" i="123"/>
  <c r="S42" i="123"/>
  <c r="R43" i="123"/>
  <c r="S43" i="123"/>
  <c r="R44" i="123"/>
  <c r="S44" i="123"/>
  <c r="S39" i="123"/>
  <c r="R39" i="123"/>
  <c r="R32" i="123"/>
  <c r="S32" i="123"/>
  <c r="R33" i="123"/>
  <c r="S33" i="123"/>
  <c r="R34" i="123"/>
  <c r="S34" i="123"/>
  <c r="R35" i="123"/>
  <c r="S35" i="123"/>
  <c r="R36" i="123"/>
  <c r="S36" i="123"/>
  <c r="R37" i="123"/>
  <c r="S37" i="123"/>
  <c r="S31" i="123"/>
  <c r="R31" i="123"/>
  <c r="R32" i="152"/>
  <c r="R33" i="152"/>
  <c r="R31" i="152"/>
  <c r="R41" i="152"/>
  <c r="R42" i="152"/>
  <c r="R43" i="152"/>
  <c r="S43" i="152"/>
  <c r="R44" i="152"/>
  <c r="R45" i="152"/>
  <c r="R40" i="152"/>
  <c r="G49" i="152"/>
  <c r="G48" i="152"/>
  <c r="G47" i="152"/>
  <c r="G17" i="152"/>
  <c r="G16" i="152"/>
  <c r="G15" i="152"/>
  <c r="G44" i="152"/>
  <c r="S44" i="152" s="1"/>
  <c r="AZ44" i="152" s="1"/>
  <c r="G41" i="152"/>
  <c r="G42" i="152"/>
  <c r="G40" i="152"/>
  <c r="O17" i="78"/>
  <c r="N17" i="78"/>
  <c r="M17" i="78"/>
  <c r="U16" i="78"/>
  <c r="G27" i="152"/>
  <c r="BB44" i="152" l="1"/>
  <c r="S44" i="154"/>
  <c r="L88" i="131"/>
  <c r="N88" i="131" s="1"/>
  <c r="N86" i="131"/>
  <c r="Y28" i="132"/>
  <c r="E6" i="152"/>
  <c r="Q9" i="152"/>
  <c r="AQ19" i="153"/>
  <c r="AP19" i="153"/>
  <c r="AQ12" i="153"/>
  <c r="AP12" i="153"/>
  <c r="AT48" i="153"/>
  <c r="AU48" i="153"/>
  <c r="AX48" i="153" s="1"/>
  <c r="AT49" i="153"/>
  <c r="AU49" i="153"/>
  <c r="AX49" i="153" s="1"/>
  <c r="AU47" i="153"/>
  <c r="AT47" i="153"/>
  <c r="AT41" i="153"/>
  <c r="AU41" i="153"/>
  <c r="AT42" i="153"/>
  <c r="AU42" i="153"/>
  <c r="AX42" i="153" s="1"/>
  <c r="AT43" i="153"/>
  <c r="AU43" i="153"/>
  <c r="AT44" i="153"/>
  <c r="AU44" i="153"/>
  <c r="AX44" i="153" s="1"/>
  <c r="AT45" i="153"/>
  <c r="AU45" i="153"/>
  <c r="AU40" i="153"/>
  <c r="AT40" i="153"/>
  <c r="AT36" i="153"/>
  <c r="AU36" i="153"/>
  <c r="AX36" i="153" s="1"/>
  <c r="AT37" i="153"/>
  <c r="AU37" i="153"/>
  <c r="AT38" i="153"/>
  <c r="AU38" i="153"/>
  <c r="AU35" i="153"/>
  <c r="AT35" i="153"/>
  <c r="AW35" i="153" s="1"/>
  <c r="AW33" i="153"/>
  <c r="AW34" i="153"/>
  <c r="AU34" i="153"/>
  <c r="AT34" i="153"/>
  <c r="AX47" i="153"/>
  <c r="AW47" i="153"/>
  <c r="AW49" i="153"/>
  <c r="AW48" i="153"/>
  <c r="AX45" i="153"/>
  <c r="AW45" i="153"/>
  <c r="AW44" i="153"/>
  <c r="AX43" i="153"/>
  <c r="AW43" i="153"/>
  <c r="AW42" i="153"/>
  <c r="AX41" i="153"/>
  <c r="AW41" i="153"/>
  <c r="AX40" i="153"/>
  <c r="AW40" i="153"/>
  <c r="AX38" i="153"/>
  <c r="AW38" i="153"/>
  <c r="AX37" i="153"/>
  <c r="AW37" i="153"/>
  <c r="AW36" i="153"/>
  <c r="AX35" i="153"/>
  <c r="AX33" i="153"/>
  <c r="AX32" i="153"/>
  <c r="AX34" i="153" s="1"/>
  <c r="AW32" i="153"/>
  <c r="AX31" i="153"/>
  <c r="AW31" i="153"/>
  <c r="AX23" i="153"/>
  <c r="AX24" i="153"/>
  <c r="AX25" i="153"/>
  <c r="AX26" i="153"/>
  <c r="AX22" i="153"/>
  <c r="AX21" i="153"/>
  <c r="AW21" i="153"/>
  <c r="AX20" i="153"/>
  <c r="AX27" i="153" s="1"/>
  <c r="AW16" i="153"/>
  <c r="AX16" i="153"/>
  <c r="AW17" i="153"/>
  <c r="AX17" i="153"/>
  <c r="AX15" i="153"/>
  <c r="AW15" i="153"/>
  <c r="AW6" i="153"/>
  <c r="AS48" i="153"/>
  <c r="AS44" i="153"/>
  <c r="AS42" i="153"/>
  <c r="AS40" i="153"/>
  <c r="AS37" i="153"/>
  <c r="AS35" i="153"/>
  <c r="AS32" i="153"/>
  <c r="AS31" i="153"/>
  <c r="AS23" i="153"/>
  <c r="AP27" i="153"/>
  <c r="AS16" i="153"/>
  <c r="AW8" i="153"/>
  <c r="AU33" i="153"/>
  <c r="AT33" i="153"/>
  <c r="AU32" i="153"/>
  <c r="AT32" i="153"/>
  <c r="AU31" i="153"/>
  <c r="AT31" i="153"/>
  <c r="AU27" i="153"/>
  <c r="AU26" i="153"/>
  <c r="AT26" i="153"/>
  <c r="AW26" i="153" s="1"/>
  <c r="AU25" i="153"/>
  <c r="AT25" i="153"/>
  <c r="AW25" i="153" s="1"/>
  <c r="AU24" i="153"/>
  <c r="AT24" i="153"/>
  <c r="AW24" i="153" s="1"/>
  <c r="AU23" i="153"/>
  <c r="AT23" i="153"/>
  <c r="AW23" i="153" s="1"/>
  <c r="AU22" i="153"/>
  <c r="AT22" i="153"/>
  <c r="AW22" i="153" s="1"/>
  <c r="AU21" i="153"/>
  <c r="AT21" i="153"/>
  <c r="AU20" i="153"/>
  <c r="AT20" i="153"/>
  <c r="AW20" i="153" s="1"/>
  <c r="AQ27" i="153"/>
  <c r="AS17" i="153"/>
  <c r="AU17" i="153"/>
  <c r="AT17" i="153"/>
  <c r="AU16" i="153"/>
  <c r="AT16" i="153"/>
  <c r="AU15" i="153"/>
  <c r="AT15" i="153"/>
  <c r="AX6" i="153"/>
  <c r="AU6" i="153"/>
  <c r="F57" i="132"/>
  <c r="I59" i="132"/>
  <c r="I58" i="132"/>
  <c r="I57" i="132"/>
  <c r="G59" i="132"/>
  <c r="G58" i="132"/>
  <c r="G57" i="132"/>
  <c r="F59" i="132"/>
  <c r="F58" i="132"/>
  <c r="B58" i="132"/>
  <c r="C58" i="132"/>
  <c r="D58" i="132"/>
  <c r="B59" i="132"/>
  <c r="C59" i="132"/>
  <c r="D59" i="132"/>
  <c r="E59" i="132" s="1"/>
  <c r="C57" i="132"/>
  <c r="D57" i="132"/>
  <c r="B57" i="132"/>
  <c r="F61" i="132"/>
  <c r="F62" i="132"/>
  <c r="F63" i="132"/>
  <c r="F64" i="132"/>
  <c r="F65" i="132"/>
  <c r="F66" i="132"/>
  <c r="F67" i="132"/>
  <c r="F60" i="132"/>
  <c r="D68" i="132"/>
  <c r="C68" i="132"/>
  <c r="B68" i="132"/>
  <c r="AX7" i="153"/>
  <c r="AW9" i="153"/>
  <c r="AU7" i="153"/>
  <c r="AT8" i="153"/>
  <c r="AU8" i="153"/>
  <c r="AT9" i="153"/>
  <c r="AU9" i="153"/>
  <c r="AT6" i="153"/>
  <c r="AQ53" i="153"/>
  <c r="AS53" i="153" s="1"/>
  <c r="AS52" i="153"/>
  <c r="AS51" i="153"/>
  <c r="AS49" i="153"/>
  <c r="AR48" i="153"/>
  <c r="AO48" i="153"/>
  <c r="AO12" i="153" s="1"/>
  <c r="AS47" i="153"/>
  <c r="AO47" i="153"/>
  <c r="AS45" i="153"/>
  <c r="AS41" i="153"/>
  <c r="AS38" i="153"/>
  <c r="AS36" i="153"/>
  <c r="AM34" i="153"/>
  <c r="AO33" i="153"/>
  <c r="AN33" i="153"/>
  <c r="AR32" i="153"/>
  <c r="AO32" i="153"/>
  <c r="AO34" i="153" s="1"/>
  <c r="AN32" i="153"/>
  <c r="AN34" i="153" s="1"/>
  <c r="AO31" i="153"/>
  <c r="AO29" i="153"/>
  <c r="AN26" i="153"/>
  <c r="AM26" i="153"/>
  <c r="AN25" i="153"/>
  <c r="AM25" i="153"/>
  <c r="AN24" i="153"/>
  <c r="AM24" i="153"/>
  <c r="AN23" i="153"/>
  <c r="AO23" i="153" s="1"/>
  <c r="AM23" i="153"/>
  <c r="AS22" i="153"/>
  <c r="AN22" i="153"/>
  <c r="AO22" i="153" s="1"/>
  <c r="AM22" i="153"/>
  <c r="AS21" i="153"/>
  <c r="AO21" i="153"/>
  <c r="AN21" i="153"/>
  <c r="AM21" i="153"/>
  <c r="AS20" i="153"/>
  <c r="AN20" i="153"/>
  <c r="AO20" i="153" s="1"/>
  <c r="AM20" i="153"/>
  <c r="AM27" i="153" s="1"/>
  <c r="AN19" i="153"/>
  <c r="AR16" i="153"/>
  <c r="AO16" i="153"/>
  <c r="AS15" i="153"/>
  <c r="AO15" i="153"/>
  <c r="AO6" i="153" s="1"/>
  <c r="AO10" i="153" s="1"/>
  <c r="AN9" i="153"/>
  <c r="AN10" i="153" s="1"/>
  <c r="AO8" i="153"/>
  <c r="AO7" i="153"/>
  <c r="AM19" i="153"/>
  <c r="AO4" i="153"/>
  <c r="X6" i="153"/>
  <c r="Y6" i="153"/>
  <c r="X7" i="153"/>
  <c r="X10" i="153" s="1"/>
  <c r="Y7" i="153"/>
  <c r="X8" i="153"/>
  <c r="Y8" i="153"/>
  <c r="X9" i="153"/>
  <c r="Y9" i="153"/>
  <c r="AD10" i="153"/>
  <c r="AE10" i="153"/>
  <c r="AF10" i="153"/>
  <c r="AG10" i="153"/>
  <c r="AH10" i="153"/>
  <c r="Y21" i="153"/>
  <c r="Z23" i="153"/>
  <c r="V26" i="153"/>
  <c r="V27" i="153"/>
  <c r="W35" i="153"/>
  <c r="W41" i="153"/>
  <c r="Z41" i="153" s="1"/>
  <c r="AA41" i="153"/>
  <c r="W42" i="153"/>
  <c r="Z42" i="153" s="1"/>
  <c r="AA42" i="153"/>
  <c r="W43" i="153"/>
  <c r="Z43" i="153" s="1"/>
  <c r="AA43" i="153"/>
  <c r="Z44" i="153"/>
  <c r="AA44" i="153"/>
  <c r="X45" i="153"/>
  <c r="Y45" i="153"/>
  <c r="W55" i="153"/>
  <c r="Z59" i="153"/>
  <c r="AA59" i="153"/>
  <c r="W65" i="153"/>
  <c r="X65" i="153"/>
  <c r="Z65" i="153"/>
  <c r="AA65" i="153"/>
  <c r="AC65" i="153"/>
  <c r="AD65" i="153"/>
  <c r="W72" i="153"/>
  <c r="X72" i="153"/>
  <c r="Z72" i="153"/>
  <c r="AA72" i="153"/>
  <c r="AC72" i="153"/>
  <c r="M152" i="153"/>
  <c r="L152" i="153"/>
  <c r="K152" i="153"/>
  <c r="H76" i="153" s="1"/>
  <c r="E76" i="153" s="1"/>
  <c r="F37" i="153" s="1"/>
  <c r="R37" i="153" s="1"/>
  <c r="J152" i="153"/>
  <c r="H74" i="153" s="1"/>
  <c r="E74" i="153" s="1"/>
  <c r="F35" i="153" s="1"/>
  <c r="R35" i="153" s="1"/>
  <c r="I152" i="153"/>
  <c r="H152" i="153"/>
  <c r="G152" i="153"/>
  <c r="F152" i="153"/>
  <c r="H67" i="153" s="1"/>
  <c r="J67" i="153" s="1"/>
  <c r="E152" i="153"/>
  <c r="D152" i="153"/>
  <c r="M115" i="153"/>
  <c r="L115" i="153"/>
  <c r="K75" i="153" s="1"/>
  <c r="I75" i="153" s="1"/>
  <c r="F75" i="153" s="1"/>
  <c r="G36" i="153" s="1"/>
  <c r="S36" i="153" s="1"/>
  <c r="K115" i="153"/>
  <c r="J115" i="153"/>
  <c r="I115" i="153"/>
  <c r="H115" i="153"/>
  <c r="I68" i="153" s="1"/>
  <c r="K68" i="153" s="1"/>
  <c r="L69" i="153" s="1"/>
  <c r="G115" i="153"/>
  <c r="F115" i="153"/>
  <c r="E115" i="153"/>
  <c r="I60" i="153" s="1"/>
  <c r="F60" i="153" s="1"/>
  <c r="G15" i="153" s="1"/>
  <c r="D115" i="153"/>
  <c r="I66" i="153" s="1"/>
  <c r="K66" i="153" s="1"/>
  <c r="L67" i="153" s="1"/>
  <c r="R95" i="153"/>
  <c r="Q95" i="153"/>
  <c r="P95" i="153"/>
  <c r="O95" i="153"/>
  <c r="R94" i="153"/>
  <c r="Q94" i="153"/>
  <c r="P94" i="153"/>
  <c r="O94" i="153"/>
  <c r="Q86" i="153"/>
  <c r="Q85" i="153"/>
  <c r="Q84" i="153"/>
  <c r="K79" i="153"/>
  <c r="F72" i="153" s="1"/>
  <c r="G32" i="153" s="1"/>
  <c r="J79" i="153"/>
  <c r="L80" i="153" s="1"/>
  <c r="L78" i="153"/>
  <c r="I77" i="153"/>
  <c r="F77" i="153" s="1"/>
  <c r="H77" i="153"/>
  <c r="E77" i="153" s="1"/>
  <c r="I76" i="153"/>
  <c r="F76" i="153" s="1"/>
  <c r="G37" i="153" s="1"/>
  <c r="J75" i="153"/>
  <c r="H75" i="153" s="1"/>
  <c r="E75" i="153" s="1"/>
  <c r="F36" i="153" s="1"/>
  <c r="Q74" i="153"/>
  <c r="K74" i="153"/>
  <c r="I74" i="153"/>
  <c r="F74" i="153" s="1"/>
  <c r="G35" i="153" s="1"/>
  <c r="F73" i="153"/>
  <c r="G33" i="153" s="1"/>
  <c r="E73" i="153"/>
  <c r="F33" i="153" s="1"/>
  <c r="R33" i="153" s="1"/>
  <c r="U72" i="153"/>
  <c r="T72" i="153"/>
  <c r="C72" i="153"/>
  <c r="I71" i="153"/>
  <c r="F71" i="153" s="1"/>
  <c r="G31" i="153" s="1"/>
  <c r="H71" i="153"/>
  <c r="E71" i="153" s="1"/>
  <c r="F31" i="153" s="1"/>
  <c r="R31" i="153" s="1"/>
  <c r="H68" i="153"/>
  <c r="J68" i="153" s="1"/>
  <c r="I67" i="153"/>
  <c r="F67" i="153" s="1"/>
  <c r="G48" i="153" s="1"/>
  <c r="H66" i="153"/>
  <c r="E66" i="153" s="1"/>
  <c r="F47" i="153" s="1"/>
  <c r="R47" i="153" s="1"/>
  <c r="U65" i="153"/>
  <c r="T65" i="153"/>
  <c r="J65" i="153"/>
  <c r="I64" i="153" s="1"/>
  <c r="I62" i="153"/>
  <c r="F62" i="153" s="1"/>
  <c r="G17" i="153" s="1"/>
  <c r="H62" i="153"/>
  <c r="E62" i="153" s="1"/>
  <c r="F17" i="153" s="1"/>
  <c r="R17" i="153" s="1"/>
  <c r="L61" i="153"/>
  <c r="L62" i="153" s="1"/>
  <c r="I61" i="153"/>
  <c r="F61" i="153" s="1"/>
  <c r="G16" i="153" s="1"/>
  <c r="H61" i="153"/>
  <c r="E61" i="153" s="1"/>
  <c r="F16" i="153" s="1"/>
  <c r="P60" i="153"/>
  <c r="O60" i="153"/>
  <c r="H60" i="153"/>
  <c r="E60" i="153" s="1"/>
  <c r="F15" i="153" s="1"/>
  <c r="U59" i="153"/>
  <c r="T59" i="153"/>
  <c r="L59" i="153"/>
  <c r="L60" i="153" s="1"/>
  <c r="R58" i="153"/>
  <c r="I58" i="153"/>
  <c r="H58" i="153"/>
  <c r="S53" i="153"/>
  <c r="U53" i="153" s="1"/>
  <c r="G53" i="153"/>
  <c r="I53" i="153" s="1"/>
  <c r="U52" i="153"/>
  <c r="I52" i="153"/>
  <c r="U51" i="153"/>
  <c r="I51" i="153"/>
  <c r="E48" i="153"/>
  <c r="Q48" i="153" s="1"/>
  <c r="E47" i="153"/>
  <c r="Q47" i="153" s="1"/>
  <c r="J46" i="153"/>
  <c r="R45" i="153"/>
  <c r="J45" i="153"/>
  <c r="S44" i="153"/>
  <c r="R44" i="153"/>
  <c r="J44" i="153"/>
  <c r="I44" i="153"/>
  <c r="S43" i="153"/>
  <c r="R43" i="153"/>
  <c r="J43" i="153"/>
  <c r="I43" i="153"/>
  <c r="H43" i="153"/>
  <c r="R42" i="153"/>
  <c r="J42" i="153"/>
  <c r="G42" i="153"/>
  <c r="S42" i="153" s="1"/>
  <c r="R41" i="153"/>
  <c r="J41" i="153"/>
  <c r="G41" i="153"/>
  <c r="I41" i="153" s="1"/>
  <c r="R40" i="153"/>
  <c r="G40" i="153"/>
  <c r="I40" i="153" s="1"/>
  <c r="R38" i="153"/>
  <c r="K37" i="153"/>
  <c r="O34" i="153"/>
  <c r="C34" i="153"/>
  <c r="K32" i="153"/>
  <c r="K31" i="153"/>
  <c r="Q29" i="153"/>
  <c r="E29" i="153"/>
  <c r="G27" i="153"/>
  <c r="F27" i="153"/>
  <c r="D27" i="153"/>
  <c r="C27" i="153"/>
  <c r="S26" i="153"/>
  <c r="R26" i="153"/>
  <c r="P26" i="153"/>
  <c r="O26" i="153"/>
  <c r="S25" i="153"/>
  <c r="R25" i="153"/>
  <c r="P25" i="153"/>
  <c r="O25" i="153"/>
  <c r="S24" i="153"/>
  <c r="R24" i="153"/>
  <c r="P24" i="153"/>
  <c r="O24" i="153"/>
  <c r="S23" i="153"/>
  <c r="U23" i="153" s="1"/>
  <c r="R23" i="153"/>
  <c r="P23" i="153"/>
  <c r="O23" i="153"/>
  <c r="I23" i="153"/>
  <c r="E23" i="153"/>
  <c r="S22" i="153"/>
  <c r="R22" i="153"/>
  <c r="P22" i="153"/>
  <c r="O22" i="153"/>
  <c r="I22" i="153"/>
  <c r="E22" i="153"/>
  <c r="S21" i="153"/>
  <c r="R21" i="153"/>
  <c r="P21" i="153"/>
  <c r="O21" i="153"/>
  <c r="I21" i="153"/>
  <c r="E21" i="153"/>
  <c r="S20" i="153"/>
  <c r="R20" i="153"/>
  <c r="U20" i="153" s="1"/>
  <c r="P20" i="153"/>
  <c r="O20" i="153"/>
  <c r="I20" i="153"/>
  <c r="E20" i="153"/>
  <c r="G19" i="153"/>
  <c r="D19" i="153" s="1"/>
  <c r="F19" i="153"/>
  <c r="C19" i="153" s="1"/>
  <c r="E16" i="153"/>
  <c r="Q16" i="153" s="1"/>
  <c r="J15" i="153"/>
  <c r="E15" i="153"/>
  <c r="Q15" i="153" s="1"/>
  <c r="C10" i="153"/>
  <c r="P9" i="153"/>
  <c r="P10" i="153" s="1"/>
  <c r="F9" i="153"/>
  <c r="D9" i="153"/>
  <c r="D10" i="153" s="1"/>
  <c r="G7" i="153"/>
  <c r="H25" i="153" s="1"/>
  <c r="F7" i="153"/>
  <c r="E7" i="153"/>
  <c r="Q7" i="153" s="1"/>
  <c r="S4" i="153"/>
  <c r="S19" i="153" s="1"/>
  <c r="R4" i="153"/>
  <c r="O19" i="153" s="1"/>
  <c r="E4" i="153"/>
  <c r="Q4" i="153" s="1"/>
  <c r="Y12" i="127"/>
  <c r="Y10" i="127"/>
  <c r="H115" i="152"/>
  <c r="P20" i="152"/>
  <c r="Q16" i="154"/>
  <c r="Q16" i="155" s="1"/>
  <c r="E8" i="153"/>
  <c r="Q8" i="153" s="1"/>
  <c r="E32" i="153"/>
  <c r="E33" i="153"/>
  <c r="Q33" i="153" s="1"/>
  <c r="W33" i="153" s="1"/>
  <c r="E31" i="153"/>
  <c r="Q31" i="153" s="1"/>
  <c r="W31" i="153" s="1"/>
  <c r="L115" i="152"/>
  <c r="J115" i="152"/>
  <c r="I115" i="152"/>
  <c r="G115" i="152"/>
  <c r="D115" i="152"/>
  <c r="L152" i="152"/>
  <c r="I152" i="152"/>
  <c r="H152" i="152"/>
  <c r="G152" i="152"/>
  <c r="F152" i="152"/>
  <c r="E152" i="152"/>
  <c r="J152" i="152"/>
  <c r="D152" i="152"/>
  <c r="K152" i="152"/>
  <c r="K115" i="152"/>
  <c r="F115" i="152"/>
  <c r="E115" i="152"/>
  <c r="S26" i="152"/>
  <c r="V26" i="152"/>
  <c r="AO18" i="151"/>
  <c r="O68" i="151"/>
  <c r="O69" i="151" s="1"/>
  <c r="K168" i="78"/>
  <c r="K167" i="78"/>
  <c r="Q6" i="155" l="1"/>
  <c r="Q10" i="155" s="1"/>
  <c r="Q16" i="156"/>
  <c r="Q6" i="156" s="1"/>
  <c r="Q10" i="156" s="1"/>
  <c r="AN44" i="154"/>
  <c r="S44" i="155"/>
  <c r="S44" i="156"/>
  <c r="AW27" i="153"/>
  <c r="L16" i="154"/>
  <c r="H16" i="154" s="1"/>
  <c r="E57" i="132"/>
  <c r="H57" i="132" s="1"/>
  <c r="J57" i="132" s="1"/>
  <c r="H59" i="132"/>
  <c r="J59" i="132" s="1"/>
  <c r="AP10" i="153"/>
  <c r="AS33" i="153"/>
  <c r="AS26" i="153"/>
  <c r="E68" i="132"/>
  <c r="E58" i="132"/>
  <c r="AS34" i="153"/>
  <c r="AS27" i="153"/>
  <c r="AN27" i="153"/>
  <c r="AO27" i="153" s="1"/>
  <c r="AR15" i="153"/>
  <c r="AR34" i="153"/>
  <c r="AR40" i="153"/>
  <c r="AR41" i="153"/>
  <c r="AR42" i="153"/>
  <c r="AR24" i="153"/>
  <c r="AR31" i="153"/>
  <c r="AR33" i="153"/>
  <c r="AR47" i="153"/>
  <c r="R9" i="153"/>
  <c r="K67" i="153"/>
  <c r="L68" i="153" s="1"/>
  <c r="J66" i="153"/>
  <c r="E72" i="153"/>
  <c r="F32" i="153" s="1"/>
  <c r="R32" i="153" s="1"/>
  <c r="Y10" i="153"/>
  <c r="Q21" i="153"/>
  <c r="U22" i="153"/>
  <c r="S7" i="153"/>
  <c r="T20" i="153" s="1"/>
  <c r="U26" i="153"/>
  <c r="I27" i="153"/>
  <c r="Q23" i="153"/>
  <c r="I42" i="153"/>
  <c r="C56" i="153"/>
  <c r="AA45" i="153"/>
  <c r="W45" i="153"/>
  <c r="Z45" i="153" s="1"/>
  <c r="V7" i="153"/>
  <c r="Q20" i="153"/>
  <c r="R7" i="153"/>
  <c r="E34" i="153"/>
  <c r="U44" i="153"/>
  <c r="I33" i="153"/>
  <c r="H33" i="153"/>
  <c r="E27" i="153"/>
  <c r="E6" i="153"/>
  <c r="E10" i="153" s="1"/>
  <c r="J7" i="153"/>
  <c r="K7" i="153" s="1"/>
  <c r="L7" i="153" s="1"/>
  <c r="R27" i="153"/>
  <c r="U21" i="153"/>
  <c r="Q22" i="153"/>
  <c r="Q12" i="153"/>
  <c r="E12" i="153"/>
  <c r="O27" i="153"/>
  <c r="S27" i="153"/>
  <c r="U27" i="153" s="1"/>
  <c r="P115" i="153"/>
  <c r="F6" i="153"/>
  <c r="J18" i="153"/>
  <c r="C55" i="153"/>
  <c r="R15" i="153"/>
  <c r="I31" i="153"/>
  <c r="H31" i="153"/>
  <c r="Q6" i="153"/>
  <c r="Q10" i="153" s="1"/>
  <c r="R34" i="153"/>
  <c r="G6" i="153"/>
  <c r="V6" i="153" s="1"/>
  <c r="D55" i="153"/>
  <c r="I15" i="153"/>
  <c r="H15" i="153"/>
  <c r="I17" i="153"/>
  <c r="K16" i="153"/>
  <c r="K18" i="153"/>
  <c r="I16" i="153"/>
  <c r="D56" i="153"/>
  <c r="R36" i="153"/>
  <c r="U36" i="153" s="1"/>
  <c r="U42" i="153"/>
  <c r="T42" i="153"/>
  <c r="S35" i="153"/>
  <c r="U35" i="153" s="1"/>
  <c r="I35" i="153"/>
  <c r="I37" i="153"/>
  <c r="S37" i="153"/>
  <c r="U37" i="153" s="1"/>
  <c r="P19" i="153"/>
  <c r="H20" i="153"/>
  <c r="T22" i="153"/>
  <c r="P27" i="153"/>
  <c r="W27" i="153" s="1"/>
  <c r="F66" i="153"/>
  <c r="G47" i="153" s="1"/>
  <c r="E68" i="153"/>
  <c r="F49" i="153" s="1"/>
  <c r="R49" i="153" s="1"/>
  <c r="R19" i="153"/>
  <c r="T21" i="153"/>
  <c r="H22" i="153"/>
  <c r="H24" i="153"/>
  <c r="G34" i="153"/>
  <c r="G8" i="153" s="1"/>
  <c r="V8" i="153" s="1"/>
  <c r="S40" i="153"/>
  <c r="E67" i="153"/>
  <c r="F48" i="153" s="1"/>
  <c r="F68" i="153"/>
  <c r="G49" i="153" s="1"/>
  <c r="H56" i="153" s="1"/>
  <c r="H7" i="153"/>
  <c r="J16" i="153"/>
  <c r="R16" i="153"/>
  <c r="H21" i="153"/>
  <c r="H32" i="153"/>
  <c r="Q32" i="153"/>
  <c r="H40" i="153"/>
  <c r="H41" i="153"/>
  <c r="S41" i="153"/>
  <c r="I7" i="153"/>
  <c r="H23" i="153"/>
  <c r="H42" i="153"/>
  <c r="L132" i="78"/>
  <c r="L148" i="78"/>
  <c r="L110" i="78"/>
  <c r="L56" i="78"/>
  <c r="L16" i="78"/>
  <c r="L72" i="78"/>
  <c r="L73" i="78"/>
  <c r="U44" i="156" l="1"/>
  <c r="AM44" i="156"/>
  <c r="U44" i="155"/>
  <c r="AM44" i="155"/>
  <c r="E10" i="154"/>
  <c r="H6" i="154"/>
  <c r="H58" i="132"/>
  <c r="J58" i="132" s="1"/>
  <c r="AR26" i="153"/>
  <c r="AS12" i="153"/>
  <c r="AR12" i="153"/>
  <c r="AR23" i="153"/>
  <c r="AR7" i="153"/>
  <c r="AR25" i="153"/>
  <c r="AR20" i="153"/>
  <c r="AS7" i="153"/>
  <c r="AR22" i="153"/>
  <c r="AR21" i="153"/>
  <c r="F8" i="153"/>
  <c r="I32" i="153"/>
  <c r="T26" i="153"/>
  <c r="F34" i="153"/>
  <c r="I34" i="153" s="1"/>
  <c r="U7" i="153"/>
  <c r="K48" i="153"/>
  <c r="T23" i="153"/>
  <c r="T7" i="153"/>
  <c r="T25" i="153"/>
  <c r="E56" i="153"/>
  <c r="T24" i="153"/>
  <c r="W32" i="153"/>
  <c r="V16" i="153"/>
  <c r="V18" i="153"/>
  <c r="Y15" i="153"/>
  <c r="T27" i="153"/>
  <c r="H27" i="153"/>
  <c r="L18" i="153"/>
  <c r="E55" i="153"/>
  <c r="H8" i="153"/>
  <c r="J8" i="153"/>
  <c r="K8" i="153" s="1"/>
  <c r="L8" i="153" s="1"/>
  <c r="I8" i="153"/>
  <c r="L48" i="153"/>
  <c r="H48" i="153" s="1"/>
  <c r="R8" i="153"/>
  <c r="O55" i="153"/>
  <c r="R6" i="153"/>
  <c r="T41" i="153"/>
  <c r="U41" i="153"/>
  <c r="U40" i="153"/>
  <c r="T40" i="153"/>
  <c r="Q27" i="153"/>
  <c r="L17" i="153"/>
  <c r="L16" i="153"/>
  <c r="H16" i="153" s="1"/>
  <c r="J6" i="153"/>
  <c r="K6" i="153" s="1"/>
  <c r="L6" i="153" s="1"/>
  <c r="I6" i="153"/>
  <c r="H6" i="153"/>
  <c r="O56" i="153"/>
  <c r="I49" i="153"/>
  <c r="H34" i="153"/>
  <c r="G12" i="153"/>
  <c r="I47" i="153"/>
  <c r="H55" i="153"/>
  <c r="H47" i="153"/>
  <c r="G55" i="153"/>
  <c r="G56" i="153"/>
  <c r="I56" i="153" s="1"/>
  <c r="R48" i="153"/>
  <c r="J48" i="153"/>
  <c r="L49" i="153" s="1"/>
  <c r="I48" i="153"/>
  <c r="F12" i="153"/>
  <c r="Q34" i="153"/>
  <c r="F10" i="153"/>
  <c r="C39" i="132"/>
  <c r="C61" i="132" s="1"/>
  <c r="D39" i="132"/>
  <c r="D61" i="132" s="1"/>
  <c r="C40" i="132"/>
  <c r="C62" i="132" s="1"/>
  <c r="D40" i="132"/>
  <c r="D62" i="132" s="1"/>
  <c r="C41" i="132"/>
  <c r="C63" i="132" s="1"/>
  <c r="D41" i="132"/>
  <c r="D63" i="132" s="1"/>
  <c r="C42" i="132"/>
  <c r="C64" i="132" s="1"/>
  <c r="D42" i="132"/>
  <c r="D64" i="132" s="1"/>
  <c r="C43" i="132"/>
  <c r="C65" i="132" s="1"/>
  <c r="D43" i="132"/>
  <c r="D65" i="132" s="1"/>
  <c r="C44" i="132"/>
  <c r="C66" i="132" s="1"/>
  <c r="D44" i="132"/>
  <c r="D66" i="132" s="1"/>
  <c r="C45" i="132"/>
  <c r="C67" i="132" s="1"/>
  <c r="D45" i="132"/>
  <c r="D67" i="132" s="1"/>
  <c r="D38" i="132"/>
  <c r="C38" i="132"/>
  <c r="B38" i="132"/>
  <c r="C60" i="132" l="1"/>
  <c r="C69" i="132" s="1"/>
  <c r="B60" i="132"/>
  <c r="D60" i="132"/>
  <c r="D69" i="132" s="1"/>
  <c r="E38" i="132"/>
  <c r="AR27" i="153"/>
  <c r="V48" i="153"/>
  <c r="V50" i="153"/>
  <c r="S55" i="153"/>
  <c r="S56" i="153"/>
  <c r="X55" i="153" s="1"/>
  <c r="Z55" i="153" s="1"/>
  <c r="R12" i="153"/>
  <c r="H12" i="153"/>
  <c r="I12" i="153"/>
  <c r="R10" i="153"/>
  <c r="I55" i="153"/>
  <c r="X35" i="97"/>
  <c r="C70" i="132" l="1"/>
  <c r="E60" i="132"/>
  <c r="D70" i="132"/>
  <c r="S58" i="153"/>
  <c r="AT13" i="97"/>
  <c r="AT6" i="97"/>
  <c r="Q48" i="152"/>
  <c r="Q33" i="152"/>
  <c r="H77" i="152"/>
  <c r="E77" i="152" s="1"/>
  <c r="I77" i="152"/>
  <c r="F77" i="152" s="1"/>
  <c r="H71" i="152"/>
  <c r="E71" i="152" s="1"/>
  <c r="I76" i="152"/>
  <c r="F76" i="152" s="1"/>
  <c r="I60" i="152"/>
  <c r="F60" i="152" s="1"/>
  <c r="I67" i="152"/>
  <c r="K67" i="152" s="1"/>
  <c r="L68" i="152" s="1"/>
  <c r="I61" i="152"/>
  <c r="F61" i="152" s="1"/>
  <c r="I62" i="152"/>
  <c r="F62" i="152" s="1"/>
  <c r="I74" i="152"/>
  <c r="F74" i="152" s="1"/>
  <c r="K75" i="152"/>
  <c r="I75" i="152" s="1"/>
  <c r="F75" i="152" s="1"/>
  <c r="I66" i="152"/>
  <c r="K66" i="152" s="1"/>
  <c r="L67" i="152" s="1"/>
  <c r="M152" i="152"/>
  <c r="J75" i="152"/>
  <c r="H75" i="152" s="1"/>
  <c r="E75" i="152" s="1"/>
  <c r="H76" i="152"/>
  <c r="E76" i="152" s="1"/>
  <c r="H74" i="152"/>
  <c r="E74" i="152" s="1"/>
  <c r="H68" i="152"/>
  <c r="J68" i="152" s="1"/>
  <c r="H67" i="152"/>
  <c r="H60" i="152"/>
  <c r="E60" i="152" s="1"/>
  <c r="H66" i="152"/>
  <c r="J66" i="152" s="1"/>
  <c r="P95" i="152"/>
  <c r="O95" i="152"/>
  <c r="M115" i="152"/>
  <c r="R95" i="152"/>
  <c r="Q95" i="152"/>
  <c r="R94" i="152"/>
  <c r="Q94" i="152"/>
  <c r="P94" i="152"/>
  <c r="O94" i="152"/>
  <c r="Q86" i="152"/>
  <c r="Q85" i="152"/>
  <c r="Q84" i="152"/>
  <c r="K79" i="152"/>
  <c r="F72" i="152" s="1"/>
  <c r="J79" i="152"/>
  <c r="L80" i="152" s="1"/>
  <c r="L78" i="152"/>
  <c r="Q74" i="152"/>
  <c r="K74" i="152"/>
  <c r="F73" i="152"/>
  <c r="E73" i="152"/>
  <c r="AC72" i="152"/>
  <c r="AA72" i="152"/>
  <c r="Z72" i="152"/>
  <c r="X72" i="152"/>
  <c r="W72" i="152"/>
  <c r="U72" i="152"/>
  <c r="T72" i="152"/>
  <c r="C72" i="152"/>
  <c r="I71" i="152"/>
  <c r="F71" i="152" s="1"/>
  <c r="AD65" i="152"/>
  <c r="AC65" i="152"/>
  <c r="AA65" i="152"/>
  <c r="Z65" i="152"/>
  <c r="X65" i="152"/>
  <c r="W65" i="152"/>
  <c r="U65" i="152"/>
  <c r="T65" i="152"/>
  <c r="J65" i="152"/>
  <c r="I64" i="152" s="1"/>
  <c r="H62" i="152"/>
  <c r="E62" i="152" s="1"/>
  <c r="L61" i="152"/>
  <c r="L62" i="152" s="1"/>
  <c r="H61" i="152"/>
  <c r="E61" i="152" s="1"/>
  <c r="P60" i="152"/>
  <c r="O60" i="152"/>
  <c r="AA59" i="152"/>
  <c r="U59" i="152"/>
  <c r="T59" i="152"/>
  <c r="Z59" i="152" s="1"/>
  <c r="L59" i="152"/>
  <c r="L60" i="152" s="1"/>
  <c r="R58" i="152"/>
  <c r="I58" i="152"/>
  <c r="H58" i="152"/>
  <c r="W55" i="152"/>
  <c r="U53" i="152"/>
  <c r="G53" i="152"/>
  <c r="I53" i="152" s="1"/>
  <c r="U52" i="152"/>
  <c r="I52" i="152"/>
  <c r="U51" i="152"/>
  <c r="I51" i="152"/>
  <c r="J46" i="152"/>
  <c r="Y45" i="152"/>
  <c r="AA45" i="152" s="1"/>
  <c r="X45" i="152"/>
  <c r="J45" i="152"/>
  <c r="AA44" i="152"/>
  <c r="Z44" i="152"/>
  <c r="AM44" i="152"/>
  <c r="J44" i="152"/>
  <c r="AA43" i="152"/>
  <c r="W43" i="152"/>
  <c r="Z43" i="152" s="1"/>
  <c r="AM43" i="152"/>
  <c r="J43" i="152"/>
  <c r="I43" i="152"/>
  <c r="H43" i="152"/>
  <c r="AA42" i="152"/>
  <c r="W42" i="152"/>
  <c r="Z42" i="152" s="1"/>
  <c r="J42" i="152"/>
  <c r="I42" i="152"/>
  <c r="AL41" i="152"/>
  <c r="AA41" i="152"/>
  <c r="W41" i="152"/>
  <c r="W45" i="152" s="1"/>
  <c r="J41" i="152"/>
  <c r="I41" i="152"/>
  <c r="K37" i="152"/>
  <c r="W35" i="152"/>
  <c r="O34" i="152"/>
  <c r="C34" i="152"/>
  <c r="K32" i="152"/>
  <c r="K31" i="152"/>
  <c r="Q29" i="152"/>
  <c r="E29" i="152"/>
  <c r="V27" i="152"/>
  <c r="F27" i="152"/>
  <c r="D27" i="152"/>
  <c r="C27" i="152"/>
  <c r="Z23" i="152"/>
  <c r="I23" i="152"/>
  <c r="E23" i="152"/>
  <c r="I22" i="152"/>
  <c r="E22" i="152"/>
  <c r="Y21" i="152"/>
  <c r="I21" i="152"/>
  <c r="E21" i="152"/>
  <c r="I20" i="152"/>
  <c r="E20" i="152"/>
  <c r="G19" i="152"/>
  <c r="D19" i="152" s="1"/>
  <c r="F19" i="152"/>
  <c r="C19" i="152" s="1"/>
  <c r="J15" i="152"/>
  <c r="AO12" i="152"/>
  <c r="AN10" i="152"/>
  <c r="AL10" i="152"/>
  <c r="AH10" i="152"/>
  <c r="AG10" i="152"/>
  <c r="AF10" i="152"/>
  <c r="AE10" i="152"/>
  <c r="AD10" i="152"/>
  <c r="C10" i="152"/>
  <c r="AO9" i="152"/>
  <c r="AO10" i="152" s="1"/>
  <c r="Y9" i="152"/>
  <c r="X9" i="152"/>
  <c r="P9" i="152"/>
  <c r="P10" i="152" s="1"/>
  <c r="F9" i="152"/>
  <c r="Y8" i="152"/>
  <c r="X8" i="152"/>
  <c r="Y7" i="152"/>
  <c r="X7" i="152"/>
  <c r="G7" i="152"/>
  <c r="F7" i="152"/>
  <c r="Y6" i="152"/>
  <c r="X6" i="152"/>
  <c r="X10" i="152" s="1"/>
  <c r="S19" i="152"/>
  <c r="O19" i="152"/>
  <c r="E4" i="152"/>
  <c r="Y10" i="152" l="1"/>
  <c r="Z41" i="152"/>
  <c r="Z45" i="152"/>
  <c r="U44" i="152"/>
  <c r="H25" i="152"/>
  <c r="I31" i="152"/>
  <c r="H41" i="152"/>
  <c r="H40" i="152"/>
  <c r="E12" i="152"/>
  <c r="Q31" i="152"/>
  <c r="W31" i="152" s="1"/>
  <c r="Q32" i="152"/>
  <c r="W32" i="152" s="1"/>
  <c r="E34" i="152"/>
  <c r="E10" i="152"/>
  <c r="H31" i="152"/>
  <c r="I37" i="152"/>
  <c r="I68" i="152"/>
  <c r="F68" i="152" s="1"/>
  <c r="J18" i="152"/>
  <c r="E72" i="152"/>
  <c r="F34" i="152" s="1"/>
  <c r="C56" i="152"/>
  <c r="J16" i="152"/>
  <c r="F6" i="152"/>
  <c r="I17" i="152"/>
  <c r="D55" i="152"/>
  <c r="H15" i="152"/>
  <c r="E27" i="152"/>
  <c r="I27" i="152"/>
  <c r="D56" i="152"/>
  <c r="I15" i="152"/>
  <c r="C55" i="152"/>
  <c r="J67" i="152"/>
  <c r="E67" i="152"/>
  <c r="F67" i="152"/>
  <c r="P115" i="152"/>
  <c r="P19" i="152"/>
  <c r="H7" i="152"/>
  <c r="R19" i="152"/>
  <c r="H22" i="152"/>
  <c r="H24" i="152"/>
  <c r="H32" i="152"/>
  <c r="H33" i="152"/>
  <c r="W33" i="152"/>
  <c r="I35" i="152"/>
  <c r="I40" i="152"/>
  <c r="H42" i="152"/>
  <c r="K16" i="152"/>
  <c r="H20" i="152"/>
  <c r="G6" i="152"/>
  <c r="I7" i="152"/>
  <c r="I16" i="152"/>
  <c r="K18" i="152"/>
  <c r="H21" i="152"/>
  <c r="I33" i="152"/>
  <c r="G34" i="152"/>
  <c r="E66" i="152"/>
  <c r="J7" i="152"/>
  <c r="K7" i="152" s="1"/>
  <c r="H23" i="152"/>
  <c r="F66" i="152"/>
  <c r="E68" i="152"/>
  <c r="S27" i="122"/>
  <c r="G7" i="151"/>
  <c r="L18" i="152" l="1"/>
  <c r="F68" i="132"/>
  <c r="F12" i="152"/>
  <c r="I48" i="152"/>
  <c r="I32" i="152"/>
  <c r="F8" i="152"/>
  <c r="F10" i="152" s="1"/>
  <c r="G56" i="152"/>
  <c r="J48" i="152"/>
  <c r="G55" i="152"/>
  <c r="E55" i="152"/>
  <c r="H47" i="152"/>
  <c r="H55" i="152"/>
  <c r="I47" i="152"/>
  <c r="G12" i="152"/>
  <c r="K18" i="149" s="1"/>
  <c r="I49" i="152"/>
  <c r="K48" i="152"/>
  <c r="H56" i="152"/>
  <c r="Q34" i="152"/>
  <c r="K68" i="152"/>
  <c r="L69" i="152" s="1"/>
  <c r="E56" i="152"/>
  <c r="H6" i="152"/>
  <c r="V6" i="152"/>
  <c r="J6" i="152"/>
  <c r="K6" i="152" s="1"/>
  <c r="L6" i="152" s="1"/>
  <c r="I6" i="152"/>
  <c r="H27" i="152"/>
  <c r="H34" i="152"/>
  <c r="I34" i="152"/>
  <c r="L17" i="152"/>
  <c r="L16" i="152"/>
  <c r="H16" i="152" s="1"/>
  <c r="R45" i="151"/>
  <c r="I43" i="151"/>
  <c r="I44" i="151"/>
  <c r="P40" i="131"/>
  <c r="P38" i="131"/>
  <c r="P34" i="131"/>
  <c r="U44" i="131"/>
  <c r="V44" i="131"/>
  <c r="T44" i="131"/>
  <c r="U42" i="131"/>
  <c r="V42" i="131"/>
  <c r="T42" i="131"/>
  <c r="F69" i="132" l="1"/>
  <c r="F70" i="132"/>
  <c r="L49" i="152"/>
  <c r="I56" i="152"/>
  <c r="I55" i="152"/>
  <c r="L48" i="152"/>
  <c r="H48" i="152" s="1"/>
  <c r="H12" i="152"/>
  <c r="I12" i="152"/>
  <c r="W44" i="131"/>
  <c r="W42" i="131"/>
  <c r="R15" i="132"/>
  <c r="R17" i="132" s="1"/>
  <c r="AG16" i="78" l="1"/>
  <c r="AH16" i="78"/>
  <c r="AA15" i="132" l="1"/>
  <c r="Y17" i="132" s="1"/>
  <c r="J17" i="142" l="1"/>
  <c r="K17" i="142"/>
  <c r="R17" i="144"/>
  <c r="R14" i="144"/>
  <c r="R15" i="144"/>
  <c r="R16" i="144"/>
  <c r="R13" i="144"/>
  <c r="M14" i="144"/>
  <c r="M15" i="144"/>
  <c r="M16" i="144"/>
  <c r="M13" i="144"/>
  <c r="H14" i="144"/>
  <c r="H15" i="144"/>
  <c r="H16" i="144"/>
  <c r="H13" i="144"/>
  <c r="S5" i="144"/>
  <c r="N5" i="144"/>
  <c r="N6" i="144"/>
  <c r="N7" i="144"/>
  <c r="N8" i="144"/>
  <c r="N9" i="144"/>
  <c r="N10" i="144"/>
  <c r="N11" i="144"/>
  <c r="N4" i="144"/>
  <c r="I5" i="144"/>
  <c r="I6" i="144"/>
  <c r="S6" i="144" s="1"/>
  <c r="I7" i="144"/>
  <c r="I8" i="144"/>
  <c r="S8" i="144" s="1"/>
  <c r="I9" i="144"/>
  <c r="S9" i="144" s="1"/>
  <c r="I10" i="144"/>
  <c r="I11" i="144"/>
  <c r="S11" i="144" s="1"/>
  <c r="I4" i="144"/>
  <c r="S4" i="144" s="1"/>
  <c r="B45" i="132"/>
  <c r="B67" i="132" s="1"/>
  <c r="E67" i="132" s="1"/>
  <c r="B44" i="132"/>
  <c r="B66" i="132" s="1"/>
  <c r="E66" i="132" s="1"/>
  <c r="Q15" i="132"/>
  <c r="Q17" i="132" s="1"/>
  <c r="S53" i="151"/>
  <c r="S7" i="144" l="1"/>
  <c r="S10" i="144"/>
  <c r="N12" i="144"/>
  <c r="S12" i="144"/>
  <c r="I28" i="144"/>
  <c r="J11" i="144"/>
  <c r="O11" i="144"/>
  <c r="Q12" i="144"/>
  <c r="L12" i="144"/>
  <c r="G12" i="144"/>
  <c r="C28" i="144"/>
  <c r="D11" i="144"/>
  <c r="B12" i="144"/>
  <c r="G12" i="142"/>
  <c r="L12" i="142"/>
  <c r="B12" i="142"/>
  <c r="R20" i="151"/>
  <c r="R20" i="152" s="1"/>
  <c r="F34" i="151"/>
  <c r="R34" i="151" s="1"/>
  <c r="G31" i="151"/>
  <c r="S31" i="151" s="1"/>
  <c r="G42" i="151"/>
  <c r="S42" i="151" s="1"/>
  <c r="G41" i="151"/>
  <c r="Y27" i="132"/>
  <c r="G33" i="151"/>
  <c r="I33" i="151" s="1"/>
  <c r="G32" i="151"/>
  <c r="G34" i="151" s="1"/>
  <c r="AL41" i="151"/>
  <c r="G49" i="151"/>
  <c r="G48" i="151"/>
  <c r="G47" i="151"/>
  <c r="F12" i="151"/>
  <c r="R40" i="151"/>
  <c r="R38" i="151"/>
  <c r="R38" i="152" s="1"/>
  <c r="S37" i="151"/>
  <c r="S37" i="152" s="1"/>
  <c r="R37" i="151"/>
  <c r="R37" i="152" s="1"/>
  <c r="S36" i="151"/>
  <c r="S36" i="152" s="1"/>
  <c r="R36" i="151"/>
  <c r="R36" i="152" s="1"/>
  <c r="S35" i="151"/>
  <c r="S35" i="152" s="1"/>
  <c r="R35" i="151"/>
  <c r="R35" i="152" s="1"/>
  <c r="G40" i="151"/>
  <c r="S40" i="151" s="1"/>
  <c r="G36" i="151"/>
  <c r="G35" i="151"/>
  <c r="G17" i="151"/>
  <c r="G16" i="151"/>
  <c r="G15" i="151"/>
  <c r="R41" i="151"/>
  <c r="S41" i="151"/>
  <c r="R42" i="151"/>
  <c r="R43" i="151"/>
  <c r="S43" i="151"/>
  <c r="AM43" i="151" s="1"/>
  <c r="R44" i="151"/>
  <c r="S44" i="151"/>
  <c r="AM44" i="151" s="1"/>
  <c r="J7" i="151"/>
  <c r="K7" i="151" s="1"/>
  <c r="AO12" i="151"/>
  <c r="AL10" i="151"/>
  <c r="AO9" i="151"/>
  <c r="AN10" i="151"/>
  <c r="J44" i="151"/>
  <c r="AZ37" i="152" l="1"/>
  <c r="BB37" i="152" s="1"/>
  <c r="S37" i="154"/>
  <c r="AZ35" i="152"/>
  <c r="BB35" i="152" s="1"/>
  <c r="S35" i="154"/>
  <c r="AZ36" i="152"/>
  <c r="BB36" i="152" s="1"/>
  <c r="S36" i="154"/>
  <c r="AM42" i="151"/>
  <c r="S42" i="152"/>
  <c r="AZ42" i="152" s="1"/>
  <c r="AM40" i="151"/>
  <c r="S40" i="152"/>
  <c r="AM41" i="151"/>
  <c r="S41" i="152"/>
  <c r="AZ41" i="152" s="1"/>
  <c r="S31" i="152"/>
  <c r="S31" i="153"/>
  <c r="U36" i="152"/>
  <c r="U35" i="152"/>
  <c r="U37" i="152"/>
  <c r="S33" i="151"/>
  <c r="G12" i="151"/>
  <c r="K17" i="149" s="1"/>
  <c r="S47" i="151"/>
  <c r="S32" i="151"/>
  <c r="S32" i="153" s="1"/>
  <c r="E11" i="144"/>
  <c r="AO10" i="151"/>
  <c r="AC34" i="144"/>
  <c r="AC35" i="144"/>
  <c r="AC36" i="144"/>
  <c r="AC37" i="144"/>
  <c r="AC38" i="144"/>
  <c r="AC39" i="144"/>
  <c r="AC33" i="144"/>
  <c r="AB34" i="144"/>
  <c r="AB35" i="144"/>
  <c r="AB36" i="144"/>
  <c r="AB37" i="144"/>
  <c r="AB38" i="144"/>
  <c r="AB39" i="144"/>
  <c r="AB33" i="144"/>
  <c r="AA26" i="144"/>
  <c r="AA38" i="144" s="1"/>
  <c r="AA27" i="144"/>
  <c r="AA39" i="144" s="1"/>
  <c r="X26" i="144"/>
  <c r="Z38" i="144" s="1"/>
  <c r="X27" i="144"/>
  <c r="Z39" i="144" s="1"/>
  <c r="AB4" i="144"/>
  <c r="AB5" i="144"/>
  <c r="AB6" i="144"/>
  <c r="AB7" i="144"/>
  <c r="AB8" i="144"/>
  <c r="AB26" i="144" s="1"/>
  <c r="Y38" i="144" s="1"/>
  <c r="AB9" i="144"/>
  <c r="AB27" i="144" s="1"/>
  <c r="Y39" i="144" s="1"/>
  <c r="AB3" i="144"/>
  <c r="Y4" i="144"/>
  <c r="Y5" i="144"/>
  <c r="Y6" i="144"/>
  <c r="Y7" i="144"/>
  <c r="Y8" i="144"/>
  <c r="Y26" i="144" s="1"/>
  <c r="X38" i="144" s="1"/>
  <c r="Y9" i="144"/>
  <c r="Y27" i="144" s="1"/>
  <c r="X39" i="144" s="1"/>
  <c r="Y3" i="144"/>
  <c r="AA10" i="144"/>
  <c r="AA28" i="144" s="1"/>
  <c r="X10" i="144"/>
  <c r="X28" i="144" s="1"/>
  <c r="CK30" i="97"/>
  <c r="AE29" i="97"/>
  <c r="AE30" i="97"/>
  <c r="Y19" i="97"/>
  <c r="A12" i="142"/>
  <c r="I27" i="144"/>
  <c r="G17" i="144"/>
  <c r="O10" i="144"/>
  <c r="J10" i="144"/>
  <c r="D10" i="144"/>
  <c r="U58" i="132"/>
  <c r="BB42" i="152" l="1"/>
  <c r="S42" i="154"/>
  <c r="BA42" i="152"/>
  <c r="AZ40" i="152"/>
  <c r="S36" i="155"/>
  <c r="V36" i="154"/>
  <c r="S37" i="155"/>
  <c r="V37" i="154"/>
  <c r="BB41" i="152"/>
  <c r="BA41" i="152"/>
  <c r="S35" i="155"/>
  <c r="V35" i="154"/>
  <c r="T31" i="152"/>
  <c r="AZ31" i="152"/>
  <c r="S31" i="154"/>
  <c r="U40" i="152"/>
  <c r="AM40" i="152"/>
  <c r="T40" i="152"/>
  <c r="AM41" i="152"/>
  <c r="T41" i="152"/>
  <c r="U41" i="152"/>
  <c r="U42" i="152"/>
  <c r="T42" i="152"/>
  <c r="AM42" i="152"/>
  <c r="U32" i="153"/>
  <c r="T32" i="153"/>
  <c r="S33" i="152"/>
  <c r="S33" i="153"/>
  <c r="S34" i="153" s="1"/>
  <c r="U31" i="153"/>
  <c r="T31" i="153"/>
  <c r="S47" i="152"/>
  <c r="S47" i="153"/>
  <c r="S34" i="151"/>
  <c r="S32" i="152"/>
  <c r="E10" i="144"/>
  <c r="AG39" i="144"/>
  <c r="AF38" i="144"/>
  <c r="AD38" i="144"/>
  <c r="AD39" i="144"/>
  <c r="AF39" i="144"/>
  <c r="AG38" i="144"/>
  <c r="AE38" i="144"/>
  <c r="AB10" i="144"/>
  <c r="AB28" i="144" s="1"/>
  <c r="AE39" i="144"/>
  <c r="Y10" i="144"/>
  <c r="Y28" i="144" s="1"/>
  <c r="CM30" i="97"/>
  <c r="CL30" i="97"/>
  <c r="L16" i="149"/>
  <c r="K16" i="149"/>
  <c r="J16" i="149"/>
  <c r="U35" i="155" l="1"/>
  <c r="S35" i="156"/>
  <c r="U35" i="156" s="1"/>
  <c r="U37" i="155"/>
  <c r="S37" i="156"/>
  <c r="U37" i="156" s="1"/>
  <c r="AN42" i="154"/>
  <c r="S42" i="155"/>
  <c r="S42" i="156"/>
  <c r="U36" i="155"/>
  <c r="S36" i="156"/>
  <c r="U36" i="156" s="1"/>
  <c r="AZ32" i="152"/>
  <c r="S32" i="154"/>
  <c r="BB31" i="152"/>
  <c r="BA31" i="152"/>
  <c r="T47" i="152"/>
  <c r="AZ47" i="152"/>
  <c r="S47" i="154"/>
  <c r="T33" i="152"/>
  <c r="AZ33" i="152"/>
  <c r="S33" i="154"/>
  <c r="S31" i="155"/>
  <c r="V31" i="154"/>
  <c r="U31" i="154"/>
  <c r="S40" i="154"/>
  <c r="BB40" i="152"/>
  <c r="BA40" i="152"/>
  <c r="V47" i="152"/>
  <c r="U34" i="153"/>
  <c r="T34" i="153"/>
  <c r="V47" i="153"/>
  <c r="U47" i="153"/>
  <c r="T47" i="153"/>
  <c r="U33" i="153"/>
  <c r="T33" i="153"/>
  <c r="S34" i="152"/>
  <c r="T32" i="152"/>
  <c r="S21" i="151"/>
  <c r="S21" i="152" s="1"/>
  <c r="S22" i="151"/>
  <c r="S22" i="152" s="1"/>
  <c r="S23" i="151"/>
  <c r="S23" i="152" s="1"/>
  <c r="S26" i="151"/>
  <c r="L152" i="151"/>
  <c r="J75" i="151" s="1"/>
  <c r="H75" i="151" s="1"/>
  <c r="E75" i="151" s="1"/>
  <c r="E152" i="151"/>
  <c r="F152" i="151"/>
  <c r="H67" i="151" s="1"/>
  <c r="G152" i="151"/>
  <c r="H61" i="151" s="1"/>
  <c r="E61" i="151" s="1"/>
  <c r="H152" i="151"/>
  <c r="H68" i="151" s="1"/>
  <c r="J68" i="151" s="1"/>
  <c r="I152" i="151"/>
  <c r="H62" i="151" s="1"/>
  <c r="E62" i="151" s="1"/>
  <c r="R17" i="151" s="1"/>
  <c r="R17" i="152" s="1"/>
  <c r="J152" i="151"/>
  <c r="H74" i="151" s="1"/>
  <c r="E74" i="151" s="1"/>
  <c r="K152" i="151"/>
  <c r="H76" i="151" s="1"/>
  <c r="E76" i="151" s="1"/>
  <c r="M152" i="151"/>
  <c r="E115" i="151"/>
  <c r="I60" i="151" s="1"/>
  <c r="F115" i="151"/>
  <c r="I67" i="151" s="1"/>
  <c r="F67" i="151" s="1"/>
  <c r="G115" i="151"/>
  <c r="I61" i="151" s="1"/>
  <c r="F61" i="151" s="1"/>
  <c r="I68" i="151"/>
  <c r="I62" i="151"/>
  <c r="F62" i="151" s="1"/>
  <c r="J115" i="151"/>
  <c r="I74" i="151" s="1"/>
  <c r="F74" i="151" s="1"/>
  <c r="I76" i="151"/>
  <c r="F76" i="151" s="1"/>
  <c r="L115" i="151"/>
  <c r="K75" i="151" s="1"/>
  <c r="I75" i="151" s="1"/>
  <c r="F75" i="151" s="1"/>
  <c r="M115" i="151"/>
  <c r="D115" i="151"/>
  <c r="I66" i="151" s="1"/>
  <c r="K66" i="151" s="1"/>
  <c r="L67" i="151" s="1"/>
  <c r="E73" i="151"/>
  <c r="AA40" i="144" s="1"/>
  <c r="P26" i="151"/>
  <c r="P26" i="152" s="1"/>
  <c r="O26" i="151"/>
  <c r="O26" i="152" s="1"/>
  <c r="O25" i="151"/>
  <c r="O25" i="152" s="1"/>
  <c r="O24" i="151"/>
  <c r="O24" i="152" s="1"/>
  <c r="P23" i="151"/>
  <c r="P23" i="152" s="1"/>
  <c r="O23" i="151"/>
  <c r="O23" i="152" s="1"/>
  <c r="P22" i="151"/>
  <c r="P22" i="152" s="1"/>
  <c r="O22" i="151"/>
  <c r="O22" i="152" s="1"/>
  <c r="P21" i="151"/>
  <c r="P21" i="152" s="1"/>
  <c r="O21" i="151"/>
  <c r="O21" i="152" s="1"/>
  <c r="P20" i="151"/>
  <c r="O20" i="151"/>
  <c r="O20" i="152" s="1"/>
  <c r="R21" i="151"/>
  <c r="R22" i="151"/>
  <c r="R22" i="152" s="1"/>
  <c r="R23" i="151"/>
  <c r="R23" i="152" s="1"/>
  <c r="R24" i="151"/>
  <c r="R24" i="152" s="1"/>
  <c r="R25" i="151"/>
  <c r="R25" i="152" s="1"/>
  <c r="R26" i="151"/>
  <c r="R26" i="152" s="1"/>
  <c r="S20" i="151"/>
  <c r="S20" i="152" s="1"/>
  <c r="Q8" i="151"/>
  <c r="Q8" i="152" s="1"/>
  <c r="Q7" i="151"/>
  <c r="Q7" i="152" s="1"/>
  <c r="U7" i="154" s="1"/>
  <c r="Q16" i="151"/>
  <c r="Q16" i="152" s="1"/>
  <c r="Q15" i="151"/>
  <c r="Q15" i="152" s="1"/>
  <c r="D152" i="151"/>
  <c r="H66" i="151" s="1"/>
  <c r="G116" i="151"/>
  <c r="F116" i="151"/>
  <c r="E116" i="151"/>
  <c r="D116" i="151"/>
  <c r="R95" i="151"/>
  <c r="Q95" i="151"/>
  <c r="R94" i="151"/>
  <c r="Q94" i="151"/>
  <c r="P94" i="151"/>
  <c r="O94" i="151"/>
  <c r="Q86" i="151"/>
  <c r="Q85" i="151"/>
  <c r="Q84" i="151"/>
  <c r="K79" i="151"/>
  <c r="F72" i="151" s="1"/>
  <c r="J79" i="151"/>
  <c r="L80" i="151" s="1"/>
  <c r="L78" i="151"/>
  <c r="Q74" i="151"/>
  <c r="K74" i="151"/>
  <c r="F73" i="151"/>
  <c r="AC72" i="151"/>
  <c r="AA72" i="151"/>
  <c r="Z72" i="151"/>
  <c r="X72" i="151"/>
  <c r="W72" i="151"/>
  <c r="U72" i="151"/>
  <c r="T72" i="151"/>
  <c r="C72" i="151"/>
  <c r="I71" i="151"/>
  <c r="F71" i="151" s="1"/>
  <c r="H71" i="151"/>
  <c r="E71" i="151" s="1"/>
  <c r="R31" i="151" s="1"/>
  <c r="AD65" i="151"/>
  <c r="AC65" i="151"/>
  <c r="AA65" i="151"/>
  <c r="Z65" i="151"/>
  <c r="X65" i="151"/>
  <c r="W65" i="151"/>
  <c r="U65" i="151"/>
  <c r="T65" i="151"/>
  <c r="J65" i="151"/>
  <c r="I64" i="151" s="1"/>
  <c r="L61" i="151"/>
  <c r="L62" i="151" s="1"/>
  <c r="P60" i="151"/>
  <c r="O60" i="151"/>
  <c r="AA59" i="151"/>
  <c r="U59" i="151"/>
  <c r="T59" i="151"/>
  <c r="Z59" i="151" s="1"/>
  <c r="L59" i="151"/>
  <c r="L60" i="151" s="1"/>
  <c r="R58" i="151"/>
  <c r="I58" i="151"/>
  <c r="H58" i="151"/>
  <c r="W55" i="151"/>
  <c r="U53" i="151"/>
  <c r="G53" i="151"/>
  <c r="I53" i="151" s="1"/>
  <c r="U52" i="151"/>
  <c r="I52" i="151"/>
  <c r="U51" i="151"/>
  <c r="I51" i="151"/>
  <c r="J46" i="151"/>
  <c r="Y45" i="151"/>
  <c r="X45" i="151"/>
  <c r="J45" i="151"/>
  <c r="AA44" i="151"/>
  <c r="Z44" i="151"/>
  <c r="AA43" i="151"/>
  <c r="W43" i="151"/>
  <c r="Z43" i="151" s="1"/>
  <c r="J43" i="151"/>
  <c r="H43" i="151"/>
  <c r="AA42" i="151"/>
  <c r="W42" i="151"/>
  <c r="Z42" i="151" s="1"/>
  <c r="J42" i="151"/>
  <c r="I42" i="151"/>
  <c r="AA41" i="151"/>
  <c r="W41" i="151"/>
  <c r="U41" i="151"/>
  <c r="T41" i="151"/>
  <c r="J41" i="151"/>
  <c r="I41" i="151"/>
  <c r="U40" i="151"/>
  <c r="T40" i="151"/>
  <c r="I40" i="151"/>
  <c r="K37" i="151"/>
  <c r="W35" i="151"/>
  <c r="O34" i="151"/>
  <c r="C34" i="151"/>
  <c r="K32" i="151"/>
  <c r="K31" i="151"/>
  <c r="Q29" i="151"/>
  <c r="E29" i="151"/>
  <c r="V27" i="151"/>
  <c r="G27" i="151"/>
  <c r="F27" i="151"/>
  <c r="C27" i="151"/>
  <c r="D27" i="151"/>
  <c r="Z23" i="151"/>
  <c r="I23" i="151"/>
  <c r="E23" i="151"/>
  <c r="I22" i="151"/>
  <c r="E22" i="151"/>
  <c r="Y21" i="151"/>
  <c r="I21" i="151"/>
  <c r="E21" i="151"/>
  <c r="I20" i="151"/>
  <c r="E20" i="151"/>
  <c r="G19" i="151"/>
  <c r="D19" i="151" s="1"/>
  <c r="F19" i="151"/>
  <c r="C19" i="151" s="1"/>
  <c r="J15" i="151"/>
  <c r="AH10" i="151"/>
  <c r="AG10" i="151"/>
  <c r="AF10" i="151"/>
  <c r="AE10" i="151"/>
  <c r="AD10" i="151"/>
  <c r="C10" i="151"/>
  <c r="Y9" i="151"/>
  <c r="X9" i="151"/>
  <c r="R9" i="151"/>
  <c r="P9" i="151"/>
  <c r="P10" i="151" s="1"/>
  <c r="F9" i="151"/>
  <c r="D9" i="151"/>
  <c r="D10" i="151" s="1"/>
  <c r="Y8" i="151"/>
  <c r="X8" i="151"/>
  <c r="Y7" i="151"/>
  <c r="X7" i="151"/>
  <c r="H24" i="151"/>
  <c r="F7" i="151"/>
  <c r="Y6" i="151"/>
  <c r="X6" i="151"/>
  <c r="S4" i="151"/>
  <c r="P19" i="151" s="1"/>
  <c r="R4" i="151"/>
  <c r="R19" i="151" s="1"/>
  <c r="E4" i="151"/>
  <c r="Q4" i="151" s="1"/>
  <c r="T16" i="131"/>
  <c r="T10" i="131"/>
  <c r="T11" i="131"/>
  <c r="T12" i="131"/>
  <c r="T13" i="131"/>
  <c r="T14" i="131"/>
  <c r="T15" i="131"/>
  <c r="K46" i="132"/>
  <c r="K49" i="132" s="1"/>
  <c r="L46" i="132"/>
  <c r="L49" i="132" s="1"/>
  <c r="M46" i="132"/>
  <c r="M49" i="132" s="1"/>
  <c r="T31" i="155" l="1"/>
  <c r="S31" i="156"/>
  <c r="S40" i="156"/>
  <c r="S40" i="155"/>
  <c r="U42" i="156"/>
  <c r="T42" i="156"/>
  <c r="AM42" i="156"/>
  <c r="T42" i="155"/>
  <c r="U42" i="155"/>
  <c r="AM42" i="155"/>
  <c r="S47" i="155"/>
  <c r="S47" i="156" s="1"/>
  <c r="U47" i="154"/>
  <c r="V47" i="154"/>
  <c r="W47" i="154"/>
  <c r="S33" i="155"/>
  <c r="S33" i="156" s="1"/>
  <c r="V33" i="154"/>
  <c r="U33" i="154"/>
  <c r="AZ34" i="152"/>
  <c r="BA33" i="152"/>
  <c r="BB33" i="152"/>
  <c r="S32" i="155"/>
  <c r="S32" i="156" s="1"/>
  <c r="U32" i="154"/>
  <c r="S34" i="154"/>
  <c r="V32" i="154"/>
  <c r="U31" i="155"/>
  <c r="BC47" i="152"/>
  <c r="BA47" i="152"/>
  <c r="BB47" i="152"/>
  <c r="AN40" i="154"/>
  <c r="BA32" i="152"/>
  <c r="BB32" i="152"/>
  <c r="Q6" i="152"/>
  <c r="Q10" i="152" s="1"/>
  <c r="O27" i="152"/>
  <c r="U21" i="152"/>
  <c r="U20" i="152"/>
  <c r="Q20" i="152"/>
  <c r="Q22" i="152"/>
  <c r="U31" i="152"/>
  <c r="U23" i="152"/>
  <c r="R7" i="152"/>
  <c r="R27" i="152"/>
  <c r="Q21" i="152"/>
  <c r="Q23" i="152"/>
  <c r="U26" i="152"/>
  <c r="U22" i="152"/>
  <c r="T34" i="152"/>
  <c r="X40" i="144"/>
  <c r="AF40" i="144" s="1"/>
  <c r="Y40" i="144"/>
  <c r="X10" i="151"/>
  <c r="H41" i="151"/>
  <c r="H40" i="151"/>
  <c r="H42" i="151"/>
  <c r="P95" i="151"/>
  <c r="Y10" i="151"/>
  <c r="W45" i="151"/>
  <c r="Z45" i="151" s="1"/>
  <c r="AA45" i="151"/>
  <c r="S16" i="151"/>
  <c r="U42" i="151"/>
  <c r="AC40" i="144"/>
  <c r="AC41" i="144" s="1"/>
  <c r="AB40" i="144"/>
  <c r="AB41" i="144" s="1"/>
  <c r="H60" i="151"/>
  <c r="E60" i="151" s="1"/>
  <c r="R33" i="151"/>
  <c r="U33" i="152" s="1"/>
  <c r="H32" i="151"/>
  <c r="Q22" i="151"/>
  <c r="S48" i="151"/>
  <c r="I35" i="151"/>
  <c r="U36" i="151"/>
  <c r="I37" i="151"/>
  <c r="E72" i="151"/>
  <c r="H7" i="151"/>
  <c r="U20" i="151"/>
  <c r="R7" i="151"/>
  <c r="U23" i="151"/>
  <c r="R27" i="151"/>
  <c r="U21" i="151"/>
  <c r="I27" i="151"/>
  <c r="Q23" i="151"/>
  <c r="Q20" i="151"/>
  <c r="O27" i="151"/>
  <c r="E27" i="151"/>
  <c r="K68" i="151"/>
  <c r="L69" i="151" s="1"/>
  <c r="F68" i="151"/>
  <c r="S49" i="151" s="1"/>
  <c r="R16" i="151"/>
  <c r="C56" i="151"/>
  <c r="J16" i="151"/>
  <c r="I17" i="151"/>
  <c r="K67" i="151"/>
  <c r="L68" i="151" s="1"/>
  <c r="P115" i="151"/>
  <c r="O95" i="151"/>
  <c r="S17" i="151"/>
  <c r="S17" i="153" s="1"/>
  <c r="U17" i="153" s="1"/>
  <c r="U37" i="151"/>
  <c r="Q21" i="151"/>
  <c r="Q6" i="151"/>
  <c r="E12" i="151"/>
  <c r="E6" i="151"/>
  <c r="E10" i="151" s="1"/>
  <c r="E34" i="151"/>
  <c r="H34" i="151" s="1"/>
  <c r="U26" i="151"/>
  <c r="U31" i="151"/>
  <c r="U44" i="151"/>
  <c r="J67" i="151"/>
  <c r="E67" i="151"/>
  <c r="J66" i="151"/>
  <c r="E66" i="151"/>
  <c r="R47" i="151" s="1"/>
  <c r="R47" i="152" s="1"/>
  <c r="I16" i="151"/>
  <c r="S19" i="151"/>
  <c r="U22" i="151"/>
  <c r="I31" i="151"/>
  <c r="H33" i="151"/>
  <c r="U35" i="151"/>
  <c r="Z41" i="151"/>
  <c r="F60" i="151"/>
  <c r="O19" i="151"/>
  <c r="H22" i="151"/>
  <c r="H25" i="151"/>
  <c r="F66" i="151"/>
  <c r="E68" i="151"/>
  <c r="R49" i="151" s="1"/>
  <c r="R49" i="152" s="1"/>
  <c r="I7" i="151"/>
  <c r="H20" i="151"/>
  <c r="H23" i="151"/>
  <c r="H21" i="151"/>
  <c r="H31" i="151"/>
  <c r="V52" i="148"/>
  <c r="V56" i="148"/>
  <c r="V55" i="148"/>
  <c r="V49" i="148"/>
  <c r="V50" i="148"/>
  <c r="V51" i="148"/>
  <c r="V53" i="148"/>
  <c r="V48" i="148"/>
  <c r="R52" i="148"/>
  <c r="U53" i="148"/>
  <c r="U56" i="148"/>
  <c r="U55" i="148"/>
  <c r="U49" i="148"/>
  <c r="U50" i="148"/>
  <c r="U51" i="148"/>
  <c r="U52" i="148"/>
  <c r="U48" i="148"/>
  <c r="T52" i="148"/>
  <c r="S52" i="148"/>
  <c r="AS7" i="97"/>
  <c r="AS8" i="97"/>
  <c r="AS9" i="97"/>
  <c r="AS10" i="97"/>
  <c r="AS11" i="97"/>
  <c r="AS12" i="97"/>
  <c r="AS13" i="97"/>
  <c r="AS14" i="97"/>
  <c r="AS15" i="97"/>
  <c r="AS18" i="97"/>
  <c r="AS6" i="97"/>
  <c r="AY10" i="97"/>
  <c r="G56" i="150"/>
  <c r="G55" i="150"/>
  <c r="T40" i="155" l="1"/>
  <c r="U40" i="155"/>
  <c r="T33" i="156"/>
  <c r="U33" i="156"/>
  <c r="U47" i="156"/>
  <c r="T47" i="156"/>
  <c r="V47" i="156"/>
  <c r="AM40" i="156"/>
  <c r="U40" i="156"/>
  <c r="T40" i="156"/>
  <c r="U31" i="156"/>
  <c r="T31" i="156"/>
  <c r="AM40" i="155"/>
  <c r="S34" i="156"/>
  <c r="U32" i="156"/>
  <c r="T32" i="156"/>
  <c r="BA34" i="152"/>
  <c r="BB34" i="152"/>
  <c r="T33" i="155"/>
  <c r="U33" i="155"/>
  <c r="U34" i="154"/>
  <c r="V34" i="154"/>
  <c r="U32" i="155"/>
  <c r="T32" i="155"/>
  <c r="S34" i="155"/>
  <c r="U47" i="155"/>
  <c r="T47" i="155"/>
  <c r="V47" i="155"/>
  <c r="Q10" i="154"/>
  <c r="S48" i="152"/>
  <c r="S48" i="153"/>
  <c r="S49" i="152"/>
  <c r="S49" i="153"/>
  <c r="U49" i="153" s="1"/>
  <c r="S16" i="152"/>
  <c r="S16" i="153"/>
  <c r="U47" i="152"/>
  <c r="O56" i="151"/>
  <c r="R16" i="152"/>
  <c r="U16" i="152" s="1"/>
  <c r="U17" i="151"/>
  <c r="S17" i="152"/>
  <c r="T55" i="152"/>
  <c r="AE40" i="144"/>
  <c r="S12" i="151"/>
  <c r="AG40" i="144"/>
  <c r="T42" i="151"/>
  <c r="K16" i="151"/>
  <c r="L16" i="151" s="1"/>
  <c r="H16" i="151" s="1"/>
  <c r="D56" i="151"/>
  <c r="E56" i="151" s="1"/>
  <c r="S15" i="151"/>
  <c r="S15" i="153" s="1"/>
  <c r="Q34" i="151"/>
  <c r="F8" i="151"/>
  <c r="Z40" i="144"/>
  <c r="AB42" i="144"/>
  <c r="G55" i="151"/>
  <c r="R15" i="151"/>
  <c r="F6" i="151"/>
  <c r="J18" i="151"/>
  <c r="C55" i="151"/>
  <c r="AT12" i="97"/>
  <c r="R32" i="151"/>
  <c r="I32" i="151"/>
  <c r="H56" i="151"/>
  <c r="I49" i="151"/>
  <c r="U49" i="151"/>
  <c r="R48" i="151"/>
  <c r="G56" i="151"/>
  <c r="J48" i="151"/>
  <c r="I48" i="151"/>
  <c r="K48" i="151"/>
  <c r="L48" i="151" s="1"/>
  <c r="H48" i="151" s="1"/>
  <c r="Z15" i="151"/>
  <c r="W16" i="151"/>
  <c r="H55" i="151"/>
  <c r="I47" i="151"/>
  <c r="H47" i="151"/>
  <c r="U33" i="151"/>
  <c r="V16" i="151"/>
  <c r="Y15" i="151"/>
  <c r="U16" i="151"/>
  <c r="P56" i="151"/>
  <c r="Q56" i="151" s="1"/>
  <c r="T56" i="151"/>
  <c r="W48" i="151"/>
  <c r="H27" i="151"/>
  <c r="P26" i="150"/>
  <c r="R21" i="150"/>
  <c r="R22" i="150"/>
  <c r="R23" i="150"/>
  <c r="R24" i="150"/>
  <c r="R25" i="150"/>
  <c r="R26" i="150"/>
  <c r="R20" i="150"/>
  <c r="S21" i="150"/>
  <c r="S22" i="150"/>
  <c r="S23" i="150"/>
  <c r="S26" i="150"/>
  <c r="O9" i="132"/>
  <c r="AE9" i="132"/>
  <c r="Y26" i="132"/>
  <c r="D26" i="150"/>
  <c r="G26" i="150"/>
  <c r="D56" i="150"/>
  <c r="F152" i="150"/>
  <c r="F115" i="150"/>
  <c r="I67" i="150" s="1"/>
  <c r="I68" i="150"/>
  <c r="AR5" i="78"/>
  <c r="AS5" i="78" s="1"/>
  <c r="AR6" i="78"/>
  <c r="AS6" i="78" s="1"/>
  <c r="AR7" i="78"/>
  <c r="AS7" i="78" s="1"/>
  <c r="AR8" i="78"/>
  <c r="AS8" i="78" s="1"/>
  <c r="AR9" i="78"/>
  <c r="AS9" i="78" s="1"/>
  <c r="AR4" i="78"/>
  <c r="AQ5" i="78"/>
  <c r="AQ6" i="78"/>
  <c r="AQ7" i="78"/>
  <c r="AQ8" i="78"/>
  <c r="AQ9" i="78"/>
  <c r="AQ4" i="78"/>
  <c r="AO5" i="78"/>
  <c r="AP5" i="78" s="1"/>
  <c r="AO6" i="78"/>
  <c r="AP6" i="78" s="1"/>
  <c r="AO7" i="78"/>
  <c r="AP7" i="78" s="1"/>
  <c r="AO8" i="78"/>
  <c r="AP8" i="78" s="1"/>
  <c r="AO9" i="78"/>
  <c r="AP9" i="78" s="1"/>
  <c r="AO4" i="78"/>
  <c r="AP4" i="78" s="1"/>
  <c r="AN5" i="78"/>
  <c r="AN10" i="78" s="1"/>
  <c r="AN6" i="78"/>
  <c r="AN7" i="78"/>
  <c r="AN8" i="78"/>
  <c r="AN9" i="78"/>
  <c r="AN4" i="78"/>
  <c r="T34" i="156" l="1"/>
  <c r="U34" i="156"/>
  <c r="U17" i="152"/>
  <c r="AZ17" i="152"/>
  <c r="BB17" i="152" s="1"/>
  <c r="S17" i="154"/>
  <c r="AZ49" i="152"/>
  <c r="BB49" i="152" s="1"/>
  <c r="S49" i="154"/>
  <c r="T34" i="155"/>
  <c r="U34" i="155"/>
  <c r="W16" i="152"/>
  <c r="AZ16" i="152"/>
  <c r="S16" i="154"/>
  <c r="W48" i="152"/>
  <c r="W50" i="152"/>
  <c r="X50" i="152" s="1"/>
  <c r="AZ48" i="152"/>
  <c r="S48" i="154"/>
  <c r="T56" i="152"/>
  <c r="U49" i="152"/>
  <c r="W18" i="153"/>
  <c r="X18" i="153" s="1"/>
  <c r="Z15" i="153"/>
  <c r="AA15" i="153" s="1"/>
  <c r="P56" i="153"/>
  <c r="Q56" i="153" s="1"/>
  <c r="U16" i="153"/>
  <c r="W16" i="153"/>
  <c r="W48" i="153"/>
  <c r="T56" i="153"/>
  <c r="U56" i="153" s="1"/>
  <c r="U48" i="153"/>
  <c r="T55" i="153"/>
  <c r="U55" i="153" s="1"/>
  <c r="W50" i="153"/>
  <c r="X50" i="153" s="1"/>
  <c r="S12" i="153"/>
  <c r="V15" i="153"/>
  <c r="U15" i="153"/>
  <c r="S6" i="153"/>
  <c r="T15" i="153"/>
  <c r="P55" i="153"/>
  <c r="Q55" i="153" s="1"/>
  <c r="S12" i="152"/>
  <c r="T12" i="152" s="1"/>
  <c r="U48" i="151"/>
  <c r="R48" i="152"/>
  <c r="R34" i="152"/>
  <c r="U34" i="152" s="1"/>
  <c r="U32" i="152"/>
  <c r="R8" i="152"/>
  <c r="V18" i="151"/>
  <c r="R15" i="152"/>
  <c r="Y15" i="152"/>
  <c r="O56" i="152"/>
  <c r="P56" i="152"/>
  <c r="S6" i="151"/>
  <c r="S15" i="152"/>
  <c r="Z15" i="152"/>
  <c r="C27" i="144"/>
  <c r="AS4" i="78"/>
  <c r="I34" i="151"/>
  <c r="U34" i="151"/>
  <c r="I55" i="151"/>
  <c r="G6" i="151"/>
  <c r="I15" i="151"/>
  <c r="R6" i="151"/>
  <c r="L17" i="151"/>
  <c r="O55" i="151"/>
  <c r="K18" i="151"/>
  <c r="L18" i="151" s="1"/>
  <c r="T55" i="151"/>
  <c r="D55" i="151"/>
  <c r="E55" i="151" s="1"/>
  <c r="H15" i="151"/>
  <c r="F10" i="151"/>
  <c r="AD40" i="144"/>
  <c r="I56" i="151"/>
  <c r="AT11" i="97"/>
  <c r="R8" i="151"/>
  <c r="U32" i="151"/>
  <c r="X17" i="151"/>
  <c r="L49" i="151"/>
  <c r="AA15" i="151"/>
  <c r="I12" i="151"/>
  <c r="R12" i="151"/>
  <c r="S56" i="151"/>
  <c r="X55" i="151" s="1"/>
  <c r="Z55" i="151" s="1"/>
  <c r="S55" i="151"/>
  <c r="V48" i="151"/>
  <c r="X49" i="151" s="1"/>
  <c r="V50" i="151"/>
  <c r="H12" i="151"/>
  <c r="V47" i="151"/>
  <c r="U47" i="151"/>
  <c r="W50" i="151"/>
  <c r="H6" i="151"/>
  <c r="W18" i="151"/>
  <c r="V15" i="151"/>
  <c r="U15" i="151"/>
  <c r="P55" i="151"/>
  <c r="AR10" i="78"/>
  <c r="AQ10" i="78"/>
  <c r="AO10" i="78"/>
  <c r="AP10" i="78" s="1"/>
  <c r="AZ15" i="152" l="1"/>
  <c r="V15" i="152"/>
  <c r="S15" i="154"/>
  <c r="X48" i="154"/>
  <c r="S48" i="155"/>
  <c r="S48" i="156" s="1"/>
  <c r="U55" i="154"/>
  <c r="V55" i="154" s="1"/>
  <c r="U56" i="154"/>
  <c r="V56" i="154" s="1"/>
  <c r="V48" i="154"/>
  <c r="X50" i="154"/>
  <c r="Y50" i="154" s="1"/>
  <c r="S12" i="154"/>
  <c r="S16" i="155"/>
  <c r="S16" i="156" s="1"/>
  <c r="X16" i="154"/>
  <c r="AA15" i="154"/>
  <c r="AB15" i="154" s="1"/>
  <c r="V16" i="154"/>
  <c r="P56" i="154"/>
  <c r="Q56" i="154" s="1"/>
  <c r="X18" i="154"/>
  <c r="Y18" i="154" s="1"/>
  <c r="BB48" i="152"/>
  <c r="BD48" i="152"/>
  <c r="BE48" i="152" s="1"/>
  <c r="BA48" i="152" s="1"/>
  <c r="BA56" i="152"/>
  <c r="BB56" i="152" s="1"/>
  <c r="BA55" i="152"/>
  <c r="BB55" i="152" s="1"/>
  <c r="AZ12" i="152"/>
  <c r="BD16" i="152"/>
  <c r="BE16" i="152" s="1"/>
  <c r="BA16" i="152" s="1"/>
  <c r="BB16" i="152"/>
  <c r="AW56" i="152"/>
  <c r="AX56" i="152" s="1"/>
  <c r="S17" i="155"/>
  <c r="V17" i="154"/>
  <c r="W18" i="152"/>
  <c r="X18" i="152" s="1"/>
  <c r="X49" i="152"/>
  <c r="X48" i="152"/>
  <c r="T48" i="152" s="1"/>
  <c r="X17" i="152"/>
  <c r="X16" i="152"/>
  <c r="S49" i="155"/>
  <c r="V49" i="154"/>
  <c r="AA15" i="152"/>
  <c r="W6" i="153"/>
  <c r="T6" i="153"/>
  <c r="U6" i="153"/>
  <c r="X49" i="153"/>
  <c r="X48" i="153"/>
  <c r="T48" i="153" s="1"/>
  <c r="X17" i="153"/>
  <c r="X16" i="153"/>
  <c r="T16" i="153" s="1"/>
  <c r="U12" i="153"/>
  <c r="T12" i="153"/>
  <c r="X18" i="151"/>
  <c r="Q56" i="152"/>
  <c r="O55" i="152"/>
  <c r="R6" i="152"/>
  <c r="R10" i="152" s="1"/>
  <c r="S55" i="152"/>
  <c r="S56" i="152"/>
  <c r="R12" i="152"/>
  <c r="U12" i="152" s="1"/>
  <c r="U48" i="152"/>
  <c r="T16" i="152"/>
  <c r="U15" i="152"/>
  <c r="P55" i="152"/>
  <c r="T15" i="152"/>
  <c r="S6" i="152"/>
  <c r="AS10" i="78"/>
  <c r="I6" i="151"/>
  <c r="V6" i="151"/>
  <c r="J6" i="151"/>
  <c r="K6" i="151" s="1"/>
  <c r="L6" i="151" s="1"/>
  <c r="Q55" i="151"/>
  <c r="R10" i="151"/>
  <c r="U12" i="151"/>
  <c r="X50" i="151"/>
  <c r="S58" i="151"/>
  <c r="U55" i="151"/>
  <c r="U56" i="151"/>
  <c r="W6" i="151"/>
  <c r="U6" i="151"/>
  <c r="S53" i="150"/>
  <c r="U49" i="155" l="1"/>
  <c r="S49" i="156"/>
  <c r="U49" i="156" s="1"/>
  <c r="P56" i="156"/>
  <c r="Q56" i="156" s="1"/>
  <c r="W16" i="156"/>
  <c r="U16" i="156"/>
  <c r="W18" i="156"/>
  <c r="X18" i="156" s="1"/>
  <c r="U17" i="155"/>
  <c r="S17" i="156"/>
  <c r="U17" i="156" s="1"/>
  <c r="W48" i="156"/>
  <c r="T55" i="156"/>
  <c r="U55" i="156" s="1"/>
  <c r="T56" i="156"/>
  <c r="U56" i="156" s="1"/>
  <c r="W50" i="156"/>
  <c r="X50" i="156" s="1"/>
  <c r="U48" i="156"/>
  <c r="S12" i="156"/>
  <c r="U16" i="155"/>
  <c r="W16" i="155"/>
  <c r="P56" i="155"/>
  <c r="Q56" i="155" s="1"/>
  <c r="Z15" i="155"/>
  <c r="AA15" i="155" s="1"/>
  <c r="S6" i="154"/>
  <c r="S15" i="155"/>
  <c r="S15" i="156" s="1"/>
  <c r="V15" i="154"/>
  <c r="W15" i="154"/>
  <c r="P55" i="154"/>
  <c r="Q55" i="154" s="1"/>
  <c r="U15" i="154"/>
  <c r="U12" i="154"/>
  <c r="V12" i="154"/>
  <c r="Y17" i="154"/>
  <c r="Y16" i="154"/>
  <c r="U16" i="154" s="1"/>
  <c r="Y48" i="154"/>
  <c r="U48" i="154" s="1"/>
  <c r="Y49" i="154"/>
  <c r="BA12" i="152"/>
  <c r="BB12" i="152"/>
  <c r="U48" i="155"/>
  <c r="T55" i="155"/>
  <c r="U55" i="155" s="1"/>
  <c r="W48" i="155"/>
  <c r="W50" i="155"/>
  <c r="X50" i="155" s="1"/>
  <c r="T56" i="155"/>
  <c r="U56" i="155" s="1"/>
  <c r="S12" i="155"/>
  <c r="BC15" i="152"/>
  <c r="AZ6" i="152"/>
  <c r="AW55" i="152"/>
  <c r="AX55" i="152" s="1"/>
  <c r="BA15" i="152"/>
  <c r="BB15" i="152"/>
  <c r="Q55" i="152"/>
  <c r="X55" i="152"/>
  <c r="Z55" i="152" s="1"/>
  <c r="U56" i="152"/>
  <c r="S58" i="152"/>
  <c r="U55" i="152"/>
  <c r="U6" i="152"/>
  <c r="W6" i="152"/>
  <c r="T6" i="152"/>
  <c r="E34" i="150"/>
  <c r="E74" i="150"/>
  <c r="J115" i="150"/>
  <c r="K75" i="150"/>
  <c r="I75" i="150"/>
  <c r="D116" i="150"/>
  <c r="L115" i="150"/>
  <c r="F7" i="150"/>
  <c r="U1" i="78"/>
  <c r="V1" i="78"/>
  <c r="W1" i="78"/>
  <c r="X1" i="78"/>
  <c r="Y1" i="78"/>
  <c r="R9" i="150"/>
  <c r="R31" i="121"/>
  <c r="R8" i="121" s="1"/>
  <c r="F8" i="150"/>
  <c r="F8" i="121"/>
  <c r="H152" i="150"/>
  <c r="K8" i="150"/>
  <c r="AL10" i="145"/>
  <c r="AJ8" i="145"/>
  <c r="I152" i="150"/>
  <c r="K152" i="150"/>
  <c r="X16" i="156" l="1"/>
  <c r="T16" i="156" s="1"/>
  <c r="X17" i="156"/>
  <c r="W12" i="155"/>
  <c r="L12" i="156"/>
  <c r="U12" i="156"/>
  <c r="T12" i="156"/>
  <c r="W12" i="156"/>
  <c r="X48" i="156"/>
  <c r="T48" i="156" s="1"/>
  <c r="X49" i="156"/>
  <c r="S6" i="156"/>
  <c r="P55" i="156"/>
  <c r="Q55" i="156" s="1"/>
  <c r="U15" i="156"/>
  <c r="V15" i="156"/>
  <c r="T15" i="156"/>
  <c r="Z15" i="156"/>
  <c r="AA15" i="156" s="1"/>
  <c r="BA6" i="152"/>
  <c r="BB6" i="152"/>
  <c r="S6" i="155"/>
  <c r="T15" i="155"/>
  <c r="U15" i="155"/>
  <c r="V15" i="155"/>
  <c r="P55" i="155"/>
  <c r="Q55" i="155" s="1"/>
  <c r="X48" i="155"/>
  <c r="T48" i="155" s="1"/>
  <c r="X49" i="155"/>
  <c r="X6" i="154"/>
  <c r="V6" i="154"/>
  <c r="U6" i="154"/>
  <c r="X16" i="155"/>
  <c r="T16" i="155" s="1"/>
  <c r="X17" i="155"/>
  <c r="U12" i="155"/>
  <c r="T12" i="155"/>
  <c r="W18" i="155"/>
  <c r="X18" i="155" s="1"/>
  <c r="L49" i="85"/>
  <c r="N49" i="85" s="1"/>
  <c r="P49" i="85" s="1"/>
  <c r="V6" i="155" l="1"/>
  <c r="L6" i="156"/>
  <c r="V6" i="156"/>
  <c r="W6" i="156"/>
  <c r="U6" i="156"/>
  <c r="T6" i="156"/>
  <c r="U6" i="155"/>
  <c r="T6" i="155"/>
  <c r="L48" i="85"/>
  <c r="L47" i="85"/>
  <c r="L46" i="85"/>
  <c r="L45" i="85"/>
  <c r="L44" i="85"/>
  <c r="L43" i="85"/>
  <c r="N43" i="85" s="1"/>
  <c r="P43" i="85" s="1"/>
  <c r="B21" i="85"/>
  <c r="C21" i="85" s="1"/>
  <c r="E21" i="85" s="1"/>
  <c r="G21" i="85" s="1"/>
  <c r="B22" i="85"/>
  <c r="C22" i="85" s="1"/>
  <c r="E22" i="85" s="1"/>
  <c r="G22" i="85" s="1"/>
  <c r="B23" i="85"/>
  <c r="C23" i="85" s="1"/>
  <c r="E23" i="85" s="1"/>
  <c r="G23" i="85" s="1"/>
  <c r="B24" i="85"/>
  <c r="C24" i="85" s="1"/>
  <c r="E24" i="85" s="1"/>
  <c r="G24" i="85" s="1"/>
  <c r="B25" i="85"/>
  <c r="C25" i="85" s="1"/>
  <c r="E25" i="85" s="1"/>
  <c r="G25" i="85" s="1"/>
  <c r="B20" i="85"/>
  <c r="Z146" i="78"/>
  <c r="Y146" i="78"/>
  <c r="W146" i="78"/>
  <c r="V146" i="78"/>
  <c r="U146" i="78"/>
  <c r="T146" i="78"/>
  <c r="X145" i="78"/>
  <c r="AA145" i="78" s="1"/>
  <c r="X144" i="78"/>
  <c r="AA144" i="78" s="1"/>
  <c r="X143" i="78"/>
  <c r="AA143" i="78" s="1"/>
  <c r="X142" i="78"/>
  <c r="AA142" i="78" s="1"/>
  <c r="X141" i="78"/>
  <c r="AA141" i="78" s="1"/>
  <c r="X140" i="78"/>
  <c r="AA140" i="78" s="1"/>
  <c r="X139" i="78"/>
  <c r="AA139" i="78" s="1"/>
  <c r="X138" i="78"/>
  <c r="AA138" i="78" s="1"/>
  <c r="X137" i="78"/>
  <c r="AA137" i="78" s="1"/>
  <c r="X136" i="78"/>
  <c r="AA136" i="78" s="1"/>
  <c r="X135" i="78"/>
  <c r="AA135" i="78" s="1"/>
  <c r="X134" i="78"/>
  <c r="AA134" i="78" s="1"/>
  <c r="Y131" i="78"/>
  <c r="X131" i="78"/>
  <c r="U131" i="78"/>
  <c r="Y130" i="78"/>
  <c r="X130" i="78"/>
  <c r="W130" i="78"/>
  <c r="W131" i="78" s="1"/>
  <c r="V130" i="78"/>
  <c r="V131" i="78" s="1"/>
  <c r="U130" i="78"/>
  <c r="AA129" i="78"/>
  <c r="AA128" i="78"/>
  <c r="AA127" i="78"/>
  <c r="AA126" i="78"/>
  <c r="AA125" i="78"/>
  <c r="AA124" i="78"/>
  <c r="AA123" i="78"/>
  <c r="AA122" i="78"/>
  <c r="AA121" i="78"/>
  <c r="AA120" i="78"/>
  <c r="AA119" i="78"/>
  <c r="Z131" i="78"/>
  <c r="AA118" i="78"/>
  <c r="N147" i="78"/>
  <c r="M147" i="78"/>
  <c r="L147" i="78"/>
  <c r="O146" i="78"/>
  <c r="P146" i="78" s="1"/>
  <c r="O145" i="78"/>
  <c r="P145" i="78" s="1"/>
  <c r="O144" i="78"/>
  <c r="P144" i="78" s="1"/>
  <c r="O143" i="78"/>
  <c r="P143" i="78" s="1"/>
  <c r="O142" i="78"/>
  <c r="P142" i="78" s="1"/>
  <c r="O141" i="78"/>
  <c r="P141" i="78" s="1"/>
  <c r="O140" i="78"/>
  <c r="P140" i="78" s="1"/>
  <c r="O139" i="78"/>
  <c r="P139" i="78" s="1"/>
  <c r="O138" i="78"/>
  <c r="P138" i="78" s="1"/>
  <c r="O137" i="78"/>
  <c r="P137" i="78" s="1"/>
  <c r="O136" i="78"/>
  <c r="P136" i="78" s="1"/>
  <c r="O135" i="78"/>
  <c r="P135" i="78" s="1"/>
  <c r="N131" i="78"/>
  <c r="N132" i="78" s="1"/>
  <c r="M131" i="78"/>
  <c r="M132" i="78" s="1"/>
  <c r="L131" i="78"/>
  <c r="O130" i="78"/>
  <c r="P130" i="78" s="1"/>
  <c r="P132" i="78" s="1"/>
  <c r="O129" i="78"/>
  <c r="P129" i="78" s="1"/>
  <c r="O128" i="78"/>
  <c r="P128" i="78" s="1"/>
  <c r="O127" i="78"/>
  <c r="P127" i="78" s="1"/>
  <c r="O126" i="78"/>
  <c r="P126" i="78" s="1"/>
  <c r="O125" i="78"/>
  <c r="P125" i="78" s="1"/>
  <c r="O124" i="78"/>
  <c r="P124" i="78" s="1"/>
  <c r="O123" i="78"/>
  <c r="P123" i="78" s="1"/>
  <c r="O122" i="78"/>
  <c r="P122" i="78" s="1"/>
  <c r="O121" i="78"/>
  <c r="P121" i="78" s="1"/>
  <c r="O120" i="78"/>
  <c r="P120" i="78" s="1"/>
  <c r="O119" i="78"/>
  <c r="P119" i="78" s="1"/>
  <c r="B26" i="85" l="1"/>
  <c r="C26" i="85" s="1"/>
  <c r="E26" i="85" s="1"/>
  <c r="G26" i="85" s="1"/>
  <c r="C20" i="85"/>
  <c r="E20" i="85" s="1"/>
  <c r="G20" i="85" s="1"/>
  <c r="R39" i="85"/>
  <c r="AA146" i="78"/>
  <c r="AA131" i="78"/>
  <c r="AA130" i="78"/>
  <c r="T130" i="78"/>
  <c r="T131" i="78"/>
  <c r="X146" i="78"/>
  <c r="Z130" i="78"/>
  <c r="O147" i="78"/>
  <c r="P147" i="78" s="1"/>
  <c r="O131" i="78"/>
  <c r="O132" i="78" s="1"/>
  <c r="AW37" i="97"/>
  <c r="G4" i="110"/>
  <c r="AA33" i="127"/>
  <c r="AB33" i="127"/>
  <c r="Z33" i="127"/>
  <c r="Y33" i="127"/>
  <c r="X33" i="127"/>
  <c r="A29" i="142"/>
  <c r="N33" i="144"/>
  <c r="N32" i="144"/>
  <c r="N31" i="144"/>
  <c r="N30" i="144"/>
  <c r="N28" i="144"/>
  <c r="N27" i="144"/>
  <c r="N26" i="144"/>
  <c r="N25" i="144"/>
  <c r="N24" i="144"/>
  <c r="N23" i="144"/>
  <c r="N22" i="144"/>
  <c r="N21" i="144"/>
  <c r="A29" i="144"/>
  <c r="I26" i="144"/>
  <c r="D9" i="144"/>
  <c r="N29" i="144" l="1"/>
  <c r="E9" i="144"/>
  <c r="P131" i="78"/>
  <c r="H4" i="144" l="1"/>
  <c r="Q85" i="150"/>
  <c r="Q86" i="150"/>
  <c r="Q84" i="150"/>
  <c r="Q74" i="150"/>
  <c r="I76" i="150"/>
  <c r="F76" i="150" s="1"/>
  <c r="I74" i="150"/>
  <c r="F74" i="150" s="1"/>
  <c r="G115" i="150"/>
  <c r="I61" i="150" s="1"/>
  <c r="F61" i="150" s="1"/>
  <c r="E115" i="150"/>
  <c r="I60" i="150" s="1"/>
  <c r="L152" i="150"/>
  <c r="H68" i="150"/>
  <c r="G152" i="150"/>
  <c r="H62" i="150"/>
  <c r="E62" i="150" s="1"/>
  <c r="J152" i="150"/>
  <c r="H74" i="150" s="1"/>
  <c r="E152" i="150"/>
  <c r="H60" i="150" s="1"/>
  <c r="D152" i="150"/>
  <c r="H66" i="150" s="1"/>
  <c r="K25" i="85"/>
  <c r="L25" i="85" s="1"/>
  <c r="N25" i="85" s="1"/>
  <c r="P25" i="85" s="1"/>
  <c r="B43" i="132"/>
  <c r="B65" i="132" s="1"/>
  <c r="E65" i="132" s="1"/>
  <c r="I71" i="150"/>
  <c r="F71" i="150" s="1"/>
  <c r="H71" i="150"/>
  <c r="E71" i="150" s="1"/>
  <c r="O26" i="150"/>
  <c r="E12" i="150"/>
  <c r="H76" i="150"/>
  <c r="E76" i="150" s="1"/>
  <c r="H67" i="150"/>
  <c r="R95" i="150"/>
  <c r="Q95" i="150"/>
  <c r="G116" i="150"/>
  <c r="P95" i="150" s="1"/>
  <c r="F116" i="150"/>
  <c r="E116" i="150"/>
  <c r="F75" i="150"/>
  <c r="K67" i="150"/>
  <c r="L68" i="150" s="1"/>
  <c r="D115" i="150"/>
  <c r="I66" i="150" s="1"/>
  <c r="R94" i="150"/>
  <c r="Q94" i="150"/>
  <c r="P94" i="150"/>
  <c r="O94" i="150"/>
  <c r="K79" i="150"/>
  <c r="F72" i="150" s="1"/>
  <c r="J79" i="150"/>
  <c r="L80" i="150" s="1"/>
  <c r="L78" i="150"/>
  <c r="K74" i="150"/>
  <c r="F73" i="150"/>
  <c r="E73" i="150"/>
  <c r="AC72" i="150"/>
  <c r="AA72" i="150"/>
  <c r="Z72" i="150"/>
  <c r="X72" i="150"/>
  <c r="W72" i="150"/>
  <c r="U72" i="150"/>
  <c r="T72" i="150"/>
  <c r="C72" i="150"/>
  <c r="AD65" i="150"/>
  <c r="AC65" i="150"/>
  <c r="AA65" i="150"/>
  <c r="Z65" i="150"/>
  <c r="X65" i="150"/>
  <c r="W65" i="150"/>
  <c r="U65" i="150"/>
  <c r="T65" i="150"/>
  <c r="J65" i="150"/>
  <c r="I64" i="150" s="1"/>
  <c r="L62" i="150"/>
  <c r="L61" i="150"/>
  <c r="P60" i="150"/>
  <c r="O60" i="150"/>
  <c r="L60" i="150"/>
  <c r="AA59" i="150"/>
  <c r="U59" i="150"/>
  <c r="T59" i="150"/>
  <c r="Z59" i="150" s="1"/>
  <c r="L59" i="150"/>
  <c r="I58" i="150"/>
  <c r="H58" i="150"/>
  <c r="U53" i="150"/>
  <c r="G53" i="150"/>
  <c r="I53" i="150" s="1"/>
  <c r="U52" i="150"/>
  <c r="I52" i="150"/>
  <c r="U51" i="150"/>
  <c r="I51" i="150"/>
  <c r="J46" i="150"/>
  <c r="Y45" i="150"/>
  <c r="X45" i="150"/>
  <c r="AA45" i="150" s="1"/>
  <c r="J45" i="150"/>
  <c r="AA44" i="150"/>
  <c r="Z44" i="150"/>
  <c r="J44" i="150"/>
  <c r="AA43" i="150"/>
  <c r="W43" i="150"/>
  <c r="Z43" i="150" s="1"/>
  <c r="J43" i="150"/>
  <c r="I43" i="150"/>
  <c r="H43" i="150"/>
  <c r="AA42" i="150"/>
  <c r="W42" i="150"/>
  <c r="Z42" i="150" s="1"/>
  <c r="J42" i="150"/>
  <c r="H42" i="150"/>
  <c r="AA41" i="150"/>
  <c r="W41" i="150"/>
  <c r="Z41" i="150" s="1"/>
  <c r="J41" i="150"/>
  <c r="H41" i="150"/>
  <c r="W45" i="150"/>
  <c r="I40" i="150"/>
  <c r="K37" i="150"/>
  <c r="W35" i="150"/>
  <c r="O34" i="150"/>
  <c r="C34" i="150"/>
  <c r="K32" i="150"/>
  <c r="K31" i="150"/>
  <c r="Q29" i="150"/>
  <c r="E29" i="150"/>
  <c r="V27" i="150"/>
  <c r="G27" i="150"/>
  <c r="F27" i="150"/>
  <c r="D27" i="150"/>
  <c r="C27" i="150"/>
  <c r="Z23" i="150"/>
  <c r="I23" i="150"/>
  <c r="E23" i="150"/>
  <c r="I22" i="150"/>
  <c r="E22" i="150"/>
  <c r="Y21" i="150"/>
  <c r="I21" i="150"/>
  <c r="E21" i="150"/>
  <c r="I20" i="150"/>
  <c r="E20" i="150"/>
  <c r="G19" i="150"/>
  <c r="D19" i="150" s="1"/>
  <c r="F19" i="150"/>
  <c r="C19" i="150" s="1"/>
  <c r="J15" i="150"/>
  <c r="AH10" i="150"/>
  <c r="AG10" i="150"/>
  <c r="AF10" i="150"/>
  <c r="AE10" i="150"/>
  <c r="AD10" i="150"/>
  <c r="D10" i="150"/>
  <c r="C10" i="150"/>
  <c r="X9" i="150"/>
  <c r="P9" i="150"/>
  <c r="P10" i="150" s="1"/>
  <c r="F9" i="150"/>
  <c r="D9" i="150"/>
  <c r="X8" i="150"/>
  <c r="Y7" i="150"/>
  <c r="X7" i="150"/>
  <c r="G7" i="150"/>
  <c r="H25" i="150" s="1"/>
  <c r="S4" i="150"/>
  <c r="S19" i="150" s="1"/>
  <c r="R4" i="150"/>
  <c r="R19" i="150" s="1"/>
  <c r="E4" i="150"/>
  <c r="Q4" i="150" s="1"/>
  <c r="W40" i="131"/>
  <c r="U40" i="131"/>
  <c r="V40" i="131"/>
  <c r="T40" i="131"/>
  <c r="T31" i="131"/>
  <c r="O95" i="150" l="1"/>
  <c r="H61" i="150"/>
  <c r="E61" i="150" s="1"/>
  <c r="C56" i="150" s="1"/>
  <c r="K18" i="150"/>
  <c r="I62" i="150"/>
  <c r="F62" i="150" s="1"/>
  <c r="E27" i="150"/>
  <c r="E10" i="150"/>
  <c r="E72" i="150"/>
  <c r="I32" i="150" s="1"/>
  <c r="I35" i="150"/>
  <c r="J67" i="150"/>
  <c r="E60" i="150"/>
  <c r="I37" i="150"/>
  <c r="P115" i="150"/>
  <c r="H31" i="150"/>
  <c r="I31" i="150"/>
  <c r="I27" i="150"/>
  <c r="H32" i="150"/>
  <c r="E67" i="150"/>
  <c r="F60" i="150"/>
  <c r="D55" i="150" s="1"/>
  <c r="P19" i="150"/>
  <c r="H22" i="150"/>
  <c r="H7" i="150"/>
  <c r="H20" i="150"/>
  <c r="T41" i="150"/>
  <c r="U41" i="150"/>
  <c r="J68" i="150"/>
  <c r="E68" i="150"/>
  <c r="K66" i="150"/>
  <c r="L67" i="150" s="1"/>
  <c r="F66" i="150"/>
  <c r="K68" i="150"/>
  <c r="L69" i="150" s="1"/>
  <c r="F68" i="150"/>
  <c r="J66" i="150"/>
  <c r="E66" i="150"/>
  <c r="O19" i="150"/>
  <c r="H24" i="150"/>
  <c r="J75" i="150"/>
  <c r="I7" i="150"/>
  <c r="H21" i="150"/>
  <c r="H23" i="150"/>
  <c r="H33" i="150"/>
  <c r="H40" i="150"/>
  <c r="I41" i="150"/>
  <c r="I42" i="150"/>
  <c r="Z45" i="150"/>
  <c r="F67" i="150"/>
  <c r="I33" i="150"/>
  <c r="W14" i="131"/>
  <c r="W13" i="131"/>
  <c r="C55" i="150" l="1"/>
  <c r="E55" i="150" s="1"/>
  <c r="E56" i="150"/>
  <c r="H56" i="150"/>
  <c r="I56" i="150" s="1"/>
  <c r="H55" i="150"/>
  <c r="I55" i="150" s="1"/>
  <c r="H34" i="150"/>
  <c r="J16" i="150"/>
  <c r="J18" i="150"/>
  <c r="I16" i="150"/>
  <c r="J48" i="150"/>
  <c r="K48" i="150"/>
  <c r="K16" i="150"/>
  <c r="L16" i="150" s="1"/>
  <c r="H16" i="150" s="1"/>
  <c r="I17" i="150"/>
  <c r="I34" i="150"/>
  <c r="H75" i="150"/>
  <c r="E75" i="150" s="1"/>
  <c r="F12" i="150"/>
  <c r="F6" i="150"/>
  <c r="I49" i="150"/>
  <c r="I48" i="150"/>
  <c r="H15" i="150"/>
  <c r="G6" i="150"/>
  <c r="I15" i="150"/>
  <c r="I47" i="150"/>
  <c r="G12" i="150"/>
  <c r="H12" i="150" s="1"/>
  <c r="H47" i="150"/>
  <c r="H27" i="150"/>
  <c r="T40" i="150"/>
  <c r="U40" i="150"/>
  <c r="S15" i="132"/>
  <c r="M13" i="131"/>
  <c r="S17" i="132" l="1"/>
  <c r="W16" i="132" s="1"/>
  <c r="S56" i="150"/>
  <c r="S55" i="150"/>
  <c r="L49" i="150"/>
  <c r="V50" i="150"/>
  <c r="V48" i="150"/>
  <c r="L17" i="150"/>
  <c r="L18" i="150"/>
  <c r="W55" i="150"/>
  <c r="R12" i="150"/>
  <c r="I6" i="150"/>
  <c r="L48" i="150"/>
  <c r="H48" i="150" s="1"/>
  <c r="H6" i="150"/>
  <c r="I12" i="150"/>
  <c r="R58" i="150" l="1"/>
  <c r="F10" i="150"/>
  <c r="C11" i="144"/>
  <c r="C13" i="144"/>
  <c r="C14" i="144"/>
  <c r="C15" i="144"/>
  <c r="C16" i="144"/>
  <c r="C10" i="144"/>
  <c r="C5" i="144"/>
  <c r="C6" i="144"/>
  <c r="C7" i="144"/>
  <c r="C8" i="144"/>
  <c r="C9" i="144"/>
  <c r="F9" i="144" s="1"/>
  <c r="AB25" i="144"/>
  <c r="Y37" i="144" s="1"/>
  <c r="AA25" i="144"/>
  <c r="AA37" i="144" s="1"/>
  <c r="Y25" i="144"/>
  <c r="X37" i="144" s="1"/>
  <c r="AB24" i="144"/>
  <c r="Y36" i="144" s="1"/>
  <c r="AA24" i="144"/>
  <c r="AA36" i="144" s="1"/>
  <c r="Y24" i="144"/>
  <c r="X36" i="144" s="1"/>
  <c r="AB23" i="144"/>
  <c r="Y35" i="144" s="1"/>
  <c r="AA23" i="144"/>
  <c r="AA35" i="144" s="1"/>
  <c r="Y23" i="144"/>
  <c r="X35" i="144" s="1"/>
  <c r="AB22" i="144"/>
  <c r="Y34" i="144" s="1"/>
  <c r="AA22" i="144"/>
  <c r="AA34" i="144" s="1"/>
  <c r="Y22" i="144"/>
  <c r="X34" i="144" s="1"/>
  <c r="AB21" i="144"/>
  <c r="Y33" i="144" s="1"/>
  <c r="AA21" i="144"/>
  <c r="AA33" i="144" s="1"/>
  <c r="Y21" i="144"/>
  <c r="X33" i="144" s="1"/>
  <c r="X41" i="144" s="1"/>
  <c r="X22" i="144"/>
  <c r="Z34" i="144" s="1"/>
  <c r="X23" i="144"/>
  <c r="Z35" i="144" s="1"/>
  <c r="X24" i="144"/>
  <c r="Z36" i="144" s="1"/>
  <c r="X25" i="144"/>
  <c r="Z37" i="144" s="1"/>
  <c r="X21" i="144"/>
  <c r="Z33" i="144" s="1"/>
  <c r="AE4" i="144"/>
  <c r="AE5" i="144"/>
  <c r="AE6" i="144"/>
  <c r="AE24" i="144" s="1"/>
  <c r="AE7" i="144"/>
  <c r="AE25" i="144" s="1"/>
  <c r="AE8" i="144"/>
  <c r="AE26" i="144" s="1"/>
  <c r="AE9" i="144"/>
  <c r="AE27" i="144" s="1"/>
  <c r="AE11" i="144"/>
  <c r="AE12" i="144"/>
  <c r="AE13" i="144"/>
  <c r="AE14" i="144"/>
  <c r="AE15" i="144"/>
  <c r="AE3" i="144"/>
  <c r="AD4" i="144"/>
  <c r="AD22" i="144" s="1"/>
  <c r="AD5" i="144"/>
  <c r="AD23" i="144" s="1"/>
  <c r="AD6" i="144"/>
  <c r="AD24" i="144" s="1"/>
  <c r="AD7" i="144"/>
  <c r="AD25" i="144" s="1"/>
  <c r="AD8" i="144"/>
  <c r="AD26" i="144" s="1"/>
  <c r="AD9" i="144"/>
  <c r="AD27" i="144" s="1"/>
  <c r="AD11" i="144"/>
  <c r="AD12" i="144"/>
  <c r="AD13" i="144"/>
  <c r="AD14" i="144"/>
  <c r="AD15" i="144"/>
  <c r="AD3" i="144"/>
  <c r="AC15" i="144"/>
  <c r="AC14" i="144"/>
  <c r="AC13" i="144"/>
  <c r="AC12" i="144"/>
  <c r="AC11" i="144"/>
  <c r="AC9" i="144"/>
  <c r="AC8" i="144"/>
  <c r="AC7" i="144"/>
  <c r="AC6" i="144"/>
  <c r="AC5" i="144"/>
  <c r="AC4" i="144"/>
  <c r="AC3" i="144"/>
  <c r="Z4" i="144"/>
  <c r="Z5" i="144"/>
  <c r="Z6" i="144"/>
  <c r="Z7" i="144"/>
  <c r="Z8" i="144"/>
  <c r="Z9" i="144"/>
  <c r="Z11" i="144"/>
  <c r="Z12" i="144"/>
  <c r="Z13" i="144"/>
  <c r="Z14" i="144"/>
  <c r="Z15" i="144"/>
  <c r="Z3" i="144"/>
  <c r="C4" i="144"/>
  <c r="Q9" i="144"/>
  <c r="B17" i="144"/>
  <c r="S53" i="145"/>
  <c r="R53" i="145"/>
  <c r="R31" i="145"/>
  <c r="G40" i="145"/>
  <c r="G49" i="145"/>
  <c r="G48" i="145"/>
  <c r="G47" i="145"/>
  <c r="G16" i="145"/>
  <c r="G15" i="145"/>
  <c r="G17" i="145"/>
  <c r="O8" i="132"/>
  <c r="G42" i="145"/>
  <c r="G41" i="145"/>
  <c r="G35" i="145"/>
  <c r="F8" i="145"/>
  <c r="G36" i="145"/>
  <c r="G33" i="145"/>
  <c r="G32" i="145"/>
  <c r="G31" i="145"/>
  <c r="AF9" i="132"/>
  <c r="AF10" i="132"/>
  <c r="U10" i="132" s="1"/>
  <c r="AF11" i="132"/>
  <c r="U11" i="132" s="1"/>
  <c r="AF12" i="132"/>
  <c r="U12" i="132" s="1"/>
  <c r="AF13" i="132"/>
  <c r="U13" i="132" s="1"/>
  <c r="AF14" i="132"/>
  <c r="AF8" i="132"/>
  <c r="U8" i="132" s="1"/>
  <c r="L26" i="144" s="1"/>
  <c r="E48" i="145"/>
  <c r="E47" i="145"/>
  <c r="G38" i="155" l="1"/>
  <c r="G8" i="155" s="1"/>
  <c r="U16" i="132"/>
  <c r="X16" i="132" s="1"/>
  <c r="I8" i="155"/>
  <c r="H8" i="155"/>
  <c r="J8" i="155"/>
  <c r="K8" i="155" s="1"/>
  <c r="L8" i="155" s="1"/>
  <c r="G38" i="154"/>
  <c r="G38" i="152"/>
  <c r="G8" i="152" s="1"/>
  <c r="L28" i="144"/>
  <c r="G38" i="151"/>
  <c r="G8" i="150"/>
  <c r="U9" i="132"/>
  <c r="F10" i="144"/>
  <c r="F11" i="144"/>
  <c r="C12" i="144"/>
  <c r="AA41" i="144"/>
  <c r="AF41" i="144"/>
  <c r="Y41" i="144"/>
  <c r="AG41" i="144" s="1"/>
  <c r="Z41" i="144"/>
  <c r="Z42" i="144" s="1"/>
  <c r="AF33" i="144"/>
  <c r="AD33" i="144"/>
  <c r="AG35" i="144"/>
  <c r="AE35" i="144"/>
  <c r="AF37" i="144"/>
  <c r="AD37" i="144"/>
  <c r="AF36" i="144"/>
  <c r="AD36" i="144"/>
  <c r="AG33" i="144"/>
  <c r="AE33" i="144"/>
  <c r="AD35" i="144"/>
  <c r="AF35" i="144"/>
  <c r="AG37" i="144"/>
  <c r="AE37" i="144"/>
  <c r="AG34" i="144"/>
  <c r="AE34" i="144"/>
  <c r="AF34" i="144"/>
  <c r="AD34" i="144"/>
  <c r="AG36" i="144"/>
  <c r="AE36" i="144"/>
  <c r="AD21" i="144"/>
  <c r="AD10" i="144"/>
  <c r="AD28" i="144" s="1"/>
  <c r="AE21" i="144"/>
  <c r="AE10" i="144"/>
  <c r="AE28" i="144" s="1"/>
  <c r="H8" i="150"/>
  <c r="I8" i="150"/>
  <c r="G37" i="145"/>
  <c r="C26" i="144"/>
  <c r="AL8" i="145"/>
  <c r="J9" i="144"/>
  <c r="O9" i="144"/>
  <c r="AC24" i="144"/>
  <c r="Z21" i="144"/>
  <c r="AF25" i="144"/>
  <c r="AC22" i="144"/>
  <c r="Z24" i="144"/>
  <c r="AF4" i="144"/>
  <c r="AF24" i="144"/>
  <c r="AC21" i="144"/>
  <c r="AF8" i="144"/>
  <c r="Z22" i="144"/>
  <c r="T9" i="144"/>
  <c r="AC10" i="144"/>
  <c r="AF5" i="144"/>
  <c r="AC23" i="144"/>
  <c r="Z25" i="144"/>
  <c r="Z26" i="144"/>
  <c r="AF12" i="144"/>
  <c r="Z10" i="144"/>
  <c r="AF15" i="144"/>
  <c r="AF11" i="144"/>
  <c r="AF7" i="144"/>
  <c r="Z23" i="144"/>
  <c r="AC25" i="144"/>
  <c r="AC26" i="144"/>
  <c r="AF6" i="144"/>
  <c r="AF9" i="144"/>
  <c r="AF14" i="144"/>
  <c r="AE22" i="144"/>
  <c r="AF22" i="144" s="1"/>
  <c r="AF26" i="144"/>
  <c r="AF13" i="144"/>
  <c r="AF3" i="144"/>
  <c r="AE23" i="144"/>
  <c r="AF23" i="144" s="1"/>
  <c r="E33" i="145"/>
  <c r="E32" i="145"/>
  <c r="E31" i="145"/>
  <c r="Q41" i="145"/>
  <c r="Q42" i="145"/>
  <c r="Q40" i="145"/>
  <c r="T38" i="131"/>
  <c r="E8" i="145"/>
  <c r="E7" i="145"/>
  <c r="E16" i="145"/>
  <c r="E15" i="145"/>
  <c r="H15" i="145" s="1"/>
  <c r="N34" i="78"/>
  <c r="M34" i="78"/>
  <c r="L34" i="78"/>
  <c r="H47" i="145"/>
  <c r="J7" i="78"/>
  <c r="J6" i="78"/>
  <c r="J5" i="78"/>
  <c r="M1" i="78"/>
  <c r="N1" i="78"/>
  <c r="Y25" i="132"/>
  <c r="U6" i="127"/>
  <c r="B10" i="78"/>
  <c r="E115" i="145"/>
  <c r="P93" i="145"/>
  <c r="D115" i="145"/>
  <c r="G115" i="145"/>
  <c r="I61" i="145" s="1"/>
  <c r="R94" i="145"/>
  <c r="R93" i="145"/>
  <c r="P94" i="145"/>
  <c r="Q94" i="145"/>
  <c r="Q93" i="145"/>
  <c r="O94" i="145"/>
  <c r="O93" i="145"/>
  <c r="G116" i="145"/>
  <c r="G42" i="148"/>
  <c r="G65" i="148"/>
  <c r="G75" i="148"/>
  <c r="G76" i="148"/>
  <c r="G77" i="148"/>
  <c r="G56" i="148"/>
  <c r="I54" i="148"/>
  <c r="H54" i="148"/>
  <c r="F54" i="148"/>
  <c r="E54" i="148"/>
  <c r="F53" i="148"/>
  <c r="E53" i="148"/>
  <c r="I53" i="148"/>
  <c r="H53" i="148"/>
  <c r="G33" i="148"/>
  <c r="D153" i="145"/>
  <c r="I153" i="145"/>
  <c r="F55" i="148" s="1"/>
  <c r="H153" i="145"/>
  <c r="E55" i="148" s="1"/>
  <c r="G153" i="145"/>
  <c r="F153" i="145"/>
  <c r="E153" i="145"/>
  <c r="E116" i="145"/>
  <c r="F116" i="145"/>
  <c r="H116" i="145"/>
  <c r="H55" i="148" s="1"/>
  <c r="I116" i="145"/>
  <c r="R95" i="145" s="1"/>
  <c r="D116" i="145"/>
  <c r="I31" i="148"/>
  <c r="I76" i="148" s="1"/>
  <c r="H31" i="148"/>
  <c r="H76" i="148" s="1"/>
  <c r="F31" i="148"/>
  <c r="F76" i="148" s="1"/>
  <c r="E31" i="148"/>
  <c r="E76" i="148" s="1"/>
  <c r="I30" i="148"/>
  <c r="H30" i="148"/>
  <c r="F30" i="148"/>
  <c r="E30" i="148"/>
  <c r="G71" i="148"/>
  <c r="G72" i="148"/>
  <c r="J72" i="148" s="1"/>
  <c r="G73" i="148"/>
  <c r="J73" i="148" s="1"/>
  <c r="G74" i="148"/>
  <c r="J74" i="148" s="1"/>
  <c r="G79" i="148"/>
  <c r="G80" i="148"/>
  <c r="G81" i="148"/>
  <c r="G82" i="148"/>
  <c r="G83" i="148"/>
  <c r="G84" i="148"/>
  <c r="G85" i="148"/>
  <c r="G70" i="148"/>
  <c r="J70" i="148" s="1"/>
  <c r="D87" i="148"/>
  <c r="I49" i="148"/>
  <c r="I50" i="148"/>
  <c r="I51" i="148"/>
  <c r="I52" i="148"/>
  <c r="I57" i="148"/>
  <c r="I58" i="148"/>
  <c r="I59" i="148"/>
  <c r="I60" i="148"/>
  <c r="I61" i="148"/>
  <c r="I62" i="148"/>
  <c r="I63" i="148"/>
  <c r="H49" i="148"/>
  <c r="H50" i="148"/>
  <c r="H51" i="148"/>
  <c r="H52" i="148"/>
  <c r="H57" i="148"/>
  <c r="H58" i="148"/>
  <c r="H59" i="148"/>
  <c r="H60" i="148"/>
  <c r="H61" i="148"/>
  <c r="H62" i="148"/>
  <c r="H63" i="148"/>
  <c r="I48" i="148"/>
  <c r="H48" i="148"/>
  <c r="F49" i="148"/>
  <c r="F50" i="148"/>
  <c r="F51" i="148"/>
  <c r="F52" i="148"/>
  <c r="L52" i="148" s="1"/>
  <c r="F57" i="148"/>
  <c r="F58" i="148"/>
  <c r="F59" i="148"/>
  <c r="F60" i="148"/>
  <c r="F61" i="148"/>
  <c r="F62" i="148"/>
  <c r="F63" i="148"/>
  <c r="F48" i="148"/>
  <c r="E49" i="148"/>
  <c r="E50" i="148"/>
  <c r="E51" i="148"/>
  <c r="E52" i="148"/>
  <c r="E57" i="148"/>
  <c r="E58" i="148"/>
  <c r="E59" i="148"/>
  <c r="E60" i="148"/>
  <c r="E61" i="148"/>
  <c r="E62" i="148"/>
  <c r="E63" i="148"/>
  <c r="E48" i="148"/>
  <c r="D65" i="148"/>
  <c r="G64" i="148"/>
  <c r="J52" i="148"/>
  <c r="J51" i="148"/>
  <c r="J50" i="148"/>
  <c r="J49" i="148"/>
  <c r="J48" i="148"/>
  <c r="G41" i="148"/>
  <c r="F29" i="148"/>
  <c r="F28" i="148"/>
  <c r="F27" i="148"/>
  <c r="F26" i="148"/>
  <c r="F25" i="148"/>
  <c r="I25" i="148"/>
  <c r="F34" i="148"/>
  <c r="F35" i="148"/>
  <c r="F36" i="148"/>
  <c r="F37" i="148"/>
  <c r="F38" i="148"/>
  <c r="F39" i="148"/>
  <c r="F40" i="148"/>
  <c r="G8" i="154" l="1"/>
  <c r="I8" i="152"/>
  <c r="V8" i="152"/>
  <c r="J8" i="152"/>
  <c r="K8" i="152" s="1"/>
  <c r="L8" i="152" s="1"/>
  <c r="H8" i="152"/>
  <c r="AE41" i="144"/>
  <c r="G8" i="151"/>
  <c r="S38" i="151"/>
  <c r="L27" i="144"/>
  <c r="AD41" i="144"/>
  <c r="AF21" i="144"/>
  <c r="X42" i="144"/>
  <c r="AF42" i="144" s="1"/>
  <c r="G78" i="148"/>
  <c r="I70" i="148"/>
  <c r="F73" i="148"/>
  <c r="P17" i="78"/>
  <c r="F42" i="148"/>
  <c r="E65" i="148"/>
  <c r="W31" i="150"/>
  <c r="I75" i="148"/>
  <c r="L53" i="148"/>
  <c r="L54" i="148"/>
  <c r="E75" i="148"/>
  <c r="O95" i="145"/>
  <c r="F75" i="148"/>
  <c r="F32" i="148"/>
  <c r="F77" i="148" s="1"/>
  <c r="Q9" i="145"/>
  <c r="P95" i="145"/>
  <c r="H75" i="148"/>
  <c r="K76" i="148"/>
  <c r="E32" i="148"/>
  <c r="E77" i="148" s="1"/>
  <c r="K54" i="148"/>
  <c r="P115" i="145"/>
  <c r="L76" i="148"/>
  <c r="H32" i="148"/>
  <c r="H56" i="148"/>
  <c r="I32" i="148"/>
  <c r="I55" i="148"/>
  <c r="L55" i="148" s="1"/>
  <c r="Q95" i="145"/>
  <c r="K53" i="148"/>
  <c r="E56" i="148"/>
  <c r="F56" i="148"/>
  <c r="F65" i="148"/>
  <c r="AF10" i="144"/>
  <c r="G87" i="148"/>
  <c r="K49" i="148"/>
  <c r="K55" i="148"/>
  <c r="L30" i="148"/>
  <c r="L31" i="148"/>
  <c r="K30" i="148"/>
  <c r="K31" i="148"/>
  <c r="F81" i="148"/>
  <c r="J65" i="148"/>
  <c r="F83" i="148"/>
  <c r="F79" i="148"/>
  <c r="K50" i="148"/>
  <c r="F85" i="148"/>
  <c r="F82" i="148"/>
  <c r="L51" i="148"/>
  <c r="K48" i="148"/>
  <c r="F74" i="148"/>
  <c r="L49" i="148"/>
  <c r="F71" i="148"/>
  <c r="J87" i="148"/>
  <c r="F84" i="148"/>
  <c r="F80" i="148"/>
  <c r="F72" i="148"/>
  <c r="L50" i="148"/>
  <c r="J64" i="148"/>
  <c r="F41" i="148"/>
  <c r="J71" i="148"/>
  <c r="J86" i="148" s="1"/>
  <c r="G86" i="148"/>
  <c r="L25" i="148"/>
  <c r="E64" i="148"/>
  <c r="I64" i="148"/>
  <c r="F70" i="148"/>
  <c r="K52" i="148"/>
  <c r="K51" i="148"/>
  <c r="F64" i="148"/>
  <c r="L48" i="148"/>
  <c r="H64" i="148"/>
  <c r="I8" i="154" l="1"/>
  <c r="W8" i="154"/>
  <c r="H8" i="154"/>
  <c r="J8" i="154"/>
  <c r="K8" i="154" s="1"/>
  <c r="L8" i="154" s="1"/>
  <c r="S38" i="152"/>
  <c r="S38" i="153"/>
  <c r="U38" i="151"/>
  <c r="S8" i="151"/>
  <c r="V8" i="151"/>
  <c r="J8" i="151"/>
  <c r="K8" i="151" s="1"/>
  <c r="L8" i="151" s="1"/>
  <c r="H8" i="151"/>
  <c r="I8" i="151"/>
  <c r="AD42" i="144"/>
  <c r="F33" i="148"/>
  <c r="L75" i="148"/>
  <c r="K75" i="148"/>
  <c r="K56" i="148"/>
  <c r="I56" i="148"/>
  <c r="L56" i="148" s="1"/>
  <c r="I77" i="148"/>
  <c r="L77" i="148" s="1"/>
  <c r="K32" i="148"/>
  <c r="H77" i="148"/>
  <c r="K77" i="148" s="1"/>
  <c r="L32" i="148"/>
  <c r="F78" i="148"/>
  <c r="F87" i="148"/>
  <c r="L70" i="148"/>
  <c r="K64" i="148"/>
  <c r="L64" i="148"/>
  <c r="F86" i="148"/>
  <c r="U38" i="152" l="1"/>
  <c r="AZ38" i="152"/>
  <c r="S38" i="154"/>
  <c r="S8" i="152"/>
  <c r="T8" i="152" s="1"/>
  <c r="U38" i="153"/>
  <c r="S8" i="153"/>
  <c r="U8" i="151"/>
  <c r="I26" i="148"/>
  <c r="I27" i="148"/>
  <c r="I72" i="148" s="1"/>
  <c r="L72" i="148" s="1"/>
  <c r="I28" i="148"/>
  <c r="I73" i="148" s="1"/>
  <c r="L73" i="148" s="1"/>
  <c r="I29" i="148"/>
  <c r="I74" i="148" s="1"/>
  <c r="L74" i="148" s="1"/>
  <c r="I34" i="148"/>
  <c r="I35" i="148"/>
  <c r="I36" i="148"/>
  <c r="I81" i="148" s="1"/>
  <c r="I37" i="148"/>
  <c r="I82" i="148" s="1"/>
  <c r="I38" i="148"/>
  <c r="I83" i="148" s="1"/>
  <c r="I39" i="148"/>
  <c r="I84" i="148" s="1"/>
  <c r="H26" i="148"/>
  <c r="H71" i="148" s="1"/>
  <c r="H27" i="148"/>
  <c r="H72" i="148" s="1"/>
  <c r="H28" i="148"/>
  <c r="H73" i="148" s="1"/>
  <c r="H29" i="148"/>
  <c r="H74" i="148" s="1"/>
  <c r="H34" i="148"/>
  <c r="H35" i="148"/>
  <c r="H36" i="148"/>
  <c r="H81" i="148" s="1"/>
  <c r="H37" i="148"/>
  <c r="H82" i="148" s="1"/>
  <c r="H38" i="148"/>
  <c r="H83" i="148" s="1"/>
  <c r="H39" i="148"/>
  <c r="H84" i="148" s="1"/>
  <c r="H40" i="148"/>
  <c r="H85" i="148" s="1"/>
  <c r="H25" i="148"/>
  <c r="E26" i="148"/>
  <c r="E71" i="148" s="1"/>
  <c r="E27" i="148"/>
  <c r="E72" i="148" s="1"/>
  <c r="E28" i="148"/>
  <c r="E73" i="148" s="1"/>
  <c r="E29" i="148"/>
  <c r="E74" i="148" s="1"/>
  <c r="E34" i="148"/>
  <c r="E79" i="148" s="1"/>
  <c r="E35" i="148"/>
  <c r="E80" i="148" s="1"/>
  <c r="E36" i="148"/>
  <c r="E81" i="148" s="1"/>
  <c r="E37" i="148"/>
  <c r="E82" i="148" s="1"/>
  <c r="E38" i="148"/>
  <c r="E83" i="148" s="1"/>
  <c r="E39" i="148"/>
  <c r="E84" i="148" s="1"/>
  <c r="E40" i="148"/>
  <c r="E85" i="148" s="1"/>
  <c r="E25" i="148"/>
  <c r="E42" i="148" s="1"/>
  <c r="D42" i="148"/>
  <c r="J29" i="148"/>
  <c r="J28" i="148"/>
  <c r="J27" i="148"/>
  <c r="J26" i="148"/>
  <c r="J25" i="148"/>
  <c r="L29" i="148" l="1"/>
  <c r="BB38" i="152"/>
  <c r="AZ8" i="152"/>
  <c r="S38" i="155"/>
  <c r="S38" i="156" s="1"/>
  <c r="V38" i="154"/>
  <c r="S8" i="154"/>
  <c r="U8" i="152"/>
  <c r="L27" i="148"/>
  <c r="T8" i="153"/>
  <c r="U8" i="153"/>
  <c r="K26" i="148"/>
  <c r="I33" i="148"/>
  <c r="L33" i="148" s="1"/>
  <c r="L26" i="148"/>
  <c r="H33" i="148"/>
  <c r="E33" i="148"/>
  <c r="L28" i="148"/>
  <c r="H79" i="148"/>
  <c r="I79" i="148"/>
  <c r="H80" i="148"/>
  <c r="I80" i="148"/>
  <c r="J42" i="148"/>
  <c r="K72" i="148"/>
  <c r="K71" i="148"/>
  <c r="J41" i="148"/>
  <c r="H70" i="148"/>
  <c r="H78" i="148" s="1"/>
  <c r="H41" i="148"/>
  <c r="K74" i="148"/>
  <c r="E70" i="148"/>
  <c r="E78" i="148" s="1"/>
  <c r="E41" i="148"/>
  <c r="I42" i="148"/>
  <c r="L42" i="148" s="1"/>
  <c r="I71" i="148"/>
  <c r="I78" i="148" s="1"/>
  <c r="L78" i="148" s="1"/>
  <c r="I41" i="148"/>
  <c r="L41" i="148" s="1"/>
  <c r="K73" i="148"/>
  <c r="K27" i="148"/>
  <c r="H42" i="148"/>
  <c r="K29" i="148"/>
  <c r="K28" i="148"/>
  <c r="K25" i="148"/>
  <c r="U38" i="156" l="1"/>
  <c r="S8" i="156"/>
  <c r="BB8" i="152"/>
  <c r="BA8" i="152"/>
  <c r="U38" i="155"/>
  <c r="S8" i="155"/>
  <c r="V8" i="155" s="1"/>
  <c r="V8" i="154"/>
  <c r="U8" i="154"/>
  <c r="K78" i="148"/>
  <c r="K33" i="148"/>
  <c r="E87" i="148"/>
  <c r="K42" i="148"/>
  <c r="K41" i="148"/>
  <c r="K70" i="148"/>
  <c r="H86" i="148"/>
  <c r="E86" i="148"/>
  <c r="L71" i="148"/>
  <c r="I86" i="148"/>
  <c r="L86" i="148" s="1"/>
  <c r="D19" i="148"/>
  <c r="E12" i="148"/>
  <c r="F12" i="148"/>
  <c r="E13" i="148"/>
  <c r="F13" i="148"/>
  <c r="E14" i="148"/>
  <c r="F14" i="148"/>
  <c r="E15" i="148"/>
  <c r="F15" i="148"/>
  <c r="E16" i="148"/>
  <c r="F16" i="148"/>
  <c r="E17" i="148"/>
  <c r="F17" i="148"/>
  <c r="E18" i="148"/>
  <c r="F18" i="148"/>
  <c r="E8" i="148"/>
  <c r="E9" i="148"/>
  <c r="E10" i="148"/>
  <c r="E11" i="148"/>
  <c r="E7" i="148"/>
  <c r="F8" i="148"/>
  <c r="F9" i="148"/>
  <c r="F10" i="148"/>
  <c r="F11" i="148"/>
  <c r="F7" i="148"/>
  <c r="H8" i="148"/>
  <c r="H9" i="148"/>
  <c r="H10" i="148"/>
  <c r="H11" i="148"/>
  <c r="H7" i="148"/>
  <c r="I8" i="148"/>
  <c r="I9" i="148"/>
  <c r="I10" i="148"/>
  <c r="I11" i="148"/>
  <c r="I7" i="148"/>
  <c r="J8" i="148"/>
  <c r="J9" i="148"/>
  <c r="J10" i="148"/>
  <c r="J11" i="148"/>
  <c r="J7" i="148"/>
  <c r="G19" i="148"/>
  <c r="L153" i="147"/>
  <c r="L152" i="147"/>
  <c r="K152" i="147"/>
  <c r="J152" i="147"/>
  <c r="I152" i="147"/>
  <c r="H152" i="147"/>
  <c r="G152" i="147"/>
  <c r="F152" i="147"/>
  <c r="E152" i="147"/>
  <c r="D152" i="147"/>
  <c r="L115" i="147"/>
  <c r="K115" i="147"/>
  <c r="J115" i="147"/>
  <c r="I115" i="147"/>
  <c r="H115" i="147"/>
  <c r="G115" i="147"/>
  <c r="F115" i="147"/>
  <c r="E115" i="147"/>
  <c r="D115" i="147"/>
  <c r="K79" i="147"/>
  <c r="J79" i="147"/>
  <c r="L80" i="147" s="1"/>
  <c r="L78" i="147"/>
  <c r="K76" i="147"/>
  <c r="I76" i="147"/>
  <c r="F76" i="147" s="1"/>
  <c r="G37" i="147" s="1"/>
  <c r="H76" i="147"/>
  <c r="E76" i="147"/>
  <c r="K75" i="147"/>
  <c r="J75" i="147"/>
  <c r="I75" i="147"/>
  <c r="F75" i="147" s="1"/>
  <c r="G36" i="147" s="1"/>
  <c r="H75" i="147"/>
  <c r="E75" i="147" s="1"/>
  <c r="F36" i="147" s="1"/>
  <c r="R36" i="147" s="1"/>
  <c r="K74" i="147"/>
  <c r="I74" i="147"/>
  <c r="H74" i="147"/>
  <c r="F74" i="147"/>
  <c r="G35" i="147" s="1"/>
  <c r="E74" i="147"/>
  <c r="F35" i="147" s="1"/>
  <c r="R35" i="147" s="1"/>
  <c r="F73" i="147"/>
  <c r="E73" i="147"/>
  <c r="AC72" i="147"/>
  <c r="AA72" i="147"/>
  <c r="Z72" i="147"/>
  <c r="X72" i="147"/>
  <c r="W72" i="147"/>
  <c r="U72" i="147"/>
  <c r="T72" i="147"/>
  <c r="F72" i="147"/>
  <c r="E72" i="147"/>
  <c r="F32" i="147" s="1"/>
  <c r="C72" i="147"/>
  <c r="I71" i="147"/>
  <c r="H71" i="147"/>
  <c r="F71" i="147"/>
  <c r="G31" i="147" s="1"/>
  <c r="E71" i="147"/>
  <c r="F31" i="147" s="1"/>
  <c r="K68" i="147"/>
  <c r="L69" i="147" s="1"/>
  <c r="J68" i="147"/>
  <c r="I68" i="147"/>
  <c r="H68" i="147"/>
  <c r="F68" i="147"/>
  <c r="E68" i="147"/>
  <c r="J67" i="147"/>
  <c r="I67" i="147"/>
  <c r="K67" i="147" s="1"/>
  <c r="L68" i="147" s="1"/>
  <c r="H67" i="147"/>
  <c r="E67" i="147"/>
  <c r="K66" i="147"/>
  <c r="L67" i="147" s="1"/>
  <c r="I66" i="147"/>
  <c r="H66" i="147"/>
  <c r="J66" i="147" s="1"/>
  <c r="F66" i="147"/>
  <c r="AD65" i="147"/>
  <c r="AC65" i="147"/>
  <c r="AA65" i="147"/>
  <c r="Z65" i="147"/>
  <c r="X65" i="147"/>
  <c r="W65" i="147"/>
  <c r="U65" i="147"/>
  <c r="T65" i="147"/>
  <c r="J65" i="147"/>
  <c r="I64" i="147"/>
  <c r="L62" i="147"/>
  <c r="I62" i="147"/>
  <c r="H62" i="147"/>
  <c r="F62" i="147"/>
  <c r="E62" i="147"/>
  <c r="L61" i="147"/>
  <c r="I61" i="147"/>
  <c r="H61" i="147"/>
  <c r="E61" i="147" s="1"/>
  <c r="F61" i="147"/>
  <c r="P60" i="147"/>
  <c r="O60" i="147"/>
  <c r="L60" i="147"/>
  <c r="I60" i="147"/>
  <c r="H60" i="147"/>
  <c r="F60" i="147"/>
  <c r="G15" i="147" s="1"/>
  <c r="E60" i="147"/>
  <c r="F15" i="147" s="1"/>
  <c r="AA59" i="147"/>
  <c r="U59" i="147"/>
  <c r="T59" i="147"/>
  <c r="Z59" i="147" s="1"/>
  <c r="L59" i="147"/>
  <c r="I58" i="147"/>
  <c r="H58" i="147"/>
  <c r="J56" i="147"/>
  <c r="U53" i="147"/>
  <c r="S53" i="147"/>
  <c r="R53" i="147"/>
  <c r="G53" i="147"/>
  <c r="I53" i="147" s="1"/>
  <c r="F53" i="147"/>
  <c r="U52" i="147"/>
  <c r="I52" i="147"/>
  <c r="U51" i="147"/>
  <c r="I51" i="147"/>
  <c r="G49" i="147"/>
  <c r="I49" i="147" s="1"/>
  <c r="F49" i="147"/>
  <c r="J48" i="147"/>
  <c r="F48" i="147"/>
  <c r="E48" i="147"/>
  <c r="Q48" i="147" s="1"/>
  <c r="G47" i="147"/>
  <c r="E47" i="147"/>
  <c r="J46" i="147"/>
  <c r="AA45" i="147"/>
  <c r="Y45" i="147"/>
  <c r="X45" i="147"/>
  <c r="U45" i="147"/>
  <c r="J45" i="147"/>
  <c r="AA44" i="147"/>
  <c r="Z44" i="147"/>
  <c r="U44" i="147"/>
  <c r="J44" i="147"/>
  <c r="AA43" i="147"/>
  <c r="Z43" i="147"/>
  <c r="W43" i="147"/>
  <c r="J43" i="147"/>
  <c r="I43" i="147"/>
  <c r="H43" i="147"/>
  <c r="AA42" i="147"/>
  <c r="W42" i="147"/>
  <c r="Z42" i="147" s="1"/>
  <c r="U42" i="147"/>
  <c r="Q42" i="147"/>
  <c r="T42" i="147" s="1"/>
  <c r="J42" i="147"/>
  <c r="I42" i="147"/>
  <c r="H42" i="147"/>
  <c r="AA41" i="147"/>
  <c r="W41" i="147"/>
  <c r="Z41" i="147" s="1"/>
  <c r="U41" i="147"/>
  <c r="Q41" i="147"/>
  <c r="T41" i="147" s="1"/>
  <c r="J41" i="147"/>
  <c r="I41" i="147"/>
  <c r="H41" i="147"/>
  <c r="AA40" i="147"/>
  <c r="Z40" i="147"/>
  <c r="W40" i="147"/>
  <c r="U40" i="147"/>
  <c r="Q40" i="147"/>
  <c r="T40" i="147" s="1"/>
  <c r="I40" i="147"/>
  <c r="H40" i="147"/>
  <c r="G38" i="147"/>
  <c r="F38" i="147"/>
  <c r="R38" i="147" s="1"/>
  <c r="K37" i="147"/>
  <c r="F37" i="147"/>
  <c r="R37" i="147" s="1"/>
  <c r="W35" i="147"/>
  <c r="O34" i="147"/>
  <c r="C34" i="147"/>
  <c r="I33" i="147"/>
  <c r="G33" i="147"/>
  <c r="F33" i="147"/>
  <c r="R33" i="147" s="1"/>
  <c r="E33" i="147"/>
  <c r="H33" i="147" s="1"/>
  <c r="K32" i="147"/>
  <c r="G32" i="147"/>
  <c r="E32" i="147"/>
  <c r="K31" i="147"/>
  <c r="Q29" i="147"/>
  <c r="E29" i="147"/>
  <c r="V27" i="147"/>
  <c r="G27" i="147"/>
  <c r="I27" i="147" s="1"/>
  <c r="F27" i="147"/>
  <c r="D27" i="147"/>
  <c r="E27" i="147" s="1"/>
  <c r="C27" i="147"/>
  <c r="S26" i="147"/>
  <c r="R26" i="147"/>
  <c r="O26" i="147"/>
  <c r="R25" i="147"/>
  <c r="O25" i="147"/>
  <c r="H25" i="147"/>
  <c r="R24" i="147"/>
  <c r="O24" i="147"/>
  <c r="H24" i="147"/>
  <c r="Z23" i="147"/>
  <c r="S23" i="147"/>
  <c r="R23" i="147"/>
  <c r="P23" i="147"/>
  <c r="O23" i="147"/>
  <c r="I23" i="147"/>
  <c r="H23" i="147"/>
  <c r="E23" i="147"/>
  <c r="S22" i="147"/>
  <c r="R22" i="147"/>
  <c r="P22" i="147"/>
  <c r="O22" i="147"/>
  <c r="I22" i="147"/>
  <c r="H22" i="147"/>
  <c r="E22" i="147"/>
  <c r="Y21" i="147"/>
  <c r="S21" i="147"/>
  <c r="R21" i="147"/>
  <c r="P21" i="147"/>
  <c r="O21" i="147"/>
  <c r="I21" i="147"/>
  <c r="E21" i="147"/>
  <c r="S20" i="147"/>
  <c r="R20" i="147"/>
  <c r="P20" i="147"/>
  <c r="O20" i="147"/>
  <c r="I20" i="147"/>
  <c r="H20" i="147"/>
  <c r="E20" i="147"/>
  <c r="P19" i="147"/>
  <c r="G19" i="147"/>
  <c r="F19" i="147"/>
  <c r="D19" i="147"/>
  <c r="C19" i="147"/>
  <c r="J17" i="147"/>
  <c r="G17" i="147"/>
  <c r="I17" i="147" s="1"/>
  <c r="F17" i="147"/>
  <c r="J16" i="147"/>
  <c r="I16" i="147"/>
  <c r="J15" i="147"/>
  <c r="E15" i="147"/>
  <c r="AH10" i="147"/>
  <c r="AG10" i="147"/>
  <c r="AF10" i="147"/>
  <c r="AE10" i="147"/>
  <c r="AD10" i="147"/>
  <c r="P10" i="147"/>
  <c r="C10" i="147"/>
  <c r="X9" i="147"/>
  <c r="S9" i="147"/>
  <c r="R9" i="147"/>
  <c r="P9" i="147"/>
  <c r="I9" i="147"/>
  <c r="H9" i="147"/>
  <c r="G9" i="147"/>
  <c r="F9" i="147"/>
  <c r="D9" i="147"/>
  <c r="D10" i="147" s="1"/>
  <c r="X8" i="147"/>
  <c r="Y7" i="147"/>
  <c r="X7" i="147"/>
  <c r="I7" i="147"/>
  <c r="G7" i="147"/>
  <c r="H21" i="147" s="1"/>
  <c r="F7" i="147"/>
  <c r="S4" i="147"/>
  <c r="S19" i="147" s="1"/>
  <c r="R4" i="147"/>
  <c r="R19" i="147" s="1"/>
  <c r="Q4" i="147"/>
  <c r="E4" i="147"/>
  <c r="E16" i="147"/>
  <c r="Q16" i="147" s="1"/>
  <c r="E7" i="147"/>
  <c r="Q7" i="147" s="1"/>
  <c r="E8" i="147"/>
  <c r="Q8" i="147" s="1"/>
  <c r="H152" i="145"/>
  <c r="L115" i="145"/>
  <c r="H71" i="145"/>
  <c r="I66" i="145"/>
  <c r="K152" i="145"/>
  <c r="I22" i="144"/>
  <c r="I23" i="144"/>
  <c r="I24" i="144"/>
  <c r="I25" i="144"/>
  <c r="I21" i="144"/>
  <c r="H27" i="144"/>
  <c r="J27" i="144" s="1"/>
  <c r="H28" i="144"/>
  <c r="J28" i="144" s="1"/>
  <c r="H30" i="144"/>
  <c r="J30" i="144" s="1"/>
  <c r="H31" i="144"/>
  <c r="J31" i="144" s="1"/>
  <c r="H32" i="144"/>
  <c r="J32" i="144" s="1"/>
  <c r="H33" i="144"/>
  <c r="J33" i="144" s="1"/>
  <c r="H26" i="144"/>
  <c r="J26" i="144" s="1"/>
  <c r="H22" i="144"/>
  <c r="H23" i="144"/>
  <c r="H24" i="144"/>
  <c r="H25" i="144"/>
  <c r="H21" i="144"/>
  <c r="Q10" i="144"/>
  <c r="Q11" i="144"/>
  <c r="Q13" i="144"/>
  <c r="Q14" i="144"/>
  <c r="Q15" i="144"/>
  <c r="Q16" i="144"/>
  <c r="Q5" i="144"/>
  <c r="Q6" i="144"/>
  <c r="Q7" i="144"/>
  <c r="Q8" i="144"/>
  <c r="Q4" i="144"/>
  <c r="H5" i="144"/>
  <c r="H6" i="144"/>
  <c r="H7" i="144"/>
  <c r="H8" i="144"/>
  <c r="M10" i="144"/>
  <c r="M11" i="144"/>
  <c r="M9" i="144"/>
  <c r="P9" i="144" s="1"/>
  <c r="W16" i="78"/>
  <c r="M5" i="144"/>
  <c r="M6" i="144"/>
  <c r="M7" i="144"/>
  <c r="M8" i="144"/>
  <c r="M4" i="144"/>
  <c r="H10" i="144"/>
  <c r="H11" i="144"/>
  <c r="H9" i="144"/>
  <c r="K9" i="144" s="1"/>
  <c r="D5" i="144"/>
  <c r="D6" i="144"/>
  <c r="D7" i="144"/>
  <c r="D8" i="144"/>
  <c r="D4" i="144"/>
  <c r="F27" i="144"/>
  <c r="F28" i="144"/>
  <c r="F30" i="144"/>
  <c r="F31" i="144"/>
  <c r="F32" i="144"/>
  <c r="F33" i="144"/>
  <c r="F26" i="144"/>
  <c r="P26" i="144" s="1"/>
  <c r="F22" i="144"/>
  <c r="F23" i="144"/>
  <c r="F24" i="144"/>
  <c r="F25" i="144"/>
  <c r="F21" i="144"/>
  <c r="E27" i="144"/>
  <c r="E28" i="144"/>
  <c r="E30" i="144"/>
  <c r="E31" i="144"/>
  <c r="E32" i="144"/>
  <c r="E33" i="144"/>
  <c r="E26" i="144"/>
  <c r="E22" i="144"/>
  <c r="E23" i="144"/>
  <c r="E24" i="144"/>
  <c r="E25" i="144"/>
  <c r="E21" i="144"/>
  <c r="C22" i="144"/>
  <c r="L7" i="37"/>
  <c r="T8" i="156" l="1"/>
  <c r="U8" i="156"/>
  <c r="V8" i="156"/>
  <c r="U8" i="155"/>
  <c r="T8" i="155"/>
  <c r="F29" i="144"/>
  <c r="E29" i="144"/>
  <c r="D12" i="144"/>
  <c r="I12" i="144"/>
  <c r="P10" i="144"/>
  <c r="T10" i="144"/>
  <c r="M12" i="144"/>
  <c r="G28" i="144"/>
  <c r="P28" i="144"/>
  <c r="K11" i="144"/>
  <c r="H29" i="144"/>
  <c r="I29" i="144"/>
  <c r="P11" i="144"/>
  <c r="G27" i="144"/>
  <c r="P27" i="144"/>
  <c r="K10" i="144"/>
  <c r="H12" i="144"/>
  <c r="R10" i="144"/>
  <c r="U20" i="147"/>
  <c r="O27" i="147"/>
  <c r="Q21" i="147"/>
  <c r="Q22" i="147"/>
  <c r="G26" i="144"/>
  <c r="E12" i="144"/>
  <c r="R4" i="144"/>
  <c r="E12" i="147"/>
  <c r="Q47" i="147"/>
  <c r="Q12" i="147" s="1"/>
  <c r="E34" i="147"/>
  <c r="H32" i="147"/>
  <c r="R11" i="144"/>
  <c r="R7" i="144"/>
  <c r="R5" i="144"/>
  <c r="R9" i="144"/>
  <c r="U9" i="144" s="1"/>
  <c r="R8" i="144"/>
  <c r="R6" i="144"/>
  <c r="J24" i="144"/>
  <c r="M17" i="144"/>
  <c r="J23" i="144"/>
  <c r="J21" i="144"/>
  <c r="J22" i="144"/>
  <c r="H34" i="144"/>
  <c r="J25" i="144"/>
  <c r="U23" i="147"/>
  <c r="U22" i="147"/>
  <c r="R27" i="147"/>
  <c r="Q23" i="147"/>
  <c r="Q20" i="147"/>
  <c r="L9" i="148"/>
  <c r="K86" i="148"/>
  <c r="L8" i="148"/>
  <c r="K9" i="148"/>
  <c r="K8" i="148"/>
  <c r="K11" i="148"/>
  <c r="J19" i="148"/>
  <c r="E19" i="148"/>
  <c r="K10" i="148"/>
  <c r="K7" i="148"/>
  <c r="L11" i="148"/>
  <c r="L10" i="148"/>
  <c r="F19" i="148"/>
  <c r="H19" i="148"/>
  <c r="I19" i="148"/>
  <c r="L7" i="148"/>
  <c r="H27" i="147"/>
  <c r="I37" i="147"/>
  <c r="F6" i="147"/>
  <c r="F8" i="147"/>
  <c r="R31" i="147"/>
  <c r="I15" i="147"/>
  <c r="H15" i="147"/>
  <c r="G6" i="147"/>
  <c r="I31" i="147"/>
  <c r="G8" i="147"/>
  <c r="F34" i="147"/>
  <c r="R32" i="147"/>
  <c r="R34" i="147" s="1"/>
  <c r="I35" i="147"/>
  <c r="E6" i="147"/>
  <c r="E10" i="147" s="1"/>
  <c r="R7" i="147"/>
  <c r="Q9" i="147"/>
  <c r="T9" i="147" s="1"/>
  <c r="U9" i="147"/>
  <c r="U21" i="147"/>
  <c r="U26" i="147"/>
  <c r="I32" i="147"/>
  <c r="H47" i="147"/>
  <c r="E66" i="147"/>
  <c r="F47" i="147" s="1"/>
  <c r="G34" i="147"/>
  <c r="H7" i="147"/>
  <c r="O19" i="147"/>
  <c r="W45" i="147"/>
  <c r="Z45" i="147" s="1"/>
  <c r="K16" i="147"/>
  <c r="L16" i="147" s="1"/>
  <c r="H16" i="147" s="1"/>
  <c r="F67" i="147"/>
  <c r="G48" i="147" s="1"/>
  <c r="I34" i="144"/>
  <c r="Q17" i="144"/>
  <c r="Q8" i="145"/>
  <c r="F73" i="145"/>
  <c r="E73" i="145"/>
  <c r="R38" i="145"/>
  <c r="R36" i="145"/>
  <c r="Q48" i="145"/>
  <c r="R21" i="145"/>
  <c r="S21" i="145"/>
  <c r="R22" i="145"/>
  <c r="S22" i="145"/>
  <c r="R23" i="145"/>
  <c r="S23" i="145"/>
  <c r="R24" i="145"/>
  <c r="R25" i="145"/>
  <c r="R26" i="145"/>
  <c r="S26" i="145"/>
  <c r="S20" i="145"/>
  <c r="S20" i="150" s="1"/>
  <c r="R20" i="145"/>
  <c r="P21" i="145"/>
  <c r="P23" i="145"/>
  <c r="O21" i="145"/>
  <c r="O21" i="150" s="1"/>
  <c r="O22" i="145"/>
  <c r="O22" i="150" s="1"/>
  <c r="Q22" i="150" s="1"/>
  <c r="O23" i="145"/>
  <c r="O23" i="150" s="1"/>
  <c r="Q23" i="150" s="1"/>
  <c r="O24" i="145"/>
  <c r="O24" i="150" s="1"/>
  <c r="O25" i="145"/>
  <c r="O25" i="150" s="1"/>
  <c r="O20" i="145"/>
  <c r="O20" i="150" s="1"/>
  <c r="Q7" i="145"/>
  <c r="Q16" i="145"/>
  <c r="E6" i="145"/>
  <c r="E4" i="145"/>
  <c r="Q4" i="145" s="1"/>
  <c r="K66" i="145"/>
  <c r="L67" i="145" s="1"/>
  <c r="L152" i="145"/>
  <c r="L153" i="145" s="1"/>
  <c r="H76" i="145"/>
  <c r="E76" i="145" s="1"/>
  <c r="R37" i="145" s="1"/>
  <c r="J152" i="145"/>
  <c r="I152" i="145"/>
  <c r="H62" i="145" s="1"/>
  <c r="E62" i="145" s="1"/>
  <c r="H68" i="145"/>
  <c r="G152" i="145"/>
  <c r="H61" i="145" s="1"/>
  <c r="E61" i="145" s="1"/>
  <c r="F152" i="145"/>
  <c r="H67" i="145" s="1"/>
  <c r="E152" i="145"/>
  <c r="D152" i="145"/>
  <c r="H66" i="145" s="1"/>
  <c r="K75" i="145"/>
  <c r="I75" i="145" s="1"/>
  <c r="F75" i="145" s="1"/>
  <c r="K115" i="145"/>
  <c r="I76" i="145" s="1"/>
  <c r="F76" i="145" s="1"/>
  <c r="J115" i="145"/>
  <c r="I74" i="145" s="1"/>
  <c r="F74" i="145" s="1"/>
  <c r="I115" i="145"/>
  <c r="I62" i="145" s="1"/>
  <c r="H115" i="145"/>
  <c r="I68" i="145" s="1"/>
  <c r="K68" i="145" s="1"/>
  <c r="L69" i="145" s="1"/>
  <c r="F115" i="145"/>
  <c r="I67" i="145" s="1"/>
  <c r="K67" i="145" s="1"/>
  <c r="L68" i="145" s="1"/>
  <c r="I60" i="145"/>
  <c r="K79" i="145"/>
  <c r="F72" i="145" s="1"/>
  <c r="J79" i="145"/>
  <c r="L80" i="145" s="1"/>
  <c r="L78" i="145"/>
  <c r="J75" i="145"/>
  <c r="H75" i="145" s="1"/>
  <c r="E75" i="145" s="1"/>
  <c r="K74" i="145"/>
  <c r="AC72" i="145"/>
  <c r="AA72" i="145"/>
  <c r="Z72" i="145"/>
  <c r="X72" i="145"/>
  <c r="W72" i="145"/>
  <c r="U72" i="145"/>
  <c r="T72" i="145"/>
  <c r="C72" i="145"/>
  <c r="I71" i="145"/>
  <c r="F71" i="145" s="1"/>
  <c r="E71" i="145"/>
  <c r="AD65" i="145"/>
  <c r="AC65" i="145"/>
  <c r="AA65" i="145"/>
  <c r="Z65" i="145"/>
  <c r="X65" i="145"/>
  <c r="W65" i="145"/>
  <c r="U65" i="145"/>
  <c r="T65" i="145"/>
  <c r="J65" i="145"/>
  <c r="I64" i="145" s="1"/>
  <c r="L61" i="145"/>
  <c r="L62" i="145" s="1"/>
  <c r="P60" i="145"/>
  <c r="O60" i="145"/>
  <c r="AA59" i="145"/>
  <c r="U59" i="145"/>
  <c r="T59" i="145"/>
  <c r="Z59" i="145" s="1"/>
  <c r="L59" i="145"/>
  <c r="L60" i="145" s="1"/>
  <c r="I58" i="145"/>
  <c r="H58" i="145"/>
  <c r="J56" i="145"/>
  <c r="U53" i="145"/>
  <c r="G53" i="145"/>
  <c r="F53" i="145"/>
  <c r="U52" i="145"/>
  <c r="I52" i="145"/>
  <c r="U51" i="145"/>
  <c r="I51" i="145"/>
  <c r="J48" i="145"/>
  <c r="J46" i="145"/>
  <c r="Y45" i="145"/>
  <c r="X45" i="145"/>
  <c r="J45" i="145"/>
  <c r="AA44" i="145"/>
  <c r="Z44" i="145"/>
  <c r="J44" i="145"/>
  <c r="AA43" i="145"/>
  <c r="W43" i="145"/>
  <c r="Z43" i="145" s="1"/>
  <c r="J43" i="145"/>
  <c r="I43" i="145"/>
  <c r="H43" i="145"/>
  <c r="AA42" i="145"/>
  <c r="W42" i="145"/>
  <c r="Z42" i="145" s="1"/>
  <c r="J42" i="145"/>
  <c r="H42" i="145"/>
  <c r="AA41" i="145"/>
  <c r="W41" i="145"/>
  <c r="Z41" i="145" s="1"/>
  <c r="J41" i="145"/>
  <c r="H41" i="145"/>
  <c r="AA40" i="145"/>
  <c r="W40" i="145"/>
  <c r="Z40" i="145" s="1"/>
  <c r="I40" i="145"/>
  <c r="K37" i="145"/>
  <c r="W35" i="145"/>
  <c r="O34" i="145"/>
  <c r="E34" i="145"/>
  <c r="C34" i="145"/>
  <c r="K32" i="145"/>
  <c r="K31" i="145"/>
  <c r="Q29" i="145"/>
  <c r="E29" i="145"/>
  <c r="V27" i="145"/>
  <c r="G27" i="145"/>
  <c r="F27" i="145"/>
  <c r="D27" i="145"/>
  <c r="C27" i="145"/>
  <c r="Z23" i="145"/>
  <c r="I23" i="145"/>
  <c r="E23" i="145"/>
  <c r="I22" i="145"/>
  <c r="E22" i="145"/>
  <c r="Y21" i="145"/>
  <c r="I21" i="145"/>
  <c r="E21" i="145"/>
  <c r="I20" i="145"/>
  <c r="E20" i="145"/>
  <c r="G19" i="145"/>
  <c r="D19" i="145" s="1"/>
  <c r="F19" i="145"/>
  <c r="C19" i="145" s="1"/>
  <c r="J17" i="145"/>
  <c r="I16" i="145"/>
  <c r="J15" i="145"/>
  <c r="AH10" i="145"/>
  <c r="AG10" i="145"/>
  <c r="AF10" i="145"/>
  <c r="AE10" i="145"/>
  <c r="AD10" i="145"/>
  <c r="C10" i="145"/>
  <c r="X9" i="145"/>
  <c r="P9" i="145"/>
  <c r="P10" i="145" s="1"/>
  <c r="F9" i="145"/>
  <c r="D9" i="145"/>
  <c r="D10" i="145" s="1"/>
  <c r="X8" i="145"/>
  <c r="Y7" i="145"/>
  <c r="X7" i="145"/>
  <c r="G7" i="145"/>
  <c r="F7" i="145"/>
  <c r="S4" i="145"/>
  <c r="P19" i="145" s="1"/>
  <c r="R4" i="145"/>
  <c r="O19" i="145" s="1"/>
  <c r="M39" i="85"/>
  <c r="P38" i="85"/>
  <c r="T34" i="85" s="1"/>
  <c r="O38" i="85"/>
  <c r="N38" i="85"/>
  <c r="P37" i="85"/>
  <c r="T33" i="85" s="1"/>
  <c r="O37" i="85"/>
  <c r="N37" i="85"/>
  <c r="P36" i="85"/>
  <c r="T32" i="85" s="1"/>
  <c r="O36" i="85"/>
  <c r="N36" i="85"/>
  <c r="P35" i="85"/>
  <c r="T31" i="85" s="1"/>
  <c r="O35" i="85"/>
  <c r="N35" i="85"/>
  <c r="P34" i="85"/>
  <c r="T30" i="85" s="1"/>
  <c r="O34" i="85"/>
  <c r="N34" i="85"/>
  <c r="P39" i="85"/>
  <c r="T35" i="85" s="1"/>
  <c r="L39" i="85"/>
  <c r="O39" i="85" s="1"/>
  <c r="K39" i="85"/>
  <c r="N39" i="85" s="1"/>
  <c r="Z20" i="85"/>
  <c r="X26" i="85"/>
  <c r="AA26" i="85" s="1"/>
  <c r="Y26" i="85"/>
  <c r="AB26" i="85" s="1"/>
  <c r="W26" i="85"/>
  <c r="Z26" i="85" s="1"/>
  <c r="AB20" i="85"/>
  <c r="AB24" i="85"/>
  <c r="AB23" i="85"/>
  <c r="AB22" i="85"/>
  <c r="AB21" i="85"/>
  <c r="AA20" i="85"/>
  <c r="AA24" i="85"/>
  <c r="AA23" i="85"/>
  <c r="AA22" i="85"/>
  <c r="AA21" i="85"/>
  <c r="Z24" i="85"/>
  <c r="Z23" i="85"/>
  <c r="Z22" i="85"/>
  <c r="Z21" i="85"/>
  <c r="U10" i="144" l="1"/>
  <c r="R12" i="144"/>
  <c r="U11" i="144"/>
  <c r="T11" i="144"/>
  <c r="Q28" i="144"/>
  <c r="T12" i="144"/>
  <c r="J29" i="144"/>
  <c r="G29" i="144"/>
  <c r="O56" i="150"/>
  <c r="J34" i="144"/>
  <c r="AK7" i="145"/>
  <c r="H74" i="145"/>
  <c r="E74" i="145" s="1"/>
  <c r="R35" i="145" s="1"/>
  <c r="U23" i="145"/>
  <c r="Q20" i="150"/>
  <c r="O27" i="150"/>
  <c r="U20" i="150"/>
  <c r="U21" i="150"/>
  <c r="V16" i="150"/>
  <c r="Y15" i="150"/>
  <c r="H22" i="145"/>
  <c r="U26" i="145"/>
  <c r="U26" i="150"/>
  <c r="U22" i="150"/>
  <c r="Q21" i="150"/>
  <c r="R27" i="150"/>
  <c r="R7" i="150"/>
  <c r="F12" i="144"/>
  <c r="K12" i="144"/>
  <c r="J12" i="144"/>
  <c r="P12" i="144"/>
  <c r="O12" i="144"/>
  <c r="I53" i="145"/>
  <c r="U20" i="145"/>
  <c r="Q20" i="145"/>
  <c r="K19" i="148"/>
  <c r="L19" i="148"/>
  <c r="K48" i="147"/>
  <c r="I48" i="147"/>
  <c r="G12" i="147"/>
  <c r="H34" i="147"/>
  <c r="I34" i="147"/>
  <c r="F10" i="147"/>
  <c r="I47" i="147"/>
  <c r="F12" i="147"/>
  <c r="G10" i="147"/>
  <c r="H6" i="147"/>
  <c r="I6" i="147"/>
  <c r="I8" i="147"/>
  <c r="H8" i="147"/>
  <c r="R8" i="147"/>
  <c r="R7" i="145"/>
  <c r="AL7" i="145" s="1"/>
  <c r="K76" i="145"/>
  <c r="H60" i="145"/>
  <c r="E60" i="145" s="1"/>
  <c r="J66" i="145"/>
  <c r="F61" i="145"/>
  <c r="H33" i="145"/>
  <c r="R33" i="145"/>
  <c r="I33" i="145"/>
  <c r="H32" i="145"/>
  <c r="G34" i="145"/>
  <c r="H34" i="145" s="1"/>
  <c r="U22" i="145"/>
  <c r="R27" i="145"/>
  <c r="Q21" i="145"/>
  <c r="Q22" i="145"/>
  <c r="Q23" i="145"/>
  <c r="O27" i="145"/>
  <c r="E12" i="145"/>
  <c r="Q47" i="145"/>
  <c r="I37" i="145"/>
  <c r="I35" i="145"/>
  <c r="I31" i="145"/>
  <c r="E10" i="145"/>
  <c r="E72" i="145"/>
  <c r="H7" i="145"/>
  <c r="H20" i="145"/>
  <c r="I7" i="145"/>
  <c r="H24" i="145"/>
  <c r="H23" i="145"/>
  <c r="H25" i="145"/>
  <c r="H21" i="145"/>
  <c r="I27" i="145"/>
  <c r="E27" i="145"/>
  <c r="S19" i="145"/>
  <c r="J67" i="145"/>
  <c r="E67" i="145"/>
  <c r="R56" i="145" s="1"/>
  <c r="F68" i="145"/>
  <c r="K48" i="145" s="1"/>
  <c r="F66" i="145"/>
  <c r="F60" i="145"/>
  <c r="F62" i="145"/>
  <c r="J16" i="145"/>
  <c r="J68" i="145"/>
  <c r="E68" i="145"/>
  <c r="R57" i="145" s="1"/>
  <c r="R19" i="145"/>
  <c r="W45" i="145"/>
  <c r="Z45" i="145" s="1"/>
  <c r="AA45" i="145"/>
  <c r="U21" i="145"/>
  <c r="H40" i="145"/>
  <c r="I41" i="145"/>
  <c r="I42" i="145"/>
  <c r="F67" i="145"/>
  <c r="K23" i="85"/>
  <c r="L23" i="85" s="1"/>
  <c r="N23" i="85" s="1"/>
  <c r="P23" i="85" s="1"/>
  <c r="K24" i="85"/>
  <c r="L24" i="85" s="1"/>
  <c r="N24" i="85" s="1"/>
  <c r="P24" i="85" s="1"/>
  <c r="R41" i="140"/>
  <c r="R42" i="140"/>
  <c r="R43" i="140"/>
  <c r="S43" i="140"/>
  <c r="R44" i="140"/>
  <c r="R45" i="140"/>
  <c r="R40" i="140"/>
  <c r="G44" i="140"/>
  <c r="G42" i="140"/>
  <c r="G40" i="140"/>
  <c r="AF7" i="132"/>
  <c r="U7" i="132" s="1"/>
  <c r="L25" i="144" s="1"/>
  <c r="U38" i="131"/>
  <c r="V38" i="131"/>
  <c r="W38" i="131"/>
  <c r="M35" i="78"/>
  <c r="N35" i="78"/>
  <c r="L35" i="78"/>
  <c r="T7" i="144"/>
  <c r="T8" i="144"/>
  <c r="T14" i="144"/>
  <c r="T15" i="144"/>
  <c r="T16" i="144"/>
  <c r="T4" i="144"/>
  <c r="U16" i="144"/>
  <c r="U15" i="144"/>
  <c r="U14" i="144"/>
  <c r="U13" i="144"/>
  <c r="T13" i="144"/>
  <c r="U8" i="144"/>
  <c r="U7" i="144"/>
  <c r="U6" i="144"/>
  <c r="T6" i="144"/>
  <c r="U5" i="144"/>
  <c r="T5" i="144"/>
  <c r="U4" i="144"/>
  <c r="S10" i="131"/>
  <c r="S11" i="131"/>
  <c r="S12" i="131"/>
  <c r="S13" i="131"/>
  <c r="S14" i="131"/>
  <c r="S15" i="131"/>
  <c r="S16" i="131"/>
  <c r="S17" i="131"/>
  <c r="S18" i="131"/>
  <c r="S19" i="131"/>
  <c r="S20" i="131"/>
  <c r="S9" i="131"/>
  <c r="G30" i="144"/>
  <c r="G23" i="144"/>
  <c r="E34" i="144"/>
  <c r="G34" i="144" s="1"/>
  <c r="L17" i="144"/>
  <c r="O16" i="144"/>
  <c r="J16" i="144"/>
  <c r="K16" i="144"/>
  <c r="F16" i="144"/>
  <c r="P15" i="144"/>
  <c r="J15" i="144"/>
  <c r="O14" i="144"/>
  <c r="K14" i="144"/>
  <c r="P13" i="144"/>
  <c r="J13" i="144"/>
  <c r="P30" i="144"/>
  <c r="AE28" i="97"/>
  <c r="G33" i="143"/>
  <c r="G32" i="143"/>
  <c r="G31" i="143"/>
  <c r="P15" i="132"/>
  <c r="P17" i="132" s="1"/>
  <c r="S22" i="143"/>
  <c r="S21" i="143"/>
  <c r="S23" i="143"/>
  <c r="R41" i="143"/>
  <c r="R41" i="145" s="1"/>
  <c r="R42" i="143"/>
  <c r="R42" i="145" s="1"/>
  <c r="R43" i="143"/>
  <c r="R43" i="145" s="1"/>
  <c r="S43" i="143"/>
  <c r="S43" i="145" s="1"/>
  <c r="R44" i="143"/>
  <c r="R44" i="145" s="1"/>
  <c r="R45" i="143"/>
  <c r="R45" i="145" s="1"/>
  <c r="R40" i="143"/>
  <c r="R40" i="145" s="1"/>
  <c r="Q40" i="143"/>
  <c r="G49" i="143"/>
  <c r="G48" i="143"/>
  <c r="G47" i="143"/>
  <c r="G17" i="143"/>
  <c r="G16" i="143"/>
  <c r="G15" i="143"/>
  <c r="G44" i="143"/>
  <c r="G42" i="143"/>
  <c r="G41" i="143"/>
  <c r="G40" i="143"/>
  <c r="G35" i="143"/>
  <c r="F8" i="143"/>
  <c r="F9" i="143"/>
  <c r="Q41" i="143"/>
  <c r="Q42" i="143"/>
  <c r="O7" i="132"/>
  <c r="C25" i="144" s="1"/>
  <c r="Y24" i="132"/>
  <c r="B42" i="132"/>
  <c r="B64" i="132" s="1"/>
  <c r="E64" i="132" s="1"/>
  <c r="G7" i="143"/>
  <c r="R9" i="145" l="1"/>
  <c r="Q9" i="143"/>
  <c r="P25" i="144"/>
  <c r="S21" i="131"/>
  <c r="G37" i="143"/>
  <c r="Q12" i="145"/>
  <c r="AK10" i="145" s="1"/>
  <c r="Q12" i="150"/>
  <c r="U23" i="150"/>
  <c r="Q10" i="150"/>
  <c r="O55" i="150"/>
  <c r="U12" i="144"/>
  <c r="AT10" i="97"/>
  <c r="L49" i="147"/>
  <c r="L48" i="147"/>
  <c r="H48" i="147" s="1"/>
  <c r="I10" i="147"/>
  <c r="H10" i="147"/>
  <c r="H12" i="147"/>
  <c r="I12" i="147"/>
  <c r="E66" i="145"/>
  <c r="F6" i="145"/>
  <c r="W55" i="145"/>
  <c r="F34" i="145"/>
  <c r="I34" i="145" s="1"/>
  <c r="I32" i="145"/>
  <c r="R32" i="145"/>
  <c r="R8" i="150" s="1"/>
  <c r="H31" i="145"/>
  <c r="I49" i="145"/>
  <c r="K16" i="145"/>
  <c r="L16" i="145" s="1"/>
  <c r="H16" i="145" s="1"/>
  <c r="I17" i="145"/>
  <c r="I48" i="145"/>
  <c r="G6" i="145"/>
  <c r="I15" i="145"/>
  <c r="I47" i="145"/>
  <c r="G12" i="145"/>
  <c r="H27" i="145"/>
  <c r="L48" i="145"/>
  <c r="H48" i="145" s="1"/>
  <c r="L49" i="145"/>
  <c r="E16" i="144"/>
  <c r="E14" i="144"/>
  <c r="P5" i="144"/>
  <c r="K6" i="144"/>
  <c r="P7" i="144"/>
  <c r="K8" i="144"/>
  <c r="E13" i="144"/>
  <c r="P31" i="144"/>
  <c r="Q31" i="144" s="1"/>
  <c r="J14" i="144"/>
  <c r="K15" i="144"/>
  <c r="O15" i="144"/>
  <c r="P16" i="144"/>
  <c r="G25" i="144"/>
  <c r="P32" i="144"/>
  <c r="Q32" i="144" s="1"/>
  <c r="G22" i="144"/>
  <c r="P4" i="144"/>
  <c r="K5" i="144"/>
  <c r="P6" i="144"/>
  <c r="K7" i="144"/>
  <c r="F8" i="144"/>
  <c r="P8" i="144"/>
  <c r="K13" i="144"/>
  <c r="O13" i="144"/>
  <c r="P14" i="144"/>
  <c r="E15" i="144"/>
  <c r="G31" i="144"/>
  <c r="H17" i="144"/>
  <c r="F13" i="144"/>
  <c r="F14" i="144"/>
  <c r="F15" i="144"/>
  <c r="G24" i="144"/>
  <c r="G32" i="144"/>
  <c r="G33" i="144"/>
  <c r="P33" i="144"/>
  <c r="Q30" i="144"/>
  <c r="D17" i="144"/>
  <c r="E4" i="144"/>
  <c r="O4" i="144"/>
  <c r="J5" i="144"/>
  <c r="E6" i="144"/>
  <c r="O6" i="144"/>
  <c r="J7" i="144"/>
  <c r="E8" i="144"/>
  <c r="J4" i="144"/>
  <c r="E5" i="144"/>
  <c r="O5" i="144"/>
  <c r="J6" i="144"/>
  <c r="E7" i="144"/>
  <c r="O7" i="144"/>
  <c r="J8" i="144"/>
  <c r="O8" i="144"/>
  <c r="G21" i="144"/>
  <c r="K4" i="144"/>
  <c r="I20" i="143"/>
  <c r="H115" i="143"/>
  <c r="D152" i="143"/>
  <c r="AE27" i="97"/>
  <c r="Y21" i="131"/>
  <c r="W15" i="131"/>
  <c r="W16" i="131"/>
  <c r="W17" i="131"/>
  <c r="W18" i="131"/>
  <c r="W19" i="131"/>
  <c r="W20" i="131"/>
  <c r="X21" i="131"/>
  <c r="V12" i="131"/>
  <c r="Q27" i="144" l="1"/>
  <c r="K15" i="149"/>
  <c r="K21" i="149" s="1"/>
  <c r="Q34" i="150"/>
  <c r="W33" i="150"/>
  <c r="R6" i="150"/>
  <c r="R10" i="150" s="1"/>
  <c r="V18" i="150"/>
  <c r="Z12" i="131"/>
  <c r="H6" i="145"/>
  <c r="F12" i="145"/>
  <c r="I6" i="145"/>
  <c r="F10" i="145"/>
  <c r="R34" i="145"/>
  <c r="R8" i="145"/>
  <c r="R55" i="145"/>
  <c r="R58" i="145" s="1"/>
  <c r="R12" i="145"/>
  <c r="H12" i="145"/>
  <c r="N34" i="144"/>
  <c r="Q33" i="144"/>
  <c r="AT9" i="97"/>
  <c r="F7" i="143"/>
  <c r="L17" i="142"/>
  <c r="G17" i="142"/>
  <c r="B17" i="142"/>
  <c r="AA8" i="140"/>
  <c r="I12" i="145" l="1"/>
  <c r="F7" i="144"/>
  <c r="V39" i="132"/>
  <c r="V40" i="132"/>
  <c r="V41" i="132"/>
  <c r="V43" i="132"/>
  <c r="V46" i="132"/>
  <c r="V49" i="132"/>
  <c r="U40" i="132"/>
  <c r="U41" i="132"/>
  <c r="U43" i="132"/>
  <c r="U46" i="132"/>
  <c r="U49" i="132"/>
  <c r="U39" i="132"/>
  <c r="V36" i="131"/>
  <c r="W36" i="131"/>
  <c r="U36" i="131"/>
  <c r="T36" i="131"/>
  <c r="U23" i="131"/>
  <c r="R9" i="131"/>
  <c r="R10" i="131"/>
  <c r="W10" i="131" s="1"/>
  <c r="R11" i="131"/>
  <c r="W11" i="131" s="1"/>
  <c r="R12" i="131"/>
  <c r="R21" i="131" l="1"/>
  <c r="W9" i="131"/>
  <c r="W12" i="131"/>
  <c r="K7" i="140"/>
  <c r="T39" i="132"/>
  <c r="T40" i="132" s="1"/>
  <c r="W21" i="131" l="1"/>
  <c r="H24" i="143" l="1"/>
  <c r="R38" i="143"/>
  <c r="U26" i="143"/>
  <c r="U23" i="143"/>
  <c r="Q23" i="143"/>
  <c r="Q47" i="143"/>
  <c r="W31" i="143"/>
  <c r="F75" i="143"/>
  <c r="K152" i="143"/>
  <c r="H76" i="143" s="1"/>
  <c r="E76" i="143" s="1"/>
  <c r="F115" i="143"/>
  <c r="I67" i="143" s="1"/>
  <c r="F67" i="143" s="1"/>
  <c r="K115" i="143"/>
  <c r="K76" i="143" s="1"/>
  <c r="I115" i="143"/>
  <c r="J115" i="143"/>
  <c r="I74" i="143" s="1"/>
  <c r="F74" i="143" s="1"/>
  <c r="D115" i="143"/>
  <c r="I66" i="143" s="1"/>
  <c r="F66" i="143" s="1"/>
  <c r="E115" i="143"/>
  <c r="I60" i="143" s="1"/>
  <c r="F60" i="143" s="1"/>
  <c r="G115" i="143"/>
  <c r="I61" i="143" s="1"/>
  <c r="F61" i="143" s="1"/>
  <c r="L115" i="143"/>
  <c r="K75" i="143" s="1"/>
  <c r="I75" i="143" s="1"/>
  <c r="E152" i="143"/>
  <c r="H60" i="143" s="1"/>
  <c r="E60" i="143" s="1"/>
  <c r="F15" i="143" s="1"/>
  <c r="F152" i="143"/>
  <c r="H67" i="143" s="1"/>
  <c r="G152" i="143"/>
  <c r="H61" i="143" s="1"/>
  <c r="E61" i="143" s="1"/>
  <c r="H152" i="143"/>
  <c r="H68" i="143" s="1"/>
  <c r="J68" i="143" s="1"/>
  <c r="I152" i="143"/>
  <c r="H62" i="143" s="1"/>
  <c r="E62" i="143" s="1"/>
  <c r="F17" i="143" s="1"/>
  <c r="J152" i="143"/>
  <c r="H74" i="143" s="1"/>
  <c r="E74" i="143" s="1"/>
  <c r="L152" i="143"/>
  <c r="H66" i="143"/>
  <c r="E66" i="143" s="1"/>
  <c r="K74" i="143"/>
  <c r="T59" i="143"/>
  <c r="Z59" i="143" s="1"/>
  <c r="J79" i="143"/>
  <c r="E72" i="143" s="1"/>
  <c r="R32" i="143" s="1"/>
  <c r="K79" i="143"/>
  <c r="F72" i="143" s="1"/>
  <c r="L78" i="143"/>
  <c r="F73" i="143"/>
  <c r="E73" i="143"/>
  <c r="R33" i="143" s="1"/>
  <c r="AC72" i="143"/>
  <c r="AA72" i="143"/>
  <c r="Z72" i="143"/>
  <c r="X72" i="143"/>
  <c r="W72" i="143"/>
  <c r="U72" i="143"/>
  <c r="T72" i="143"/>
  <c r="C72" i="143"/>
  <c r="I71" i="143"/>
  <c r="F71" i="143" s="1"/>
  <c r="H71" i="143"/>
  <c r="E71" i="143" s="1"/>
  <c r="AD65" i="143"/>
  <c r="AC65" i="143"/>
  <c r="AA65" i="143"/>
  <c r="Z65" i="143"/>
  <c r="X65" i="143"/>
  <c r="W65" i="143"/>
  <c r="U65" i="143"/>
  <c r="T65" i="143"/>
  <c r="J65" i="143"/>
  <c r="I64" i="143" s="1"/>
  <c r="L61" i="143"/>
  <c r="L62" i="143" s="1"/>
  <c r="P60" i="143"/>
  <c r="O60" i="143"/>
  <c r="AA59" i="143"/>
  <c r="U59" i="143"/>
  <c r="L59" i="143"/>
  <c r="L60" i="143" s="1"/>
  <c r="I58" i="143"/>
  <c r="H58" i="143"/>
  <c r="J56" i="143"/>
  <c r="S53" i="143"/>
  <c r="R53" i="143"/>
  <c r="G53" i="143"/>
  <c r="F53" i="143"/>
  <c r="U52" i="143"/>
  <c r="I52" i="143"/>
  <c r="U51" i="143"/>
  <c r="I51" i="143"/>
  <c r="J48" i="143"/>
  <c r="J46" i="143"/>
  <c r="Y45" i="143"/>
  <c r="X45" i="143"/>
  <c r="J45" i="143"/>
  <c r="AA44" i="143"/>
  <c r="Z44" i="143"/>
  <c r="J44" i="143"/>
  <c r="AA43" i="143"/>
  <c r="W43" i="143"/>
  <c r="Z43" i="143" s="1"/>
  <c r="J43" i="143"/>
  <c r="I43" i="143"/>
  <c r="H43" i="143"/>
  <c r="AA42" i="143"/>
  <c r="W42" i="143"/>
  <c r="Z42" i="143" s="1"/>
  <c r="J42" i="143"/>
  <c r="I42" i="143"/>
  <c r="AA41" i="143"/>
  <c r="W41" i="143"/>
  <c r="Z41" i="143" s="1"/>
  <c r="J41" i="143"/>
  <c r="I41" i="143"/>
  <c r="AA40" i="143"/>
  <c r="W40" i="143"/>
  <c r="Z40" i="143" s="1"/>
  <c r="H40" i="143"/>
  <c r="K37" i="143"/>
  <c r="W35" i="143"/>
  <c r="O34" i="143"/>
  <c r="C34" i="143"/>
  <c r="K32" i="143"/>
  <c r="K31" i="143"/>
  <c r="Q29" i="143"/>
  <c r="E29" i="143"/>
  <c r="V27" i="143"/>
  <c r="G27" i="143"/>
  <c r="F27" i="143"/>
  <c r="D27" i="143"/>
  <c r="C27" i="143"/>
  <c r="H26" i="143"/>
  <c r="H25" i="143"/>
  <c r="Z23" i="143"/>
  <c r="I23" i="143"/>
  <c r="E23" i="143"/>
  <c r="I22" i="143"/>
  <c r="H22" i="143"/>
  <c r="E22" i="143"/>
  <c r="Y21" i="143"/>
  <c r="I21" i="143"/>
  <c r="H21" i="143"/>
  <c r="E21" i="143"/>
  <c r="H20" i="143"/>
  <c r="E20" i="143"/>
  <c r="G19" i="143"/>
  <c r="D19" i="143" s="1"/>
  <c r="F19" i="143"/>
  <c r="C19" i="143" s="1"/>
  <c r="J17" i="143"/>
  <c r="J15" i="143"/>
  <c r="AH10" i="143"/>
  <c r="AG10" i="143"/>
  <c r="AF10" i="143"/>
  <c r="AE10" i="143"/>
  <c r="AD10" i="143"/>
  <c r="C10" i="143"/>
  <c r="X9" i="143"/>
  <c r="P9" i="143"/>
  <c r="P10" i="143" s="1"/>
  <c r="D9" i="143"/>
  <c r="D10" i="143" s="1"/>
  <c r="X8" i="143"/>
  <c r="Y7" i="143"/>
  <c r="X7" i="143"/>
  <c r="I7" i="143"/>
  <c r="S4" i="143"/>
  <c r="S19" i="143" s="1"/>
  <c r="R4" i="143"/>
  <c r="O19" i="143" s="1"/>
  <c r="E4" i="143"/>
  <c r="Q4" i="143" s="1"/>
  <c r="S53" i="140"/>
  <c r="R53" i="140"/>
  <c r="G53" i="140"/>
  <c r="F53" i="140"/>
  <c r="Q22" i="143" l="1"/>
  <c r="Q21" i="143"/>
  <c r="E6" i="143"/>
  <c r="E10" i="143" s="1"/>
  <c r="L153" i="143"/>
  <c r="J75" i="143"/>
  <c r="R34" i="143"/>
  <c r="U22" i="143"/>
  <c r="E12" i="143"/>
  <c r="E34" i="143"/>
  <c r="I76" i="143"/>
  <c r="F76" i="143" s="1"/>
  <c r="J16" i="143"/>
  <c r="F6" i="143"/>
  <c r="I16" i="143"/>
  <c r="H15" i="143"/>
  <c r="I15" i="143"/>
  <c r="H23" i="143"/>
  <c r="H27" i="143" s="1"/>
  <c r="H7" i="143"/>
  <c r="U21" i="143"/>
  <c r="R27" i="143"/>
  <c r="R7" i="143"/>
  <c r="U20" i="143"/>
  <c r="F34" i="143"/>
  <c r="R35" i="143"/>
  <c r="I47" i="143"/>
  <c r="AA45" i="143"/>
  <c r="Q12" i="143"/>
  <c r="J67" i="143"/>
  <c r="E67" i="143"/>
  <c r="J66" i="143"/>
  <c r="R9" i="143"/>
  <c r="I62" i="143"/>
  <c r="F62" i="143" s="1"/>
  <c r="K16" i="143" s="1"/>
  <c r="L16" i="143" s="1"/>
  <c r="H16" i="143" s="1"/>
  <c r="K66" i="143"/>
  <c r="L67" i="143" s="1"/>
  <c r="I68" i="143"/>
  <c r="F68" i="143" s="1"/>
  <c r="E68" i="143"/>
  <c r="I33" i="143"/>
  <c r="H33" i="143"/>
  <c r="I40" i="143"/>
  <c r="U53" i="143"/>
  <c r="I27" i="143"/>
  <c r="O27" i="143"/>
  <c r="E27" i="143"/>
  <c r="G34" i="143"/>
  <c r="I31" i="143"/>
  <c r="L80" i="143"/>
  <c r="H47" i="143"/>
  <c r="I53" i="143"/>
  <c r="H75" i="143"/>
  <c r="E75" i="143" s="1"/>
  <c r="K67" i="143"/>
  <c r="L68" i="143" s="1"/>
  <c r="P19" i="143"/>
  <c r="R19" i="143"/>
  <c r="H32" i="143"/>
  <c r="W45" i="143"/>
  <c r="Z45" i="143" s="1"/>
  <c r="I32" i="143"/>
  <c r="H41" i="143"/>
  <c r="H42" i="143"/>
  <c r="Q20" i="143"/>
  <c r="H31" i="143"/>
  <c r="P10" i="140"/>
  <c r="R8" i="140"/>
  <c r="F10" i="140"/>
  <c r="B41" i="132"/>
  <c r="B63" i="132" s="1"/>
  <c r="E63" i="132" s="1"/>
  <c r="G36" i="140"/>
  <c r="G35" i="140"/>
  <c r="G33" i="140"/>
  <c r="G32" i="140"/>
  <c r="G31" i="140"/>
  <c r="Y23" i="132"/>
  <c r="AC15" i="132"/>
  <c r="AF6" i="132"/>
  <c r="U6" i="132" s="1"/>
  <c r="L24" i="144" s="1"/>
  <c r="AF4" i="132"/>
  <c r="AF5" i="132"/>
  <c r="U5" i="132" s="1"/>
  <c r="L23" i="144" s="1"/>
  <c r="AF3" i="132"/>
  <c r="H15" i="140"/>
  <c r="H40" i="140" l="1"/>
  <c r="I34" i="143"/>
  <c r="R36" i="143"/>
  <c r="G38" i="140"/>
  <c r="R37" i="143"/>
  <c r="I37" i="143"/>
  <c r="I49" i="143"/>
  <c r="K48" i="143"/>
  <c r="L48" i="143" s="1"/>
  <c r="H48" i="143" s="1"/>
  <c r="G12" i="143"/>
  <c r="H12" i="143" s="1"/>
  <c r="K68" i="143"/>
  <c r="L69" i="143" s="1"/>
  <c r="I17" i="143"/>
  <c r="G6" i="143"/>
  <c r="H6" i="143" s="1"/>
  <c r="F12" i="143"/>
  <c r="I48" i="143"/>
  <c r="I35" i="143"/>
  <c r="H34" i="143"/>
  <c r="G47" i="140"/>
  <c r="H47" i="140" s="1"/>
  <c r="G49" i="140"/>
  <c r="G48" i="140"/>
  <c r="X15" i="132"/>
  <c r="R38" i="132"/>
  <c r="Q37" i="132"/>
  <c r="Q38" i="132" s="1"/>
  <c r="O6" i="132"/>
  <c r="C22" i="142"/>
  <c r="C23" i="142"/>
  <c r="C24" i="142"/>
  <c r="C25" i="142"/>
  <c r="C26" i="142"/>
  <c r="C27" i="142"/>
  <c r="C28" i="142"/>
  <c r="C30" i="142"/>
  <c r="C31" i="142"/>
  <c r="C32" i="142"/>
  <c r="C33" i="142"/>
  <c r="C21" i="142"/>
  <c r="B22" i="142"/>
  <c r="B23" i="142"/>
  <c r="B24" i="142"/>
  <c r="B25" i="142"/>
  <c r="B26" i="142"/>
  <c r="B27" i="142"/>
  <c r="B28" i="142"/>
  <c r="B30" i="142"/>
  <c r="B31" i="142"/>
  <c r="B32" i="142"/>
  <c r="B33" i="142"/>
  <c r="B21" i="142"/>
  <c r="M5" i="142"/>
  <c r="N5" i="142"/>
  <c r="P5" i="142" s="1"/>
  <c r="M6" i="142"/>
  <c r="N6" i="142"/>
  <c r="M7" i="142"/>
  <c r="N7" i="142"/>
  <c r="O7" i="142" s="1"/>
  <c r="M8" i="142"/>
  <c r="N8" i="142"/>
  <c r="O8" i="142" s="1"/>
  <c r="M9" i="142"/>
  <c r="N9" i="142"/>
  <c r="O9" i="142" s="1"/>
  <c r="M10" i="142"/>
  <c r="N10" i="142"/>
  <c r="M11" i="142"/>
  <c r="N11" i="142"/>
  <c r="M13" i="142"/>
  <c r="N13" i="142"/>
  <c r="M14" i="142"/>
  <c r="N14" i="142"/>
  <c r="P14" i="142" s="1"/>
  <c r="M15" i="142"/>
  <c r="N15" i="142"/>
  <c r="M16" i="142"/>
  <c r="N16" i="142"/>
  <c r="O16" i="142" s="1"/>
  <c r="N4" i="142"/>
  <c r="M4" i="142"/>
  <c r="M12" i="142" s="1"/>
  <c r="I5" i="142"/>
  <c r="J5" i="142" s="1"/>
  <c r="I6" i="142"/>
  <c r="K6" i="142" s="1"/>
  <c r="I7" i="142"/>
  <c r="J7" i="142" s="1"/>
  <c r="I8" i="142"/>
  <c r="I9" i="142"/>
  <c r="J9" i="142" s="1"/>
  <c r="I10" i="142"/>
  <c r="I11" i="142"/>
  <c r="I13" i="142"/>
  <c r="I14" i="142"/>
  <c r="J14" i="142" s="1"/>
  <c r="I15" i="142"/>
  <c r="K15" i="142" s="1"/>
  <c r="I16" i="142"/>
  <c r="J16" i="142" s="1"/>
  <c r="H5" i="142"/>
  <c r="H6" i="142"/>
  <c r="H7" i="142"/>
  <c r="H8" i="142"/>
  <c r="H9" i="142"/>
  <c r="H10" i="142"/>
  <c r="H11" i="142"/>
  <c r="H12" i="142" s="1"/>
  <c r="H13" i="142"/>
  <c r="H14" i="142"/>
  <c r="H15" i="142"/>
  <c r="H16" i="142"/>
  <c r="I4" i="142"/>
  <c r="H4" i="142"/>
  <c r="H22" i="142"/>
  <c r="H23" i="142"/>
  <c r="H24" i="142"/>
  <c r="H25" i="142"/>
  <c r="H26" i="142"/>
  <c r="H27" i="142"/>
  <c r="H28" i="142"/>
  <c r="H30" i="142"/>
  <c r="H31" i="142"/>
  <c r="H32" i="142"/>
  <c r="H33" i="142"/>
  <c r="H21" i="142"/>
  <c r="C5" i="142"/>
  <c r="C6" i="142"/>
  <c r="C7" i="142"/>
  <c r="C8" i="142"/>
  <c r="C9" i="142"/>
  <c r="C10" i="142"/>
  <c r="C11" i="142"/>
  <c r="C13" i="142"/>
  <c r="C14" i="142"/>
  <c r="C15" i="142"/>
  <c r="C16" i="142"/>
  <c r="C4" i="142"/>
  <c r="C12" i="142" s="1"/>
  <c r="D5" i="142"/>
  <c r="E5" i="142" s="1"/>
  <c r="D6" i="142"/>
  <c r="E6" i="142" s="1"/>
  <c r="D7" i="142"/>
  <c r="F7" i="142" s="1"/>
  <c r="D8" i="142"/>
  <c r="E8" i="142" s="1"/>
  <c r="D9" i="142"/>
  <c r="E9" i="142" s="1"/>
  <c r="D10" i="142"/>
  <c r="D11" i="142"/>
  <c r="D13" i="142"/>
  <c r="E13" i="142" s="1"/>
  <c r="D14" i="142"/>
  <c r="F14" i="142" s="1"/>
  <c r="D15" i="142"/>
  <c r="E15" i="142" s="1"/>
  <c r="D16" i="142"/>
  <c r="D4" i="142"/>
  <c r="F12" i="140"/>
  <c r="Q15" i="140"/>
  <c r="Q15" i="143" s="1"/>
  <c r="J44" i="140"/>
  <c r="Q41" i="140"/>
  <c r="Q42" i="140"/>
  <c r="Q40" i="140"/>
  <c r="U33" i="78"/>
  <c r="V33" i="78"/>
  <c r="W33" i="78"/>
  <c r="Y33" i="78"/>
  <c r="Z33" i="78"/>
  <c r="Q15" i="147" l="1"/>
  <c r="Q6" i="147" s="1"/>
  <c r="Q10" i="147" s="1"/>
  <c r="Q15" i="145"/>
  <c r="Q6" i="145" s="1"/>
  <c r="Q6" i="143"/>
  <c r="Q10" i="143" s="1"/>
  <c r="K9" i="142"/>
  <c r="C29" i="142"/>
  <c r="D12" i="142"/>
  <c r="F12" i="142" s="1"/>
  <c r="B29" i="142"/>
  <c r="O10" i="142"/>
  <c r="P10" i="142"/>
  <c r="E10" i="142"/>
  <c r="F10" i="142"/>
  <c r="K10" i="142"/>
  <c r="J10" i="142"/>
  <c r="H29" i="142"/>
  <c r="D29" i="142"/>
  <c r="E11" i="142"/>
  <c r="F11" i="142"/>
  <c r="K11" i="142"/>
  <c r="I12" i="142"/>
  <c r="J11" i="142"/>
  <c r="D28" i="142"/>
  <c r="O11" i="142"/>
  <c r="P11" i="142"/>
  <c r="N12" i="142"/>
  <c r="O12" i="142" s="1"/>
  <c r="D27" i="142"/>
  <c r="E12" i="142"/>
  <c r="F9" i="142"/>
  <c r="P9" i="142"/>
  <c r="G37" i="140"/>
  <c r="C24" i="144"/>
  <c r="P24" i="144" s="1"/>
  <c r="C17" i="142"/>
  <c r="H17" i="142"/>
  <c r="M17" i="142"/>
  <c r="J4" i="142"/>
  <c r="O4" i="142"/>
  <c r="H34" i="142"/>
  <c r="B34" i="142"/>
  <c r="D24" i="142"/>
  <c r="F10" i="143"/>
  <c r="L49" i="143"/>
  <c r="R8" i="143"/>
  <c r="I6" i="143"/>
  <c r="I12" i="143"/>
  <c r="K7" i="142"/>
  <c r="E14" i="142"/>
  <c r="K16" i="142"/>
  <c r="P7" i="142"/>
  <c r="G12" i="140"/>
  <c r="O5" i="142"/>
  <c r="P16" i="142"/>
  <c r="D31" i="142"/>
  <c r="D26" i="142"/>
  <c r="D22" i="142"/>
  <c r="D32" i="142"/>
  <c r="F5" i="142"/>
  <c r="K13" i="142"/>
  <c r="K8" i="142"/>
  <c r="O14" i="142"/>
  <c r="D30" i="142"/>
  <c r="D25" i="142"/>
  <c r="F6" i="142"/>
  <c r="E4" i="142"/>
  <c r="K4" i="142"/>
  <c r="J6" i="142"/>
  <c r="J15" i="142"/>
  <c r="D33" i="142"/>
  <c r="K5" i="142"/>
  <c r="K14" i="142"/>
  <c r="J8" i="142"/>
  <c r="J13" i="142"/>
  <c r="E16" i="142"/>
  <c r="E7" i="142"/>
  <c r="F15" i="142"/>
  <c r="F4" i="142"/>
  <c r="F13" i="142"/>
  <c r="F8" i="142"/>
  <c r="O13" i="142"/>
  <c r="F16" i="142"/>
  <c r="O6" i="142"/>
  <c r="O15" i="142"/>
  <c r="P6" i="142"/>
  <c r="P8" i="142"/>
  <c r="P13" i="142"/>
  <c r="P15" i="142"/>
  <c r="P4" i="142"/>
  <c r="Q6" i="140"/>
  <c r="P12" i="142" l="1"/>
  <c r="AK6" i="145"/>
  <c r="Q10" i="145"/>
  <c r="AK9" i="145" s="1"/>
  <c r="K12" i="142"/>
  <c r="J12" i="142"/>
  <c r="T22" i="141"/>
  <c r="T12" i="141"/>
  <c r="G9" i="141"/>
  <c r="H9" i="141" s="1"/>
  <c r="F9" i="141"/>
  <c r="Y151" i="141"/>
  <c r="J75" i="141" s="1"/>
  <c r="H75" i="141" s="1"/>
  <c r="E75" i="141" s="1"/>
  <c r="F36" i="141" s="1"/>
  <c r="J151" i="141"/>
  <c r="J73" i="141" s="1"/>
  <c r="H73" i="141" s="1"/>
  <c r="E73" i="141" s="1"/>
  <c r="F34" i="141" s="1"/>
  <c r="I151" i="141"/>
  <c r="H61" i="141" s="1"/>
  <c r="E61" i="141" s="1"/>
  <c r="F17" i="141" s="1"/>
  <c r="H151" i="141"/>
  <c r="H67" i="141" s="1"/>
  <c r="J67" i="141" s="1"/>
  <c r="G151" i="141"/>
  <c r="H60" i="141" s="1"/>
  <c r="E60" i="141" s="1"/>
  <c r="F16" i="141" s="1"/>
  <c r="F151" i="141"/>
  <c r="H66" i="141" s="1"/>
  <c r="E151" i="141"/>
  <c r="H59" i="141" s="1"/>
  <c r="E59" i="141" s="1"/>
  <c r="F15" i="141" s="1"/>
  <c r="D151" i="141"/>
  <c r="H65" i="141" s="1"/>
  <c r="J65" i="141" s="1"/>
  <c r="Y74" i="141"/>
  <c r="I74" i="141" s="1"/>
  <c r="F74" i="141" s="1"/>
  <c r="G35" i="141" s="1"/>
  <c r="Y114" i="141"/>
  <c r="Y115" i="141" s="1"/>
  <c r="Y116" i="141" s="1"/>
  <c r="J114" i="141"/>
  <c r="Y73" i="141" s="1"/>
  <c r="I73" i="141" s="1"/>
  <c r="F73" i="141" s="1"/>
  <c r="G34" i="141" s="1"/>
  <c r="I114" i="141"/>
  <c r="I61" i="141" s="1"/>
  <c r="F61" i="141" s="1"/>
  <c r="G17" i="141" s="1"/>
  <c r="H114" i="141"/>
  <c r="I67" i="141" s="1"/>
  <c r="G114" i="141"/>
  <c r="I60" i="141" s="1"/>
  <c r="F60" i="141" s="1"/>
  <c r="G16" i="141" s="1"/>
  <c r="F114" i="141"/>
  <c r="I66" i="141" s="1"/>
  <c r="F66" i="141" s="1"/>
  <c r="G47" i="141" s="1"/>
  <c r="E114" i="141"/>
  <c r="E115" i="141" s="1"/>
  <c r="E116" i="141" s="1"/>
  <c r="D114" i="141"/>
  <c r="D115" i="141" s="1"/>
  <c r="D116" i="141" s="1"/>
  <c r="Y78" i="141"/>
  <c r="F71" i="141" s="1"/>
  <c r="G31" i="141" s="1"/>
  <c r="J78" i="141"/>
  <c r="E71" i="141" s="1"/>
  <c r="F31" i="141" s="1"/>
  <c r="F72" i="141"/>
  <c r="G32" i="141" s="1"/>
  <c r="E72" i="141"/>
  <c r="F32" i="141" s="1"/>
  <c r="AD71" i="141"/>
  <c r="AB71" i="141"/>
  <c r="AA71" i="141"/>
  <c r="C71" i="141"/>
  <c r="I70" i="141"/>
  <c r="F70" i="141" s="1"/>
  <c r="G30" i="141" s="1"/>
  <c r="H70" i="141"/>
  <c r="E70" i="141" s="1"/>
  <c r="F30" i="141" s="1"/>
  <c r="AE64" i="141"/>
  <c r="AD64" i="141"/>
  <c r="AB64" i="141"/>
  <c r="AA64" i="141"/>
  <c r="J63" i="141"/>
  <c r="I63" i="141" s="1"/>
  <c r="AB58" i="141"/>
  <c r="AA58" i="141"/>
  <c r="I57" i="141"/>
  <c r="H57" i="141"/>
  <c r="J54" i="141"/>
  <c r="I52" i="141"/>
  <c r="I51" i="141"/>
  <c r="I50" i="141"/>
  <c r="E47" i="141"/>
  <c r="J46" i="141"/>
  <c r="E46" i="141"/>
  <c r="Z44" i="141"/>
  <c r="AB44" i="141" s="1"/>
  <c r="J44" i="141"/>
  <c r="AB43" i="141"/>
  <c r="AA43" i="141"/>
  <c r="J43" i="141"/>
  <c r="AB42" i="141"/>
  <c r="AA42" i="141"/>
  <c r="J42" i="141"/>
  <c r="I42" i="141"/>
  <c r="H42" i="141"/>
  <c r="AB41" i="141"/>
  <c r="AA41" i="141"/>
  <c r="J41" i="141"/>
  <c r="I41" i="141"/>
  <c r="H41" i="141"/>
  <c r="AB40" i="141"/>
  <c r="AA40" i="141"/>
  <c r="J40" i="141"/>
  <c r="I40" i="141"/>
  <c r="H40" i="141"/>
  <c r="AB39" i="141"/>
  <c r="AA44" i="141"/>
  <c r="J39" i="141"/>
  <c r="I39" i="141"/>
  <c r="H39" i="141"/>
  <c r="G37" i="141"/>
  <c r="F37" i="141"/>
  <c r="C33" i="141"/>
  <c r="E32" i="141"/>
  <c r="E31" i="141"/>
  <c r="E28" i="141"/>
  <c r="G26" i="141"/>
  <c r="F26" i="141"/>
  <c r="D26" i="141"/>
  <c r="C26" i="141"/>
  <c r="AA22" i="141"/>
  <c r="I22" i="141"/>
  <c r="E22" i="141"/>
  <c r="Z21" i="141"/>
  <c r="I21" i="141"/>
  <c r="E21" i="141"/>
  <c r="I20" i="141"/>
  <c r="E20" i="141"/>
  <c r="G19" i="141"/>
  <c r="D19" i="141" s="1"/>
  <c r="F19" i="141"/>
  <c r="C19" i="141" s="1"/>
  <c r="J17" i="141"/>
  <c r="E16" i="141"/>
  <c r="J15" i="141"/>
  <c r="E15" i="141"/>
  <c r="AI10" i="141"/>
  <c r="AH10" i="141"/>
  <c r="AG10" i="141"/>
  <c r="AF10" i="141"/>
  <c r="AE10" i="141"/>
  <c r="C10" i="141"/>
  <c r="D9" i="141"/>
  <c r="D10" i="141" s="1"/>
  <c r="E8" i="141"/>
  <c r="Z7" i="141"/>
  <c r="H23" i="141"/>
  <c r="E7" i="141"/>
  <c r="E4" i="141"/>
  <c r="J80" i="140"/>
  <c r="E12" i="141" l="1"/>
  <c r="E6" i="141"/>
  <c r="E10" i="141" s="1"/>
  <c r="I31" i="141"/>
  <c r="H31" i="141"/>
  <c r="H25" i="141"/>
  <c r="E26" i="141"/>
  <c r="I30" i="141"/>
  <c r="E33" i="141"/>
  <c r="AA39" i="141"/>
  <c r="I26" i="141"/>
  <c r="J74" i="141"/>
  <c r="H74" i="141" s="1"/>
  <c r="E74" i="141" s="1"/>
  <c r="F35" i="141" s="1"/>
  <c r="Y75" i="141"/>
  <c r="I75" i="141" s="1"/>
  <c r="F75" i="141" s="1"/>
  <c r="G36" i="141" s="1"/>
  <c r="I36" i="141" s="1"/>
  <c r="J115" i="141"/>
  <c r="J116" i="141" s="1"/>
  <c r="F115" i="141"/>
  <c r="F116" i="141" s="1"/>
  <c r="I59" i="141"/>
  <c r="F59" i="141" s="1"/>
  <c r="G15" i="141" s="1"/>
  <c r="I15" i="141" s="1"/>
  <c r="H8" i="141"/>
  <c r="I115" i="141"/>
  <c r="I116" i="141" s="1"/>
  <c r="I16" i="141"/>
  <c r="I65" i="141"/>
  <c r="Y65" i="141" s="1"/>
  <c r="G115" i="141"/>
  <c r="G116" i="141" s="1"/>
  <c r="Y66" i="141"/>
  <c r="H115" i="141"/>
  <c r="H116" i="141" s="1"/>
  <c r="J16" i="141"/>
  <c r="F6" i="141"/>
  <c r="Y16" i="141"/>
  <c r="H16" i="141" s="1"/>
  <c r="I17" i="141"/>
  <c r="J66" i="141"/>
  <c r="E66" i="141"/>
  <c r="F47" i="141" s="1"/>
  <c r="H21" i="141"/>
  <c r="H20" i="141"/>
  <c r="H7" i="141"/>
  <c r="I7" i="141"/>
  <c r="I9" i="141"/>
  <c r="H22" i="141"/>
  <c r="H24" i="141"/>
  <c r="Y67" i="141"/>
  <c r="F67" i="141"/>
  <c r="G48" i="141" s="1"/>
  <c r="I32" i="141"/>
  <c r="I34" i="141"/>
  <c r="H32" i="141"/>
  <c r="F33" i="141"/>
  <c r="G33" i="141"/>
  <c r="E65" i="141"/>
  <c r="F46" i="141" s="1"/>
  <c r="E67" i="141"/>
  <c r="F48" i="141" s="1"/>
  <c r="K21" i="85"/>
  <c r="L21" i="85" s="1"/>
  <c r="N21" i="85" s="1"/>
  <c r="P21" i="85" s="1"/>
  <c r="K22" i="85"/>
  <c r="L22" i="85" s="1"/>
  <c r="N22" i="85" s="1"/>
  <c r="P22" i="85" s="1"/>
  <c r="K20" i="85"/>
  <c r="K30" i="85" s="1"/>
  <c r="S54" i="132"/>
  <c r="S55" i="132" s="1"/>
  <c r="S56" i="132" s="1"/>
  <c r="BM15" i="97"/>
  <c r="L30" i="85" l="1"/>
  <c r="N30" i="85" s="1"/>
  <c r="P30" i="85" s="1"/>
  <c r="L20" i="85"/>
  <c r="N20" i="85" s="1"/>
  <c r="F12" i="141"/>
  <c r="Z15" i="141"/>
  <c r="H15" i="141"/>
  <c r="G6" i="141"/>
  <c r="I6" i="141" s="1"/>
  <c r="F65" i="141"/>
  <c r="G46" i="141" s="1"/>
  <c r="H46" i="141" s="1"/>
  <c r="I8" i="141"/>
  <c r="AA15" i="141"/>
  <c r="AB15" i="141"/>
  <c r="I33" i="141"/>
  <c r="H33" i="141"/>
  <c r="F10" i="141"/>
  <c r="I48" i="141"/>
  <c r="H26" i="141"/>
  <c r="I47" i="141"/>
  <c r="Y47" i="141"/>
  <c r="AO61" i="97"/>
  <c r="AO60" i="97"/>
  <c r="AO59" i="97"/>
  <c r="H6" i="141" l="1"/>
  <c r="G10" i="141"/>
  <c r="I10" i="141" s="1"/>
  <c r="G12" i="141"/>
  <c r="I12" i="141" s="1"/>
  <c r="I46" i="141"/>
  <c r="H47" i="141"/>
  <c r="AO52" i="97"/>
  <c r="AO53" i="97"/>
  <c r="AO54" i="97"/>
  <c r="AO51" i="97"/>
  <c r="H10" i="141" l="1"/>
  <c r="H12" i="141"/>
  <c r="AA54" i="141"/>
  <c r="AO55" i="97"/>
  <c r="R15" i="139"/>
  <c r="D152" i="140"/>
  <c r="E66" i="140" s="1"/>
  <c r="L152" i="140"/>
  <c r="K152" i="140"/>
  <c r="H76" i="140" s="1"/>
  <c r="E76" i="140" s="1"/>
  <c r="J153" i="140"/>
  <c r="H74" i="140" s="1"/>
  <c r="E74" i="140" s="1"/>
  <c r="I152" i="140"/>
  <c r="E62" i="140" s="1"/>
  <c r="R17" i="140" s="1"/>
  <c r="R17" i="143" s="1"/>
  <c r="H152" i="140"/>
  <c r="E68" i="140" s="1"/>
  <c r="R49" i="140" s="1"/>
  <c r="G152" i="140"/>
  <c r="E61" i="140" s="1"/>
  <c r="F152" i="140"/>
  <c r="J68" i="140" s="1"/>
  <c r="E152" i="140"/>
  <c r="E60" i="140" s="1"/>
  <c r="R15" i="140" s="1"/>
  <c r="R15" i="143" s="1"/>
  <c r="L115" i="140"/>
  <c r="K115" i="140"/>
  <c r="K76" i="140" s="1"/>
  <c r="I76" i="140" s="1"/>
  <c r="F76" i="140" s="1"/>
  <c r="J116" i="140"/>
  <c r="K74" i="140" s="1"/>
  <c r="I74" i="140" s="1"/>
  <c r="F74" i="140" s="1"/>
  <c r="I115" i="140"/>
  <c r="I62" i="140" s="1"/>
  <c r="F62" i="140" s="1"/>
  <c r="H115" i="140"/>
  <c r="I68" i="140" s="1"/>
  <c r="K68" i="140" s="1"/>
  <c r="L69" i="140" s="1"/>
  <c r="G115" i="140"/>
  <c r="I61" i="140" s="1"/>
  <c r="F61" i="140" s="1"/>
  <c r="F115" i="140"/>
  <c r="I67" i="140" s="1"/>
  <c r="K67" i="140" s="1"/>
  <c r="L68" i="140" s="1"/>
  <c r="E115" i="140"/>
  <c r="I60" i="140" s="1"/>
  <c r="F60" i="140" s="1"/>
  <c r="D115" i="140"/>
  <c r="I66" i="140" s="1"/>
  <c r="K66" i="140" s="1"/>
  <c r="L67" i="140" s="1"/>
  <c r="K79" i="140"/>
  <c r="F72" i="140" s="1"/>
  <c r="L80" i="140"/>
  <c r="L78" i="140"/>
  <c r="F73" i="140"/>
  <c r="E73" i="140"/>
  <c r="AC72" i="140"/>
  <c r="AA72" i="140"/>
  <c r="Z72" i="140"/>
  <c r="X72" i="140"/>
  <c r="W72" i="140"/>
  <c r="U72" i="140"/>
  <c r="T72" i="140"/>
  <c r="C72" i="140"/>
  <c r="I71" i="140"/>
  <c r="F71" i="140" s="1"/>
  <c r="H71" i="140"/>
  <c r="E71" i="140" s="1"/>
  <c r="AD65" i="140"/>
  <c r="AC65" i="140"/>
  <c r="AA65" i="140"/>
  <c r="Z65" i="140"/>
  <c r="X65" i="140"/>
  <c r="W65" i="140"/>
  <c r="U65" i="140"/>
  <c r="T65" i="140"/>
  <c r="J65" i="140"/>
  <c r="I64" i="140"/>
  <c r="L61" i="140"/>
  <c r="L62" i="140" s="1"/>
  <c r="P60" i="140"/>
  <c r="O60" i="140"/>
  <c r="AA59" i="140"/>
  <c r="U59" i="140"/>
  <c r="T59" i="140"/>
  <c r="Z59" i="140" s="1"/>
  <c r="L59" i="140"/>
  <c r="L60" i="140" s="1"/>
  <c r="I58" i="140"/>
  <c r="H58" i="140"/>
  <c r="J56" i="140"/>
  <c r="U53" i="140"/>
  <c r="I53" i="140"/>
  <c r="U52" i="140"/>
  <c r="I52" i="140"/>
  <c r="U51" i="140"/>
  <c r="I51" i="140"/>
  <c r="J48" i="140"/>
  <c r="Y45" i="140"/>
  <c r="X45" i="140"/>
  <c r="J46" i="140"/>
  <c r="AA44" i="140"/>
  <c r="Z44" i="140"/>
  <c r="J45" i="140"/>
  <c r="AA43" i="140"/>
  <c r="W43" i="140"/>
  <c r="Z43" i="140" s="1"/>
  <c r="I43" i="140"/>
  <c r="H43" i="140"/>
  <c r="AA42" i="140"/>
  <c r="W42" i="140"/>
  <c r="Z42" i="140" s="1"/>
  <c r="J43" i="140"/>
  <c r="H42" i="140"/>
  <c r="AA41" i="140"/>
  <c r="W41" i="140"/>
  <c r="Z41" i="140" s="1"/>
  <c r="J42" i="140"/>
  <c r="I41" i="140"/>
  <c r="H41" i="140"/>
  <c r="AA40" i="140"/>
  <c r="W40" i="140"/>
  <c r="W45" i="140" s="1"/>
  <c r="Z45" i="140" s="1"/>
  <c r="Q9" i="140"/>
  <c r="Q10" i="140" s="1"/>
  <c r="J41" i="140"/>
  <c r="I40" i="140"/>
  <c r="K37" i="140"/>
  <c r="W35" i="140"/>
  <c r="O34" i="140"/>
  <c r="C34" i="140"/>
  <c r="K32" i="140"/>
  <c r="K31" i="140"/>
  <c r="Q29" i="140"/>
  <c r="E29" i="140"/>
  <c r="V27" i="140"/>
  <c r="G27" i="140"/>
  <c r="F27" i="140"/>
  <c r="D27" i="140"/>
  <c r="C27" i="140"/>
  <c r="U26" i="140"/>
  <c r="Z23" i="140"/>
  <c r="U23" i="140"/>
  <c r="I23" i="140"/>
  <c r="E23" i="140"/>
  <c r="I22" i="140"/>
  <c r="E22" i="140"/>
  <c r="Y21" i="140"/>
  <c r="I21" i="140"/>
  <c r="E21" i="140"/>
  <c r="U20" i="140"/>
  <c r="I20" i="140"/>
  <c r="E20" i="140"/>
  <c r="P19" i="140"/>
  <c r="G19" i="140"/>
  <c r="D19" i="140" s="1"/>
  <c r="F19" i="140"/>
  <c r="C19" i="140" s="1"/>
  <c r="J17" i="140"/>
  <c r="J15" i="140"/>
  <c r="AH10" i="140"/>
  <c r="AG10" i="140"/>
  <c r="AF10" i="140"/>
  <c r="AE10" i="140"/>
  <c r="AD10" i="140"/>
  <c r="D10" i="140"/>
  <c r="C10" i="140"/>
  <c r="X9" i="140"/>
  <c r="P9" i="140"/>
  <c r="F9" i="140"/>
  <c r="D9" i="140"/>
  <c r="X8" i="140"/>
  <c r="Y7" i="140"/>
  <c r="X7" i="140"/>
  <c r="H25" i="140"/>
  <c r="F7" i="140"/>
  <c r="S4" i="140"/>
  <c r="S19" i="140" s="1"/>
  <c r="R4" i="140"/>
  <c r="R19" i="140" s="1"/>
  <c r="E4" i="140"/>
  <c r="Q4" i="140" s="1"/>
  <c r="AE26" i="97"/>
  <c r="CK16" i="97"/>
  <c r="B40" i="132"/>
  <c r="B62" i="132" s="1"/>
  <c r="E62" i="132" s="1"/>
  <c r="I60" i="139"/>
  <c r="S53" i="139"/>
  <c r="R53" i="139"/>
  <c r="U34" i="131"/>
  <c r="V34" i="131"/>
  <c r="T34" i="131"/>
  <c r="U32" i="131"/>
  <c r="V32" i="131"/>
  <c r="U31" i="131"/>
  <c r="V31" i="131"/>
  <c r="T32" i="131"/>
  <c r="T48" i="131"/>
  <c r="T49" i="131"/>
  <c r="Q31" i="131"/>
  <c r="R31" i="131"/>
  <c r="R57" i="140" l="1"/>
  <c r="R49" i="143"/>
  <c r="R15" i="147"/>
  <c r="R15" i="145"/>
  <c r="R17" i="147"/>
  <c r="R17" i="145"/>
  <c r="Z31" i="131"/>
  <c r="W31" i="131"/>
  <c r="AA31" i="131"/>
  <c r="W34" i="131"/>
  <c r="E6" i="140"/>
  <c r="E10" i="140" s="1"/>
  <c r="Z40" i="140"/>
  <c r="I75" i="140"/>
  <c r="F75" i="140" s="1"/>
  <c r="K75" i="140"/>
  <c r="H75" i="140"/>
  <c r="E75" i="140" s="1"/>
  <c r="J76" i="140"/>
  <c r="L153" i="140"/>
  <c r="AA45" i="140"/>
  <c r="E12" i="140"/>
  <c r="Q12" i="140"/>
  <c r="I31" i="140"/>
  <c r="H31" i="140"/>
  <c r="I33" i="140"/>
  <c r="G34" i="140"/>
  <c r="H32" i="140"/>
  <c r="F6" i="140"/>
  <c r="R16" i="140"/>
  <c r="J16" i="140"/>
  <c r="R47" i="140"/>
  <c r="I35" i="140"/>
  <c r="I17" i="140"/>
  <c r="I16" i="140"/>
  <c r="K16" i="140"/>
  <c r="L16" i="140" s="1"/>
  <c r="H16" i="140" s="1"/>
  <c r="G6" i="140"/>
  <c r="O19" i="140"/>
  <c r="G8" i="140"/>
  <c r="I37" i="140"/>
  <c r="U22" i="140"/>
  <c r="H7" i="140"/>
  <c r="I27" i="140"/>
  <c r="R7" i="140"/>
  <c r="E72" i="140"/>
  <c r="F8" i="140" s="1"/>
  <c r="E34" i="140"/>
  <c r="J67" i="140"/>
  <c r="J69" i="140"/>
  <c r="F66" i="140"/>
  <c r="H20" i="140"/>
  <c r="H23" i="140"/>
  <c r="R27" i="140"/>
  <c r="E27" i="140"/>
  <c r="R9" i="140"/>
  <c r="I15" i="140"/>
  <c r="U21" i="140"/>
  <c r="H21" i="140"/>
  <c r="H24" i="140"/>
  <c r="H22" i="140"/>
  <c r="H26" i="140"/>
  <c r="I7" i="140"/>
  <c r="E67" i="140"/>
  <c r="R48" i="140" s="1"/>
  <c r="F68" i="140"/>
  <c r="F67" i="140"/>
  <c r="I42" i="140"/>
  <c r="H33" i="140"/>
  <c r="W32" i="131"/>
  <c r="V33" i="131"/>
  <c r="Y31" i="131"/>
  <c r="T33" i="131"/>
  <c r="T35" i="131" s="1"/>
  <c r="T37" i="131" s="1"/>
  <c r="T39" i="131" s="1"/>
  <c r="T41" i="131" s="1"/>
  <c r="T43" i="131" s="1"/>
  <c r="U33" i="131"/>
  <c r="R56" i="140" l="1"/>
  <c r="W55" i="140" s="1"/>
  <c r="R48" i="143"/>
  <c r="R55" i="140"/>
  <c r="R58" i="140" s="1"/>
  <c r="R47" i="143"/>
  <c r="Y15" i="140"/>
  <c r="R16" i="143"/>
  <c r="R57" i="143"/>
  <c r="R49" i="147"/>
  <c r="R57" i="147" s="1"/>
  <c r="H8" i="140"/>
  <c r="W33" i="131"/>
  <c r="W35" i="131" s="1"/>
  <c r="H34" i="140"/>
  <c r="F34" i="140"/>
  <c r="I34" i="140" s="1"/>
  <c r="R34" i="140"/>
  <c r="I32" i="140"/>
  <c r="I8" i="140"/>
  <c r="R6" i="140"/>
  <c r="R10" i="140" s="1"/>
  <c r="R12" i="140"/>
  <c r="I49" i="140"/>
  <c r="I48" i="140"/>
  <c r="K48" i="140"/>
  <c r="H12" i="140"/>
  <c r="I47" i="140"/>
  <c r="H27" i="140"/>
  <c r="H6" i="140"/>
  <c r="I6" i="140"/>
  <c r="U35" i="131"/>
  <c r="V35" i="131"/>
  <c r="U9" i="131"/>
  <c r="R56" i="143" l="1"/>
  <c r="W55" i="143" s="1"/>
  <c r="R48" i="147"/>
  <c r="R56" i="147" s="1"/>
  <c r="W55" i="147" s="1"/>
  <c r="R55" i="143"/>
  <c r="R58" i="143" s="1"/>
  <c r="R47" i="147"/>
  <c r="R12" i="143"/>
  <c r="Y15" i="143"/>
  <c r="R16" i="147"/>
  <c r="R16" i="145"/>
  <c r="R6" i="143"/>
  <c r="R10" i="143" s="1"/>
  <c r="U37" i="131"/>
  <c r="U39" i="131" s="1"/>
  <c r="U41" i="131" s="1"/>
  <c r="U43" i="131" s="1"/>
  <c r="W37" i="131"/>
  <c r="W39" i="131" s="1"/>
  <c r="W41" i="131" s="1"/>
  <c r="W43" i="131" s="1"/>
  <c r="V37" i="131"/>
  <c r="V39" i="131" s="1"/>
  <c r="V41" i="131" s="1"/>
  <c r="V43" i="131" s="1"/>
  <c r="I12" i="140"/>
  <c r="L49" i="140"/>
  <c r="L48" i="140"/>
  <c r="H48" i="140" s="1"/>
  <c r="W9" i="132"/>
  <c r="R55" i="147" l="1"/>
  <c r="R58" i="147" s="1"/>
  <c r="R12" i="147"/>
  <c r="Y15" i="145"/>
  <c r="R6" i="145"/>
  <c r="Y15" i="147"/>
  <c r="R6" i="147"/>
  <c r="R10" i="147" s="1"/>
  <c r="O5" i="132"/>
  <c r="C23" i="144" s="1"/>
  <c r="P23" i="144" s="1"/>
  <c r="AH5" i="132"/>
  <c r="Y22" i="132"/>
  <c r="I27" i="131"/>
  <c r="AG32" i="78"/>
  <c r="AG31" i="78"/>
  <c r="AG30" i="78"/>
  <c r="AG29" i="78"/>
  <c r="AG28" i="78"/>
  <c r="K22" i="132"/>
  <c r="L22" i="132" s="1"/>
  <c r="H22" i="132"/>
  <c r="D25" i="78"/>
  <c r="D24" i="78"/>
  <c r="D23" i="78"/>
  <c r="R45" i="139"/>
  <c r="R44" i="139"/>
  <c r="R42" i="139"/>
  <c r="R41" i="139"/>
  <c r="R40" i="139"/>
  <c r="R43" i="139"/>
  <c r="S43" i="139"/>
  <c r="Q41" i="139"/>
  <c r="Q42" i="139"/>
  <c r="Q40" i="139"/>
  <c r="AL6" i="145" l="1"/>
  <c r="R10" i="145"/>
  <c r="AL9" i="145" s="1"/>
  <c r="AF26" i="97"/>
  <c r="I22" i="132"/>
  <c r="O32" i="132"/>
  <c r="P21" i="139"/>
  <c r="P22" i="139"/>
  <c r="P23" i="139"/>
  <c r="P24" i="139"/>
  <c r="P24" i="140" s="1"/>
  <c r="P25" i="139"/>
  <c r="P25" i="140" s="1"/>
  <c r="P25" i="143" s="1"/>
  <c r="P26" i="139"/>
  <c r="P26" i="140" s="1"/>
  <c r="P26" i="143" s="1"/>
  <c r="P20" i="139"/>
  <c r="O33" i="132" l="1"/>
  <c r="O34" i="132"/>
  <c r="O36" i="132"/>
  <c r="P26" i="147"/>
  <c r="P26" i="145"/>
  <c r="P25" i="147"/>
  <c r="P25" i="145"/>
  <c r="P25" i="150" s="1"/>
  <c r="P25" i="151" s="1"/>
  <c r="P25" i="152" s="1"/>
  <c r="P24" i="143"/>
  <c r="P27" i="140"/>
  <c r="T47" i="131"/>
  <c r="T45" i="131"/>
  <c r="AG26" i="97"/>
  <c r="CM8" i="97" s="1"/>
  <c r="T46" i="131"/>
  <c r="I68" i="139"/>
  <c r="H68" i="139"/>
  <c r="I62" i="139"/>
  <c r="H62" i="139"/>
  <c r="L115" i="139"/>
  <c r="K115" i="139"/>
  <c r="J115" i="139"/>
  <c r="H115" i="139"/>
  <c r="AX37" i="97"/>
  <c r="AN43" i="97"/>
  <c r="AS37" i="97"/>
  <c r="AR37" i="97"/>
  <c r="AQ37" i="97"/>
  <c r="AN44" i="97" s="1"/>
  <c r="T17" i="131"/>
  <c r="T18" i="131"/>
  <c r="T19" i="131"/>
  <c r="T20" i="131"/>
  <c r="T9" i="131"/>
  <c r="Q18" i="131"/>
  <c r="U18" i="131" s="1"/>
  <c r="Q10" i="131"/>
  <c r="U10" i="131" s="1"/>
  <c r="Q11" i="131"/>
  <c r="U11" i="131" s="1"/>
  <c r="Q12" i="131"/>
  <c r="U12" i="131" s="1"/>
  <c r="Q13" i="131"/>
  <c r="U13" i="131" s="1"/>
  <c r="Q14" i="131"/>
  <c r="U14" i="131" s="1"/>
  <c r="Q15" i="131"/>
  <c r="U15" i="131" s="1"/>
  <c r="Q16" i="131"/>
  <c r="U16" i="131" s="1"/>
  <c r="Q17" i="131"/>
  <c r="U17" i="131" s="1"/>
  <c r="Q19" i="131"/>
  <c r="U19" i="131" s="1"/>
  <c r="Q20" i="131"/>
  <c r="U20" i="131" s="1"/>
  <c r="E58" i="107"/>
  <c r="W7" i="122"/>
  <c r="G58" i="107"/>
  <c r="F58" i="107"/>
  <c r="H58" i="107"/>
  <c r="D58" i="107"/>
  <c r="C58" i="107"/>
  <c r="H57" i="107"/>
  <c r="E57" i="107"/>
  <c r="F57" i="107"/>
  <c r="G57" i="107"/>
  <c r="D57" i="107"/>
  <c r="W27" i="140" l="1"/>
  <c r="P24" i="147"/>
  <c r="P27" i="147" s="1"/>
  <c r="P24" i="145"/>
  <c r="P27" i="143"/>
  <c r="Z14" i="131"/>
  <c r="V14" i="131"/>
  <c r="T21" i="131"/>
  <c r="Q21" i="131"/>
  <c r="U21" i="131"/>
  <c r="F6" i="144"/>
  <c r="F5" i="144"/>
  <c r="V19" i="131"/>
  <c r="Z19" i="131"/>
  <c r="V18" i="131"/>
  <c r="Z18" i="131"/>
  <c r="V15" i="131"/>
  <c r="Z15" i="131"/>
  <c r="V17" i="131"/>
  <c r="Z17" i="131"/>
  <c r="V13" i="131"/>
  <c r="Z13" i="131"/>
  <c r="V10" i="131"/>
  <c r="Z10" i="131"/>
  <c r="Z9" i="131"/>
  <c r="V20" i="131"/>
  <c r="Z20" i="131"/>
  <c r="V16" i="131"/>
  <c r="Z16" i="131"/>
  <c r="V11" i="131"/>
  <c r="Z11" i="131"/>
  <c r="V9" i="131"/>
  <c r="AC36" i="97"/>
  <c r="AC34" i="97"/>
  <c r="AO34" i="97" s="1"/>
  <c r="AC33" i="97"/>
  <c r="AC32" i="97"/>
  <c r="AC31" i="97"/>
  <c r="AC30" i="97"/>
  <c r="AC29" i="97"/>
  <c r="AC28" i="97"/>
  <c r="AC27" i="97"/>
  <c r="AB36" i="97"/>
  <c r="AB34" i="97"/>
  <c r="AN34" i="97" s="1"/>
  <c r="AB33" i="97"/>
  <c r="AN33" i="97" s="1"/>
  <c r="AB32" i="97"/>
  <c r="AN32" i="97" s="1"/>
  <c r="AB31" i="97"/>
  <c r="AN31" i="97" s="1"/>
  <c r="AB30" i="97"/>
  <c r="AN30" i="97" s="1"/>
  <c r="AB29" i="97"/>
  <c r="AN29" i="97" s="1"/>
  <c r="AB28" i="97"/>
  <c r="AN28" i="97" s="1"/>
  <c r="AB27" i="97"/>
  <c r="AC26" i="97"/>
  <c r="AB26" i="97"/>
  <c r="Z37" i="97"/>
  <c r="Y37" i="97"/>
  <c r="AE25" i="97"/>
  <c r="AC25" i="97"/>
  <c r="AB25" i="97"/>
  <c r="AC24" i="97"/>
  <c r="AB24" i="97"/>
  <c r="AB35" i="97" s="1"/>
  <c r="AW19" i="97"/>
  <c r="AX19" i="97"/>
  <c r="B39" i="132"/>
  <c r="Q9" i="139"/>
  <c r="R20" i="139"/>
  <c r="AC35" i="97" l="1"/>
  <c r="AC38" i="97" s="1"/>
  <c r="AO38" i="97" s="1"/>
  <c r="AB38" i="97"/>
  <c r="AN38" i="97" s="1"/>
  <c r="AN35" i="97"/>
  <c r="B61" i="132"/>
  <c r="P24" i="150"/>
  <c r="P27" i="145"/>
  <c r="Q27" i="147"/>
  <c r="W27" i="147"/>
  <c r="W27" i="143"/>
  <c r="Q27" i="143"/>
  <c r="AD29" i="97"/>
  <c r="CK11" i="97" s="1"/>
  <c r="V21" i="131"/>
  <c r="AB37" i="97"/>
  <c r="AD33" i="97"/>
  <c r="F4" i="144"/>
  <c r="C17" i="144"/>
  <c r="AN27" i="97"/>
  <c r="AD28" i="97"/>
  <c r="CK10" i="97" s="1"/>
  <c r="AD32" i="97"/>
  <c r="Z21" i="131"/>
  <c r="BC25" i="97"/>
  <c r="AD27" i="97"/>
  <c r="CK9" i="97" s="1"/>
  <c r="AC37" i="97"/>
  <c r="AD24" i="97"/>
  <c r="AD25" i="97"/>
  <c r="CK7" i="97" s="1"/>
  <c r="AD26" i="97"/>
  <c r="AD34" i="97"/>
  <c r="AP34" i="97" s="1"/>
  <c r="AD36" i="97"/>
  <c r="AD31" i="97"/>
  <c r="AD30" i="97"/>
  <c r="CK12" i="97" s="1"/>
  <c r="T37" i="78"/>
  <c r="T38" i="78"/>
  <c r="U37" i="78"/>
  <c r="U38" i="78" s="1"/>
  <c r="V37" i="78"/>
  <c r="V38" i="78" s="1"/>
  <c r="W37" i="78"/>
  <c r="W38" i="78" s="1"/>
  <c r="P32" i="131"/>
  <c r="Q32" i="131"/>
  <c r="R32" i="131"/>
  <c r="Y34" i="131"/>
  <c r="Q34" i="131"/>
  <c r="Z34" i="131" s="1"/>
  <c r="R34" i="131"/>
  <c r="AA34" i="131" s="1"/>
  <c r="P36" i="131"/>
  <c r="Q36" i="131"/>
  <c r="R36" i="131"/>
  <c r="Q38" i="131"/>
  <c r="R38" i="131"/>
  <c r="Q40" i="131"/>
  <c r="R40" i="131"/>
  <c r="P42" i="131"/>
  <c r="Q42" i="131"/>
  <c r="R42" i="131"/>
  <c r="P44" i="131"/>
  <c r="Q44" i="131"/>
  <c r="R44" i="131"/>
  <c r="P46" i="131"/>
  <c r="Q46" i="131"/>
  <c r="R46" i="131"/>
  <c r="P48" i="131"/>
  <c r="Q48" i="131"/>
  <c r="R48" i="131"/>
  <c r="P50" i="131"/>
  <c r="Q50" i="131"/>
  <c r="R50" i="131"/>
  <c r="P52" i="131"/>
  <c r="Q52" i="131"/>
  <c r="R52" i="131"/>
  <c r="AD35" i="97" l="1"/>
  <c r="AD38" i="97" s="1"/>
  <c r="AP38" i="97" s="1"/>
  <c r="CK6" i="97"/>
  <c r="B69" i="132"/>
  <c r="B70" i="132" s="1"/>
  <c r="E61" i="132"/>
  <c r="W27" i="145"/>
  <c r="Q27" i="145"/>
  <c r="P24" i="151"/>
  <c r="P27" i="150"/>
  <c r="AP26" i="97"/>
  <c r="CK8" i="97"/>
  <c r="R33" i="131"/>
  <c r="AA32" i="131"/>
  <c r="Q33" i="131"/>
  <c r="Z32" i="131"/>
  <c r="P33" i="131"/>
  <c r="Y32" i="131"/>
  <c r="AD37" i="97"/>
  <c r="M14" i="132"/>
  <c r="CK13" i="97" l="1"/>
  <c r="E70" i="132"/>
  <c r="E69" i="132"/>
  <c r="P24" i="152"/>
  <c r="P27" i="152" s="1"/>
  <c r="P27" i="151"/>
  <c r="W27" i="150"/>
  <c r="Q27" i="150"/>
  <c r="Q35" i="131"/>
  <c r="Z35" i="131" s="1"/>
  <c r="Z33" i="131"/>
  <c r="P35" i="131"/>
  <c r="Y35" i="131" s="1"/>
  <c r="Y33" i="131"/>
  <c r="R35" i="131"/>
  <c r="AA35" i="131" s="1"/>
  <c r="AA33" i="131"/>
  <c r="P10" i="139"/>
  <c r="R40" i="138"/>
  <c r="O21" i="139"/>
  <c r="O21" i="140" s="1"/>
  <c r="Q21" i="140" s="1"/>
  <c r="O22" i="139"/>
  <c r="O22" i="140" s="1"/>
  <c r="Q22" i="140" s="1"/>
  <c r="O23" i="139"/>
  <c r="O23" i="140" s="1"/>
  <c r="Q23" i="140" s="1"/>
  <c r="O24" i="139"/>
  <c r="O24" i="140" s="1"/>
  <c r="O25" i="139"/>
  <c r="O25" i="140" s="1"/>
  <c r="O26" i="139"/>
  <c r="O26" i="140" s="1"/>
  <c r="O20" i="139"/>
  <c r="O20" i="140" s="1"/>
  <c r="R21" i="139"/>
  <c r="S21" i="139"/>
  <c r="R22" i="139"/>
  <c r="S22" i="139"/>
  <c r="R23" i="139"/>
  <c r="S23" i="139"/>
  <c r="R24" i="139"/>
  <c r="S24" i="139"/>
  <c r="S24" i="140" s="1"/>
  <c r="R25" i="139"/>
  <c r="S25" i="139"/>
  <c r="S25" i="140" s="1"/>
  <c r="R26" i="139"/>
  <c r="S26" i="139"/>
  <c r="S20" i="139"/>
  <c r="S24" i="143" l="1"/>
  <c r="S7" i="140"/>
  <c r="S27" i="140"/>
  <c r="U27" i="140" s="1"/>
  <c r="T24" i="140"/>
  <c r="Q20" i="140"/>
  <c r="O27" i="140"/>
  <c r="Q27" i="140" s="1"/>
  <c r="W27" i="151"/>
  <c r="Q27" i="151"/>
  <c r="S25" i="143"/>
  <c r="T25" i="140"/>
  <c r="Q27" i="152"/>
  <c r="W27" i="152"/>
  <c r="Q33" i="139"/>
  <c r="Q33" i="140" s="1"/>
  <c r="Q32" i="139"/>
  <c r="Q32" i="140" s="1"/>
  <c r="Q15" i="139"/>
  <c r="E152" i="139"/>
  <c r="F152" i="139"/>
  <c r="H67" i="139" s="1"/>
  <c r="G152" i="139"/>
  <c r="H152" i="139"/>
  <c r="E68" i="139" s="1"/>
  <c r="R49" i="139" s="1"/>
  <c r="I152" i="139"/>
  <c r="E62" i="139" s="1"/>
  <c r="R17" i="139" s="1"/>
  <c r="J152" i="139"/>
  <c r="J74" i="139" s="1"/>
  <c r="H74" i="139" s="1"/>
  <c r="E74" i="139" s="1"/>
  <c r="K152" i="139"/>
  <c r="J76" i="139" s="1"/>
  <c r="H76" i="139" s="1"/>
  <c r="E76" i="139" s="1"/>
  <c r="L152" i="139"/>
  <c r="J75" i="139" s="1"/>
  <c r="H75" i="139" s="1"/>
  <c r="E75" i="139" s="1"/>
  <c r="K75" i="139"/>
  <c r="I71" i="139"/>
  <c r="F71" i="139" s="1"/>
  <c r="D115" i="139"/>
  <c r="I66" i="139" s="1"/>
  <c r="D152" i="139"/>
  <c r="H66" i="139" s="1"/>
  <c r="K76" i="139"/>
  <c r="I76" i="139" s="1"/>
  <c r="F76" i="139" s="1"/>
  <c r="K74" i="139"/>
  <c r="I74" i="139" s="1"/>
  <c r="F74" i="139" s="1"/>
  <c r="I115" i="139"/>
  <c r="F62" i="139" s="1"/>
  <c r="K68" i="139"/>
  <c r="L69" i="139" s="1"/>
  <c r="G115" i="139"/>
  <c r="F115" i="139"/>
  <c r="E115" i="139"/>
  <c r="K79" i="139"/>
  <c r="F72" i="139" s="1"/>
  <c r="J79" i="139"/>
  <c r="L80" i="139" s="1"/>
  <c r="L78" i="139"/>
  <c r="F73" i="139"/>
  <c r="E73" i="139"/>
  <c r="R33" i="139" s="1"/>
  <c r="AC72" i="139"/>
  <c r="AA72" i="139"/>
  <c r="Z72" i="139"/>
  <c r="X72" i="139"/>
  <c r="W72" i="139"/>
  <c r="U72" i="139"/>
  <c r="T72" i="139"/>
  <c r="C72" i="139"/>
  <c r="H71" i="139"/>
  <c r="E71" i="139" s="1"/>
  <c r="AD65" i="139"/>
  <c r="AC65" i="139"/>
  <c r="AA65" i="139"/>
  <c r="Z65" i="139"/>
  <c r="X65" i="139"/>
  <c r="W65" i="139"/>
  <c r="U65" i="139"/>
  <c r="T65" i="139"/>
  <c r="J64" i="139"/>
  <c r="I64" i="139" s="1"/>
  <c r="L61" i="139"/>
  <c r="L62" i="139" s="1"/>
  <c r="P60" i="139"/>
  <c r="O60" i="139"/>
  <c r="AA59" i="139"/>
  <c r="U59" i="139"/>
  <c r="T59" i="139"/>
  <c r="Z59" i="139" s="1"/>
  <c r="L59" i="139"/>
  <c r="L60" i="139" s="1"/>
  <c r="I58" i="139"/>
  <c r="H58" i="139"/>
  <c r="J55" i="139"/>
  <c r="G53" i="139"/>
  <c r="F53" i="139"/>
  <c r="U52" i="139"/>
  <c r="I52" i="139"/>
  <c r="U51" i="139"/>
  <c r="I51" i="139"/>
  <c r="J47" i="139"/>
  <c r="Y45" i="139"/>
  <c r="X45" i="139"/>
  <c r="AA45" i="139" s="1"/>
  <c r="J45" i="139"/>
  <c r="AA44" i="139"/>
  <c r="Z44" i="139"/>
  <c r="J44" i="139"/>
  <c r="AA43" i="139"/>
  <c r="W43" i="139"/>
  <c r="Z43" i="139" s="1"/>
  <c r="J43" i="139"/>
  <c r="I43" i="139"/>
  <c r="H43" i="139"/>
  <c r="AA42" i="139"/>
  <c r="W42" i="139"/>
  <c r="Z42" i="139" s="1"/>
  <c r="J42" i="139"/>
  <c r="H42" i="139"/>
  <c r="AA41" i="139"/>
  <c r="W41" i="139"/>
  <c r="Z41" i="139" s="1"/>
  <c r="J41" i="139"/>
  <c r="H41" i="139"/>
  <c r="AA40" i="139"/>
  <c r="W40" i="139"/>
  <c r="J40" i="139"/>
  <c r="H40" i="139"/>
  <c r="K37" i="139"/>
  <c r="W35" i="139"/>
  <c r="O34" i="139"/>
  <c r="C34" i="139"/>
  <c r="I33" i="139"/>
  <c r="K32" i="139"/>
  <c r="K31" i="139"/>
  <c r="Q29" i="139"/>
  <c r="E29" i="139"/>
  <c r="V27" i="139"/>
  <c r="G27" i="139"/>
  <c r="F27" i="139"/>
  <c r="D27" i="139"/>
  <c r="C27" i="139"/>
  <c r="Z23" i="139"/>
  <c r="I23" i="139"/>
  <c r="E23" i="139"/>
  <c r="Q22" i="139"/>
  <c r="I22" i="139"/>
  <c r="E22" i="139"/>
  <c r="Y21" i="139"/>
  <c r="I21" i="139"/>
  <c r="E21" i="139"/>
  <c r="I20" i="139"/>
  <c r="E20" i="139"/>
  <c r="G19" i="139"/>
  <c r="D19" i="139" s="1"/>
  <c r="F19" i="139"/>
  <c r="C19" i="139" s="1"/>
  <c r="J17" i="139"/>
  <c r="J15" i="139"/>
  <c r="AH10" i="139"/>
  <c r="AG10" i="139"/>
  <c r="AF10" i="139"/>
  <c r="AE10" i="139"/>
  <c r="AD10" i="139"/>
  <c r="C10" i="139"/>
  <c r="X9" i="139"/>
  <c r="P9" i="139"/>
  <c r="D9" i="139"/>
  <c r="D10" i="139" s="1"/>
  <c r="X8" i="139"/>
  <c r="Y7" i="139"/>
  <c r="X7" i="139"/>
  <c r="H20" i="139"/>
  <c r="S4" i="139"/>
  <c r="P19" i="139" s="1"/>
  <c r="R4" i="139"/>
  <c r="E4" i="139"/>
  <c r="Q4" i="139" s="1"/>
  <c r="E34" i="130"/>
  <c r="F34" i="130"/>
  <c r="C34" i="130"/>
  <c r="I31" i="130"/>
  <c r="K48" i="138"/>
  <c r="L48" i="138"/>
  <c r="H48" i="138"/>
  <c r="H47" i="138"/>
  <c r="P40" i="132"/>
  <c r="T51" i="131" s="1"/>
  <c r="P41" i="132"/>
  <c r="T52" i="131" s="1"/>
  <c r="P43" i="132"/>
  <c r="P46" i="132"/>
  <c r="P49" i="132"/>
  <c r="P50" i="132"/>
  <c r="O51" i="132"/>
  <c r="O52" i="132"/>
  <c r="O53" i="132"/>
  <c r="O54" i="132"/>
  <c r="O55" i="132"/>
  <c r="O56" i="132"/>
  <c r="P39" i="132"/>
  <c r="T50" i="131" s="1"/>
  <c r="Q32" i="143" l="1"/>
  <c r="W32" i="140"/>
  <c r="T7" i="140"/>
  <c r="T22" i="140"/>
  <c r="T23" i="140"/>
  <c r="T20" i="140"/>
  <c r="T26" i="140"/>
  <c r="T21" i="140"/>
  <c r="U7" i="140"/>
  <c r="Q33" i="143"/>
  <c r="W33" i="140"/>
  <c r="Q34" i="140"/>
  <c r="S25" i="147"/>
  <c r="S25" i="145"/>
  <c r="S24" i="147"/>
  <c r="S24" i="145"/>
  <c r="S7" i="143"/>
  <c r="T25" i="143" s="1"/>
  <c r="S27" i="143"/>
  <c r="U27" i="143" s="1"/>
  <c r="T24" i="143"/>
  <c r="H61" i="139"/>
  <c r="E61" i="139" s="1"/>
  <c r="H60" i="139"/>
  <c r="E60" i="139" s="1"/>
  <c r="I61" i="139"/>
  <c r="F61" i="139" s="1"/>
  <c r="I67" i="139"/>
  <c r="K67" i="139" s="1"/>
  <c r="L68" i="139" s="1"/>
  <c r="F60" i="139"/>
  <c r="Q16" i="139"/>
  <c r="Q6" i="139" s="1"/>
  <c r="E12" i="139"/>
  <c r="E27" i="139"/>
  <c r="F66" i="139"/>
  <c r="H47" i="139" s="1"/>
  <c r="K66" i="139"/>
  <c r="L67" i="139" s="1"/>
  <c r="Q34" i="139"/>
  <c r="E72" i="139"/>
  <c r="R57" i="139"/>
  <c r="J67" i="139"/>
  <c r="E67" i="139"/>
  <c r="J66" i="139"/>
  <c r="E66" i="139"/>
  <c r="I75" i="139"/>
  <c r="F75" i="139" s="1"/>
  <c r="F68" i="139"/>
  <c r="I49" i="139" s="1"/>
  <c r="J68" i="139"/>
  <c r="I35" i="139"/>
  <c r="E10" i="139"/>
  <c r="U22" i="139"/>
  <c r="I27" i="139"/>
  <c r="Q21" i="139"/>
  <c r="R9" i="139"/>
  <c r="U53" i="139"/>
  <c r="S7" i="139"/>
  <c r="T22" i="139" s="1"/>
  <c r="W45" i="139"/>
  <c r="Z45" i="139" s="1"/>
  <c r="I53" i="139"/>
  <c r="H7" i="139"/>
  <c r="I17" i="139"/>
  <c r="I7" i="139"/>
  <c r="Q23" i="139"/>
  <c r="H33" i="139"/>
  <c r="S27" i="139"/>
  <c r="R7" i="139"/>
  <c r="S19" i="139"/>
  <c r="H31" i="139"/>
  <c r="I31" i="139"/>
  <c r="O19" i="139"/>
  <c r="R19" i="139"/>
  <c r="W32" i="139"/>
  <c r="H32" i="139"/>
  <c r="Q20" i="139"/>
  <c r="O27" i="139"/>
  <c r="U23" i="139"/>
  <c r="U26" i="139"/>
  <c r="H26" i="139"/>
  <c r="H24" i="139"/>
  <c r="H25" i="139"/>
  <c r="H23" i="139"/>
  <c r="H21" i="139"/>
  <c r="U20" i="139"/>
  <c r="R27" i="139"/>
  <c r="U21" i="139"/>
  <c r="H22" i="139"/>
  <c r="P27" i="139"/>
  <c r="I40" i="139"/>
  <c r="Z40" i="139"/>
  <c r="I41" i="139"/>
  <c r="I42" i="139"/>
  <c r="I37" i="139"/>
  <c r="S27" i="147" l="1"/>
  <c r="U27" i="147" s="1"/>
  <c r="S7" i="147"/>
  <c r="T24" i="147"/>
  <c r="T26" i="143"/>
  <c r="T22" i="143"/>
  <c r="T23" i="143"/>
  <c r="T21" i="143"/>
  <c r="T7" i="143"/>
  <c r="U7" i="143"/>
  <c r="T20" i="143"/>
  <c r="S25" i="150"/>
  <c r="Q33" i="147"/>
  <c r="Q33" i="145"/>
  <c r="W33" i="143"/>
  <c r="Q34" i="143"/>
  <c r="T27" i="140"/>
  <c r="S24" i="150"/>
  <c r="S27" i="145"/>
  <c r="U27" i="145" s="1"/>
  <c r="S7" i="145"/>
  <c r="T25" i="147"/>
  <c r="Q32" i="147"/>
  <c r="W32" i="147" s="1"/>
  <c r="Q32" i="145"/>
  <c r="W32" i="143"/>
  <c r="R16" i="139"/>
  <c r="J16" i="139"/>
  <c r="F10" i="139"/>
  <c r="R47" i="139"/>
  <c r="R55" i="139" s="1"/>
  <c r="F12" i="139"/>
  <c r="F67" i="139"/>
  <c r="I48" i="139" s="1"/>
  <c r="K16" i="139"/>
  <c r="L16" i="139" s="1"/>
  <c r="H16" i="139" s="1"/>
  <c r="I16" i="139"/>
  <c r="I15" i="139"/>
  <c r="H15" i="139"/>
  <c r="T21" i="139"/>
  <c r="R32" i="139"/>
  <c r="I34" i="139"/>
  <c r="I32" i="139"/>
  <c r="R48" i="139"/>
  <c r="R56" i="139" s="1"/>
  <c r="W55" i="139" s="1"/>
  <c r="K48" i="139"/>
  <c r="L48" i="139" s="1"/>
  <c r="H48" i="139" s="1"/>
  <c r="T23" i="139"/>
  <c r="U7" i="139"/>
  <c r="T26" i="139"/>
  <c r="U27" i="139"/>
  <c r="T20" i="139"/>
  <c r="I47" i="139"/>
  <c r="H34" i="139"/>
  <c r="T25" i="139"/>
  <c r="H27" i="139"/>
  <c r="T24" i="139"/>
  <c r="W33" i="139"/>
  <c r="Q27" i="139"/>
  <c r="W27" i="139"/>
  <c r="I8" i="139"/>
  <c r="H8" i="139"/>
  <c r="S53" i="138"/>
  <c r="R53" i="138"/>
  <c r="S43" i="138"/>
  <c r="G44" i="138"/>
  <c r="G42" i="138"/>
  <c r="G41" i="138"/>
  <c r="G40" i="138"/>
  <c r="Q40" i="138"/>
  <c r="R41" i="138"/>
  <c r="R42" i="138"/>
  <c r="R43" i="138"/>
  <c r="R44" i="138"/>
  <c r="R45" i="138"/>
  <c r="Q41" i="138"/>
  <c r="Q42" i="138"/>
  <c r="R20" i="138"/>
  <c r="R17" i="138"/>
  <c r="R16" i="138"/>
  <c r="R15" i="138"/>
  <c r="F31" i="138"/>
  <c r="R31" i="139" s="1"/>
  <c r="F36" i="138"/>
  <c r="R36" i="139" s="1"/>
  <c r="F35" i="138"/>
  <c r="R35" i="139" s="1"/>
  <c r="G33" i="138"/>
  <c r="G32" i="138"/>
  <c r="G37" i="138"/>
  <c r="G36" i="138"/>
  <c r="G35" i="138"/>
  <c r="K71" i="138"/>
  <c r="E31" i="130"/>
  <c r="O6" i="131"/>
  <c r="O8" i="131" s="1"/>
  <c r="O10" i="131" s="1"/>
  <c r="O12" i="131" s="1"/>
  <c r="O14" i="131" s="1"/>
  <c r="C21" i="132"/>
  <c r="C22" i="132"/>
  <c r="C23" i="132"/>
  <c r="C24" i="132"/>
  <c r="C25" i="132"/>
  <c r="C26" i="132"/>
  <c r="C27" i="132"/>
  <c r="C28" i="132"/>
  <c r="C29" i="132"/>
  <c r="C30" i="132"/>
  <c r="C31" i="132"/>
  <c r="C20" i="132"/>
  <c r="B21" i="132"/>
  <c r="B22" i="132"/>
  <c r="B23" i="132"/>
  <c r="B24" i="132"/>
  <c r="B25" i="132"/>
  <c r="B26" i="132"/>
  <c r="B27" i="132"/>
  <c r="B28" i="132"/>
  <c r="B29" i="132"/>
  <c r="B30" i="132"/>
  <c r="B31" i="132"/>
  <c r="B20" i="132"/>
  <c r="Y21" i="132"/>
  <c r="E48" i="130"/>
  <c r="Q48" i="139" s="1"/>
  <c r="E47" i="130"/>
  <c r="Q47" i="138" s="1"/>
  <c r="D52" i="131"/>
  <c r="D50" i="131"/>
  <c r="D48" i="131"/>
  <c r="D46" i="131"/>
  <c r="D44" i="131"/>
  <c r="D42" i="131"/>
  <c r="D40" i="131"/>
  <c r="D38" i="131"/>
  <c r="D36" i="131"/>
  <c r="D34" i="131"/>
  <c r="C33" i="131"/>
  <c r="B33" i="131"/>
  <c r="D32" i="131"/>
  <c r="D31" i="131"/>
  <c r="J115" i="138"/>
  <c r="K74" i="138" s="1"/>
  <c r="H74" i="138"/>
  <c r="R21" i="138"/>
  <c r="S21" i="138"/>
  <c r="R22" i="138"/>
  <c r="S22" i="138"/>
  <c r="R23" i="138"/>
  <c r="S23" i="138"/>
  <c r="R24" i="138"/>
  <c r="S24" i="138"/>
  <c r="R25" i="138"/>
  <c r="S25" i="138"/>
  <c r="R26" i="138"/>
  <c r="S26" i="138"/>
  <c r="S20" i="138"/>
  <c r="Y15" i="139" l="1"/>
  <c r="R6" i="139"/>
  <c r="AM7" i="145"/>
  <c r="T20" i="145"/>
  <c r="U7" i="145"/>
  <c r="T26" i="145"/>
  <c r="T22" i="145"/>
  <c r="T23" i="145"/>
  <c r="T21" i="145"/>
  <c r="T7" i="145"/>
  <c r="T25" i="145"/>
  <c r="S25" i="151"/>
  <c r="W32" i="150"/>
  <c r="W32" i="145"/>
  <c r="S24" i="151"/>
  <c r="S27" i="150"/>
  <c r="U27" i="150" s="1"/>
  <c r="S7" i="150"/>
  <c r="T24" i="150" s="1"/>
  <c r="Q34" i="145"/>
  <c r="W33" i="145"/>
  <c r="T27" i="143"/>
  <c r="T21" i="147"/>
  <c r="T23" i="147"/>
  <c r="U7" i="147"/>
  <c r="T22" i="147"/>
  <c r="T26" i="147"/>
  <c r="T7" i="147"/>
  <c r="T20" i="147"/>
  <c r="T24" i="145"/>
  <c r="Q34" i="147"/>
  <c r="W33" i="147"/>
  <c r="O16" i="131"/>
  <c r="O18" i="131" s="1"/>
  <c r="G12" i="139"/>
  <c r="H12" i="139" s="1"/>
  <c r="I6" i="139"/>
  <c r="H6" i="139"/>
  <c r="Q48" i="138"/>
  <c r="Q12" i="138" s="1"/>
  <c r="B35" i="131"/>
  <c r="B37" i="131" s="1"/>
  <c r="B39" i="131" s="1"/>
  <c r="E12" i="130"/>
  <c r="Q47" i="139"/>
  <c r="Q12" i="139" s="1"/>
  <c r="C35" i="131"/>
  <c r="C37" i="131" s="1"/>
  <c r="C39" i="131" s="1"/>
  <c r="H31" i="130"/>
  <c r="Q31" i="139"/>
  <c r="Q31" i="138"/>
  <c r="R34" i="139"/>
  <c r="L49" i="139"/>
  <c r="R58" i="139"/>
  <c r="R12" i="139"/>
  <c r="T27" i="139"/>
  <c r="E12" i="138"/>
  <c r="D33" i="131"/>
  <c r="D35" i="131" s="1"/>
  <c r="D37" i="131" s="1"/>
  <c r="D39" i="131" s="1"/>
  <c r="S25" i="152" l="1"/>
  <c r="T27" i="145"/>
  <c r="S24" i="152"/>
  <c r="S7" i="151"/>
  <c r="T25" i="151" s="1"/>
  <c r="S27" i="151"/>
  <c r="U27" i="151" s="1"/>
  <c r="AN7" i="145"/>
  <c r="AO7" i="145"/>
  <c r="V7" i="152"/>
  <c r="V7" i="151"/>
  <c r="L7" i="152"/>
  <c r="L7" i="151"/>
  <c r="T7" i="150"/>
  <c r="T21" i="150"/>
  <c r="T23" i="150"/>
  <c r="T22" i="150"/>
  <c r="U7" i="150"/>
  <c r="T26" i="150"/>
  <c r="T20" i="150"/>
  <c r="T27" i="147"/>
  <c r="T25" i="150"/>
  <c r="O20" i="131"/>
  <c r="D41" i="131"/>
  <c r="W31" i="139"/>
  <c r="Q31" i="140"/>
  <c r="W31" i="140" s="1"/>
  <c r="C41" i="131"/>
  <c r="B41" i="131"/>
  <c r="I12" i="139"/>
  <c r="E115" i="138"/>
  <c r="D115" i="138"/>
  <c r="O36" i="131"/>
  <c r="S36" i="131" s="1"/>
  <c r="O52" i="131"/>
  <c r="S52" i="131" s="1"/>
  <c r="O50" i="131"/>
  <c r="S50" i="131" s="1"/>
  <c r="O48" i="131"/>
  <c r="S48" i="131" s="1"/>
  <c r="O46" i="131"/>
  <c r="S46" i="131" s="1"/>
  <c r="O44" i="131"/>
  <c r="S44" i="131" s="1"/>
  <c r="O42" i="131"/>
  <c r="S42" i="131" s="1"/>
  <c r="O40" i="131"/>
  <c r="S40" i="131" s="1"/>
  <c r="O38" i="131"/>
  <c r="S38" i="131" s="1"/>
  <c r="O34" i="131"/>
  <c r="S34" i="131" s="1"/>
  <c r="AB34" i="131" s="1"/>
  <c r="O32" i="131"/>
  <c r="S32" i="131" s="1"/>
  <c r="AB32" i="131" s="1"/>
  <c r="O31" i="131"/>
  <c r="S31" i="131" s="1"/>
  <c r="O34" i="138"/>
  <c r="F7" i="138"/>
  <c r="C34" i="138"/>
  <c r="J10" i="127"/>
  <c r="I57" i="107"/>
  <c r="G55" i="107"/>
  <c r="I29" i="107"/>
  <c r="I30" i="107"/>
  <c r="I31" i="107"/>
  <c r="I32" i="107"/>
  <c r="I33" i="107"/>
  <c r="I34" i="107"/>
  <c r="I35" i="107"/>
  <c r="I36" i="107"/>
  <c r="I37" i="107"/>
  <c r="I38" i="107"/>
  <c r="I39" i="107"/>
  <c r="I40" i="107"/>
  <c r="I41" i="107"/>
  <c r="I42" i="107"/>
  <c r="I43" i="107"/>
  <c r="I44" i="107"/>
  <c r="I45" i="107"/>
  <c r="I46" i="107"/>
  <c r="I47" i="107"/>
  <c r="I48" i="107"/>
  <c r="I49" i="107"/>
  <c r="I50" i="107"/>
  <c r="I51" i="107"/>
  <c r="I52" i="107"/>
  <c r="I53" i="107"/>
  <c r="I54" i="107"/>
  <c r="I55" i="107"/>
  <c r="J8" i="127"/>
  <c r="J7" i="127"/>
  <c r="J6" i="127"/>
  <c r="J9" i="127"/>
  <c r="K6" i="127"/>
  <c r="L7" i="127"/>
  <c r="K8" i="127"/>
  <c r="K9" i="127"/>
  <c r="E17" i="78"/>
  <c r="G16" i="78"/>
  <c r="C16" i="78"/>
  <c r="D16" i="78"/>
  <c r="B16" i="78"/>
  <c r="P20" i="85"/>
  <c r="O22" i="131" l="1"/>
  <c r="O24" i="131" s="1"/>
  <c r="O26" i="131" s="1"/>
  <c r="T27" i="150"/>
  <c r="T24" i="151"/>
  <c r="S7" i="152"/>
  <c r="T24" i="152" s="1"/>
  <c r="S27" i="152"/>
  <c r="U27" i="152" s="1"/>
  <c r="T23" i="151"/>
  <c r="T21" i="151"/>
  <c r="T26" i="151"/>
  <c r="T22" i="151"/>
  <c r="T20" i="151"/>
  <c r="U7" i="151"/>
  <c r="S33" i="131"/>
  <c r="AB31" i="131"/>
  <c r="B43" i="131"/>
  <c r="C43" i="131"/>
  <c r="D43" i="131"/>
  <c r="D45" i="131" s="1"/>
  <c r="AN12" i="154" s="1"/>
  <c r="O33" i="131"/>
  <c r="R63" i="130"/>
  <c r="T25" i="152" l="1"/>
  <c r="T27" i="151"/>
  <c r="T20" i="152"/>
  <c r="T23" i="152"/>
  <c r="T26" i="152"/>
  <c r="T21" i="152"/>
  <c r="T22" i="152"/>
  <c r="T7" i="152"/>
  <c r="U7" i="152"/>
  <c r="D47" i="131"/>
  <c r="AM12" i="152"/>
  <c r="AM12" i="151"/>
  <c r="B45" i="131"/>
  <c r="C45" i="131"/>
  <c r="X48" i="151"/>
  <c r="T48" i="151" s="1"/>
  <c r="S35" i="131"/>
  <c r="AB35" i="131" s="1"/>
  <c r="AB33" i="131"/>
  <c r="O35" i="131"/>
  <c r="J79" i="138"/>
  <c r="D152" i="138"/>
  <c r="K152" i="138"/>
  <c r="P9" i="138"/>
  <c r="Q9" i="138"/>
  <c r="E9" i="138"/>
  <c r="D9" i="138"/>
  <c r="I43" i="138"/>
  <c r="H43" i="138"/>
  <c r="H42" i="138"/>
  <c r="I41" i="138"/>
  <c r="I40" i="138"/>
  <c r="J40" i="138"/>
  <c r="J41" i="138"/>
  <c r="J42" i="138"/>
  <c r="J43" i="138"/>
  <c r="J44" i="138"/>
  <c r="J45" i="138"/>
  <c r="AE24" i="97"/>
  <c r="AN25" i="97"/>
  <c r="AN26" i="97"/>
  <c r="AO26" i="97"/>
  <c r="D4" i="131"/>
  <c r="D49" i="131" l="1"/>
  <c r="D51" i="131" s="1"/>
  <c r="D53" i="131" s="1"/>
  <c r="T27" i="152"/>
  <c r="C47" i="131"/>
  <c r="B47" i="131"/>
  <c r="Q12" i="151"/>
  <c r="T12" i="151" s="1"/>
  <c r="T47" i="151"/>
  <c r="AN47" i="97"/>
  <c r="BC24" i="97"/>
  <c r="O37" i="131"/>
  <c r="S37" i="131" s="1"/>
  <c r="AN24" i="97"/>
  <c r="G4" i="131"/>
  <c r="I4" i="131" s="1"/>
  <c r="H40" i="138"/>
  <c r="H41" i="138"/>
  <c r="I42" i="138"/>
  <c r="E9" i="130"/>
  <c r="L56" i="130"/>
  <c r="L55" i="130"/>
  <c r="D9" i="130"/>
  <c r="D10" i="130" s="1"/>
  <c r="C49" i="131" l="1"/>
  <c r="C51" i="131" s="1"/>
  <c r="C53" i="131" s="1"/>
  <c r="B49" i="131"/>
  <c r="B51" i="131" s="1"/>
  <c r="B53" i="131" s="1"/>
  <c r="D47" i="150" s="1"/>
  <c r="AN37" i="97"/>
  <c r="O39" i="131"/>
  <c r="P60" i="138"/>
  <c r="O60" i="138"/>
  <c r="D47" i="143" l="1"/>
  <c r="D47" i="139"/>
  <c r="D47" i="145"/>
  <c r="D47" i="151"/>
  <c r="D47" i="152"/>
  <c r="D47" i="154"/>
  <c r="D47" i="153"/>
  <c r="D47" i="138"/>
  <c r="D46" i="141"/>
  <c r="D47" i="147"/>
  <c r="D47" i="140"/>
  <c r="D48" i="152"/>
  <c r="D48" i="154"/>
  <c r="D48" i="153"/>
  <c r="D47" i="141"/>
  <c r="D48" i="139"/>
  <c r="D48" i="143"/>
  <c r="D48" i="145"/>
  <c r="D48" i="151"/>
  <c r="D48" i="147"/>
  <c r="D48" i="138"/>
  <c r="D48" i="150"/>
  <c r="D48" i="140"/>
  <c r="O41" i="131"/>
  <c r="S41" i="131" s="1"/>
  <c r="S39" i="131"/>
  <c r="L116" i="138"/>
  <c r="K75" i="138" s="1"/>
  <c r="O43" i="131" l="1"/>
  <c r="L153" i="138"/>
  <c r="J75" i="138" s="1"/>
  <c r="Q16" i="138"/>
  <c r="H76" i="138"/>
  <c r="E76" i="138" s="1"/>
  <c r="J152" i="138"/>
  <c r="E74" i="138" s="1"/>
  <c r="I152" i="138"/>
  <c r="E62" i="138" s="1"/>
  <c r="F17" i="138" s="1"/>
  <c r="H152" i="138"/>
  <c r="J68" i="138" s="1"/>
  <c r="G152" i="138"/>
  <c r="E61" i="138" s="1"/>
  <c r="F16" i="138" s="1"/>
  <c r="F152" i="138"/>
  <c r="J67" i="138" s="1"/>
  <c r="E152" i="138"/>
  <c r="F60" i="138"/>
  <c r="G15" i="138" s="1"/>
  <c r="F115" i="138"/>
  <c r="G115" i="138"/>
  <c r="F61" i="138" s="1"/>
  <c r="G16" i="138" s="1"/>
  <c r="H115" i="138"/>
  <c r="K68" i="138" s="1"/>
  <c r="L69" i="138" s="1"/>
  <c r="I115" i="138"/>
  <c r="F62" i="138" s="1"/>
  <c r="G17" i="138" s="1"/>
  <c r="I74" i="138"/>
  <c r="F74" i="138" s="1"/>
  <c r="K115" i="138"/>
  <c r="K76" i="138" s="1"/>
  <c r="I76" i="138" s="1"/>
  <c r="F76" i="138" s="1"/>
  <c r="Q32" i="138"/>
  <c r="W32" i="138" s="1"/>
  <c r="W31" i="138"/>
  <c r="U26" i="138"/>
  <c r="O21" i="138"/>
  <c r="O22" i="138"/>
  <c r="O23" i="138"/>
  <c r="O24" i="138"/>
  <c r="P24" i="138"/>
  <c r="O25" i="138"/>
  <c r="P25" i="138"/>
  <c r="O26" i="138"/>
  <c r="P26" i="138"/>
  <c r="O20" i="138"/>
  <c r="G19" i="138"/>
  <c r="D19" i="138" s="1"/>
  <c r="F19" i="138"/>
  <c r="C19" i="138" s="1"/>
  <c r="F9" i="138"/>
  <c r="K79" i="138"/>
  <c r="F72" i="138" s="1"/>
  <c r="L80" i="138"/>
  <c r="L78" i="138"/>
  <c r="I75" i="138"/>
  <c r="F75" i="138" s="1"/>
  <c r="H75" i="138"/>
  <c r="E75" i="138" s="1"/>
  <c r="R36" i="138" s="1"/>
  <c r="F73" i="138"/>
  <c r="E73" i="138"/>
  <c r="AC72" i="138"/>
  <c r="AA72" i="138"/>
  <c r="Z72" i="138"/>
  <c r="X72" i="138"/>
  <c r="W72" i="138"/>
  <c r="U72" i="138"/>
  <c r="T72" i="138"/>
  <c r="C72" i="138"/>
  <c r="I71" i="138"/>
  <c r="F71" i="138" s="1"/>
  <c r="G31" i="138" s="1"/>
  <c r="H71" i="138"/>
  <c r="E71" i="138" s="1"/>
  <c r="AD65" i="138"/>
  <c r="AC65" i="138"/>
  <c r="AA65" i="138"/>
  <c r="Z65" i="138"/>
  <c r="X65" i="138"/>
  <c r="W65" i="138"/>
  <c r="U65" i="138"/>
  <c r="T65" i="138"/>
  <c r="J64" i="138"/>
  <c r="I64" i="138" s="1"/>
  <c r="L61" i="138"/>
  <c r="L62" i="138" s="1"/>
  <c r="AA59" i="138"/>
  <c r="U59" i="138"/>
  <c r="T59" i="138"/>
  <c r="Z59" i="138" s="1"/>
  <c r="L59" i="138"/>
  <c r="L60" i="138" s="1"/>
  <c r="I58" i="138"/>
  <c r="H58" i="138"/>
  <c r="J55" i="138"/>
  <c r="G53" i="138"/>
  <c r="F53" i="138"/>
  <c r="U52" i="138"/>
  <c r="I52" i="138"/>
  <c r="U51" i="138"/>
  <c r="I51" i="138"/>
  <c r="J47" i="138"/>
  <c r="Y45" i="138"/>
  <c r="X45" i="138"/>
  <c r="AA44" i="138"/>
  <c r="Z44" i="138"/>
  <c r="AA43" i="138"/>
  <c r="W43" i="138"/>
  <c r="Z43" i="138" s="1"/>
  <c r="AA42" i="138"/>
  <c r="W42" i="138"/>
  <c r="Z42" i="138" s="1"/>
  <c r="AA41" i="138"/>
  <c r="W41" i="138"/>
  <c r="Z41" i="138" s="1"/>
  <c r="AA40" i="138"/>
  <c r="W40" i="138"/>
  <c r="Z40" i="138" s="1"/>
  <c r="K37" i="138"/>
  <c r="J37" i="138"/>
  <c r="W35" i="138"/>
  <c r="J35" i="138"/>
  <c r="K32" i="138"/>
  <c r="J32" i="138"/>
  <c r="K31" i="138"/>
  <c r="J31" i="138"/>
  <c r="Q29" i="138"/>
  <c r="E29" i="138"/>
  <c r="V27" i="138"/>
  <c r="G27" i="138"/>
  <c r="F27" i="138"/>
  <c r="D27" i="138"/>
  <c r="C27" i="138"/>
  <c r="Z23" i="138"/>
  <c r="I23" i="138"/>
  <c r="E23" i="138"/>
  <c r="I22" i="138"/>
  <c r="E22" i="138"/>
  <c r="Y21" i="138"/>
  <c r="I21" i="138"/>
  <c r="E21" i="138"/>
  <c r="I20" i="138"/>
  <c r="E20" i="138"/>
  <c r="J17" i="138"/>
  <c r="J15" i="138"/>
  <c r="AH10" i="138"/>
  <c r="AG10" i="138"/>
  <c r="AF10" i="138"/>
  <c r="AE10" i="138"/>
  <c r="AD10" i="138"/>
  <c r="D10" i="138"/>
  <c r="C10" i="138"/>
  <c r="X9" i="138"/>
  <c r="X8" i="138"/>
  <c r="Y7" i="138"/>
  <c r="X7" i="138"/>
  <c r="G7" i="138"/>
  <c r="S4" i="138"/>
  <c r="P19" i="138" s="1"/>
  <c r="R4" i="138"/>
  <c r="R19" i="138" s="1"/>
  <c r="E4" i="138"/>
  <c r="Q4" i="138" s="1"/>
  <c r="S43" i="131" l="1"/>
  <c r="H31" i="138"/>
  <c r="S31" i="139"/>
  <c r="S31" i="140" s="1"/>
  <c r="S31" i="143" s="1"/>
  <c r="S31" i="138"/>
  <c r="T31" i="138" s="1"/>
  <c r="G34" i="138"/>
  <c r="Q33" i="138"/>
  <c r="E34" i="138"/>
  <c r="H34" i="138" s="1"/>
  <c r="I53" i="138"/>
  <c r="F66" i="138"/>
  <c r="G47" i="138" s="1"/>
  <c r="K67" i="138"/>
  <c r="L68" i="138" s="1"/>
  <c r="H20" i="138"/>
  <c r="Q23" i="138"/>
  <c r="H15" i="138"/>
  <c r="G6" i="138"/>
  <c r="Q15" i="138"/>
  <c r="Q6" i="138" s="1"/>
  <c r="R9" i="138"/>
  <c r="I31" i="138"/>
  <c r="R31" i="138"/>
  <c r="I35" i="138"/>
  <c r="R35" i="138"/>
  <c r="I33" i="138"/>
  <c r="R33" i="138"/>
  <c r="H32" i="138"/>
  <c r="E72" i="138"/>
  <c r="S7" i="138"/>
  <c r="T23" i="138" s="1"/>
  <c r="I27" i="138"/>
  <c r="Q22" i="138"/>
  <c r="Q21" i="138"/>
  <c r="O27" i="138"/>
  <c r="U23" i="138"/>
  <c r="R7" i="138"/>
  <c r="U21" i="138"/>
  <c r="J16" i="138"/>
  <c r="I16" i="138"/>
  <c r="H33" i="138"/>
  <c r="I17" i="138"/>
  <c r="K16" i="138"/>
  <c r="L16" i="138" s="1"/>
  <c r="H16" i="138" s="1"/>
  <c r="E6" i="138"/>
  <c r="E10" i="138" s="1"/>
  <c r="E60" i="138"/>
  <c r="F15" i="138" s="1"/>
  <c r="R27" i="138"/>
  <c r="U20" i="138"/>
  <c r="J66" i="138"/>
  <c r="E66" i="138"/>
  <c r="F47" i="138" s="1"/>
  <c r="U53" i="138"/>
  <c r="AA45" i="138"/>
  <c r="S27" i="138"/>
  <c r="U22" i="138"/>
  <c r="E27" i="138"/>
  <c r="Q20" i="138"/>
  <c r="P27" i="138"/>
  <c r="O19" i="138"/>
  <c r="H22" i="138"/>
  <c r="H24" i="138"/>
  <c r="E67" i="138"/>
  <c r="F48" i="138" s="1"/>
  <c r="F68" i="138"/>
  <c r="G49" i="138" s="1"/>
  <c r="H7" i="138"/>
  <c r="S19" i="138"/>
  <c r="H21" i="138"/>
  <c r="H26" i="138"/>
  <c r="I7" i="138"/>
  <c r="P10" i="138"/>
  <c r="H23" i="138"/>
  <c r="H25" i="138"/>
  <c r="W45" i="138"/>
  <c r="Z45" i="138" s="1"/>
  <c r="E68" i="138"/>
  <c r="F49" i="138" s="1"/>
  <c r="R49" i="138" s="1"/>
  <c r="R57" i="138" s="1"/>
  <c r="S31" i="145" l="1"/>
  <c r="S31" i="147"/>
  <c r="T31" i="143"/>
  <c r="U31" i="143"/>
  <c r="U31" i="140"/>
  <c r="T31" i="140"/>
  <c r="T31" i="139"/>
  <c r="U31" i="139"/>
  <c r="F34" i="138"/>
  <c r="I34" i="138" s="1"/>
  <c r="U31" i="138"/>
  <c r="W33" i="138"/>
  <c r="Q34" i="138"/>
  <c r="F67" i="138"/>
  <c r="G48" i="138" s="1"/>
  <c r="G12" i="138" s="1"/>
  <c r="H12" i="138" s="1"/>
  <c r="K66" i="138"/>
  <c r="L67" i="138" s="1"/>
  <c r="T26" i="138"/>
  <c r="I32" i="138"/>
  <c r="R32" i="138"/>
  <c r="R34" i="138" s="1"/>
  <c r="H27" i="138"/>
  <c r="U27" i="138"/>
  <c r="Q27" i="138"/>
  <c r="I49" i="138"/>
  <c r="Y15" i="138"/>
  <c r="R48" i="138"/>
  <c r="R56" i="138" s="1"/>
  <c r="W55" i="138" s="1"/>
  <c r="R6" i="138"/>
  <c r="I15" i="138"/>
  <c r="F6" i="138"/>
  <c r="R47" i="138"/>
  <c r="I47" i="138"/>
  <c r="F12" i="138"/>
  <c r="T21" i="138"/>
  <c r="T22" i="138"/>
  <c r="T20" i="138"/>
  <c r="T25" i="138"/>
  <c r="T24" i="138"/>
  <c r="U7" i="138"/>
  <c r="W27" i="138"/>
  <c r="H6" i="138"/>
  <c r="I20" i="130"/>
  <c r="L20" i="132"/>
  <c r="U4" i="132"/>
  <c r="L22" i="144" s="1"/>
  <c r="P22" i="144" s="1"/>
  <c r="Y20" i="132"/>
  <c r="Z20" i="132" s="1"/>
  <c r="S20" i="132" s="1"/>
  <c r="F21" i="142" s="1"/>
  <c r="W20" i="132"/>
  <c r="Z31" i="132"/>
  <c r="S31" i="132" s="1"/>
  <c r="F33" i="142" s="1"/>
  <c r="W31" i="132"/>
  <c r="Z30" i="132"/>
  <c r="S30" i="132" s="1"/>
  <c r="W30" i="132"/>
  <c r="Z29" i="132"/>
  <c r="S29" i="132" s="1"/>
  <c r="V29" i="132" s="1"/>
  <c r="W29" i="132"/>
  <c r="Z28" i="132"/>
  <c r="S28" i="132" s="1"/>
  <c r="W28" i="132"/>
  <c r="Z27" i="132"/>
  <c r="S27" i="132" s="1"/>
  <c r="G45" i="153" s="1"/>
  <c r="W27" i="132"/>
  <c r="Z26" i="132"/>
  <c r="S26" i="132" s="1"/>
  <c r="W26" i="132"/>
  <c r="Z25" i="132"/>
  <c r="S25" i="132" s="1"/>
  <c r="W25" i="132"/>
  <c r="Z24" i="132"/>
  <c r="S24" i="132" s="1"/>
  <c r="W24" i="132"/>
  <c r="Z23" i="132"/>
  <c r="S23" i="132" s="1"/>
  <c r="W23" i="132"/>
  <c r="Z22" i="132"/>
  <c r="S22" i="132" s="1"/>
  <c r="F23" i="142" s="1"/>
  <c r="W22" i="132"/>
  <c r="Z21" i="132"/>
  <c r="S21" i="132" s="1"/>
  <c r="F22" i="142" s="1"/>
  <c r="W21" i="132"/>
  <c r="G49" i="130"/>
  <c r="G48" i="130"/>
  <c r="G47" i="130"/>
  <c r="J16" i="130"/>
  <c r="V35" i="132" l="1"/>
  <c r="I47" i="132"/>
  <c r="F32" i="142"/>
  <c r="G45" i="156"/>
  <c r="G45" i="155"/>
  <c r="S35" i="132"/>
  <c r="F31" i="142"/>
  <c r="G45" i="154"/>
  <c r="G9" i="154" s="1"/>
  <c r="G45" i="152"/>
  <c r="G9" i="152" s="1"/>
  <c r="L18" i="149" s="1"/>
  <c r="S45" i="153"/>
  <c r="I45" i="153"/>
  <c r="G9" i="153"/>
  <c r="G45" i="151"/>
  <c r="F28" i="142"/>
  <c r="V26" i="132"/>
  <c r="I44" i="132" s="1"/>
  <c r="I66" i="132" s="1"/>
  <c r="F30" i="142"/>
  <c r="J30" i="142" s="1"/>
  <c r="V28" i="132"/>
  <c r="I46" i="132" s="1"/>
  <c r="F27" i="142"/>
  <c r="U31" i="150"/>
  <c r="AM8" i="145"/>
  <c r="F25" i="142"/>
  <c r="J25" i="142" s="1"/>
  <c r="G45" i="143"/>
  <c r="G9" i="143" s="1"/>
  <c r="G45" i="140"/>
  <c r="G9" i="140" s="1"/>
  <c r="I9" i="140" s="1"/>
  <c r="U31" i="147"/>
  <c r="F26" i="142"/>
  <c r="G45" i="145"/>
  <c r="U31" i="145"/>
  <c r="S49" i="139"/>
  <c r="S49" i="140"/>
  <c r="S49" i="143" s="1"/>
  <c r="J21" i="142"/>
  <c r="J23" i="142"/>
  <c r="J32" i="142"/>
  <c r="J31" i="142"/>
  <c r="J33" i="142"/>
  <c r="S47" i="139"/>
  <c r="S47" i="140"/>
  <c r="S47" i="143" s="1"/>
  <c r="J22" i="142"/>
  <c r="J28" i="142"/>
  <c r="I48" i="130"/>
  <c r="S48" i="140"/>
  <c r="S48" i="143" s="1"/>
  <c r="F24" i="142"/>
  <c r="I49" i="130"/>
  <c r="G45" i="130"/>
  <c r="V20" i="132"/>
  <c r="I38" i="132" s="1"/>
  <c r="G45" i="138"/>
  <c r="S48" i="139"/>
  <c r="K48" i="130"/>
  <c r="L48" i="130" s="1"/>
  <c r="H48" i="130" s="1"/>
  <c r="G12" i="130"/>
  <c r="H12" i="130" s="1"/>
  <c r="H47" i="130"/>
  <c r="S49" i="138"/>
  <c r="S57" i="138" s="1"/>
  <c r="U57" i="138" s="1"/>
  <c r="V4" i="132"/>
  <c r="G39" i="132" s="1"/>
  <c r="G38" i="138"/>
  <c r="L49" i="138"/>
  <c r="I48" i="138"/>
  <c r="I47" i="130"/>
  <c r="S47" i="138"/>
  <c r="S48" i="138"/>
  <c r="I12" i="138"/>
  <c r="I6" i="138"/>
  <c r="R55" i="138"/>
  <c r="R12" i="138"/>
  <c r="T27" i="138"/>
  <c r="G36" i="130"/>
  <c r="S36" i="140" s="1"/>
  <c r="G35" i="130"/>
  <c r="S35" i="140" s="1"/>
  <c r="G33" i="130"/>
  <c r="G32" i="130"/>
  <c r="G16" i="130"/>
  <c r="S16" i="140" s="1"/>
  <c r="S16" i="143" s="1"/>
  <c r="G15" i="130"/>
  <c r="AG15" i="132"/>
  <c r="AB15" i="132"/>
  <c r="Z15" i="132"/>
  <c r="AH14" i="132"/>
  <c r="AH13" i="132"/>
  <c r="AH12" i="132"/>
  <c r="AH11" i="132"/>
  <c r="AH10" i="132"/>
  <c r="AH9" i="132"/>
  <c r="AH8" i="132"/>
  <c r="G38" i="145"/>
  <c r="AH7" i="132"/>
  <c r="AH6" i="132"/>
  <c r="AH4" i="132"/>
  <c r="AH3" i="132"/>
  <c r="O3" i="132"/>
  <c r="C10" i="130"/>
  <c r="I43" i="130"/>
  <c r="H43" i="130"/>
  <c r="F9" i="130"/>
  <c r="G44" i="130"/>
  <c r="G42" i="130"/>
  <c r="G41" i="130"/>
  <c r="G40" i="130"/>
  <c r="E8" i="130"/>
  <c r="Q8" i="138" s="1"/>
  <c r="Q8" i="139" s="1"/>
  <c r="I45" i="156" l="1"/>
  <c r="G9" i="156"/>
  <c r="I45" i="154"/>
  <c r="I45" i="155"/>
  <c r="G9" i="155"/>
  <c r="I60" i="132"/>
  <c r="F29" i="142"/>
  <c r="I9" i="153"/>
  <c r="G10" i="153"/>
  <c r="H9" i="153"/>
  <c r="V9" i="153"/>
  <c r="V10" i="153" s="1"/>
  <c r="U45" i="153"/>
  <c r="S9" i="153"/>
  <c r="I45" i="151"/>
  <c r="S45" i="151"/>
  <c r="S45" i="152" s="1"/>
  <c r="I45" i="152"/>
  <c r="G9" i="151"/>
  <c r="L17" i="149" s="1"/>
  <c r="K28" i="142"/>
  <c r="J26" i="142"/>
  <c r="K26" i="142" s="1"/>
  <c r="J27" i="142"/>
  <c r="G61" i="132"/>
  <c r="H61" i="132" s="1"/>
  <c r="Q22" i="144"/>
  <c r="G9" i="150"/>
  <c r="T31" i="150"/>
  <c r="AO8" i="145"/>
  <c r="S42" i="139"/>
  <c r="S42" i="140"/>
  <c r="S42" i="143"/>
  <c r="S42" i="145" s="1"/>
  <c r="S40" i="139"/>
  <c r="S40" i="140"/>
  <c r="S40" i="143"/>
  <c r="G9" i="145"/>
  <c r="L15" i="149" s="1"/>
  <c r="S41" i="139"/>
  <c r="S41" i="143"/>
  <c r="S41" i="140"/>
  <c r="G37" i="130"/>
  <c r="S37" i="140" s="1"/>
  <c r="U37" i="140" s="1"/>
  <c r="C21" i="144"/>
  <c r="O15" i="132"/>
  <c r="O17" i="132" s="1"/>
  <c r="V47" i="143"/>
  <c r="S47" i="147"/>
  <c r="S47" i="145"/>
  <c r="V49" i="143"/>
  <c r="S49" i="147"/>
  <c r="S49" i="145"/>
  <c r="G8" i="145"/>
  <c r="S45" i="140"/>
  <c r="U45" i="140" s="1"/>
  <c r="S45" i="143"/>
  <c r="U45" i="143" s="1"/>
  <c r="S44" i="140"/>
  <c r="S44" i="143"/>
  <c r="S44" i="145" s="1"/>
  <c r="S16" i="147"/>
  <c r="S16" i="145"/>
  <c r="V16" i="143"/>
  <c r="V48" i="143"/>
  <c r="S48" i="147"/>
  <c r="S48" i="145"/>
  <c r="G38" i="143"/>
  <c r="G8" i="143" s="1"/>
  <c r="H9" i="140"/>
  <c r="S12" i="139"/>
  <c r="U35" i="140"/>
  <c r="S35" i="143"/>
  <c r="U16" i="143"/>
  <c r="U36" i="140"/>
  <c r="S36" i="143"/>
  <c r="I9" i="143"/>
  <c r="H9" i="143"/>
  <c r="S55" i="143"/>
  <c r="U47" i="143"/>
  <c r="T47" i="143"/>
  <c r="S12" i="143"/>
  <c r="U48" i="143"/>
  <c r="S56" i="143"/>
  <c r="W48" i="143"/>
  <c r="X48" i="143" s="1"/>
  <c r="T48" i="143" s="1"/>
  <c r="S57" i="143"/>
  <c r="U57" i="143" s="1"/>
  <c r="U49" i="143"/>
  <c r="S37" i="143"/>
  <c r="G10" i="140"/>
  <c r="H10" i="140" s="1"/>
  <c r="K21" i="142"/>
  <c r="U48" i="140"/>
  <c r="W48" i="140"/>
  <c r="X48" i="140" s="1"/>
  <c r="T48" i="140" s="1"/>
  <c r="S56" i="140"/>
  <c r="K22" i="142"/>
  <c r="K33" i="142"/>
  <c r="K25" i="142"/>
  <c r="S15" i="140"/>
  <c r="S15" i="143" s="1"/>
  <c r="S15" i="139"/>
  <c r="U49" i="140"/>
  <c r="S57" i="140"/>
  <c r="U57" i="140" s="1"/>
  <c r="U16" i="140"/>
  <c r="S55" i="140"/>
  <c r="U47" i="140"/>
  <c r="S12" i="140"/>
  <c r="T47" i="140"/>
  <c r="K31" i="142"/>
  <c r="K32" i="142"/>
  <c r="K23" i="142"/>
  <c r="K30" i="142"/>
  <c r="J24" i="142"/>
  <c r="S44" i="139"/>
  <c r="U44" i="139" s="1"/>
  <c r="AT8" i="97"/>
  <c r="AZ7" i="97"/>
  <c r="AT7" i="97"/>
  <c r="AZ6" i="97"/>
  <c r="S45" i="139"/>
  <c r="U45" i="139" s="1"/>
  <c r="S45" i="138"/>
  <c r="U45" i="138" s="1"/>
  <c r="G9" i="138"/>
  <c r="H9" i="139"/>
  <c r="I9" i="139"/>
  <c r="G10" i="139"/>
  <c r="U3" i="132"/>
  <c r="U15" i="132" s="1"/>
  <c r="U17" i="132" s="1"/>
  <c r="X17" i="132" s="1"/>
  <c r="S44" i="138"/>
  <c r="U44" i="138" s="1"/>
  <c r="S16" i="139"/>
  <c r="S16" i="138"/>
  <c r="S36" i="138"/>
  <c r="U36" i="138" s="1"/>
  <c r="S36" i="139"/>
  <c r="U36" i="139" s="1"/>
  <c r="U49" i="138"/>
  <c r="G8" i="138"/>
  <c r="S56" i="139"/>
  <c r="W48" i="139"/>
  <c r="X48" i="139" s="1"/>
  <c r="T48" i="139" s="1"/>
  <c r="U48" i="139"/>
  <c r="S41" i="138"/>
  <c r="G34" i="130"/>
  <c r="S33" i="139"/>
  <c r="S33" i="140" s="1"/>
  <c r="S33" i="143" s="1"/>
  <c r="S33" i="138"/>
  <c r="U47" i="138"/>
  <c r="T47" i="138"/>
  <c r="S57" i="139"/>
  <c r="U57" i="139" s="1"/>
  <c r="U49" i="139"/>
  <c r="S42" i="138"/>
  <c r="S15" i="138"/>
  <c r="S35" i="138"/>
  <c r="U35" i="138" s="1"/>
  <c r="S35" i="139"/>
  <c r="U35" i="139" s="1"/>
  <c r="S40" i="138"/>
  <c r="S32" i="139"/>
  <c r="S32" i="140" s="1"/>
  <c r="S32" i="143" s="1"/>
  <c r="S32" i="138"/>
  <c r="S37" i="139"/>
  <c r="S37" i="138"/>
  <c r="U48" i="138"/>
  <c r="W48" i="138"/>
  <c r="X48" i="138" s="1"/>
  <c r="T48" i="138" s="1"/>
  <c r="T47" i="139"/>
  <c r="S55" i="139"/>
  <c r="U47" i="139"/>
  <c r="AH15" i="132"/>
  <c r="H15" i="130"/>
  <c r="I15" i="130"/>
  <c r="H41" i="130"/>
  <c r="I41" i="130"/>
  <c r="I16" i="130"/>
  <c r="H42" i="130"/>
  <c r="I42" i="130"/>
  <c r="G9" i="130"/>
  <c r="H40" i="130"/>
  <c r="I40" i="130"/>
  <c r="I32" i="130"/>
  <c r="H32" i="130"/>
  <c r="S56" i="138"/>
  <c r="H33" i="130"/>
  <c r="I33" i="130"/>
  <c r="S12" i="138"/>
  <c r="S55" i="138"/>
  <c r="U55" i="138" s="1"/>
  <c r="R58" i="138"/>
  <c r="AF15" i="132"/>
  <c r="L20" i="149" l="1"/>
  <c r="I9" i="155"/>
  <c r="H9" i="155"/>
  <c r="L21" i="149"/>
  <c r="I9" i="156"/>
  <c r="H9" i="156"/>
  <c r="G10" i="156"/>
  <c r="W9" i="154"/>
  <c r="W10" i="154" s="1"/>
  <c r="H9" i="154"/>
  <c r="I9" i="154"/>
  <c r="G10" i="154"/>
  <c r="J19" i="149" s="1"/>
  <c r="G10" i="155"/>
  <c r="J20" i="149" s="1"/>
  <c r="AZ45" i="152"/>
  <c r="S9" i="152"/>
  <c r="AS9" i="153"/>
  <c r="AX9" i="153"/>
  <c r="AR9" i="153"/>
  <c r="U9" i="153"/>
  <c r="T9" i="153"/>
  <c r="S10" i="153"/>
  <c r="I10" i="153"/>
  <c r="H10" i="153"/>
  <c r="K10" i="153"/>
  <c r="K9" i="153" s="1"/>
  <c r="U45" i="152"/>
  <c r="AM45" i="152"/>
  <c r="V9" i="152"/>
  <c r="V10" i="152" s="1"/>
  <c r="H9" i="152"/>
  <c r="I9" i="152"/>
  <c r="G10" i="152"/>
  <c r="J18" i="149" s="1"/>
  <c r="H9" i="151"/>
  <c r="V9" i="151"/>
  <c r="V10" i="151" s="1"/>
  <c r="I9" i="151"/>
  <c r="G10" i="151"/>
  <c r="J17" i="149" s="1"/>
  <c r="AM45" i="151"/>
  <c r="U45" i="151"/>
  <c r="S9" i="151"/>
  <c r="C29" i="144"/>
  <c r="J29" i="142"/>
  <c r="K27" i="142"/>
  <c r="U44" i="145"/>
  <c r="U44" i="150"/>
  <c r="T42" i="150"/>
  <c r="U42" i="150"/>
  <c r="H9" i="150"/>
  <c r="I9" i="150"/>
  <c r="G10" i="150"/>
  <c r="T56" i="150"/>
  <c r="U56" i="150" s="1"/>
  <c r="T55" i="150"/>
  <c r="U55" i="150" s="1"/>
  <c r="U47" i="150"/>
  <c r="V47" i="150"/>
  <c r="T47" i="150"/>
  <c r="S12" i="150"/>
  <c r="U49" i="150"/>
  <c r="W50" i="150"/>
  <c r="X50" i="150" s="1"/>
  <c r="U48" i="150"/>
  <c r="W48" i="150"/>
  <c r="U16" i="150"/>
  <c r="S56" i="147"/>
  <c r="U48" i="147"/>
  <c r="W48" i="147"/>
  <c r="X48" i="147" s="1"/>
  <c r="T48" i="147" s="1"/>
  <c r="V48" i="147"/>
  <c r="V16" i="147"/>
  <c r="U16" i="147"/>
  <c r="S12" i="145"/>
  <c r="AM10" i="145" s="1"/>
  <c r="U47" i="145"/>
  <c r="T47" i="145"/>
  <c r="S55" i="145"/>
  <c r="V47" i="145"/>
  <c r="S45" i="145"/>
  <c r="S33" i="147"/>
  <c r="S33" i="145"/>
  <c r="U37" i="143"/>
  <c r="S37" i="147"/>
  <c r="U37" i="147" s="1"/>
  <c r="S37" i="145"/>
  <c r="S35" i="147"/>
  <c r="U35" i="147" s="1"/>
  <c r="S35" i="145"/>
  <c r="G10" i="143"/>
  <c r="I10" i="143" s="1"/>
  <c r="H8" i="143"/>
  <c r="S57" i="145"/>
  <c r="U57" i="145" s="1"/>
  <c r="U49" i="145"/>
  <c r="V49" i="145"/>
  <c r="V47" i="147"/>
  <c r="T47" i="147"/>
  <c r="S55" i="147"/>
  <c r="S12" i="147"/>
  <c r="U47" i="147"/>
  <c r="U42" i="145"/>
  <c r="T42" i="145"/>
  <c r="S32" i="147"/>
  <c r="S32" i="145"/>
  <c r="S15" i="147"/>
  <c r="V15" i="143"/>
  <c r="S15" i="145"/>
  <c r="U36" i="143"/>
  <c r="S36" i="147"/>
  <c r="U36" i="147" s="1"/>
  <c r="S36" i="145"/>
  <c r="S57" i="147"/>
  <c r="U57" i="147" s="1"/>
  <c r="V49" i="147"/>
  <c r="U49" i="147"/>
  <c r="T41" i="140"/>
  <c r="U41" i="140"/>
  <c r="S40" i="145"/>
  <c r="T40" i="143"/>
  <c r="U40" i="143"/>
  <c r="G38" i="130"/>
  <c r="S38" i="140" s="1"/>
  <c r="U38" i="140" s="1"/>
  <c r="L21" i="144"/>
  <c r="L29" i="144" s="1"/>
  <c r="K9" i="140"/>
  <c r="V48" i="145"/>
  <c r="S56" i="145"/>
  <c r="W48" i="145"/>
  <c r="X48" i="145" s="1"/>
  <c r="T48" i="145" s="1"/>
  <c r="U48" i="145"/>
  <c r="U16" i="145"/>
  <c r="V16" i="145"/>
  <c r="I8" i="145"/>
  <c r="H8" i="145"/>
  <c r="G10" i="145"/>
  <c r="J15" i="149" s="1"/>
  <c r="S41" i="145"/>
  <c r="U41" i="143"/>
  <c r="T41" i="143"/>
  <c r="I9" i="145"/>
  <c r="H9" i="145"/>
  <c r="U40" i="140"/>
  <c r="T40" i="140"/>
  <c r="I8" i="143"/>
  <c r="I10" i="140"/>
  <c r="S9" i="139"/>
  <c r="U56" i="143"/>
  <c r="X55" i="143"/>
  <c r="Z55" i="143" s="1"/>
  <c r="U55" i="143"/>
  <c r="S58" i="143"/>
  <c r="S34" i="143"/>
  <c r="T33" i="143"/>
  <c r="U33" i="143"/>
  <c r="T15" i="143"/>
  <c r="U15" i="143"/>
  <c r="U12" i="143"/>
  <c r="T12" i="143"/>
  <c r="U35" i="143"/>
  <c r="T32" i="143"/>
  <c r="U32" i="143"/>
  <c r="S34" i="140"/>
  <c r="T32" i="140"/>
  <c r="U32" i="140"/>
  <c r="U56" i="140"/>
  <c r="X55" i="140"/>
  <c r="Z55" i="140" s="1"/>
  <c r="S58" i="140"/>
  <c r="U55" i="140"/>
  <c r="T15" i="140"/>
  <c r="U15" i="140"/>
  <c r="T33" i="140"/>
  <c r="U33" i="140"/>
  <c r="U12" i="140"/>
  <c r="T12" i="140"/>
  <c r="K24" i="142"/>
  <c r="G10" i="138"/>
  <c r="H10" i="138" s="1"/>
  <c r="H9" i="138"/>
  <c r="I9" i="138"/>
  <c r="H10" i="139"/>
  <c r="I10" i="139"/>
  <c r="U42" i="139"/>
  <c r="T42" i="139"/>
  <c r="T41" i="138"/>
  <c r="U41" i="138"/>
  <c r="U56" i="139"/>
  <c r="X55" i="139"/>
  <c r="Z55" i="139" s="1"/>
  <c r="S58" i="139"/>
  <c r="U55" i="139"/>
  <c r="U32" i="139"/>
  <c r="T32" i="139"/>
  <c r="U40" i="139"/>
  <c r="T40" i="139"/>
  <c r="U15" i="139"/>
  <c r="T15" i="139"/>
  <c r="U33" i="139"/>
  <c r="T33" i="139"/>
  <c r="S34" i="139"/>
  <c r="T42" i="138"/>
  <c r="U42" i="138"/>
  <c r="I34" i="130"/>
  <c r="H34" i="130"/>
  <c r="U16" i="139"/>
  <c r="H8" i="138"/>
  <c r="T12" i="139"/>
  <c r="U12" i="139"/>
  <c r="T40" i="138"/>
  <c r="U40" i="138"/>
  <c r="S9" i="138"/>
  <c r="S34" i="138"/>
  <c r="T34" i="138" s="1"/>
  <c r="U41" i="139"/>
  <c r="T41" i="139"/>
  <c r="U12" i="138"/>
  <c r="T12" i="138"/>
  <c r="S58" i="138"/>
  <c r="U56" i="138"/>
  <c r="X55" i="138"/>
  <c r="Z55" i="138" s="1"/>
  <c r="T15" i="138"/>
  <c r="U15" i="138"/>
  <c r="U16" i="138"/>
  <c r="T33" i="138"/>
  <c r="U33" i="138"/>
  <c r="I9" i="130"/>
  <c r="H9" i="130"/>
  <c r="T32" i="138"/>
  <c r="U32" i="138"/>
  <c r="D31" i="132"/>
  <c r="D30" i="132"/>
  <c r="D29" i="132"/>
  <c r="D28" i="132"/>
  <c r="D27" i="132"/>
  <c r="D26" i="132"/>
  <c r="D25" i="132"/>
  <c r="D24" i="132"/>
  <c r="D23" i="132"/>
  <c r="D22" i="132"/>
  <c r="D21" i="132"/>
  <c r="D20" i="132"/>
  <c r="E7" i="130"/>
  <c r="H21" i="132"/>
  <c r="H23" i="132"/>
  <c r="AF27" i="97" s="1"/>
  <c r="H24" i="132"/>
  <c r="H25" i="132"/>
  <c r="H26" i="132"/>
  <c r="H27" i="132"/>
  <c r="AF31" i="97" s="1"/>
  <c r="H28" i="132"/>
  <c r="H29" i="132"/>
  <c r="AF33" i="97" s="1"/>
  <c r="H30" i="132"/>
  <c r="I30" i="132" s="1"/>
  <c r="J30" i="132" s="1"/>
  <c r="H31" i="132"/>
  <c r="I31" i="132" s="1"/>
  <c r="J31" i="132" s="1"/>
  <c r="H20" i="132"/>
  <c r="H3" i="132"/>
  <c r="B32" i="132"/>
  <c r="B33" i="132" s="1"/>
  <c r="C32" i="132"/>
  <c r="C33" i="132" s="1"/>
  <c r="B4" i="132"/>
  <c r="B5" i="132"/>
  <c r="B6" i="132"/>
  <c r="B7" i="132"/>
  <c r="B8" i="132"/>
  <c r="B9" i="132"/>
  <c r="AN12" i="97" s="1"/>
  <c r="B10" i="132"/>
  <c r="B11" i="132"/>
  <c r="B13" i="132"/>
  <c r="B14" i="132"/>
  <c r="B3" i="132"/>
  <c r="C4" i="132"/>
  <c r="C5" i="132"/>
  <c r="C6" i="132"/>
  <c r="C7" i="132"/>
  <c r="C8" i="132"/>
  <c r="C9" i="132"/>
  <c r="C10" i="132"/>
  <c r="C11" i="132"/>
  <c r="C13" i="132"/>
  <c r="C14" i="132"/>
  <c r="C3" i="132"/>
  <c r="H4" i="132"/>
  <c r="AF7" i="97" s="1"/>
  <c r="H5" i="132"/>
  <c r="AF8" i="97" s="1"/>
  <c r="H6" i="132"/>
  <c r="AF9" i="97" s="1"/>
  <c r="H7" i="132"/>
  <c r="AF10" i="97" s="1"/>
  <c r="H8" i="132"/>
  <c r="AF11" i="97" s="1"/>
  <c r="H9" i="132"/>
  <c r="AF12" i="97" s="1"/>
  <c r="H10" i="132"/>
  <c r="AF13" i="97" s="1"/>
  <c r="H11" i="132"/>
  <c r="AF14" i="97" s="1"/>
  <c r="H12" i="132"/>
  <c r="AF15" i="97" s="1"/>
  <c r="H13" i="132"/>
  <c r="H14" i="132"/>
  <c r="G17" i="130"/>
  <c r="S17" i="140" s="1"/>
  <c r="L52" i="137"/>
  <c r="K52" i="137"/>
  <c r="K53" i="137"/>
  <c r="L53" i="137" s="1"/>
  <c r="K51" i="137"/>
  <c r="L51" i="137" s="1"/>
  <c r="L19" i="137"/>
  <c r="L18" i="137"/>
  <c r="K19" i="137"/>
  <c r="K20" i="137"/>
  <c r="L20" i="137" s="1"/>
  <c r="K18" i="137"/>
  <c r="G24" i="78"/>
  <c r="G25" i="78" s="1"/>
  <c r="G26" i="78" s="1"/>
  <c r="F16" i="137" s="1"/>
  <c r="H24" i="78"/>
  <c r="H25" i="78" s="1"/>
  <c r="H26" i="78" s="1"/>
  <c r="F17" i="137" s="1"/>
  <c r="F24" i="78"/>
  <c r="F25" i="78" s="1"/>
  <c r="F26" i="78" s="1"/>
  <c r="F15" i="137" s="1"/>
  <c r="E8" i="137"/>
  <c r="E16" i="137"/>
  <c r="E7" i="137"/>
  <c r="E15" i="137"/>
  <c r="H15" i="137" s="1"/>
  <c r="G32" i="137"/>
  <c r="I32" i="137" s="1"/>
  <c r="K141" i="137"/>
  <c r="J141" i="137"/>
  <c r="I141" i="137"/>
  <c r="H141" i="137"/>
  <c r="G141" i="137"/>
  <c r="F141" i="137"/>
  <c r="E141" i="137"/>
  <c r="D141" i="137"/>
  <c r="K107" i="137"/>
  <c r="J107" i="137"/>
  <c r="I107" i="137"/>
  <c r="H107" i="137"/>
  <c r="G107" i="137"/>
  <c r="F107" i="137"/>
  <c r="E107" i="137"/>
  <c r="D107" i="137"/>
  <c r="K78" i="137"/>
  <c r="J78" i="137"/>
  <c r="L78" i="137" s="1"/>
  <c r="L76" i="137"/>
  <c r="K75" i="137"/>
  <c r="I75" i="137" s="1"/>
  <c r="F75" i="137" s="1"/>
  <c r="I36" i="137" s="1"/>
  <c r="J75" i="137"/>
  <c r="H75" i="137"/>
  <c r="E75" i="137" s="1"/>
  <c r="K74" i="137"/>
  <c r="J74" i="137"/>
  <c r="I74" i="137"/>
  <c r="F74" i="137" s="1"/>
  <c r="G35" i="137" s="1"/>
  <c r="H74" i="137"/>
  <c r="E74" i="137" s="1"/>
  <c r="F35" i="137" s="1"/>
  <c r="K73" i="137"/>
  <c r="I73" i="137" s="1"/>
  <c r="F73" i="137" s="1"/>
  <c r="J73" i="137"/>
  <c r="H73" i="137" s="1"/>
  <c r="E73" i="137" s="1"/>
  <c r="F72" i="137"/>
  <c r="E72" i="137"/>
  <c r="AC71" i="137"/>
  <c r="AA71" i="137"/>
  <c r="Z71" i="137"/>
  <c r="X71" i="137"/>
  <c r="W71" i="137"/>
  <c r="U71" i="137"/>
  <c r="T71" i="137"/>
  <c r="F71" i="137"/>
  <c r="E71" i="137"/>
  <c r="C71" i="137"/>
  <c r="I70" i="137"/>
  <c r="H70" i="137"/>
  <c r="F70" i="137"/>
  <c r="E70" i="137"/>
  <c r="I67" i="137"/>
  <c r="K67" i="137" s="1"/>
  <c r="L67" i="137" s="1"/>
  <c r="H67" i="137"/>
  <c r="J67" i="137" s="1"/>
  <c r="I66" i="137"/>
  <c r="K66" i="137" s="1"/>
  <c r="L66" i="137" s="1"/>
  <c r="H66" i="137"/>
  <c r="J66" i="137" s="1"/>
  <c r="F66" i="137"/>
  <c r="K65" i="137"/>
  <c r="L65" i="137" s="1"/>
  <c r="I65" i="137"/>
  <c r="H65" i="137"/>
  <c r="J65" i="137" s="1"/>
  <c r="F65" i="137"/>
  <c r="AD64" i="137"/>
  <c r="AC64" i="137"/>
  <c r="AA64" i="137"/>
  <c r="Z64" i="137"/>
  <c r="X64" i="137"/>
  <c r="W64" i="137"/>
  <c r="U64" i="137"/>
  <c r="T64" i="137"/>
  <c r="J63" i="137"/>
  <c r="I63" i="137" s="1"/>
  <c r="I61" i="137"/>
  <c r="F61" i="137" s="1"/>
  <c r="H61" i="137"/>
  <c r="E61" i="137"/>
  <c r="L60" i="137"/>
  <c r="I60" i="137"/>
  <c r="H60" i="137"/>
  <c r="F60" i="137"/>
  <c r="E60" i="137"/>
  <c r="L59" i="137"/>
  <c r="I59" i="137"/>
  <c r="H59" i="137"/>
  <c r="E59" i="137" s="1"/>
  <c r="F59" i="137"/>
  <c r="AA58" i="137"/>
  <c r="U58" i="137"/>
  <c r="T58" i="137"/>
  <c r="Z58" i="137" s="1"/>
  <c r="L58" i="137"/>
  <c r="L57" i="137"/>
  <c r="I57" i="137"/>
  <c r="H57" i="137"/>
  <c r="R56" i="137"/>
  <c r="R57" i="137" s="1"/>
  <c r="R55" i="137"/>
  <c r="W54" i="137"/>
  <c r="R54" i="137"/>
  <c r="J54" i="137"/>
  <c r="S52" i="137"/>
  <c r="U52" i="137" s="1"/>
  <c r="R52" i="137"/>
  <c r="I52" i="137"/>
  <c r="G52" i="137"/>
  <c r="F52" i="137"/>
  <c r="U51" i="137"/>
  <c r="I51" i="137"/>
  <c r="U50" i="137"/>
  <c r="T50" i="137"/>
  <c r="I50" i="137"/>
  <c r="S47" i="137"/>
  <c r="L46" i="137"/>
  <c r="J46" i="137"/>
  <c r="Y44" i="137"/>
  <c r="X44" i="137"/>
  <c r="AA44" i="137" s="1"/>
  <c r="J44" i="137"/>
  <c r="AA43" i="137"/>
  <c r="Z43" i="137"/>
  <c r="S43" i="137"/>
  <c r="U43" i="137" s="1"/>
  <c r="J43" i="137"/>
  <c r="AA42" i="137"/>
  <c r="W42" i="137"/>
  <c r="Z42" i="137" s="1"/>
  <c r="S42" i="137"/>
  <c r="J42" i="137"/>
  <c r="AA41" i="137"/>
  <c r="W41" i="137"/>
  <c r="Z41" i="137" s="1"/>
  <c r="U41" i="137"/>
  <c r="T41" i="137"/>
  <c r="J41" i="137"/>
  <c r="AA40" i="137"/>
  <c r="Z40" i="137"/>
  <c r="W40" i="137"/>
  <c r="U40" i="137"/>
  <c r="T40" i="137"/>
  <c r="J40" i="137"/>
  <c r="AA39" i="137"/>
  <c r="W39" i="137"/>
  <c r="W44" i="137" s="1"/>
  <c r="U39" i="137"/>
  <c r="T39" i="137"/>
  <c r="J39" i="137"/>
  <c r="U37" i="137"/>
  <c r="G37" i="137"/>
  <c r="F37" i="137"/>
  <c r="U36" i="137"/>
  <c r="K36" i="137"/>
  <c r="J36" i="137"/>
  <c r="U35" i="137"/>
  <c r="W34" i="137"/>
  <c r="U34" i="137"/>
  <c r="J34" i="137"/>
  <c r="W33" i="137"/>
  <c r="U33" i="137"/>
  <c r="T33" i="137"/>
  <c r="I33" i="137"/>
  <c r="W32" i="137"/>
  <c r="U32" i="137"/>
  <c r="T32" i="137"/>
  <c r="J32" i="137"/>
  <c r="W31" i="137"/>
  <c r="U31" i="137"/>
  <c r="T31" i="137"/>
  <c r="J31" i="137"/>
  <c r="I31" i="137"/>
  <c r="Q29" i="137"/>
  <c r="E29" i="137"/>
  <c r="V27" i="137"/>
  <c r="S27" i="137"/>
  <c r="R27" i="137"/>
  <c r="U27" i="137" s="1"/>
  <c r="I27" i="137"/>
  <c r="G27" i="137"/>
  <c r="F27" i="137"/>
  <c r="E27" i="137"/>
  <c r="D27" i="137"/>
  <c r="C27" i="137"/>
  <c r="U26" i="137"/>
  <c r="P26" i="137"/>
  <c r="P27" i="137" s="1"/>
  <c r="O26" i="137"/>
  <c r="O27" i="137" s="1"/>
  <c r="Z23" i="137"/>
  <c r="U23" i="137"/>
  <c r="Q23" i="137"/>
  <c r="I23" i="137"/>
  <c r="E23" i="137"/>
  <c r="U22" i="137"/>
  <c r="Q22" i="137"/>
  <c r="I22" i="137"/>
  <c r="E22" i="137"/>
  <c r="Y21" i="137"/>
  <c r="U21" i="137"/>
  <c r="Q21" i="137"/>
  <c r="I21" i="137"/>
  <c r="E21" i="137"/>
  <c r="U20" i="137"/>
  <c r="Q20" i="137"/>
  <c r="I20" i="137"/>
  <c r="H20" i="137"/>
  <c r="E20" i="137"/>
  <c r="P19" i="137"/>
  <c r="G19" i="137"/>
  <c r="F19" i="137"/>
  <c r="D19" i="137"/>
  <c r="C19" i="137"/>
  <c r="J17" i="137"/>
  <c r="S16" i="137"/>
  <c r="K16" i="137"/>
  <c r="Y15" i="137"/>
  <c r="J15" i="137"/>
  <c r="S15" i="137"/>
  <c r="R12" i="137"/>
  <c r="Q12" i="137"/>
  <c r="AH10" i="137"/>
  <c r="AG10" i="137"/>
  <c r="AF10" i="137"/>
  <c r="AE10" i="137"/>
  <c r="AD10" i="137"/>
  <c r="R10" i="137"/>
  <c r="O10" i="137"/>
  <c r="C10" i="137"/>
  <c r="X9" i="137"/>
  <c r="R9" i="137"/>
  <c r="Q9" i="137"/>
  <c r="P9" i="137"/>
  <c r="P10" i="137" s="1"/>
  <c r="G9" i="137"/>
  <c r="F9" i="137"/>
  <c r="X8" i="137"/>
  <c r="S8" i="137"/>
  <c r="U8" i="137" s="1"/>
  <c r="R8" i="137"/>
  <c r="Q8" i="137"/>
  <c r="Q10" i="137" s="1"/>
  <c r="Y7" i="137"/>
  <c r="X7" i="137"/>
  <c r="S7" i="137"/>
  <c r="T20" i="137" s="1"/>
  <c r="H25" i="137"/>
  <c r="I7" i="137"/>
  <c r="R6" i="137"/>
  <c r="S4" i="137"/>
  <c r="S19" i="137" s="1"/>
  <c r="R4" i="137"/>
  <c r="O19" i="137" s="1"/>
  <c r="Q4" i="137"/>
  <c r="E4" i="137"/>
  <c r="AB28" i="107"/>
  <c r="AA28" i="107"/>
  <c r="Z28" i="107"/>
  <c r="Y28" i="107"/>
  <c r="T28" i="107"/>
  <c r="D55" i="135"/>
  <c r="D56" i="135"/>
  <c r="D54" i="135"/>
  <c r="C55" i="135"/>
  <c r="C56" i="135"/>
  <c r="C54" i="135"/>
  <c r="G22" i="78"/>
  <c r="H22" i="78"/>
  <c r="F22" i="78"/>
  <c r="F20" i="78"/>
  <c r="U57" i="78"/>
  <c r="V57" i="78"/>
  <c r="W57" i="78"/>
  <c r="Y57" i="78"/>
  <c r="Z57" i="78"/>
  <c r="T57" i="78"/>
  <c r="Y40" i="78"/>
  <c r="W40" i="78"/>
  <c r="U40" i="78"/>
  <c r="T40" i="78"/>
  <c r="W28" i="107"/>
  <c r="W29" i="107"/>
  <c r="U29" i="107"/>
  <c r="V29" i="107"/>
  <c r="T29" i="107"/>
  <c r="H29" i="107"/>
  <c r="G29" i="107"/>
  <c r="F29" i="107"/>
  <c r="C29" i="107"/>
  <c r="D29" i="107"/>
  <c r="E29" i="107"/>
  <c r="B29" i="107"/>
  <c r="V28" i="107"/>
  <c r="U28" i="107"/>
  <c r="E47" i="135"/>
  <c r="E46" i="135"/>
  <c r="E16" i="135"/>
  <c r="E15" i="135"/>
  <c r="E12" i="135"/>
  <c r="D80" i="107"/>
  <c r="D79" i="107"/>
  <c r="C80" i="107"/>
  <c r="C79" i="107"/>
  <c r="B80" i="107"/>
  <c r="B79" i="107"/>
  <c r="G20" i="78"/>
  <c r="H20" i="78"/>
  <c r="G19" i="78"/>
  <c r="H19" i="78"/>
  <c r="F42" i="135"/>
  <c r="G42" i="135"/>
  <c r="F43" i="135"/>
  <c r="F44" i="135"/>
  <c r="E40" i="135"/>
  <c r="F40" i="135"/>
  <c r="E41" i="135"/>
  <c r="J41" i="135" s="1"/>
  <c r="F41" i="135"/>
  <c r="E42" i="135"/>
  <c r="F39" i="135"/>
  <c r="E39" i="135"/>
  <c r="J39" i="135" s="1"/>
  <c r="F32" i="135"/>
  <c r="F33" i="135"/>
  <c r="F34" i="135"/>
  <c r="F35" i="135"/>
  <c r="F36" i="135"/>
  <c r="F37" i="135"/>
  <c r="F31" i="135"/>
  <c r="G7" i="135"/>
  <c r="F8" i="135"/>
  <c r="F9" i="135"/>
  <c r="E9" i="135"/>
  <c r="E8" i="135"/>
  <c r="E7" i="135"/>
  <c r="H7" i="135" s="1"/>
  <c r="E6" i="135"/>
  <c r="H28" i="107"/>
  <c r="G28" i="107"/>
  <c r="C28" i="107"/>
  <c r="D28" i="107"/>
  <c r="E28" i="107"/>
  <c r="F28" i="107"/>
  <c r="B28" i="107"/>
  <c r="J132" i="135"/>
  <c r="I132" i="135"/>
  <c r="H132" i="135"/>
  <c r="H67" i="135" s="1"/>
  <c r="G132" i="135"/>
  <c r="H60" i="135" s="1"/>
  <c r="E60" i="135" s="1"/>
  <c r="F132" i="135"/>
  <c r="E132" i="135"/>
  <c r="D132" i="135"/>
  <c r="H65" i="135" s="1"/>
  <c r="J102" i="135"/>
  <c r="I102" i="135"/>
  <c r="H102" i="135"/>
  <c r="G102" i="135"/>
  <c r="I60" i="135" s="1"/>
  <c r="F60" i="135" s="1"/>
  <c r="F102" i="135"/>
  <c r="E102" i="135"/>
  <c r="D102" i="135"/>
  <c r="L78" i="135"/>
  <c r="K78" i="135"/>
  <c r="J78" i="135"/>
  <c r="L76" i="135"/>
  <c r="I75" i="135"/>
  <c r="F75" i="135" s="1"/>
  <c r="H75" i="135"/>
  <c r="E75" i="135" s="1"/>
  <c r="K74" i="135"/>
  <c r="I74" i="135" s="1"/>
  <c r="F74" i="135" s="1"/>
  <c r="H74" i="135"/>
  <c r="E74" i="135"/>
  <c r="K73" i="135"/>
  <c r="I73" i="135" s="1"/>
  <c r="F73" i="135" s="1"/>
  <c r="J73" i="135"/>
  <c r="H73" i="135"/>
  <c r="E73" i="135" s="1"/>
  <c r="I72" i="135"/>
  <c r="H72" i="135"/>
  <c r="F72" i="135"/>
  <c r="E72" i="135"/>
  <c r="AE71" i="135"/>
  <c r="AC71" i="135"/>
  <c r="AB71" i="135"/>
  <c r="Z71" i="135"/>
  <c r="Y71" i="135"/>
  <c r="W71" i="135"/>
  <c r="V71" i="135"/>
  <c r="I71" i="135"/>
  <c r="H71" i="135"/>
  <c r="F71" i="135"/>
  <c r="E71" i="135"/>
  <c r="C71" i="135"/>
  <c r="I70" i="135"/>
  <c r="H70" i="135"/>
  <c r="E70" i="135" s="1"/>
  <c r="F70" i="135"/>
  <c r="K67" i="135"/>
  <c r="L67" i="135" s="1"/>
  <c r="I67" i="135"/>
  <c r="F67" i="135"/>
  <c r="J66" i="135"/>
  <c r="I66" i="135"/>
  <c r="K66" i="135" s="1"/>
  <c r="L66" i="135" s="1"/>
  <c r="H66" i="135"/>
  <c r="E66" i="135"/>
  <c r="I65" i="135"/>
  <c r="K65" i="135" s="1"/>
  <c r="L65" i="135" s="1"/>
  <c r="AF64" i="135"/>
  <c r="AE64" i="135"/>
  <c r="AC64" i="135"/>
  <c r="AB64" i="135"/>
  <c r="Z64" i="135"/>
  <c r="Y64" i="135"/>
  <c r="W64" i="135"/>
  <c r="V64" i="135"/>
  <c r="J63" i="135"/>
  <c r="I63" i="135" s="1"/>
  <c r="I61" i="135"/>
  <c r="H61" i="135"/>
  <c r="F61" i="135"/>
  <c r="E61" i="135"/>
  <c r="I59" i="135"/>
  <c r="H59" i="135"/>
  <c r="F59" i="135"/>
  <c r="E59" i="135"/>
  <c r="AC58" i="135"/>
  <c r="W58" i="135"/>
  <c r="V58" i="135"/>
  <c r="AB58" i="135" s="1"/>
  <c r="I57" i="135"/>
  <c r="H57" i="135"/>
  <c r="T56" i="135"/>
  <c r="Y54" i="135" s="1"/>
  <c r="T55" i="135"/>
  <c r="T54" i="135"/>
  <c r="T57" i="135" s="1"/>
  <c r="U52" i="135"/>
  <c r="T52" i="135"/>
  <c r="W52" i="135" s="1"/>
  <c r="I52" i="135"/>
  <c r="G52" i="135"/>
  <c r="F52" i="135"/>
  <c r="W51" i="135"/>
  <c r="I51" i="135"/>
  <c r="W50" i="135"/>
  <c r="V50" i="135"/>
  <c r="I50" i="135"/>
  <c r="H50" i="135"/>
  <c r="L46" i="135"/>
  <c r="J46" i="135"/>
  <c r="AA44" i="135"/>
  <c r="Z44" i="135"/>
  <c r="J44" i="135"/>
  <c r="AC43" i="135"/>
  <c r="AB43" i="135"/>
  <c r="U43" i="135"/>
  <c r="W43" i="135" s="1"/>
  <c r="J43" i="135"/>
  <c r="AC42" i="135"/>
  <c r="Y42" i="135"/>
  <c r="AB42" i="135" s="1"/>
  <c r="U42" i="135"/>
  <c r="J42" i="135"/>
  <c r="AC41" i="135"/>
  <c r="W41" i="135"/>
  <c r="V41" i="135"/>
  <c r="AC40" i="135"/>
  <c r="Y40" i="135"/>
  <c r="AB40" i="135" s="1"/>
  <c r="W40" i="135"/>
  <c r="V40" i="135"/>
  <c r="J40" i="135"/>
  <c r="AC39" i="135"/>
  <c r="Y39" i="135"/>
  <c r="AB39" i="135" s="1"/>
  <c r="W39" i="135"/>
  <c r="V39" i="135"/>
  <c r="W37" i="135"/>
  <c r="W36" i="135"/>
  <c r="K36" i="135"/>
  <c r="J36" i="135"/>
  <c r="I36" i="135"/>
  <c r="W35" i="135"/>
  <c r="Y34" i="135"/>
  <c r="W34" i="135"/>
  <c r="J34" i="135"/>
  <c r="Y33" i="135"/>
  <c r="W33" i="135"/>
  <c r="V33" i="135"/>
  <c r="Y32" i="135"/>
  <c r="W32" i="135"/>
  <c r="V32" i="135"/>
  <c r="K32" i="135"/>
  <c r="J32" i="135"/>
  <c r="Y31" i="135"/>
  <c r="W31" i="135"/>
  <c r="V31" i="135"/>
  <c r="K31" i="135"/>
  <c r="J31" i="135"/>
  <c r="I31" i="135"/>
  <c r="S29" i="135"/>
  <c r="E29" i="135"/>
  <c r="Y27" i="135"/>
  <c r="X27" i="135"/>
  <c r="U27" i="135"/>
  <c r="W27" i="135" s="1"/>
  <c r="T27" i="135"/>
  <c r="R27" i="135"/>
  <c r="S27" i="135" s="1"/>
  <c r="Q27" i="135"/>
  <c r="G27" i="135"/>
  <c r="F27" i="135"/>
  <c r="I27" i="135" s="1"/>
  <c r="E27" i="135"/>
  <c r="D27" i="135"/>
  <c r="C27" i="135"/>
  <c r="W26" i="135"/>
  <c r="V26" i="135"/>
  <c r="R26" i="135"/>
  <c r="Q26" i="135"/>
  <c r="I26" i="135"/>
  <c r="V24" i="135"/>
  <c r="AB23" i="135"/>
  <c r="W23" i="135"/>
  <c r="V23" i="135"/>
  <c r="S23" i="135"/>
  <c r="I23" i="135"/>
  <c r="E23" i="135"/>
  <c r="W22" i="135"/>
  <c r="S22" i="135"/>
  <c r="I22" i="135"/>
  <c r="E22" i="135"/>
  <c r="AA21" i="135"/>
  <c r="W21" i="135"/>
  <c r="V21" i="135"/>
  <c r="S21" i="135"/>
  <c r="I21" i="135"/>
  <c r="E21" i="135"/>
  <c r="W20" i="135"/>
  <c r="V20" i="135"/>
  <c r="S20" i="135"/>
  <c r="I20" i="135"/>
  <c r="E20" i="135"/>
  <c r="U19" i="135"/>
  <c r="T19" i="135"/>
  <c r="G19" i="135"/>
  <c r="F19" i="135"/>
  <c r="D19" i="135"/>
  <c r="C19" i="135"/>
  <c r="J17" i="135"/>
  <c r="X16" i="135"/>
  <c r="AA15" i="135"/>
  <c r="J15" i="135"/>
  <c r="T12" i="135"/>
  <c r="S12" i="135"/>
  <c r="AJ10" i="135"/>
  <c r="AI10" i="135"/>
  <c r="AH10" i="135"/>
  <c r="AG10" i="135"/>
  <c r="AF10" i="135"/>
  <c r="Q10" i="135"/>
  <c r="C10" i="135"/>
  <c r="Z9" i="135"/>
  <c r="T9" i="135"/>
  <c r="T10" i="135" s="1"/>
  <c r="R9" i="135"/>
  <c r="S9" i="135" s="1"/>
  <c r="D9" i="135"/>
  <c r="Z8" i="135"/>
  <c r="W8" i="135"/>
  <c r="U8" i="135"/>
  <c r="T8" i="135"/>
  <c r="S8" i="135"/>
  <c r="S10" i="135" s="1"/>
  <c r="D8" i="135"/>
  <c r="AA7" i="135"/>
  <c r="Z7" i="135"/>
  <c r="W7" i="135"/>
  <c r="V7" i="135"/>
  <c r="U7" i="135"/>
  <c r="V25" i="135" s="1"/>
  <c r="H20" i="135"/>
  <c r="D7" i="135"/>
  <c r="T6" i="135"/>
  <c r="D6" i="135"/>
  <c r="D10" i="135" s="1"/>
  <c r="U4" i="135"/>
  <c r="R19" i="135" s="1"/>
  <c r="T4" i="135"/>
  <c r="Q19" i="135" s="1"/>
  <c r="S4" i="135"/>
  <c r="E4" i="135"/>
  <c r="AW52" i="134"/>
  <c r="AU52" i="134"/>
  <c r="AT52" i="134"/>
  <c r="AW51" i="134"/>
  <c r="AW50" i="134"/>
  <c r="AV50" i="134"/>
  <c r="AW44" i="134"/>
  <c r="AW43" i="134"/>
  <c r="AW41" i="134"/>
  <c r="AV41" i="134"/>
  <c r="AW40" i="134"/>
  <c r="AV40" i="134"/>
  <c r="AW39" i="134"/>
  <c r="AV39" i="134"/>
  <c r="AW37" i="134"/>
  <c r="AW36" i="134"/>
  <c r="AW35" i="134"/>
  <c r="AW34" i="134"/>
  <c r="AW33" i="134"/>
  <c r="AV33" i="134"/>
  <c r="AW32" i="134"/>
  <c r="AV32" i="134"/>
  <c r="AW31" i="134"/>
  <c r="AV31" i="134"/>
  <c r="AS29" i="134"/>
  <c r="AU27" i="134"/>
  <c r="AW27" i="134" s="1"/>
  <c r="AT27" i="134"/>
  <c r="AW26" i="134"/>
  <c r="AV26" i="134"/>
  <c r="AR27" i="134"/>
  <c r="AS27" i="134" s="1"/>
  <c r="AQ27" i="134"/>
  <c r="AV25" i="134"/>
  <c r="AV24" i="134"/>
  <c r="AW23" i="134"/>
  <c r="AS23" i="134"/>
  <c r="AW22" i="134"/>
  <c r="AS22" i="134"/>
  <c r="AW21" i="134"/>
  <c r="AV21" i="134"/>
  <c r="AS21" i="134"/>
  <c r="AW20" i="134"/>
  <c r="AV20" i="134"/>
  <c r="AS20" i="134"/>
  <c r="AW17" i="134"/>
  <c r="AW16" i="134"/>
  <c r="AW12" i="134"/>
  <c r="AR10" i="134"/>
  <c r="AQ10" i="134"/>
  <c r="AW9" i="134"/>
  <c r="AW8" i="134"/>
  <c r="AV8" i="134"/>
  <c r="AW7" i="134"/>
  <c r="AV22" i="134"/>
  <c r="AT10" i="134"/>
  <c r="AU4" i="134"/>
  <c r="AU19" i="134" s="1"/>
  <c r="AT4" i="134"/>
  <c r="AQ19" i="134" s="1"/>
  <c r="AS4" i="134"/>
  <c r="AB54" i="127"/>
  <c r="Y54" i="127"/>
  <c r="T57" i="127"/>
  <c r="T54" i="127"/>
  <c r="AB15" i="127"/>
  <c r="AA15" i="127"/>
  <c r="X16" i="127"/>
  <c r="Z16" i="127"/>
  <c r="Y16" i="127"/>
  <c r="T9" i="127"/>
  <c r="AG40" i="134"/>
  <c r="AG41" i="134"/>
  <c r="AG42" i="134"/>
  <c r="AG43" i="134"/>
  <c r="AG44" i="134"/>
  <c r="AL40" i="134"/>
  <c r="AL41" i="134"/>
  <c r="AL39" i="134"/>
  <c r="AK40" i="134"/>
  <c r="AK41" i="134"/>
  <c r="AK39" i="134"/>
  <c r="W57" i="107"/>
  <c r="V57" i="107"/>
  <c r="U57" i="107"/>
  <c r="T57" i="107"/>
  <c r="AF47" i="134"/>
  <c r="AF46" i="134"/>
  <c r="F84" i="107"/>
  <c r="H84" i="107"/>
  <c r="G84" i="107"/>
  <c r="AG39" i="134"/>
  <c r="AF32" i="134"/>
  <c r="AF33" i="134"/>
  <c r="AF31" i="134"/>
  <c r="AG32" i="134"/>
  <c r="AG33" i="134"/>
  <c r="AG34" i="134"/>
  <c r="AG35" i="134"/>
  <c r="AG36" i="134"/>
  <c r="AG37" i="134"/>
  <c r="AG31" i="134"/>
  <c r="AF16" i="134"/>
  <c r="AF15" i="134"/>
  <c r="J21" i="149" l="1"/>
  <c r="I10" i="156"/>
  <c r="H10" i="156"/>
  <c r="K10" i="156"/>
  <c r="K9" i="156" s="1"/>
  <c r="AG15" i="97"/>
  <c r="AU15" i="97"/>
  <c r="AO15" i="97"/>
  <c r="AO33" i="97"/>
  <c r="AG33" i="97"/>
  <c r="AO31" i="97"/>
  <c r="AG31" i="97"/>
  <c r="I10" i="154"/>
  <c r="K10" i="154"/>
  <c r="K9" i="154" s="1"/>
  <c r="H10" i="154"/>
  <c r="AU14" i="97"/>
  <c r="AO14" i="97"/>
  <c r="AG14" i="97"/>
  <c r="I29" i="132"/>
  <c r="BB45" i="152"/>
  <c r="AZ9" i="152"/>
  <c r="S45" i="154"/>
  <c r="I28" i="132"/>
  <c r="J28" i="132" s="1"/>
  <c r="AF32" i="97"/>
  <c r="H10" i="155"/>
  <c r="I10" i="155"/>
  <c r="K10" i="155"/>
  <c r="K9" i="155" s="1"/>
  <c r="K29" i="142"/>
  <c r="Z10" i="153"/>
  <c r="U10" i="153"/>
  <c r="T10" i="153"/>
  <c r="I10" i="152"/>
  <c r="H10" i="152"/>
  <c r="K10" i="152"/>
  <c r="K9" i="152" s="1"/>
  <c r="E45" i="132"/>
  <c r="AO13" i="97"/>
  <c r="I27" i="132"/>
  <c r="G8" i="130"/>
  <c r="K8" i="140" s="1"/>
  <c r="T9" i="152"/>
  <c r="U9" i="152"/>
  <c r="S10" i="152"/>
  <c r="I10" i="151"/>
  <c r="H10" i="151"/>
  <c r="K10" i="151"/>
  <c r="K9" i="151" s="1"/>
  <c r="AG12" i="97"/>
  <c r="E44" i="132"/>
  <c r="I26" i="132"/>
  <c r="J26" i="132" s="1"/>
  <c r="AF30" i="97"/>
  <c r="U9" i="151"/>
  <c r="T9" i="151"/>
  <c r="S10" i="151"/>
  <c r="I25" i="132"/>
  <c r="AF29" i="97"/>
  <c r="H10" i="143"/>
  <c r="S38" i="143"/>
  <c r="S8" i="143" s="1"/>
  <c r="T8" i="143" s="1"/>
  <c r="S38" i="138"/>
  <c r="S8" i="138" s="1"/>
  <c r="T8" i="138" s="1"/>
  <c r="S8" i="140"/>
  <c r="T8" i="140" s="1"/>
  <c r="P21" i="144"/>
  <c r="P29" i="144" s="1"/>
  <c r="S38" i="139"/>
  <c r="S8" i="139" s="1"/>
  <c r="AD16" i="97"/>
  <c r="E41" i="132"/>
  <c r="E40" i="132"/>
  <c r="E43" i="132"/>
  <c r="AN10" i="145"/>
  <c r="AO10" i="145"/>
  <c r="P55" i="150"/>
  <c r="Q55" i="150" s="1"/>
  <c r="U45" i="145"/>
  <c r="U45" i="150"/>
  <c r="K10" i="150"/>
  <c r="K9" i="150" s="1"/>
  <c r="H10" i="150"/>
  <c r="I10" i="150"/>
  <c r="U36" i="145"/>
  <c r="U36" i="150"/>
  <c r="U35" i="145"/>
  <c r="U35" i="150"/>
  <c r="S58" i="150"/>
  <c r="T33" i="150"/>
  <c r="U33" i="150"/>
  <c r="X48" i="150"/>
  <c r="T48" i="150" s="1"/>
  <c r="X49" i="150"/>
  <c r="U32" i="150"/>
  <c r="T32" i="150"/>
  <c r="U37" i="145"/>
  <c r="U37" i="150"/>
  <c r="X55" i="150"/>
  <c r="Z55" i="150" s="1"/>
  <c r="T12" i="150"/>
  <c r="U12" i="150"/>
  <c r="T15" i="150"/>
  <c r="S17" i="143"/>
  <c r="S6" i="143" s="1"/>
  <c r="E42" i="132"/>
  <c r="I24" i="132"/>
  <c r="J24" i="132" s="1"/>
  <c r="AF28" i="97"/>
  <c r="H10" i="145"/>
  <c r="I10" i="145"/>
  <c r="U56" i="145"/>
  <c r="X55" i="145"/>
  <c r="Z55" i="145" s="1"/>
  <c r="U15" i="145"/>
  <c r="V15" i="145"/>
  <c r="T15" i="145"/>
  <c r="S34" i="147"/>
  <c r="U32" i="147"/>
  <c r="T32" i="147"/>
  <c r="U12" i="147"/>
  <c r="T12" i="147"/>
  <c r="T12" i="145"/>
  <c r="U12" i="145"/>
  <c r="S58" i="147"/>
  <c r="U55" i="147"/>
  <c r="S58" i="145"/>
  <c r="U55" i="145"/>
  <c r="V15" i="147"/>
  <c r="U15" i="147"/>
  <c r="T15" i="147"/>
  <c r="T33" i="145"/>
  <c r="U33" i="145"/>
  <c r="T41" i="145"/>
  <c r="U41" i="145"/>
  <c r="L34" i="144"/>
  <c r="T40" i="145"/>
  <c r="S9" i="145"/>
  <c r="U40" i="145"/>
  <c r="S34" i="145"/>
  <c r="T32" i="145"/>
  <c r="U32" i="145"/>
  <c r="T33" i="147"/>
  <c r="U33" i="147"/>
  <c r="U56" i="147"/>
  <c r="X55" i="147"/>
  <c r="Z55" i="147" s="1"/>
  <c r="J25" i="132"/>
  <c r="AG27" i="97"/>
  <c r="CM9" i="97" s="1"/>
  <c r="AO27" i="97"/>
  <c r="T34" i="143"/>
  <c r="U34" i="143"/>
  <c r="U17" i="143"/>
  <c r="W16" i="143"/>
  <c r="X16" i="143" s="1"/>
  <c r="T16" i="143" s="1"/>
  <c r="Z15" i="143"/>
  <c r="AA15" i="143" s="1"/>
  <c r="U17" i="140"/>
  <c r="W16" i="140"/>
  <c r="X16" i="140" s="1"/>
  <c r="T16" i="140" s="1"/>
  <c r="Z15" i="140"/>
  <c r="AA15" i="140" s="1"/>
  <c r="I23" i="132"/>
  <c r="J23" i="132" s="1"/>
  <c r="S6" i="140"/>
  <c r="T34" i="140"/>
  <c r="U34" i="140"/>
  <c r="AD18" i="97"/>
  <c r="CK18" i="97" s="1"/>
  <c r="AN13" i="97"/>
  <c r="CK15" i="97"/>
  <c r="AC19" i="97"/>
  <c r="I21" i="132"/>
  <c r="J21" i="132" s="1"/>
  <c r="K21" i="132" s="1"/>
  <c r="AF25" i="97"/>
  <c r="E39" i="132"/>
  <c r="BC6" i="97"/>
  <c r="H32" i="132"/>
  <c r="J22" i="132"/>
  <c r="I8" i="132"/>
  <c r="M8" i="132" s="1"/>
  <c r="I20" i="132"/>
  <c r="AF24" i="97"/>
  <c r="AF6" i="97"/>
  <c r="AF17" i="97" s="1"/>
  <c r="U34" i="139"/>
  <c r="T34" i="139"/>
  <c r="S17" i="139"/>
  <c r="S17" i="138"/>
  <c r="T9" i="138"/>
  <c r="U9" i="138"/>
  <c r="U9" i="139"/>
  <c r="T9" i="139"/>
  <c r="U34" i="138"/>
  <c r="D32" i="132"/>
  <c r="D33" i="132" s="1"/>
  <c r="H7" i="130"/>
  <c r="Q7" i="138"/>
  <c r="Q7" i="139" s="1"/>
  <c r="I17" i="130"/>
  <c r="K16" i="130"/>
  <c r="D13" i="132"/>
  <c r="I11" i="132"/>
  <c r="I7" i="132"/>
  <c r="M7" i="132" s="1"/>
  <c r="I13" i="132"/>
  <c r="M13" i="132" s="1"/>
  <c r="I5" i="132"/>
  <c r="M5" i="132" s="1"/>
  <c r="AF18" i="97"/>
  <c r="I10" i="132"/>
  <c r="M10" i="132" s="1"/>
  <c r="I6" i="132"/>
  <c r="M6" i="132" s="1"/>
  <c r="D3" i="132"/>
  <c r="D5" i="132"/>
  <c r="D9" i="132"/>
  <c r="I9" i="132"/>
  <c r="M9" i="132" s="1"/>
  <c r="I12" i="132"/>
  <c r="M12" i="132" s="1"/>
  <c r="I4" i="132"/>
  <c r="M4" i="132" s="1"/>
  <c r="D4" i="132"/>
  <c r="I3" i="132"/>
  <c r="M3" i="132" s="1"/>
  <c r="H15" i="132"/>
  <c r="H17" i="132" s="1"/>
  <c r="D8" i="132"/>
  <c r="D11" i="132"/>
  <c r="D7" i="132"/>
  <c r="C15" i="132"/>
  <c r="C16" i="132" s="1"/>
  <c r="D12" i="132"/>
  <c r="D14" i="132"/>
  <c r="D10" i="132"/>
  <c r="D6" i="132"/>
  <c r="B15" i="132"/>
  <c r="B16" i="132" s="1"/>
  <c r="F6" i="130"/>
  <c r="J16" i="137"/>
  <c r="I16" i="137"/>
  <c r="L16" i="137"/>
  <c r="H16" i="137" s="1"/>
  <c r="Q27" i="137"/>
  <c r="W27" i="137"/>
  <c r="I17" i="137"/>
  <c r="S17" i="137"/>
  <c r="U17" i="137" s="1"/>
  <c r="G6" i="137"/>
  <c r="G8" i="137"/>
  <c r="I34" i="137"/>
  <c r="T15" i="137"/>
  <c r="U15" i="137"/>
  <c r="U47" i="137"/>
  <c r="S55" i="137"/>
  <c r="F6" i="137"/>
  <c r="I15" i="137"/>
  <c r="S46" i="137"/>
  <c r="T22" i="137"/>
  <c r="T25" i="137"/>
  <c r="T26" i="137"/>
  <c r="Z39" i="137"/>
  <c r="E66" i="137"/>
  <c r="I47" i="137" s="1"/>
  <c r="F67" i="137"/>
  <c r="T7" i="137"/>
  <c r="T8" i="137"/>
  <c r="R19" i="137"/>
  <c r="T21" i="137"/>
  <c r="T27" i="137" s="1"/>
  <c r="H22" i="137"/>
  <c r="H24" i="137"/>
  <c r="H26" i="137"/>
  <c r="E65" i="137"/>
  <c r="E6" i="137"/>
  <c r="E10" i="137" s="1"/>
  <c r="H7" i="137"/>
  <c r="U7" i="137"/>
  <c r="F8" i="137"/>
  <c r="U16" i="137"/>
  <c r="H21" i="137"/>
  <c r="T23" i="137"/>
  <c r="T24" i="137"/>
  <c r="Z44" i="137"/>
  <c r="H23" i="137"/>
  <c r="E67" i="137"/>
  <c r="F48" i="137" s="1"/>
  <c r="E10" i="135"/>
  <c r="Y41" i="135"/>
  <c r="AB41" i="135" s="1"/>
  <c r="Y44" i="135"/>
  <c r="AB44" i="135" s="1"/>
  <c r="J67" i="135"/>
  <c r="E67" i="135"/>
  <c r="J65" i="135"/>
  <c r="E65" i="135"/>
  <c r="V8" i="135"/>
  <c r="H22" i="135"/>
  <c r="H24" i="135"/>
  <c r="H26" i="135"/>
  <c r="AC44" i="135"/>
  <c r="F66" i="135"/>
  <c r="H21" i="135"/>
  <c r="I7" i="135"/>
  <c r="R10" i="135"/>
  <c r="H23" i="135"/>
  <c r="H25" i="135"/>
  <c r="V22" i="135"/>
  <c r="V27" i="135" s="1"/>
  <c r="F65" i="135"/>
  <c r="AS10" i="134"/>
  <c r="AV6" i="134"/>
  <c r="AW6" i="134"/>
  <c r="AU10" i="134"/>
  <c r="AR19" i="134"/>
  <c r="AV9" i="134"/>
  <c r="AV12" i="134"/>
  <c r="AW15" i="134"/>
  <c r="AT19" i="134"/>
  <c r="AV23" i="134"/>
  <c r="AV27" i="134" s="1"/>
  <c r="AV15" i="134"/>
  <c r="AV7" i="134"/>
  <c r="AF8" i="134"/>
  <c r="AF7" i="134"/>
  <c r="AI7" i="134" s="1"/>
  <c r="AF6" i="134"/>
  <c r="M57" i="107"/>
  <c r="K57" i="107"/>
  <c r="AG7" i="134"/>
  <c r="AH7" i="134"/>
  <c r="AG8" i="134"/>
  <c r="W64" i="107"/>
  <c r="W62" i="107"/>
  <c r="W63" i="107"/>
  <c r="W61" i="107"/>
  <c r="V61" i="107"/>
  <c r="L57" i="107"/>
  <c r="N57" i="107"/>
  <c r="O57" i="107"/>
  <c r="AH52" i="134"/>
  <c r="AJ52" i="134" s="1"/>
  <c r="AG52" i="134"/>
  <c r="AJ51" i="134"/>
  <c r="AJ50" i="134"/>
  <c r="AI50" i="134"/>
  <c r="AF29" i="134"/>
  <c r="AJ27" i="134"/>
  <c r="AH27" i="134"/>
  <c r="AG27" i="134"/>
  <c r="AJ26" i="134"/>
  <c r="AI26" i="134"/>
  <c r="AE26" i="134"/>
  <c r="AE27" i="134" s="1"/>
  <c r="AD26" i="134"/>
  <c r="AD27" i="134" s="1"/>
  <c r="AI25" i="134"/>
  <c r="AI24" i="134"/>
  <c r="AJ23" i="134"/>
  <c r="AF23" i="134"/>
  <c r="AJ22" i="134"/>
  <c r="AF22" i="134"/>
  <c r="AJ21" i="134"/>
  <c r="AI21" i="134"/>
  <c r="AF21" i="134"/>
  <c r="AJ20" i="134"/>
  <c r="AI20" i="134"/>
  <c r="AF20" i="134"/>
  <c r="AE19" i="134"/>
  <c r="AD19" i="134"/>
  <c r="AF12" i="134"/>
  <c r="AD10" i="134"/>
  <c r="AE9" i="134"/>
  <c r="AE10" i="134" s="1"/>
  <c r="AJ7" i="134"/>
  <c r="AI22" i="134"/>
  <c r="AH4" i="134"/>
  <c r="AH19" i="134" s="1"/>
  <c r="AG4" i="134"/>
  <c r="AG19" i="134" s="1"/>
  <c r="AF4" i="134"/>
  <c r="M4" i="131"/>
  <c r="M5" i="131"/>
  <c r="M7" i="131"/>
  <c r="M25" i="131"/>
  <c r="M23" i="131"/>
  <c r="M21" i="131"/>
  <c r="M19" i="131"/>
  <c r="M17" i="131"/>
  <c r="M15" i="131"/>
  <c r="M11" i="131"/>
  <c r="M9" i="131"/>
  <c r="N6" i="131"/>
  <c r="N8" i="131" s="1"/>
  <c r="N10" i="131" s="1"/>
  <c r="N12" i="131" s="1"/>
  <c r="N14" i="131" s="1"/>
  <c r="L6" i="131"/>
  <c r="K6" i="131"/>
  <c r="K8" i="131" s="1"/>
  <c r="K1" i="131" s="1"/>
  <c r="K2" i="131" s="1"/>
  <c r="E33" i="137"/>
  <c r="H33" i="137" s="1"/>
  <c r="E32" i="137"/>
  <c r="H32" i="137" s="1"/>
  <c r="AD17" i="97" l="1"/>
  <c r="AD20" i="97" s="1"/>
  <c r="AP20" i="97" s="1"/>
  <c r="AP16" i="97"/>
  <c r="CK17" i="97"/>
  <c r="AD19" i="97"/>
  <c r="H35" i="132"/>
  <c r="H34" i="132"/>
  <c r="U38" i="143"/>
  <c r="S45" i="155"/>
  <c r="U45" i="155" s="1"/>
  <c r="S45" i="156"/>
  <c r="AP33" i="97"/>
  <c r="AP15" i="97"/>
  <c r="AG6" i="97"/>
  <c r="AM45" i="155"/>
  <c r="S9" i="155"/>
  <c r="V9" i="155" s="1"/>
  <c r="AP31" i="97"/>
  <c r="AN45" i="154"/>
  <c r="S9" i="154"/>
  <c r="S10" i="154" s="1"/>
  <c r="J29" i="132"/>
  <c r="U8" i="143"/>
  <c r="AO32" i="97"/>
  <c r="AG32" i="97"/>
  <c r="BA9" i="152"/>
  <c r="BB9" i="152"/>
  <c r="AZ10" i="152"/>
  <c r="AP14" i="97"/>
  <c r="H8" i="130"/>
  <c r="J27" i="132"/>
  <c r="S38" i="145"/>
  <c r="S8" i="145" s="1"/>
  <c r="T8" i="145" s="1"/>
  <c r="S38" i="147"/>
  <c r="Z10" i="152"/>
  <c r="U10" i="152"/>
  <c r="T10" i="152"/>
  <c r="AU13" i="97"/>
  <c r="AG13" i="97"/>
  <c r="AO12" i="97"/>
  <c r="AG29" i="97"/>
  <c r="AO29" i="97"/>
  <c r="U8" i="140"/>
  <c r="AU12" i="97"/>
  <c r="AG30" i="97"/>
  <c r="AO30" i="97"/>
  <c r="Z10" i="151"/>
  <c r="U10" i="151"/>
  <c r="I32" i="132"/>
  <c r="I34" i="132" s="1"/>
  <c r="AP12" i="97"/>
  <c r="AN11" i="97"/>
  <c r="BA6" i="97"/>
  <c r="AG11" i="97"/>
  <c r="AU11" i="97"/>
  <c r="AO11" i="97"/>
  <c r="N16" i="131"/>
  <c r="N18" i="131" s="1"/>
  <c r="Q31" i="145"/>
  <c r="E31" i="147"/>
  <c r="E30" i="141"/>
  <c r="H30" i="141" s="1"/>
  <c r="U15" i="150"/>
  <c r="V15" i="150"/>
  <c r="W18" i="150"/>
  <c r="X18" i="150" s="1"/>
  <c r="W6" i="143"/>
  <c r="T6" i="143"/>
  <c r="V6" i="143"/>
  <c r="U6" i="143"/>
  <c r="S9" i="150"/>
  <c r="U38" i="150"/>
  <c r="U34" i="150"/>
  <c r="T34" i="150"/>
  <c r="H39" i="132"/>
  <c r="AN10" i="97"/>
  <c r="T34" i="145"/>
  <c r="U34" i="145"/>
  <c r="AO10" i="97"/>
  <c r="AU10" i="97"/>
  <c r="AG10" i="97"/>
  <c r="T9" i="145"/>
  <c r="U9" i="145"/>
  <c r="U34" i="147"/>
  <c r="T34" i="147"/>
  <c r="AO28" i="97"/>
  <c r="AG28" i="97"/>
  <c r="V17" i="143"/>
  <c r="S17" i="147"/>
  <c r="S17" i="145"/>
  <c r="P56" i="150" s="1"/>
  <c r="Q56" i="150" s="1"/>
  <c r="AO9" i="97"/>
  <c r="AU9" i="97"/>
  <c r="AG9" i="97"/>
  <c r="AP27" i="97"/>
  <c r="AB19" i="97"/>
  <c r="AN9" i="97"/>
  <c r="AU6" i="97"/>
  <c r="AO6" i="97"/>
  <c r="W6" i="140"/>
  <c r="V6" i="140"/>
  <c r="U6" i="140"/>
  <c r="T6" i="140"/>
  <c r="H33" i="132"/>
  <c r="T8" i="139"/>
  <c r="AN7" i="97"/>
  <c r="BA7" i="97"/>
  <c r="AO7" i="97"/>
  <c r="AU7" i="97"/>
  <c r="AU8" i="97"/>
  <c r="AO8" i="97"/>
  <c r="AN8" i="97"/>
  <c r="BD24" i="97"/>
  <c r="H16" i="132"/>
  <c r="J20" i="132"/>
  <c r="K20" i="132" s="1"/>
  <c r="BD7" i="97"/>
  <c r="BD6" i="97"/>
  <c r="AG25" i="97"/>
  <c r="CM7" i="97" s="1"/>
  <c r="BD25" i="97"/>
  <c r="AO25" i="97"/>
  <c r="M6" i="131"/>
  <c r="Q10" i="139"/>
  <c r="T7" i="139"/>
  <c r="L8" i="131"/>
  <c r="L10" i="131" s="1"/>
  <c r="L12" i="131" s="1"/>
  <c r="L14" i="131" s="1"/>
  <c r="BC7" i="97"/>
  <c r="AF10" i="134"/>
  <c r="AO24" i="97"/>
  <c r="AG24" i="97"/>
  <c r="U17" i="139"/>
  <c r="Z15" i="139"/>
  <c r="AA15" i="139" s="1"/>
  <c r="S6" i="139"/>
  <c r="W16" i="139"/>
  <c r="X16" i="139" s="1"/>
  <c r="T16" i="139" s="1"/>
  <c r="Q10" i="138"/>
  <c r="T7" i="138"/>
  <c r="U17" i="138"/>
  <c r="W16" i="138"/>
  <c r="X16" i="138" s="1"/>
  <c r="T16" i="138" s="1"/>
  <c r="S6" i="138"/>
  <c r="Z15" i="138"/>
  <c r="AA15" i="138" s="1"/>
  <c r="D15" i="132"/>
  <c r="D16" i="132" s="1"/>
  <c r="AO18" i="97"/>
  <c r="AG8" i="97"/>
  <c r="AG7" i="97"/>
  <c r="H27" i="137"/>
  <c r="Z15" i="137"/>
  <c r="AA15" i="137" s="1"/>
  <c r="S6" i="137"/>
  <c r="V6" i="137" s="1"/>
  <c r="U46" i="137"/>
  <c r="T46" i="137"/>
  <c r="S54" i="137"/>
  <c r="F12" i="137"/>
  <c r="K47" i="137"/>
  <c r="L47" i="137" s="1"/>
  <c r="S48" i="137"/>
  <c r="I48" i="137"/>
  <c r="I46" i="137"/>
  <c r="U55" i="137"/>
  <c r="I8" i="137"/>
  <c r="H8" i="137"/>
  <c r="G10" i="137"/>
  <c r="I6" i="137"/>
  <c r="H6" i="137"/>
  <c r="U6" i="137"/>
  <c r="T6" i="137"/>
  <c r="G12" i="137"/>
  <c r="I12" i="137" s="1"/>
  <c r="F10" i="137"/>
  <c r="W16" i="137"/>
  <c r="X16" i="137" s="1"/>
  <c r="T16" i="137" s="1"/>
  <c r="H27" i="135"/>
  <c r="AW10" i="134"/>
  <c r="AV10" i="134"/>
  <c r="AF27" i="134"/>
  <c r="AI23" i="134"/>
  <c r="AI27" i="134" s="1"/>
  <c r="M8" i="131"/>
  <c r="K75" i="130"/>
  <c r="J75" i="130"/>
  <c r="H75" i="130" s="1"/>
  <c r="K142" i="130"/>
  <c r="J76" i="130" s="1"/>
  <c r="I142" i="130"/>
  <c r="E142" i="130"/>
  <c r="H60" i="130" s="1"/>
  <c r="F108" i="130"/>
  <c r="I67" i="130" s="1"/>
  <c r="G108" i="130"/>
  <c r="I61" i="130" s="1"/>
  <c r="H108" i="130"/>
  <c r="I68" i="130" s="1"/>
  <c r="I108" i="130"/>
  <c r="I62" i="130" s="1"/>
  <c r="J108" i="130"/>
  <c r="K108" i="130"/>
  <c r="K76" i="130" s="1"/>
  <c r="E108" i="130"/>
  <c r="D108" i="130"/>
  <c r="I66" i="130" s="1"/>
  <c r="K74" i="130"/>
  <c r="J74" i="130"/>
  <c r="I60" i="130"/>
  <c r="H62" i="130"/>
  <c r="F142" i="130"/>
  <c r="H67" i="130" s="1"/>
  <c r="G142" i="130"/>
  <c r="H61" i="130" s="1"/>
  <c r="H142" i="130"/>
  <c r="H68" i="130" s="1"/>
  <c r="J142" i="130"/>
  <c r="D142" i="130"/>
  <c r="H66" i="130" s="1"/>
  <c r="E66" i="130" s="1"/>
  <c r="D7" i="131"/>
  <c r="AA40" i="118"/>
  <c r="AB40" i="118" s="1"/>
  <c r="AF56" i="107"/>
  <c r="AE56" i="107"/>
  <c r="T59" i="107"/>
  <c r="AI25" i="78"/>
  <c r="S53" i="130"/>
  <c r="R53" i="130"/>
  <c r="U52" i="127"/>
  <c r="T52" i="127"/>
  <c r="AE98" i="107"/>
  <c r="AE99" i="107"/>
  <c r="AE100" i="107"/>
  <c r="AE101" i="107"/>
  <c r="AE97" i="107"/>
  <c r="AF90" i="107"/>
  <c r="AF91" i="107"/>
  <c r="AF92" i="107"/>
  <c r="AF93" i="107"/>
  <c r="AF94" i="107"/>
  <c r="AF95" i="107"/>
  <c r="AF96" i="107"/>
  <c r="AF97" i="107"/>
  <c r="AF98" i="107"/>
  <c r="AF99" i="107"/>
  <c r="AF100" i="107"/>
  <c r="AF101" i="107"/>
  <c r="AF89" i="107"/>
  <c r="AE90" i="107"/>
  <c r="AE91" i="107"/>
  <c r="AE92" i="107"/>
  <c r="AE93" i="107"/>
  <c r="AE94" i="107"/>
  <c r="AE95" i="107"/>
  <c r="AE96" i="107"/>
  <c r="AE89" i="107"/>
  <c r="AG17" i="97" l="1"/>
  <c r="AP35" i="97"/>
  <c r="U45" i="156"/>
  <c r="AM45" i="156"/>
  <c r="S9" i="156"/>
  <c r="AO35" i="97"/>
  <c r="AU17" i="97"/>
  <c r="AO17" i="97"/>
  <c r="I33" i="132"/>
  <c r="K33" i="132" s="1"/>
  <c r="I35" i="132"/>
  <c r="U9" i="154"/>
  <c r="V9" i="154"/>
  <c r="T9" i="155"/>
  <c r="U9" i="155"/>
  <c r="S10" i="155"/>
  <c r="V10" i="155" s="1"/>
  <c r="AP32" i="97"/>
  <c r="BA10" i="152"/>
  <c r="BB10" i="152"/>
  <c r="AX8" i="153"/>
  <c r="AR8" i="153"/>
  <c r="AS8" i="153"/>
  <c r="U8" i="145"/>
  <c r="U38" i="145"/>
  <c r="U38" i="147"/>
  <c r="S8" i="147"/>
  <c r="N20" i="131"/>
  <c r="CK14" i="97"/>
  <c r="AP13" i="97"/>
  <c r="CM12" i="97"/>
  <c r="AP30" i="97"/>
  <c r="CM11" i="97"/>
  <c r="AP29" i="97"/>
  <c r="CM6" i="97"/>
  <c r="AP28" i="97"/>
  <c r="CM10" i="97"/>
  <c r="AP11" i="97"/>
  <c r="Q31" i="147"/>
  <c r="H31" i="147"/>
  <c r="L16" i="131"/>
  <c r="L18" i="131" s="1"/>
  <c r="AK8" i="145"/>
  <c r="AN8" i="145" s="1"/>
  <c r="W31" i="145"/>
  <c r="T31" i="145"/>
  <c r="W31" i="151"/>
  <c r="T31" i="151"/>
  <c r="T9" i="150"/>
  <c r="U9" i="150"/>
  <c r="S8" i="150"/>
  <c r="U17" i="150"/>
  <c r="W16" i="150"/>
  <c r="Z15" i="150"/>
  <c r="AA15" i="150" s="1"/>
  <c r="S6" i="150"/>
  <c r="W16" i="147"/>
  <c r="X16" i="147" s="1"/>
  <c r="T16" i="147" s="1"/>
  <c r="U17" i="147"/>
  <c r="V17" i="147"/>
  <c r="Z15" i="147"/>
  <c r="AA15" i="147" s="1"/>
  <c r="S6" i="147"/>
  <c r="AP10" i="97"/>
  <c r="Z15" i="145"/>
  <c r="AA15" i="145" s="1"/>
  <c r="V17" i="145"/>
  <c r="U17" i="145"/>
  <c r="W16" i="145"/>
  <c r="X16" i="145" s="1"/>
  <c r="T16" i="145" s="1"/>
  <c r="S6" i="145"/>
  <c r="AP9" i="97"/>
  <c r="AO37" i="97"/>
  <c r="BE25" i="97"/>
  <c r="AP25" i="97"/>
  <c r="BE24" i="97"/>
  <c r="AP24" i="97"/>
  <c r="S10" i="139"/>
  <c r="U6" i="139"/>
  <c r="V6" i="139"/>
  <c r="T6" i="139"/>
  <c r="W6" i="139"/>
  <c r="T6" i="138"/>
  <c r="S10" i="138"/>
  <c r="W6" i="138"/>
  <c r="U6" i="138"/>
  <c r="V6" i="138"/>
  <c r="W6" i="137"/>
  <c r="U54" i="137"/>
  <c r="U48" i="137"/>
  <c r="S56" i="137"/>
  <c r="W47" i="137"/>
  <c r="X47" i="137" s="1"/>
  <c r="T47" i="137" s="1"/>
  <c r="S12" i="137"/>
  <c r="H10" i="137"/>
  <c r="I10" i="137"/>
  <c r="K10" i="131"/>
  <c r="M10" i="131" s="1"/>
  <c r="E6" i="130"/>
  <c r="AZ42" i="134"/>
  <c r="AZ43" i="134"/>
  <c r="T4" i="134"/>
  <c r="T40" i="134"/>
  <c r="T41" i="134"/>
  <c r="T42" i="134"/>
  <c r="T43" i="134"/>
  <c r="T44" i="134"/>
  <c r="T39" i="134"/>
  <c r="BA11" i="134"/>
  <c r="AZ10" i="134"/>
  <c r="B74" i="107"/>
  <c r="L60" i="130"/>
  <c r="L61" i="130" s="1"/>
  <c r="L58" i="130"/>
  <c r="L59" i="130" s="1"/>
  <c r="N33" i="131"/>
  <c r="M33" i="131"/>
  <c r="L33" i="131"/>
  <c r="F73" i="130"/>
  <c r="E73" i="130"/>
  <c r="D25" i="131"/>
  <c r="G25" i="131" s="1"/>
  <c r="I25" i="131" s="1"/>
  <c r="D23" i="131"/>
  <c r="G23" i="131" s="1"/>
  <c r="I23" i="131" s="1"/>
  <c r="D21" i="131"/>
  <c r="D19" i="131"/>
  <c r="D17" i="131"/>
  <c r="D15" i="131"/>
  <c r="D13" i="131"/>
  <c r="G13" i="131" s="1"/>
  <c r="I13" i="131" s="1"/>
  <c r="D11" i="131"/>
  <c r="G11" i="131" s="1"/>
  <c r="I11" i="131" s="1"/>
  <c r="D9" i="131"/>
  <c r="G9" i="131" s="1"/>
  <c r="I9" i="131" s="1"/>
  <c r="G7" i="131"/>
  <c r="I7" i="131" s="1"/>
  <c r="H6" i="131"/>
  <c r="H8" i="131" s="1"/>
  <c r="H10" i="131" s="1"/>
  <c r="F6" i="131"/>
  <c r="E6" i="131"/>
  <c r="C6" i="131"/>
  <c r="B6" i="131"/>
  <c r="D5" i="131"/>
  <c r="F7" i="130"/>
  <c r="T9" i="156" l="1"/>
  <c r="V9" i="156"/>
  <c r="U9" i="156"/>
  <c r="S10" i="156"/>
  <c r="AA10" i="154"/>
  <c r="V10" i="154"/>
  <c r="U10" i="154"/>
  <c r="U10" i="155"/>
  <c r="Z10" i="155"/>
  <c r="T10" i="155"/>
  <c r="G21" i="131"/>
  <c r="N22" i="131"/>
  <c r="N24" i="131" s="1"/>
  <c r="N26" i="131" s="1"/>
  <c r="T8" i="147"/>
  <c r="U8" i="147"/>
  <c r="L20" i="131"/>
  <c r="G19" i="131"/>
  <c r="CM13" i="97"/>
  <c r="CM19" i="97" s="1"/>
  <c r="G17" i="131"/>
  <c r="W31" i="147"/>
  <c r="T31" i="147"/>
  <c r="W33" i="151"/>
  <c r="T33" i="151"/>
  <c r="G15" i="131"/>
  <c r="H12" i="131"/>
  <c r="S10" i="145"/>
  <c r="AM6" i="145"/>
  <c r="T8" i="150"/>
  <c r="U8" i="150"/>
  <c r="W6" i="150"/>
  <c r="S10" i="150"/>
  <c r="T6" i="150"/>
  <c r="V6" i="150"/>
  <c r="U6" i="150"/>
  <c r="X17" i="150"/>
  <c r="X16" i="150"/>
  <c r="T16" i="150" s="1"/>
  <c r="W6" i="147"/>
  <c r="T6" i="147"/>
  <c r="V6" i="147"/>
  <c r="S10" i="147"/>
  <c r="U6" i="147"/>
  <c r="T6" i="145"/>
  <c r="U6" i="145"/>
  <c r="W6" i="145"/>
  <c r="V6" i="145"/>
  <c r="AP37" i="97"/>
  <c r="C8" i="131"/>
  <c r="C10" i="131" s="1"/>
  <c r="C12" i="131" s="1"/>
  <c r="C14" i="131" s="1"/>
  <c r="L35" i="131"/>
  <c r="B8" i="131"/>
  <c r="B10" i="131" s="1"/>
  <c r="B12" i="131" s="1"/>
  <c r="B14" i="131" s="1"/>
  <c r="E8" i="131"/>
  <c r="E10" i="131" s="1"/>
  <c r="E12" i="131" s="1"/>
  <c r="E14" i="131" s="1"/>
  <c r="M35" i="131"/>
  <c r="F8" i="131"/>
  <c r="F10" i="131" s="1"/>
  <c r="F12" i="131" s="1"/>
  <c r="F14" i="131" s="1"/>
  <c r="N35" i="131"/>
  <c r="T10" i="139"/>
  <c r="G5" i="131"/>
  <c r="I5" i="131" s="1"/>
  <c r="T10" i="138"/>
  <c r="E10" i="130"/>
  <c r="U56" i="137"/>
  <c r="X54" i="137"/>
  <c r="Z54" i="137" s="1"/>
  <c r="U12" i="137"/>
  <c r="T12" i="137"/>
  <c r="S57" i="137"/>
  <c r="K12" i="131"/>
  <c r="M12" i="131" s="1"/>
  <c r="D6" i="131"/>
  <c r="E40" i="134"/>
  <c r="J40" i="134" s="1"/>
  <c r="E41" i="134"/>
  <c r="E39" i="134"/>
  <c r="J39" i="134" s="1"/>
  <c r="S40" i="134"/>
  <c r="S41" i="134"/>
  <c r="S39" i="134"/>
  <c r="Q12" i="118"/>
  <c r="T64" i="107"/>
  <c r="S64" i="107"/>
  <c r="V62" i="107"/>
  <c r="V63" i="107"/>
  <c r="V64" i="107"/>
  <c r="U63" i="107"/>
  <c r="T63" i="107"/>
  <c r="Q8" i="118"/>
  <c r="Q7" i="118"/>
  <c r="S7" i="134" s="1"/>
  <c r="Q6" i="118"/>
  <c r="G92" i="107"/>
  <c r="G96" i="107" s="1"/>
  <c r="G106" i="107" s="1"/>
  <c r="F106" i="107"/>
  <c r="F105" i="107"/>
  <c r="G105" i="107"/>
  <c r="F96" i="107"/>
  <c r="F93" i="107"/>
  <c r="F94" i="107"/>
  <c r="F95" i="107"/>
  <c r="F97" i="107"/>
  <c r="F98" i="107"/>
  <c r="F99" i="107"/>
  <c r="F100" i="107"/>
  <c r="F101" i="107"/>
  <c r="F103" i="107"/>
  <c r="F104" i="107"/>
  <c r="F92" i="107"/>
  <c r="E106" i="107"/>
  <c r="E105" i="107"/>
  <c r="E96" i="107"/>
  <c r="E93" i="107"/>
  <c r="E94" i="107"/>
  <c r="E95" i="107"/>
  <c r="E97" i="107"/>
  <c r="E98" i="107"/>
  <c r="E99" i="107"/>
  <c r="E100" i="107"/>
  <c r="E101" i="107"/>
  <c r="E103" i="107"/>
  <c r="E104" i="107"/>
  <c r="E92" i="107"/>
  <c r="B92" i="107"/>
  <c r="B96" i="107" s="1"/>
  <c r="B106" i="107" s="1"/>
  <c r="D104" i="107"/>
  <c r="C104" i="107"/>
  <c r="B104" i="107"/>
  <c r="D103" i="107"/>
  <c r="C103" i="107"/>
  <c r="B103" i="107"/>
  <c r="D101" i="107"/>
  <c r="C101" i="107"/>
  <c r="B101" i="107"/>
  <c r="D100" i="107"/>
  <c r="D105" i="107" s="1"/>
  <c r="C100" i="107"/>
  <c r="B100" i="107"/>
  <c r="D99" i="107"/>
  <c r="C99" i="107"/>
  <c r="B99" i="107"/>
  <c r="D98" i="107"/>
  <c r="C98" i="107"/>
  <c r="B98" i="107"/>
  <c r="D97" i="107"/>
  <c r="C97" i="107"/>
  <c r="C105" i="107" s="1"/>
  <c r="B97" i="107"/>
  <c r="B105" i="107" s="1"/>
  <c r="D95" i="107"/>
  <c r="C95" i="107"/>
  <c r="B95" i="107"/>
  <c r="D94" i="107"/>
  <c r="C94" i="107"/>
  <c r="B94" i="107"/>
  <c r="D93" i="107"/>
  <c r="C93" i="107"/>
  <c r="B93" i="107"/>
  <c r="D92" i="107"/>
  <c r="D96" i="107" s="1"/>
  <c r="D106" i="107" s="1"/>
  <c r="C92" i="107"/>
  <c r="C96" i="107" s="1"/>
  <c r="C106" i="107" s="1"/>
  <c r="S32" i="134"/>
  <c r="S33" i="134"/>
  <c r="S31" i="134"/>
  <c r="T32" i="134"/>
  <c r="T33" i="134"/>
  <c r="T34" i="134"/>
  <c r="T35" i="134"/>
  <c r="T36" i="134"/>
  <c r="T37" i="134"/>
  <c r="T31" i="134"/>
  <c r="S15" i="134"/>
  <c r="B67" i="107"/>
  <c r="B68" i="107"/>
  <c r="B69" i="107"/>
  <c r="B70" i="107"/>
  <c r="B72" i="107"/>
  <c r="B73" i="107"/>
  <c r="B61" i="107"/>
  <c r="C62" i="107"/>
  <c r="C63" i="107"/>
  <c r="C64" i="107"/>
  <c r="C66" i="107"/>
  <c r="C74" i="107" s="1"/>
  <c r="C67" i="107"/>
  <c r="C68" i="107"/>
  <c r="C69" i="107"/>
  <c r="C70" i="107"/>
  <c r="C72" i="107"/>
  <c r="C73" i="107"/>
  <c r="C61" i="107"/>
  <c r="C65" i="107" s="1"/>
  <c r="B62" i="107"/>
  <c r="B63" i="107"/>
  <c r="B64" i="107"/>
  <c r="B66" i="107"/>
  <c r="T7" i="134"/>
  <c r="U7" i="134"/>
  <c r="BA7" i="134" s="1"/>
  <c r="S8" i="134"/>
  <c r="T8" i="134"/>
  <c r="S9" i="134"/>
  <c r="T9" i="134"/>
  <c r="AG9" i="134" s="1"/>
  <c r="F6" i="134"/>
  <c r="G7" i="134"/>
  <c r="H21" i="134" s="1"/>
  <c r="F8" i="134"/>
  <c r="F9" i="134"/>
  <c r="E9" i="134"/>
  <c r="E6" i="134"/>
  <c r="J132" i="134"/>
  <c r="J73" i="134" s="1"/>
  <c r="H73" i="134" s="1"/>
  <c r="E73" i="134" s="1"/>
  <c r="I132" i="134"/>
  <c r="H61" i="134" s="1"/>
  <c r="E61" i="134" s="1"/>
  <c r="H132" i="134"/>
  <c r="H67" i="134" s="1"/>
  <c r="G132" i="134"/>
  <c r="H60" i="134" s="1"/>
  <c r="E60" i="134" s="1"/>
  <c r="F132" i="134"/>
  <c r="H66" i="134" s="1"/>
  <c r="J66" i="134" s="1"/>
  <c r="E132" i="134"/>
  <c r="H59" i="134" s="1"/>
  <c r="E59" i="134" s="1"/>
  <c r="D132" i="134"/>
  <c r="H65" i="134" s="1"/>
  <c r="J65" i="134" s="1"/>
  <c r="J102" i="134"/>
  <c r="K73" i="134" s="1"/>
  <c r="I73" i="134" s="1"/>
  <c r="F73" i="134" s="1"/>
  <c r="I102" i="134"/>
  <c r="I61" i="134" s="1"/>
  <c r="F61" i="134" s="1"/>
  <c r="H102" i="134"/>
  <c r="G102" i="134"/>
  <c r="I60" i="134" s="1"/>
  <c r="F60" i="134" s="1"/>
  <c r="F102" i="134"/>
  <c r="I66" i="134" s="1"/>
  <c r="K66" i="134" s="1"/>
  <c r="L66" i="134" s="1"/>
  <c r="E102" i="134"/>
  <c r="D102" i="134"/>
  <c r="I65" i="134" s="1"/>
  <c r="K65" i="134" s="1"/>
  <c r="L65" i="134" s="1"/>
  <c r="K78" i="134"/>
  <c r="F71" i="134" s="1"/>
  <c r="J78" i="134"/>
  <c r="E71" i="134" s="1"/>
  <c r="L76" i="134"/>
  <c r="I75" i="134"/>
  <c r="F75" i="134" s="1"/>
  <c r="H75" i="134"/>
  <c r="E75" i="134" s="1"/>
  <c r="K74" i="134"/>
  <c r="I74" i="134" s="1"/>
  <c r="F74" i="134" s="1"/>
  <c r="H74" i="134"/>
  <c r="E74" i="134" s="1"/>
  <c r="I72" i="134"/>
  <c r="H72" i="134"/>
  <c r="F72" i="134"/>
  <c r="E72" i="134"/>
  <c r="BG71" i="134"/>
  <c r="BE71" i="134"/>
  <c r="BD71" i="134"/>
  <c r="BB71" i="134"/>
  <c r="BA71" i="134"/>
  <c r="W71" i="134"/>
  <c r="V71" i="134"/>
  <c r="I71" i="134"/>
  <c r="H71" i="134"/>
  <c r="C71" i="134"/>
  <c r="I70" i="134"/>
  <c r="F70" i="134" s="1"/>
  <c r="H70" i="134"/>
  <c r="E70" i="134" s="1"/>
  <c r="I67" i="134"/>
  <c r="K67" i="134" s="1"/>
  <c r="L67" i="134" s="1"/>
  <c r="BH64" i="134"/>
  <c r="BG64" i="134"/>
  <c r="BE64" i="134"/>
  <c r="BD64" i="134"/>
  <c r="BB64" i="134"/>
  <c r="BA64" i="134"/>
  <c r="W64" i="134"/>
  <c r="V64" i="134"/>
  <c r="J63" i="134"/>
  <c r="I63" i="134" s="1"/>
  <c r="I59" i="134"/>
  <c r="F59" i="134" s="1"/>
  <c r="BE58" i="134"/>
  <c r="W58" i="134"/>
  <c r="V58" i="134"/>
  <c r="BD58" i="134" s="1"/>
  <c r="I57" i="134"/>
  <c r="H57" i="134"/>
  <c r="U52" i="134"/>
  <c r="V50" i="134" s="1"/>
  <c r="T52" i="134"/>
  <c r="G52" i="134"/>
  <c r="F52" i="134"/>
  <c r="W51" i="134"/>
  <c r="I51" i="134"/>
  <c r="W50" i="134"/>
  <c r="I50" i="134"/>
  <c r="I48" i="134"/>
  <c r="K47" i="134"/>
  <c r="L47" i="134" s="1"/>
  <c r="H47" i="134" s="1"/>
  <c r="I47" i="134"/>
  <c r="L46" i="134"/>
  <c r="J46" i="134"/>
  <c r="I46" i="134"/>
  <c r="H46" i="134"/>
  <c r="BC44" i="134"/>
  <c r="BB44" i="134"/>
  <c r="J44" i="134"/>
  <c r="I44" i="134"/>
  <c r="BE43" i="134"/>
  <c r="J43" i="134"/>
  <c r="BE42" i="134"/>
  <c r="J42" i="134"/>
  <c r="BE41" i="134"/>
  <c r="BE40" i="134"/>
  <c r="BE39" i="134"/>
  <c r="I39" i="134"/>
  <c r="K36" i="134"/>
  <c r="J36" i="134"/>
  <c r="I36" i="134"/>
  <c r="J34" i="134"/>
  <c r="I34" i="134"/>
  <c r="I33" i="134"/>
  <c r="H33" i="134"/>
  <c r="K32" i="134"/>
  <c r="J32" i="134"/>
  <c r="I32" i="134"/>
  <c r="H32" i="134"/>
  <c r="K31" i="134"/>
  <c r="J31" i="134"/>
  <c r="I31" i="134"/>
  <c r="H31" i="134"/>
  <c r="S29" i="134"/>
  <c r="E29" i="134"/>
  <c r="U27" i="134"/>
  <c r="T27" i="134"/>
  <c r="G27" i="134"/>
  <c r="F27" i="134"/>
  <c r="D27" i="134"/>
  <c r="C27" i="134"/>
  <c r="W26" i="134"/>
  <c r="R26" i="134"/>
  <c r="R27" i="134" s="1"/>
  <c r="Q26" i="134"/>
  <c r="Q27" i="134" s="1"/>
  <c r="I26" i="134"/>
  <c r="BD23" i="134"/>
  <c r="W23" i="134"/>
  <c r="S23" i="134"/>
  <c r="I23" i="134"/>
  <c r="E23" i="134"/>
  <c r="W22" i="134"/>
  <c r="S22" i="134"/>
  <c r="I22" i="134"/>
  <c r="E22" i="134"/>
  <c r="BC21" i="134"/>
  <c r="W21" i="134"/>
  <c r="S21" i="134"/>
  <c r="I21" i="134"/>
  <c r="E21" i="134"/>
  <c r="W20" i="134"/>
  <c r="S20" i="134"/>
  <c r="I20" i="134"/>
  <c r="E20" i="134"/>
  <c r="G19" i="134"/>
  <c r="F19" i="134"/>
  <c r="D19" i="134"/>
  <c r="C19" i="134"/>
  <c r="J17" i="134"/>
  <c r="I17" i="134"/>
  <c r="K16" i="134"/>
  <c r="L16" i="134" s="1"/>
  <c r="H16" i="134" s="1"/>
  <c r="J16" i="134"/>
  <c r="I16" i="134"/>
  <c r="J15" i="134"/>
  <c r="I15" i="134"/>
  <c r="H15" i="134"/>
  <c r="S12" i="134"/>
  <c r="G12" i="134"/>
  <c r="F12" i="134"/>
  <c r="E12" i="134"/>
  <c r="BL10" i="134"/>
  <c r="BK10" i="134"/>
  <c r="BJ10" i="134"/>
  <c r="BI10" i="134"/>
  <c r="BH10" i="134"/>
  <c r="Q10" i="134"/>
  <c r="C10" i="134"/>
  <c r="R9" i="134"/>
  <c r="D9" i="134"/>
  <c r="U4" i="134"/>
  <c r="U19" i="134" s="1"/>
  <c r="T19" i="134"/>
  <c r="E4" i="134"/>
  <c r="S4" i="134" s="1"/>
  <c r="T10" i="156" l="1"/>
  <c r="V10" i="156"/>
  <c r="Z10" i="156"/>
  <c r="U10" i="156"/>
  <c r="L22" i="131"/>
  <c r="L24" i="131" s="1"/>
  <c r="L26" i="131" s="1"/>
  <c r="I21" i="131"/>
  <c r="I19" i="131"/>
  <c r="B16" i="131"/>
  <c r="B18" i="131" s="1"/>
  <c r="F16" i="131"/>
  <c r="F18" i="131" s="1"/>
  <c r="AN8" i="154" s="1"/>
  <c r="E16" i="131"/>
  <c r="E18" i="131" s="1"/>
  <c r="AN7" i="154" s="1"/>
  <c r="I17" i="131"/>
  <c r="C16" i="131"/>
  <c r="X16" i="151" s="1"/>
  <c r="T16" i="151" s="1"/>
  <c r="T7" i="151"/>
  <c r="I15" i="131"/>
  <c r="AM9" i="145"/>
  <c r="AN9" i="145" s="1"/>
  <c r="W10" i="145"/>
  <c r="H14" i="131"/>
  <c r="AO6" i="145"/>
  <c r="AN6" i="145"/>
  <c r="T10" i="150"/>
  <c r="U10" i="150"/>
  <c r="T10" i="147"/>
  <c r="U10" i="147"/>
  <c r="U10" i="145"/>
  <c r="T10" i="145"/>
  <c r="L37" i="131"/>
  <c r="N37" i="131"/>
  <c r="M37" i="131"/>
  <c r="D8" i="131"/>
  <c r="D10" i="131" s="1"/>
  <c r="D12" i="131" s="1"/>
  <c r="D14" i="131" s="1"/>
  <c r="D16" i="131" s="1"/>
  <c r="D18" i="131" s="1"/>
  <c r="G6" i="131"/>
  <c r="I6" i="131" s="1"/>
  <c r="V24" i="134"/>
  <c r="V20" i="134"/>
  <c r="H23" i="134"/>
  <c r="H39" i="134"/>
  <c r="W7" i="134"/>
  <c r="H20" i="134"/>
  <c r="K14" i="131"/>
  <c r="L78" i="134"/>
  <c r="V22" i="134"/>
  <c r="V25" i="134"/>
  <c r="J41" i="134"/>
  <c r="BE44" i="134"/>
  <c r="J67" i="134"/>
  <c r="E67" i="134"/>
  <c r="W27" i="134"/>
  <c r="F67" i="134"/>
  <c r="E27" i="134"/>
  <c r="H41" i="134"/>
  <c r="E66" i="134"/>
  <c r="I12" i="134"/>
  <c r="Q19" i="134"/>
  <c r="I27" i="134"/>
  <c r="R19" i="134"/>
  <c r="I52" i="134"/>
  <c r="V7" i="134"/>
  <c r="W52" i="134"/>
  <c r="C75" i="107"/>
  <c r="B65" i="107"/>
  <c r="B75" i="107"/>
  <c r="H25" i="134"/>
  <c r="R10" i="134"/>
  <c r="H12" i="134"/>
  <c r="V21" i="134"/>
  <c r="H22" i="134"/>
  <c r="H24" i="134"/>
  <c r="H26" i="134"/>
  <c r="V26" i="134"/>
  <c r="H50" i="134"/>
  <c r="S27" i="134"/>
  <c r="V23" i="134"/>
  <c r="E65" i="134"/>
  <c r="F66" i="134"/>
  <c r="F65" i="134"/>
  <c r="AN6" i="154" l="1"/>
  <c r="D20" i="131"/>
  <c r="D33" i="152"/>
  <c r="P33" i="152" s="1"/>
  <c r="AW33" i="152" s="1"/>
  <c r="D33" i="154"/>
  <c r="D33" i="153"/>
  <c r="D33" i="143"/>
  <c r="P33" i="143" s="1"/>
  <c r="D33" i="147"/>
  <c r="P33" i="147" s="1"/>
  <c r="D33" i="151"/>
  <c r="P33" i="151" s="1"/>
  <c r="D33" i="139"/>
  <c r="P33" i="139" s="1"/>
  <c r="D32" i="141"/>
  <c r="D33" i="150"/>
  <c r="P33" i="150" s="1"/>
  <c r="D33" i="138"/>
  <c r="P33" i="138" s="1"/>
  <c r="D33" i="130"/>
  <c r="D33" i="145"/>
  <c r="P33" i="145" s="1"/>
  <c r="D33" i="140"/>
  <c r="P33" i="140" s="1"/>
  <c r="C18" i="131"/>
  <c r="C20" i="131" s="1"/>
  <c r="AM6" i="152"/>
  <c r="AM6" i="151"/>
  <c r="E20" i="131"/>
  <c r="AM7" i="152"/>
  <c r="AM7" i="151"/>
  <c r="B20" i="131"/>
  <c r="F20" i="131"/>
  <c r="AM8" i="152"/>
  <c r="AM8" i="151"/>
  <c r="AO9" i="145"/>
  <c r="T8" i="151"/>
  <c r="M14" i="131"/>
  <c r="G8" i="131"/>
  <c r="T15" i="151"/>
  <c r="H16" i="131"/>
  <c r="N39" i="131"/>
  <c r="R37" i="131"/>
  <c r="G14" i="131"/>
  <c r="G16" i="131" s="1"/>
  <c r="G18" i="131" s="1"/>
  <c r="M39" i="131"/>
  <c r="Q37" i="131"/>
  <c r="L39" i="131"/>
  <c r="P37" i="131"/>
  <c r="K16" i="131"/>
  <c r="H27" i="134"/>
  <c r="V27" i="134"/>
  <c r="G6" i="127"/>
  <c r="G32" i="132"/>
  <c r="F32" i="132"/>
  <c r="U32" i="132"/>
  <c r="U36" i="132" s="1"/>
  <c r="T32" i="132"/>
  <c r="R32" i="132"/>
  <c r="Q32" i="132"/>
  <c r="V31" i="132"/>
  <c r="V30" i="132"/>
  <c r="V33" i="132"/>
  <c r="V27" i="132"/>
  <c r="V25" i="132"/>
  <c r="V24" i="132"/>
  <c r="I42" i="132" s="1"/>
  <c r="V23" i="132"/>
  <c r="V22" i="132"/>
  <c r="I40" i="132" s="1"/>
  <c r="I62" i="132" s="1"/>
  <c r="V21" i="132"/>
  <c r="I39" i="132" s="1"/>
  <c r="T15" i="132"/>
  <c r="T17" i="132" s="1"/>
  <c r="V14" i="132"/>
  <c r="V13" i="132"/>
  <c r="V16" i="132" s="1"/>
  <c r="V12" i="132"/>
  <c r="G47" i="132" s="1"/>
  <c r="H47" i="132" s="1"/>
  <c r="J47" i="132" s="1"/>
  <c r="V11" i="132"/>
  <c r="G46" i="132" s="1"/>
  <c r="V10" i="132"/>
  <c r="G45" i="132" s="1"/>
  <c r="V9" i="132"/>
  <c r="G44" i="132" s="1"/>
  <c r="V8" i="132"/>
  <c r="G43" i="132" s="1"/>
  <c r="V7" i="132"/>
  <c r="V6" i="132"/>
  <c r="V5" i="132"/>
  <c r="V3" i="132"/>
  <c r="G15" i="132"/>
  <c r="G17" i="132" s="1"/>
  <c r="F15" i="132"/>
  <c r="F17" i="132" s="1"/>
  <c r="J13" i="132"/>
  <c r="K13" i="132" s="1"/>
  <c r="J12" i="132"/>
  <c r="K12" i="132" s="1"/>
  <c r="J11" i="132"/>
  <c r="K11" i="132" s="1"/>
  <c r="J10" i="132"/>
  <c r="K10" i="132" s="1"/>
  <c r="J9" i="132"/>
  <c r="K9" i="132" s="1"/>
  <c r="J8" i="132"/>
  <c r="K8" i="132" s="1"/>
  <c r="J7" i="132"/>
  <c r="K7" i="132" s="1"/>
  <c r="J6" i="132"/>
  <c r="K6" i="132" s="1"/>
  <c r="J5" i="132"/>
  <c r="K5" i="132" s="1"/>
  <c r="J4" i="132"/>
  <c r="K4" i="132" s="1"/>
  <c r="J3" i="132"/>
  <c r="K3" i="132" s="1"/>
  <c r="Q23" i="144" l="1"/>
  <c r="G40" i="132"/>
  <c r="F35" i="132"/>
  <c r="F34" i="132"/>
  <c r="Q24" i="144"/>
  <c r="G41" i="132"/>
  <c r="G35" i="132"/>
  <c r="G34" i="132"/>
  <c r="Q25" i="144"/>
  <c r="G42" i="132"/>
  <c r="G68" i="132"/>
  <c r="H68" i="132" s="1"/>
  <c r="J68" i="132" s="1"/>
  <c r="H46" i="132"/>
  <c r="J46" i="132" s="1"/>
  <c r="T34" i="132"/>
  <c r="T36" i="132"/>
  <c r="Q33" i="132"/>
  <c r="Q36" i="132"/>
  <c r="R33" i="132"/>
  <c r="R36" i="132"/>
  <c r="V15" i="132"/>
  <c r="V17" i="132" s="1"/>
  <c r="D22" i="131"/>
  <c r="D24" i="131" s="1"/>
  <c r="D26" i="131" s="1"/>
  <c r="C22" i="131"/>
  <c r="C24" i="131" s="1"/>
  <c r="C26" i="131" s="1"/>
  <c r="E22" i="131"/>
  <c r="E24" i="131" s="1"/>
  <c r="E26" i="131" s="1"/>
  <c r="P33" i="154"/>
  <c r="B22" i="131"/>
  <c r="B24" i="131" s="1"/>
  <c r="B26" i="131" s="1"/>
  <c r="F22" i="131"/>
  <c r="F24" i="131" s="1"/>
  <c r="F26" i="131" s="1"/>
  <c r="P33" i="153"/>
  <c r="I61" i="132"/>
  <c r="J61" i="132" s="1"/>
  <c r="H45" i="132"/>
  <c r="G67" i="132"/>
  <c r="H67" i="132" s="1"/>
  <c r="I64" i="132"/>
  <c r="U34" i="132"/>
  <c r="R34" i="132"/>
  <c r="F16" i="132"/>
  <c r="I45" i="132"/>
  <c r="Q34" i="132"/>
  <c r="D15" i="143"/>
  <c r="D16" i="147"/>
  <c r="D16" i="143"/>
  <c r="D15" i="152"/>
  <c r="D15" i="145"/>
  <c r="D16" i="150"/>
  <c r="D16" i="152"/>
  <c r="D16" i="139"/>
  <c r="D16" i="141"/>
  <c r="D16" i="140"/>
  <c r="G20" i="131"/>
  <c r="D16" i="145"/>
  <c r="D16" i="151"/>
  <c r="D16" i="130"/>
  <c r="G10" i="131"/>
  <c r="I8" i="131"/>
  <c r="I14" i="131"/>
  <c r="I16" i="131"/>
  <c r="M16" i="131"/>
  <c r="Q10" i="151"/>
  <c r="T10" i="151" s="1"/>
  <c r="T6" i="151"/>
  <c r="I43" i="132"/>
  <c r="I65" i="132" s="1"/>
  <c r="G38" i="132"/>
  <c r="Q26" i="144"/>
  <c r="I41" i="132"/>
  <c r="J39" i="132"/>
  <c r="H18" i="131"/>
  <c r="W7" i="132"/>
  <c r="V32" i="132"/>
  <c r="V36" i="132" s="1"/>
  <c r="W6" i="132"/>
  <c r="G62" i="132"/>
  <c r="H62" i="132" s="1"/>
  <c r="J62" i="132" s="1"/>
  <c r="F33" i="132"/>
  <c r="G33" i="132"/>
  <c r="G16" i="132"/>
  <c r="M41" i="131"/>
  <c r="Q39" i="131"/>
  <c r="L41" i="131"/>
  <c r="P41" i="131" s="1"/>
  <c r="P39" i="131"/>
  <c r="N41" i="131"/>
  <c r="R39" i="131"/>
  <c r="J32" i="132"/>
  <c r="W32" i="132"/>
  <c r="K18" i="131"/>
  <c r="S32" i="132"/>
  <c r="H38" i="132" l="1"/>
  <c r="G64" i="132"/>
  <c r="H64" i="132" s="1"/>
  <c r="J64" i="132" s="1"/>
  <c r="H42" i="132"/>
  <c r="J42" i="132" s="1"/>
  <c r="S33" i="132"/>
  <c r="S36" i="132"/>
  <c r="G60" i="132"/>
  <c r="D15" i="130"/>
  <c r="D15" i="141"/>
  <c r="D15" i="140"/>
  <c r="D15" i="154"/>
  <c r="D15" i="153"/>
  <c r="D15" i="150"/>
  <c r="D15" i="147"/>
  <c r="G22" i="131"/>
  <c r="G24" i="131" s="1"/>
  <c r="G26" i="131" s="1"/>
  <c r="D15" i="151"/>
  <c r="D15" i="139"/>
  <c r="D15" i="138"/>
  <c r="D16" i="138"/>
  <c r="D16" i="154"/>
  <c r="D16" i="153"/>
  <c r="H60" i="132"/>
  <c r="I63" i="132"/>
  <c r="H41" i="132"/>
  <c r="G63" i="132"/>
  <c r="H63" i="132" s="1"/>
  <c r="H43" i="132"/>
  <c r="J43" i="132" s="1"/>
  <c r="G65" i="132"/>
  <c r="H65" i="132" s="1"/>
  <c r="J65" i="132" s="1"/>
  <c r="H44" i="132"/>
  <c r="J44" i="132" s="1"/>
  <c r="G66" i="132"/>
  <c r="H66" i="132" s="1"/>
  <c r="J66" i="132" s="1"/>
  <c r="J45" i="132"/>
  <c r="I67" i="132"/>
  <c r="S34" i="132"/>
  <c r="W36" i="132"/>
  <c r="V34" i="132"/>
  <c r="M18" i="131"/>
  <c r="G12" i="131"/>
  <c r="I12" i="131" s="1"/>
  <c r="I10" i="131"/>
  <c r="W32" i="151"/>
  <c r="T32" i="151"/>
  <c r="T34" i="151"/>
  <c r="Q21" i="144"/>
  <c r="Q29" i="144" s="1"/>
  <c r="I18" i="131"/>
  <c r="J41" i="132"/>
  <c r="H40" i="132"/>
  <c r="U44" i="140"/>
  <c r="U44" i="143"/>
  <c r="J38" i="132"/>
  <c r="N43" i="131"/>
  <c r="N45" i="131" s="1"/>
  <c r="R41" i="131"/>
  <c r="M43" i="131"/>
  <c r="Q41" i="131"/>
  <c r="L43" i="131"/>
  <c r="K20" i="131"/>
  <c r="J55" i="130"/>
  <c r="I75" i="130"/>
  <c r="F75" i="130" s="1"/>
  <c r="I74" i="130"/>
  <c r="H74" i="130"/>
  <c r="E74" i="130" s="1"/>
  <c r="J79" i="130"/>
  <c r="I71" i="130"/>
  <c r="F71" i="130" s="1"/>
  <c r="H71" i="130"/>
  <c r="E71" i="130" s="1"/>
  <c r="H76" i="130"/>
  <c r="E76" i="130" s="1"/>
  <c r="I76" i="130"/>
  <c r="F76" i="130" s="1"/>
  <c r="E75" i="130"/>
  <c r="E62" i="130"/>
  <c r="F60" i="130"/>
  <c r="K79" i="130"/>
  <c r="L77" i="130"/>
  <c r="AC72" i="130"/>
  <c r="AA72" i="130"/>
  <c r="Z72" i="130"/>
  <c r="X72" i="130"/>
  <c r="W72" i="130"/>
  <c r="U72" i="130"/>
  <c r="T72" i="130"/>
  <c r="C72" i="130"/>
  <c r="AD64" i="130"/>
  <c r="AC65" i="130"/>
  <c r="AA65" i="130"/>
  <c r="Z65" i="130"/>
  <c r="X65" i="130"/>
  <c r="W65" i="130"/>
  <c r="U65" i="130"/>
  <c r="T65" i="130"/>
  <c r="J64" i="130"/>
  <c r="I64" i="130" s="1"/>
  <c r="AA59" i="130"/>
  <c r="U59" i="130"/>
  <c r="T59" i="130"/>
  <c r="Z59" i="130" s="1"/>
  <c r="I58" i="130"/>
  <c r="H58" i="130"/>
  <c r="R57" i="130"/>
  <c r="R56" i="130"/>
  <c r="R55" i="130"/>
  <c r="T51" i="130"/>
  <c r="G53" i="130"/>
  <c r="F53" i="130"/>
  <c r="U52" i="130"/>
  <c r="I52" i="130"/>
  <c r="U51" i="130"/>
  <c r="I51" i="130"/>
  <c r="L47" i="130"/>
  <c r="J47" i="130"/>
  <c r="Y45" i="130"/>
  <c r="X45" i="130"/>
  <c r="J45" i="130"/>
  <c r="AA44" i="130"/>
  <c r="Z44" i="130"/>
  <c r="S44" i="130"/>
  <c r="U44" i="130" s="1"/>
  <c r="J44" i="130"/>
  <c r="AA43" i="130"/>
  <c r="W43" i="130"/>
  <c r="Z43" i="130" s="1"/>
  <c r="S43" i="130"/>
  <c r="J43" i="130"/>
  <c r="AA42" i="130"/>
  <c r="W42" i="130"/>
  <c r="Z42" i="130" s="1"/>
  <c r="U42" i="130"/>
  <c r="T42" i="130"/>
  <c r="J42" i="130"/>
  <c r="AA41" i="130"/>
  <c r="W41" i="130"/>
  <c r="Z41" i="130" s="1"/>
  <c r="U41" i="130"/>
  <c r="T41" i="130"/>
  <c r="J41" i="130"/>
  <c r="AA40" i="130"/>
  <c r="W40" i="130"/>
  <c r="Z40" i="130" s="1"/>
  <c r="U40" i="130"/>
  <c r="T40" i="130"/>
  <c r="J40" i="130"/>
  <c r="U38" i="130"/>
  <c r="U37" i="130"/>
  <c r="K37" i="130"/>
  <c r="J37" i="130"/>
  <c r="U36" i="130"/>
  <c r="W35" i="130"/>
  <c r="U35" i="130"/>
  <c r="J35" i="130"/>
  <c r="W33" i="130"/>
  <c r="U33" i="130"/>
  <c r="T33" i="130"/>
  <c r="W32" i="130"/>
  <c r="U32" i="130"/>
  <c r="T32" i="130"/>
  <c r="K32" i="130"/>
  <c r="J32" i="130"/>
  <c r="W31" i="130"/>
  <c r="U31" i="130"/>
  <c r="T31" i="130"/>
  <c r="K31" i="130"/>
  <c r="J31" i="130"/>
  <c r="Q29" i="130"/>
  <c r="E29" i="130"/>
  <c r="V27" i="130"/>
  <c r="S27" i="130"/>
  <c r="R27" i="130"/>
  <c r="G27" i="130"/>
  <c r="F27" i="130"/>
  <c r="D27" i="130"/>
  <c r="C27" i="130"/>
  <c r="U26" i="130"/>
  <c r="P26" i="130"/>
  <c r="P27" i="130" s="1"/>
  <c r="O26" i="130"/>
  <c r="O27" i="130" s="1"/>
  <c r="Z23" i="130"/>
  <c r="U23" i="130"/>
  <c r="Q23" i="130"/>
  <c r="I23" i="130"/>
  <c r="E23" i="130"/>
  <c r="U22" i="130"/>
  <c r="Q22" i="130"/>
  <c r="I22" i="130"/>
  <c r="E22" i="130"/>
  <c r="Y21" i="130"/>
  <c r="U21" i="130"/>
  <c r="Q21" i="130"/>
  <c r="I21" i="130"/>
  <c r="E21" i="130"/>
  <c r="U20" i="130"/>
  <c r="Q20" i="130"/>
  <c r="E20" i="130"/>
  <c r="G19" i="130"/>
  <c r="F19" i="130"/>
  <c r="D19" i="130"/>
  <c r="C19" i="130"/>
  <c r="J17" i="130"/>
  <c r="Y15" i="130"/>
  <c r="J15" i="130"/>
  <c r="R12" i="130"/>
  <c r="Q12" i="130"/>
  <c r="AH10" i="130"/>
  <c r="AG10" i="130"/>
  <c r="AF10" i="130"/>
  <c r="AE10" i="130"/>
  <c r="AD10" i="130"/>
  <c r="O10" i="130"/>
  <c r="X9" i="130"/>
  <c r="R9" i="130"/>
  <c r="P9" i="130"/>
  <c r="P10" i="130" s="1"/>
  <c r="X8" i="130"/>
  <c r="S8" i="130"/>
  <c r="R8" i="130"/>
  <c r="Q8" i="130"/>
  <c r="Y7" i="130"/>
  <c r="X7" i="130"/>
  <c r="S7" i="130"/>
  <c r="T25" i="130" s="1"/>
  <c r="H20" i="130"/>
  <c r="R6" i="130"/>
  <c r="S4" i="130"/>
  <c r="P19" i="130" s="1"/>
  <c r="R4" i="130"/>
  <c r="R19" i="130" s="1"/>
  <c r="E4" i="130"/>
  <c r="Q4" i="130" s="1"/>
  <c r="H31" i="127"/>
  <c r="AI10" i="127"/>
  <c r="AF10" i="127"/>
  <c r="AH10" i="127"/>
  <c r="AJ10" i="127"/>
  <c r="AG10" i="127"/>
  <c r="Y40" i="127"/>
  <c r="Y41" i="127"/>
  <c r="Y42" i="127"/>
  <c r="AB42" i="127" s="1"/>
  <c r="Y39" i="127"/>
  <c r="AB39" i="127" s="1"/>
  <c r="AC40" i="127"/>
  <c r="AC41" i="127"/>
  <c r="AC42" i="127"/>
  <c r="AC43" i="127"/>
  <c r="AC39" i="127"/>
  <c r="AB43" i="127"/>
  <c r="AA44" i="127"/>
  <c r="Z44" i="127"/>
  <c r="AB40" i="127"/>
  <c r="AB41" i="127"/>
  <c r="Y32" i="127"/>
  <c r="Y34" i="127"/>
  <c r="Y31" i="127"/>
  <c r="T74" i="78"/>
  <c r="H82" i="78"/>
  <c r="I82" i="78"/>
  <c r="H83" i="78"/>
  <c r="I83" i="78"/>
  <c r="H84" i="78"/>
  <c r="I84" i="78"/>
  <c r="H85" i="78"/>
  <c r="I85" i="78"/>
  <c r="H86" i="78"/>
  <c r="I86" i="78"/>
  <c r="H87" i="78"/>
  <c r="I87" i="78"/>
  <c r="H88" i="78"/>
  <c r="I88" i="78"/>
  <c r="H89" i="78"/>
  <c r="I89" i="78"/>
  <c r="H90" i="78"/>
  <c r="I90" i="78"/>
  <c r="J90" i="78" s="1"/>
  <c r="H91" i="78"/>
  <c r="I91" i="78"/>
  <c r="H92" i="78"/>
  <c r="I92" i="78"/>
  <c r="I81" i="78"/>
  <c r="J81" i="78" s="1"/>
  <c r="H81" i="78"/>
  <c r="J103" i="78"/>
  <c r="I98" i="78"/>
  <c r="I99" i="78"/>
  <c r="I100" i="78"/>
  <c r="I101" i="78"/>
  <c r="I102" i="78"/>
  <c r="I103" i="78"/>
  <c r="I104" i="78"/>
  <c r="I105" i="78"/>
  <c r="I106" i="78"/>
  <c r="I107" i="78"/>
  <c r="I108" i="78"/>
  <c r="I97" i="78"/>
  <c r="H98" i="78"/>
  <c r="H99" i="78"/>
  <c r="J99" i="78" s="1"/>
  <c r="H100" i="78"/>
  <c r="J100" i="78" s="1"/>
  <c r="H101" i="78"/>
  <c r="J101" i="78" s="1"/>
  <c r="H102" i="78"/>
  <c r="H103" i="78"/>
  <c r="H104" i="78"/>
  <c r="J104" i="78" s="1"/>
  <c r="H105" i="78"/>
  <c r="J105" i="78" s="1"/>
  <c r="H106" i="78"/>
  <c r="H107" i="78"/>
  <c r="J107" i="78" s="1"/>
  <c r="H108" i="78"/>
  <c r="J108" i="78" s="1"/>
  <c r="AY36" i="97"/>
  <c r="AY34" i="97"/>
  <c r="AY35" i="97"/>
  <c r="H97" i="78"/>
  <c r="O97" i="78"/>
  <c r="AI24" i="97"/>
  <c r="AI25" i="97"/>
  <c r="BA25" i="97" s="1"/>
  <c r="AI26" i="97"/>
  <c r="AI27" i="97"/>
  <c r="AI28" i="97"/>
  <c r="AI29" i="97"/>
  <c r="AU29" i="97" s="1"/>
  <c r="AI30" i="97"/>
  <c r="AU30" i="97" s="1"/>
  <c r="AI31" i="97"/>
  <c r="AU31" i="97" s="1"/>
  <c r="AI32" i="97"/>
  <c r="AU32" i="97" s="1"/>
  <c r="AI33" i="97"/>
  <c r="AU33" i="97" s="1"/>
  <c r="AI34" i="97"/>
  <c r="AI36" i="97"/>
  <c r="AK34" i="97"/>
  <c r="AH24" i="97"/>
  <c r="AH25" i="97"/>
  <c r="AZ25" i="97" s="1"/>
  <c r="AH26" i="97"/>
  <c r="AH27" i="97"/>
  <c r="AH28" i="97"/>
  <c r="AH29" i="97"/>
  <c r="AT29" i="97" s="1"/>
  <c r="AH30" i="97"/>
  <c r="AT30" i="97" s="1"/>
  <c r="AH31" i="97"/>
  <c r="AT31" i="97" s="1"/>
  <c r="AH32" i="97"/>
  <c r="AT32" i="97" s="1"/>
  <c r="AH33" i="97"/>
  <c r="AT33" i="97" s="1"/>
  <c r="AH34" i="97"/>
  <c r="Z19" i="97"/>
  <c r="AA21" i="127"/>
  <c r="J63" i="132" l="1"/>
  <c r="M20" i="131"/>
  <c r="J60" i="132"/>
  <c r="J70" i="132" s="1"/>
  <c r="H69" i="132"/>
  <c r="G69" i="132"/>
  <c r="J67" i="132"/>
  <c r="I69" i="132"/>
  <c r="G70" i="132"/>
  <c r="H70" i="132" s="1"/>
  <c r="J82" i="78"/>
  <c r="J91" i="78"/>
  <c r="J85" i="78"/>
  <c r="H109" i="78"/>
  <c r="J83" i="78"/>
  <c r="J89" i="78"/>
  <c r="J98" i="78"/>
  <c r="J106" i="78"/>
  <c r="J102" i="78"/>
  <c r="J88" i="78"/>
  <c r="J86" i="78"/>
  <c r="H22" i="131"/>
  <c r="I20" i="131"/>
  <c r="J97" i="78"/>
  <c r="J92" i="78"/>
  <c r="J87" i="78"/>
  <c r="J84" i="78"/>
  <c r="AU28" i="97"/>
  <c r="AT28" i="97"/>
  <c r="AT27" i="97"/>
  <c r="AU27" i="97"/>
  <c r="J40" i="132"/>
  <c r="T42" i="143"/>
  <c r="U42" i="143"/>
  <c r="S9" i="143"/>
  <c r="S10" i="143" s="1"/>
  <c r="T42" i="140"/>
  <c r="U42" i="140"/>
  <c r="S9" i="140"/>
  <c r="AT26" i="97"/>
  <c r="AH37" i="97"/>
  <c r="AN46" i="97" s="1"/>
  <c r="AZ24" i="97"/>
  <c r="AI37" i="97"/>
  <c r="BA24" i="97"/>
  <c r="M45" i="131"/>
  <c r="Q43" i="131"/>
  <c r="L45" i="131"/>
  <c r="P43" i="131"/>
  <c r="R43" i="131"/>
  <c r="AT25" i="97"/>
  <c r="AU26" i="97"/>
  <c r="AT24" i="97"/>
  <c r="AU24" i="97"/>
  <c r="AU25" i="97"/>
  <c r="I27" i="130"/>
  <c r="K22" i="131"/>
  <c r="M22" i="131" s="1"/>
  <c r="U8" i="130"/>
  <c r="F72" i="130"/>
  <c r="E60" i="130"/>
  <c r="R58" i="130"/>
  <c r="K66" i="130"/>
  <c r="L66" i="130" s="1"/>
  <c r="E67" i="130"/>
  <c r="T7" i="130"/>
  <c r="T20" i="130"/>
  <c r="U7" i="130"/>
  <c r="AA45" i="130"/>
  <c r="K67" i="130"/>
  <c r="L67" i="130" s="1"/>
  <c r="E72" i="130"/>
  <c r="F8" i="130" s="1"/>
  <c r="F74" i="130"/>
  <c r="I35" i="130" s="1"/>
  <c r="F61" i="130"/>
  <c r="Q27" i="130"/>
  <c r="W27" i="130"/>
  <c r="S15" i="130"/>
  <c r="T15" i="130" s="1"/>
  <c r="J66" i="130"/>
  <c r="I37" i="130"/>
  <c r="S19" i="130"/>
  <c r="Q9" i="130"/>
  <c r="Q10" i="130" s="1"/>
  <c r="T24" i="130"/>
  <c r="E61" i="130"/>
  <c r="U27" i="130"/>
  <c r="T8" i="130"/>
  <c r="R10" i="130"/>
  <c r="T23" i="130"/>
  <c r="U53" i="130"/>
  <c r="W55" i="130"/>
  <c r="K68" i="130"/>
  <c r="L68" i="130" s="1"/>
  <c r="F68" i="130"/>
  <c r="AJ36" i="97"/>
  <c r="I53" i="130"/>
  <c r="L79" i="130"/>
  <c r="J67" i="130"/>
  <c r="E27" i="130"/>
  <c r="O19" i="130"/>
  <c r="J68" i="130"/>
  <c r="E68" i="130"/>
  <c r="H23" i="130"/>
  <c r="H25" i="130"/>
  <c r="T21" i="130"/>
  <c r="H22" i="130"/>
  <c r="H24" i="130"/>
  <c r="H26" i="130"/>
  <c r="T26" i="130"/>
  <c r="W45" i="130"/>
  <c r="Z45" i="130" s="1"/>
  <c r="H21" i="130"/>
  <c r="F67" i="130"/>
  <c r="I7" i="130"/>
  <c r="T22" i="130"/>
  <c r="Y44" i="127"/>
  <c r="AB44" i="127" s="1"/>
  <c r="AC44" i="127"/>
  <c r="AT35" i="97" l="1"/>
  <c r="AU35" i="97"/>
  <c r="J69" i="132"/>
  <c r="O45" i="131"/>
  <c r="H24" i="131"/>
  <c r="I22" i="131"/>
  <c r="U9" i="143"/>
  <c r="T9" i="143"/>
  <c r="S10" i="140"/>
  <c r="U9" i="140"/>
  <c r="T9" i="140"/>
  <c r="AT37" i="97"/>
  <c r="AU37" i="97"/>
  <c r="N47" i="131"/>
  <c r="R45" i="131"/>
  <c r="M47" i="131"/>
  <c r="Q45" i="131"/>
  <c r="L47" i="131"/>
  <c r="P47" i="131" s="1"/>
  <c r="P45" i="131"/>
  <c r="K24" i="131"/>
  <c r="M24" i="131" s="1"/>
  <c r="F66" i="130"/>
  <c r="S47" i="130" s="1"/>
  <c r="F12" i="130"/>
  <c r="S16" i="130"/>
  <c r="S49" i="130"/>
  <c r="U49" i="130" s="1"/>
  <c r="U15" i="130"/>
  <c r="T27" i="130"/>
  <c r="S48" i="130"/>
  <c r="F10" i="130"/>
  <c r="H27" i="130"/>
  <c r="F85" i="107"/>
  <c r="AN9" i="154" l="1"/>
  <c r="AN10" i="154" s="1"/>
  <c r="AM9" i="156"/>
  <c r="AM10" i="156" s="1"/>
  <c r="AM9" i="155"/>
  <c r="AM10" i="155" s="1"/>
  <c r="AM9" i="151"/>
  <c r="AM10" i="151" s="1"/>
  <c r="AM9" i="152"/>
  <c r="AM10" i="152" s="1"/>
  <c r="O47" i="131"/>
  <c r="S45" i="131"/>
  <c r="H26" i="131"/>
  <c r="I26" i="131" s="1"/>
  <c r="I24" i="131"/>
  <c r="U10" i="140"/>
  <c r="T10" i="140"/>
  <c r="U10" i="143"/>
  <c r="T10" i="143"/>
  <c r="L49" i="131"/>
  <c r="M49" i="131"/>
  <c r="Q47" i="131"/>
  <c r="N49" i="131"/>
  <c r="R47" i="131"/>
  <c r="K26" i="131"/>
  <c r="I8" i="130"/>
  <c r="I12" i="130"/>
  <c r="S57" i="130"/>
  <c r="U57" i="130" s="1"/>
  <c r="W48" i="130"/>
  <c r="X48" i="130" s="1"/>
  <c r="T48" i="130" s="1"/>
  <c r="U16" i="130"/>
  <c r="S56" i="130"/>
  <c r="U48" i="130"/>
  <c r="U47" i="130"/>
  <c r="S12" i="130"/>
  <c r="S55" i="130"/>
  <c r="T47" i="130"/>
  <c r="G85" i="107"/>
  <c r="V33" i="127"/>
  <c r="V32" i="127"/>
  <c r="V31" i="127"/>
  <c r="V39" i="127"/>
  <c r="M75" i="78"/>
  <c r="N75" i="78"/>
  <c r="L75" i="78"/>
  <c r="Q57" i="78"/>
  <c r="D32" i="154" l="1"/>
  <c r="D32" i="153"/>
  <c r="D32" i="151"/>
  <c r="D34" i="151" s="1"/>
  <c r="D32" i="152"/>
  <c r="O49" i="131"/>
  <c r="S47" i="131"/>
  <c r="D32" i="139"/>
  <c r="P32" i="139" s="1"/>
  <c r="P34" i="139" s="1"/>
  <c r="D32" i="150"/>
  <c r="D32" i="147"/>
  <c r="D32" i="145"/>
  <c r="D32" i="143"/>
  <c r="D31" i="141"/>
  <c r="D33" i="141" s="1"/>
  <c r="D32" i="140"/>
  <c r="N51" i="131"/>
  <c r="R49" i="131"/>
  <c r="L51" i="131"/>
  <c r="P51" i="131" s="1"/>
  <c r="P49" i="131"/>
  <c r="M51" i="131"/>
  <c r="Q49" i="131"/>
  <c r="D32" i="138"/>
  <c r="D32" i="130"/>
  <c r="D34" i="130" s="1"/>
  <c r="M26" i="131"/>
  <c r="T12" i="130"/>
  <c r="U12" i="130"/>
  <c r="S58" i="130"/>
  <c r="U55" i="130"/>
  <c r="U56" i="130"/>
  <c r="X55" i="130"/>
  <c r="Z55" i="130" s="1"/>
  <c r="X16" i="78"/>
  <c r="Y16" i="78"/>
  <c r="T15" i="78"/>
  <c r="B33" i="144" s="1"/>
  <c r="D33" i="144" s="1"/>
  <c r="AK15" i="78"/>
  <c r="AI15" i="78"/>
  <c r="P32" i="153" l="1"/>
  <c r="P34" i="153" s="1"/>
  <c r="D34" i="153"/>
  <c r="P32" i="154"/>
  <c r="P34" i="154" s="1"/>
  <c r="D34" i="154"/>
  <c r="P32" i="151"/>
  <c r="P34" i="151" s="1"/>
  <c r="P32" i="152"/>
  <c r="D34" i="152"/>
  <c r="S49" i="131"/>
  <c r="O51" i="131"/>
  <c r="D34" i="139"/>
  <c r="P32" i="145"/>
  <c r="P34" i="145" s="1"/>
  <c r="D34" i="145"/>
  <c r="P32" i="140"/>
  <c r="P34" i="140" s="1"/>
  <c r="D34" i="140"/>
  <c r="P32" i="147"/>
  <c r="P34" i="147" s="1"/>
  <c r="D34" i="147"/>
  <c r="P32" i="150"/>
  <c r="P34" i="150" s="1"/>
  <c r="D34" i="150"/>
  <c r="P32" i="143"/>
  <c r="P34" i="143" s="1"/>
  <c r="D34" i="143"/>
  <c r="L53" i="131"/>
  <c r="P53" i="131" s="1"/>
  <c r="M53" i="131"/>
  <c r="Q53" i="131" s="1"/>
  <c r="Q51" i="131"/>
  <c r="N53" i="131"/>
  <c r="R53" i="131" s="1"/>
  <c r="R51" i="131"/>
  <c r="P32" i="138"/>
  <c r="P34" i="138" s="1"/>
  <c r="D34" i="138"/>
  <c r="V41" i="127"/>
  <c r="U72" i="78"/>
  <c r="U75" i="78" s="1"/>
  <c r="V72" i="78"/>
  <c r="V75" i="78" s="1"/>
  <c r="W72" i="78"/>
  <c r="W75" i="78" s="1"/>
  <c r="Y72" i="78"/>
  <c r="Y75" i="78" s="1"/>
  <c r="Z72" i="78"/>
  <c r="Z75" i="78" s="1"/>
  <c r="T72" i="78"/>
  <c r="T75" i="78" s="1"/>
  <c r="U74" i="78"/>
  <c r="V74" i="78"/>
  <c r="W74" i="78"/>
  <c r="Y74" i="78"/>
  <c r="Z74" i="78"/>
  <c r="AD31" i="78"/>
  <c r="AD27" i="78"/>
  <c r="AD29" i="78"/>
  <c r="AD30" i="78"/>
  <c r="AE30" i="78" s="1"/>
  <c r="X30" i="78" s="1"/>
  <c r="E32" i="142" s="1"/>
  <c r="M56" i="78"/>
  <c r="M57" i="78" s="1"/>
  <c r="N56" i="78"/>
  <c r="N57" i="78" s="1"/>
  <c r="Q17" i="78"/>
  <c r="S8" i="127"/>
  <c r="M32" i="78"/>
  <c r="N32" i="78"/>
  <c r="N65" i="85"/>
  <c r="P65" i="85" s="1"/>
  <c r="N58" i="85"/>
  <c r="P58" i="85" s="1"/>
  <c r="P34" i="152" l="1"/>
  <c r="AW32" i="152"/>
  <c r="AW34" i="152" s="1"/>
  <c r="O53" i="131"/>
  <c r="S53" i="131" s="1"/>
  <c r="S51" i="131"/>
  <c r="I32" i="142"/>
  <c r="L32" i="142" s="1"/>
  <c r="G32" i="142"/>
  <c r="L36" i="78"/>
  <c r="X27" i="126"/>
  <c r="W27" i="126"/>
  <c r="W20" i="126"/>
  <c r="W21" i="126"/>
  <c r="W22" i="126"/>
  <c r="W23" i="126"/>
  <c r="W24" i="126"/>
  <c r="W25" i="126"/>
  <c r="W26" i="126"/>
  <c r="X26" i="126"/>
  <c r="X21" i="126"/>
  <c r="X22" i="126"/>
  <c r="X23" i="126"/>
  <c r="X24" i="126"/>
  <c r="X25" i="126"/>
  <c r="X20" i="126"/>
  <c r="Z12" i="85"/>
  <c r="X12" i="85"/>
  <c r="AA11" i="85"/>
  <c r="AB11" i="85"/>
  <c r="Z8" i="85"/>
  <c r="AB10" i="85"/>
  <c r="AA10" i="85"/>
  <c r="L17" i="85"/>
  <c r="AB12" i="85" l="1"/>
  <c r="AD12" i="85" s="1"/>
  <c r="AD13" i="85" s="1"/>
  <c r="AA12" i="85"/>
  <c r="AA8" i="85"/>
  <c r="Z7" i="85"/>
  <c r="AA7" i="85" s="1"/>
  <c r="V50" i="85" l="1"/>
  <c r="Z50" i="85" s="1"/>
  <c r="AA50" i="85" s="1"/>
  <c r="V49" i="85"/>
  <c r="Z49" i="85" s="1"/>
  <c r="AA49" i="85" s="1"/>
  <c r="N33" i="78"/>
  <c r="I75" i="127" l="1"/>
  <c r="J78" i="127"/>
  <c r="P65" i="107"/>
  <c r="P66" i="107" s="1"/>
  <c r="O65" i="107"/>
  <c r="O66" i="107" s="1"/>
  <c r="J63" i="127"/>
  <c r="I63" i="127" s="1"/>
  <c r="J132" i="127"/>
  <c r="Z37" i="107"/>
  <c r="Z38" i="107" s="1"/>
  <c r="Y37" i="107"/>
  <c r="Y38" i="107" s="1"/>
  <c r="K74" i="127"/>
  <c r="P14" i="128"/>
  <c r="O14" i="128"/>
  <c r="K13" i="128"/>
  <c r="L15" i="128"/>
  <c r="L14" i="128"/>
  <c r="L13" i="128"/>
  <c r="M15" i="128"/>
  <c r="M14" i="128"/>
  <c r="M13" i="128"/>
  <c r="P9" i="128"/>
  <c r="R9" i="128" s="1"/>
  <c r="O9" i="128"/>
  <c r="K8" i="128"/>
  <c r="L8" i="128"/>
  <c r="M10" i="128"/>
  <c r="M9" i="128"/>
  <c r="M8" i="128"/>
  <c r="H16" i="128"/>
  <c r="H11" i="128"/>
  <c r="G16" i="128"/>
  <c r="G11" i="128"/>
  <c r="E16" i="128"/>
  <c r="E11" i="128"/>
  <c r="K65" i="85" l="1"/>
  <c r="R61" i="85" l="1"/>
  <c r="R14" i="128" l="1"/>
  <c r="F11" i="128"/>
  <c r="J16" i="128"/>
  <c r="I16" i="128"/>
  <c r="F16" i="128"/>
  <c r="D16" i="128"/>
  <c r="L9" i="128"/>
  <c r="L10" i="128"/>
  <c r="J11" i="128"/>
  <c r="I11" i="128"/>
  <c r="L11" i="128" s="1"/>
  <c r="D11" i="128"/>
  <c r="H82" i="107"/>
  <c r="E102" i="127"/>
  <c r="I59" i="127" s="1"/>
  <c r="E71" i="127"/>
  <c r="H85" i="107" l="1"/>
  <c r="Q65" i="107"/>
  <c r="Q66" i="107" s="1"/>
  <c r="K16" i="128"/>
  <c r="L16" i="128"/>
  <c r="M16" i="128"/>
  <c r="K11" i="128"/>
  <c r="M11" i="128"/>
  <c r="R26" i="127"/>
  <c r="Q26" i="127"/>
  <c r="J102" i="127"/>
  <c r="T46" i="126"/>
  <c r="U30" i="97" l="1"/>
  <c r="AA30" i="97"/>
  <c r="G65" i="107"/>
  <c r="G67" i="107" s="1"/>
  <c r="G69" i="107" s="1"/>
  <c r="G71" i="107" s="1"/>
  <c r="G73" i="107" s="1"/>
  <c r="G75" i="107" s="1"/>
  <c r="G77" i="107" s="1"/>
  <c r="G79" i="107" s="1"/>
  <c r="G81" i="107" s="1"/>
  <c r="G63" i="107"/>
  <c r="F63" i="107"/>
  <c r="F65" i="107" s="1"/>
  <c r="F67" i="107" s="1"/>
  <c r="F69" i="107" s="1"/>
  <c r="F71" i="107" s="1"/>
  <c r="F73" i="107" s="1"/>
  <c r="F75" i="107" s="1"/>
  <c r="AA24" i="97"/>
  <c r="H80" i="107"/>
  <c r="H78" i="107"/>
  <c r="H76" i="107"/>
  <c r="H74" i="107"/>
  <c r="H70" i="107"/>
  <c r="H68" i="107"/>
  <c r="H66" i="107"/>
  <c r="H64" i="107"/>
  <c r="H62" i="107"/>
  <c r="H61" i="107"/>
  <c r="I83" i="107" s="1"/>
  <c r="P67" i="107" l="1"/>
  <c r="G83" i="107"/>
  <c r="G86" i="107" s="1"/>
  <c r="H63" i="107"/>
  <c r="H65" i="107" s="1"/>
  <c r="H67" i="107" s="1"/>
  <c r="H69" i="107" s="1"/>
  <c r="H71" i="107" s="1"/>
  <c r="H73" i="107"/>
  <c r="H75" i="107" s="1"/>
  <c r="H77" i="107" s="1"/>
  <c r="H79" i="107" s="1"/>
  <c r="H81" i="107" s="1"/>
  <c r="F77" i="107"/>
  <c r="F79" i="107" s="1"/>
  <c r="F81" i="107" s="1"/>
  <c r="O67" i="107" s="1"/>
  <c r="V47" i="126"/>
  <c r="W47" i="126"/>
  <c r="X47" i="126"/>
  <c r="Z46" i="126"/>
  <c r="AA46" i="126" s="1"/>
  <c r="Y46" i="126"/>
  <c r="W46" i="126"/>
  <c r="V46" i="126"/>
  <c r="W15" i="126"/>
  <c r="V15" i="126"/>
  <c r="X15" i="126" s="1"/>
  <c r="V16" i="126"/>
  <c r="W16" i="126"/>
  <c r="U46" i="126"/>
  <c r="J15" i="126"/>
  <c r="J17" i="126"/>
  <c r="J16" i="126"/>
  <c r="G9" i="126"/>
  <c r="X35" i="107"/>
  <c r="X37" i="107"/>
  <c r="X39" i="107"/>
  <c r="X41" i="107"/>
  <c r="X43" i="107"/>
  <c r="X45" i="107"/>
  <c r="X47" i="107"/>
  <c r="X49" i="107"/>
  <c r="X51" i="107"/>
  <c r="X53" i="107"/>
  <c r="Y53" i="107" s="1"/>
  <c r="X55" i="107"/>
  <c r="X34" i="107"/>
  <c r="Y51" i="107"/>
  <c r="Q61" i="126"/>
  <c r="Q62" i="126" s="1"/>
  <c r="AD58" i="78"/>
  <c r="AE58" i="78" s="1"/>
  <c r="Y56" i="78"/>
  <c r="H83" i="107" l="1"/>
  <c r="H86" i="107" s="1"/>
  <c r="Q67" i="107"/>
  <c r="X46" i="126"/>
  <c r="F83" i="107"/>
  <c r="F86" i="107" s="1"/>
  <c r="F88" i="107" s="1"/>
  <c r="BG17" i="97"/>
  <c r="AT40" i="97"/>
  <c r="AU40" i="97"/>
  <c r="AA36" i="97"/>
  <c r="AA34" i="97"/>
  <c r="AA33" i="97"/>
  <c r="AA32" i="97"/>
  <c r="AA31" i="97"/>
  <c r="AA29" i="97"/>
  <c r="AA28" i="97"/>
  <c r="AA27" i="97"/>
  <c r="AA26" i="97"/>
  <c r="AA25" i="97"/>
  <c r="X27" i="127"/>
  <c r="AA37" i="97" l="1"/>
  <c r="E6" i="127"/>
  <c r="AG37" i="107"/>
  <c r="AG38" i="107" s="1"/>
  <c r="AF37" i="107"/>
  <c r="AF38" i="107" s="1"/>
  <c r="AE37" i="107"/>
  <c r="AE38" i="107" s="1"/>
  <c r="AD37" i="107"/>
  <c r="AD38" i="107" s="1"/>
  <c r="AC37" i="107"/>
  <c r="AC38" i="107" s="1"/>
  <c r="AB37" i="107"/>
  <c r="AB38" i="107" s="1"/>
  <c r="D102" i="127"/>
  <c r="I65" i="127" s="1"/>
  <c r="K65" i="127" s="1"/>
  <c r="L65" i="127" s="1"/>
  <c r="J73" i="127"/>
  <c r="I132" i="127"/>
  <c r="H61" i="127" s="1"/>
  <c r="E61" i="127" s="1"/>
  <c r="H132" i="127"/>
  <c r="H67" i="127" s="1"/>
  <c r="E67" i="127" s="1"/>
  <c r="T56" i="127" s="1"/>
  <c r="G132" i="127"/>
  <c r="H60" i="127" s="1"/>
  <c r="E60" i="127" s="1"/>
  <c r="F132" i="127"/>
  <c r="H66" i="127" s="1"/>
  <c r="E132" i="127"/>
  <c r="H59" i="127" s="1"/>
  <c r="E59" i="127" s="1"/>
  <c r="D132" i="127"/>
  <c r="H65" i="127" s="1"/>
  <c r="E65" i="127" s="1"/>
  <c r="U42" i="127"/>
  <c r="U42" i="134" s="1"/>
  <c r="W41" i="127"/>
  <c r="W23" i="127"/>
  <c r="K73" i="127"/>
  <c r="I73" i="127" s="1"/>
  <c r="I102" i="127"/>
  <c r="I61" i="127" s="1"/>
  <c r="F61" i="127" s="1"/>
  <c r="U17" i="127" s="1"/>
  <c r="H102" i="127"/>
  <c r="I67" i="127" s="1"/>
  <c r="K67" i="127" s="1"/>
  <c r="L67" i="127" s="1"/>
  <c r="G102" i="127"/>
  <c r="I60" i="127" s="1"/>
  <c r="F102" i="127"/>
  <c r="I66" i="127" s="1"/>
  <c r="K66" i="127" s="1"/>
  <c r="L66" i="127" s="1"/>
  <c r="F59" i="127"/>
  <c r="U15" i="127" s="1"/>
  <c r="V15" i="127" s="1"/>
  <c r="K78" i="127"/>
  <c r="F71" i="127" s="1"/>
  <c r="L78" i="127"/>
  <c r="L76" i="127"/>
  <c r="F75" i="127"/>
  <c r="H75" i="127"/>
  <c r="E75" i="127" s="1"/>
  <c r="I74" i="127"/>
  <c r="F74" i="127" s="1"/>
  <c r="H74" i="127"/>
  <c r="E74" i="127"/>
  <c r="I72" i="127"/>
  <c r="H72" i="127"/>
  <c r="F72" i="127"/>
  <c r="E72" i="127"/>
  <c r="AE71" i="127"/>
  <c r="AC71" i="127"/>
  <c r="AB71" i="127"/>
  <c r="Z71" i="127"/>
  <c r="Y71" i="127"/>
  <c r="W71" i="127"/>
  <c r="V71" i="127"/>
  <c r="I71" i="127"/>
  <c r="H71" i="127"/>
  <c r="C71" i="127"/>
  <c r="I70" i="127"/>
  <c r="F70" i="127" s="1"/>
  <c r="H70" i="127"/>
  <c r="E70" i="127" s="1"/>
  <c r="AF64" i="127"/>
  <c r="AE64" i="127"/>
  <c r="AC64" i="127"/>
  <c r="AB64" i="127"/>
  <c r="Z64" i="127"/>
  <c r="Y64" i="127"/>
  <c r="W64" i="127"/>
  <c r="V64" i="127"/>
  <c r="AC58" i="127"/>
  <c r="W58" i="127"/>
  <c r="V58" i="127"/>
  <c r="AB58" i="127" s="1"/>
  <c r="I57" i="127"/>
  <c r="H57" i="127"/>
  <c r="W52" i="127"/>
  <c r="G52" i="127"/>
  <c r="F52" i="127"/>
  <c r="W51" i="127"/>
  <c r="I51" i="127"/>
  <c r="W50" i="127"/>
  <c r="V50" i="127"/>
  <c r="I50" i="127"/>
  <c r="L46" i="127"/>
  <c r="J46" i="127"/>
  <c r="J44" i="127"/>
  <c r="I44" i="127"/>
  <c r="J43" i="127"/>
  <c r="J42" i="127"/>
  <c r="J41" i="127"/>
  <c r="H41" i="127"/>
  <c r="W40" i="127"/>
  <c r="V40" i="127"/>
  <c r="J40" i="127"/>
  <c r="H39" i="127"/>
  <c r="J39" i="127"/>
  <c r="I39" i="127"/>
  <c r="K36" i="127"/>
  <c r="J36" i="127"/>
  <c r="J34" i="127"/>
  <c r="K32" i="127"/>
  <c r="J32" i="127"/>
  <c r="K31" i="127"/>
  <c r="J31" i="127"/>
  <c r="S29" i="127"/>
  <c r="E29" i="127"/>
  <c r="R27" i="127"/>
  <c r="Y27" i="127" s="1"/>
  <c r="G27" i="127"/>
  <c r="F27" i="127"/>
  <c r="D27" i="127"/>
  <c r="C27" i="127"/>
  <c r="I26" i="127"/>
  <c r="AB23" i="127"/>
  <c r="S23" i="127"/>
  <c r="I23" i="127"/>
  <c r="E23" i="127"/>
  <c r="S22" i="127"/>
  <c r="I22" i="127"/>
  <c r="E22" i="127"/>
  <c r="I21" i="127"/>
  <c r="E21" i="127"/>
  <c r="S20" i="127"/>
  <c r="I20" i="127"/>
  <c r="E20" i="127"/>
  <c r="G19" i="127"/>
  <c r="F19" i="127"/>
  <c r="D19" i="127"/>
  <c r="C19" i="127"/>
  <c r="J17" i="127"/>
  <c r="J15" i="127"/>
  <c r="Q10" i="127"/>
  <c r="C10" i="127"/>
  <c r="Z9" i="127"/>
  <c r="R9" i="127"/>
  <c r="G9" i="127"/>
  <c r="F9" i="127"/>
  <c r="E9" i="127"/>
  <c r="D9" i="127"/>
  <c r="Z8" i="127"/>
  <c r="AA7" i="127"/>
  <c r="Z7" i="127"/>
  <c r="G7" i="127"/>
  <c r="H23" i="127" s="1"/>
  <c r="F7" i="127"/>
  <c r="U4" i="127"/>
  <c r="U19" i="127" s="1"/>
  <c r="T4" i="127"/>
  <c r="Q19" i="127" s="1"/>
  <c r="E4" i="127"/>
  <c r="S4" i="127" s="1"/>
  <c r="Z23" i="126"/>
  <c r="AH42" i="134" l="1"/>
  <c r="BA42" i="134"/>
  <c r="BD42" i="134" s="1"/>
  <c r="R10" i="127"/>
  <c r="S9" i="127"/>
  <c r="I36" i="127"/>
  <c r="W26" i="127"/>
  <c r="W20" i="127"/>
  <c r="I52" i="127"/>
  <c r="I33" i="127"/>
  <c r="H32" i="127"/>
  <c r="H33" i="127"/>
  <c r="W22" i="127"/>
  <c r="F67" i="127"/>
  <c r="T6" i="127"/>
  <c r="I17" i="127"/>
  <c r="J67" i="127"/>
  <c r="H73" i="127"/>
  <c r="E73" i="127" s="1"/>
  <c r="J66" i="127"/>
  <c r="E66" i="127"/>
  <c r="T55" i="127" s="1"/>
  <c r="F73" i="127"/>
  <c r="F60" i="127"/>
  <c r="R19" i="127"/>
  <c r="I31" i="127"/>
  <c r="U7" i="127"/>
  <c r="V20" i="127" s="1"/>
  <c r="Q27" i="127"/>
  <c r="S27" i="127" s="1"/>
  <c r="W21" i="127"/>
  <c r="U27" i="127"/>
  <c r="F6" i="127"/>
  <c r="J16" i="127"/>
  <c r="W15" i="127"/>
  <c r="I15" i="127"/>
  <c r="S12" i="127"/>
  <c r="E12" i="127"/>
  <c r="E10" i="127"/>
  <c r="J65" i="127"/>
  <c r="T27" i="127"/>
  <c r="H9" i="127"/>
  <c r="E27" i="127"/>
  <c r="H20" i="127"/>
  <c r="I27" i="127"/>
  <c r="H26" i="127"/>
  <c r="F65" i="127"/>
  <c r="T19" i="127"/>
  <c r="S21" i="127"/>
  <c r="H25" i="127"/>
  <c r="H7" i="127"/>
  <c r="I9" i="127"/>
  <c r="H15" i="127"/>
  <c r="H21" i="127"/>
  <c r="H24" i="127"/>
  <c r="H50" i="127"/>
  <c r="H22" i="127"/>
  <c r="I7" i="127"/>
  <c r="F66" i="127"/>
  <c r="U16" i="127" l="1"/>
  <c r="X6" i="127" s="1"/>
  <c r="S10" i="127"/>
  <c r="V25" i="127"/>
  <c r="V26" i="127"/>
  <c r="V7" i="127"/>
  <c r="U48" i="127"/>
  <c r="W48" i="127" s="1"/>
  <c r="I48" i="127"/>
  <c r="I32" i="127"/>
  <c r="V23" i="127"/>
  <c r="V21" i="127"/>
  <c r="V24" i="127"/>
  <c r="V22" i="127"/>
  <c r="W7" i="127"/>
  <c r="W17" i="127"/>
  <c r="K47" i="127"/>
  <c r="L47" i="127" s="1"/>
  <c r="H47" i="127" s="1"/>
  <c r="F8" i="127"/>
  <c r="F10" i="127" s="1"/>
  <c r="F12" i="127"/>
  <c r="I16" i="127"/>
  <c r="I6" i="127"/>
  <c r="K16" i="127"/>
  <c r="L16" i="127" s="1"/>
  <c r="H16" i="127" s="1"/>
  <c r="G8" i="127"/>
  <c r="I34" i="127"/>
  <c r="U47" i="127"/>
  <c r="I47" i="127"/>
  <c r="U46" i="127"/>
  <c r="G12" i="127"/>
  <c r="H12" i="127" s="1"/>
  <c r="H46" i="127"/>
  <c r="I46" i="127"/>
  <c r="H27" i="127"/>
  <c r="W27" i="127"/>
  <c r="T12" i="127"/>
  <c r="Y40" i="126"/>
  <c r="Y41" i="126" s="1"/>
  <c r="Z41" i="126" s="1"/>
  <c r="V6" i="127" l="1"/>
  <c r="U12" i="127"/>
  <c r="V12" i="127" s="1"/>
  <c r="V16" i="127"/>
  <c r="AC15" i="127"/>
  <c r="W16" i="127"/>
  <c r="U56" i="127"/>
  <c r="W56" i="127" s="1"/>
  <c r="V27" i="127"/>
  <c r="Y6" i="127"/>
  <c r="T8" i="127"/>
  <c r="T10" i="127" s="1"/>
  <c r="H6" i="127"/>
  <c r="W6" i="127"/>
  <c r="G10" i="127"/>
  <c r="I12" i="127"/>
  <c r="I8" i="127"/>
  <c r="H8" i="127"/>
  <c r="U55" i="127"/>
  <c r="Y47" i="127"/>
  <c r="Z47" i="127" s="1"/>
  <c r="V47" i="127" s="1"/>
  <c r="W47" i="127"/>
  <c r="U54" i="127"/>
  <c r="W54" i="127" s="1"/>
  <c r="V46" i="127"/>
  <c r="W46" i="127"/>
  <c r="W39" i="126"/>
  <c r="I10" i="127" l="1"/>
  <c r="H10" i="127"/>
  <c r="U57" i="127"/>
  <c r="W55" i="127"/>
  <c r="Z54" i="127"/>
  <c r="W12" i="127"/>
  <c r="G48" i="126"/>
  <c r="G47" i="126"/>
  <c r="G46" i="126"/>
  <c r="P9" i="126"/>
  <c r="P10" i="126"/>
  <c r="Q12" i="126"/>
  <c r="I46" i="126" l="1"/>
  <c r="H46" i="126"/>
  <c r="R12" i="126"/>
  <c r="F8" i="126"/>
  <c r="G8" i="126"/>
  <c r="E9" i="126"/>
  <c r="Q6" i="126"/>
  <c r="Q10" i="126" s="1"/>
  <c r="Q9" i="126"/>
  <c r="G17" i="126"/>
  <c r="G16" i="126"/>
  <c r="G15" i="126"/>
  <c r="K15" i="126" l="1"/>
  <c r="L15" i="126" s="1"/>
  <c r="I16" i="126"/>
  <c r="K16" i="126"/>
  <c r="S31" i="126"/>
  <c r="S34" i="126"/>
  <c r="W34" i="127" s="1"/>
  <c r="S35" i="126"/>
  <c r="W35" i="127" s="1"/>
  <c r="S33" i="126"/>
  <c r="S32" i="126"/>
  <c r="S12" i="126"/>
  <c r="S27" i="126"/>
  <c r="K17" i="126" l="1"/>
  <c r="L16" i="126"/>
  <c r="H16" i="126" s="1"/>
  <c r="W31" i="127"/>
  <c r="W33" i="127"/>
  <c r="W32" i="127"/>
  <c r="AI14" i="78"/>
  <c r="Z14" i="78" s="1"/>
  <c r="K32" i="144" s="1"/>
  <c r="M32" i="144" s="1"/>
  <c r="C15" i="78" l="1"/>
  <c r="B15" i="78"/>
  <c r="D15" i="78" s="1"/>
  <c r="B14" i="78"/>
  <c r="AK14" i="78" l="1"/>
  <c r="X39" i="126"/>
  <c r="X40" i="126"/>
  <c r="W40" i="126"/>
  <c r="T14" i="78"/>
  <c r="B32" i="144" s="1"/>
  <c r="D32" i="144" s="1"/>
  <c r="AY17" i="97" l="1"/>
  <c r="AY16" i="97"/>
  <c r="AK16" i="97"/>
  <c r="AK17" i="97" s="1"/>
  <c r="AH39" i="97"/>
  <c r="AL34" i="97"/>
  <c r="AL16" i="97"/>
  <c r="P78" i="107"/>
  <c r="O78" i="107"/>
  <c r="AE64" i="126"/>
  <c r="AC71" i="126"/>
  <c r="AD71" i="126"/>
  <c r="AD64" i="126"/>
  <c r="AC64" i="126"/>
  <c r="AL19" i="97" l="1"/>
  <c r="AL17" i="97"/>
  <c r="AZ19" i="97"/>
  <c r="AM34" i="97"/>
  <c r="AJ34" i="97"/>
  <c r="H70" i="126"/>
  <c r="F72" i="126"/>
  <c r="E72" i="126"/>
  <c r="I74" i="126"/>
  <c r="F74" i="126" s="1"/>
  <c r="K78" i="126"/>
  <c r="F71" i="126" s="1"/>
  <c r="J78" i="126"/>
  <c r="E71" i="126" s="1"/>
  <c r="S52" i="126"/>
  <c r="R52" i="126"/>
  <c r="U51" i="126"/>
  <c r="U50" i="126"/>
  <c r="G52" i="126"/>
  <c r="F52" i="126"/>
  <c r="U52" i="126" l="1"/>
  <c r="T50" i="126"/>
  <c r="L16" i="85" l="1"/>
  <c r="N16" i="85" s="1"/>
  <c r="P16" i="85" s="1"/>
  <c r="AJ43" i="97"/>
  <c r="AJ42" i="97"/>
  <c r="AJ40" i="97"/>
  <c r="AV40" i="97" s="1"/>
  <c r="L15" i="85"/>
  <c r="AY6" i="97" l="1"/>
  <c r="Y108" i="78"/>
  <c r="C6" i="78" l="1"/>
  <c r="C7" i="78"/>
  <c r="C8" i="78"/>
  <c r="C9" i="78"/>
  <c r="C10" i="78"/>
  <c r="C11" i="78"/>
  <c r="C12" i="78"/>
  <c r="C13" i="78"/>
  <c r="C14" i="78"/>
  <c r="C5" i="78"/>
  <c r="B6" i="78"/>
  <c r="B7" i="78"/>
  <c r="B8" i="78"/>
  <c r="B9" i="78"/>
  <c r="B11" i="78"/>
  <c r="B12" i="78"/>
  <c r="B13" i="78"/>
  <c r="B5" i="78"/>
  <c r="B17" i="78" l="1"/>
  <c r="C17" i="78"/>
  <c r="D9" i="78"/>
  <c r="D12" i="78"/>
  <c r="D8" i="78"/>
  <c r="D11" i="78"/>
  <c r="D7" i="78"/>
  <c r="D14" i="78"/>
  <c r="D6" i="78"/>
  <c r="D10" i="78"/>
  <c r="D13" i="78"/>
  <c r="D5" i="78"/>
  <c r="W71" i="126"/>
  <c r="I66" i="126" s="1"/>
  <c r="W64" i="126"/>
  <c r="I65" i="126" s="1"/>
  <c r="T64" i="126"/>
  <c r="H65" i="126" s="1"/>
  <c r="D17" i="78" l="1"/>
  <c r="T71" i="126"/>
  <c r="H66" i="126" s="1"/>
  <c r="AA71" i="126"/>
  <c r="Z71" i="126"/>
  <c r="X71" i="126"/>
  <c r="I60" i="126" s="1"/>
  <c r="U71" i="126"/>
  <c r="H60" i="126" s="1"/>
  <c r="U64" i="126"/>
  <c r="H59" i="126" s="1"/>
  <c r="X64" i="126"/>
  <c r="I59" i="126" s="1"/>
  <c r="Z64" i="126"/>
  <c r="J73" i="126" s="1"/>
  <c r="AA64" i="126"/>
  <c r="K73" i="126" s="1"/>
  <c r="U58" i="126"/>
  <c r="P57" i="125"/>
  <c r="P56" i="125"/>
  <c r="X111" i="78" l="1"/>
  <c r="W110" i="78"/>
  <c r="X110" i="78"/>
  <c r="W111" i="78"/>
  <c r="S65" i="107"/>
  <c r="S66" i="107" s="1"/>
  <c r="Y99" i="78"/>
  <c r="Y100" i="78"/>
  <c r="AA100" i="78" s="1"/>
  <c r="Y101" i="78"/>
  <c r="AA101" i="78" s="1"/>
  <c r="Y102" i="78"/>
  <c r="Z102" i="78" s="1"/>
  <c r="Y103" i="78"/>
  <c r="AA103" i="78" s="1"/>
  <c r="Y104" i="78"/>
  <c r="Z104" i="78" s="1"/>
  <c r="Y105" i="78"/>
  <c r="AA105" i="78" s="1"/>
  <c r="Y106" i="78"/>
  <c r="Z106" i="78" s="1"/>
  <c r="Y107" i="78"/>
  <c r="Z107" i="78" s="1"/>
  <c r="Y98" i="78"/>
  <c r="K10" i="125"/>
  <c r="AB41" i="125"/>
  <c r="AD41" i="125"/>
  <c r="AC41" i="125"/>
  <c r="H32" i="125"/>
  <c r="I32" i="125"/>
  <c r="AH22" i="78"/>
  <c r="AC16" i="78"/>
  <c r="AF40" i="125"/>
  <c r="AF42" i="125"/>
  <c r="AF43" i="125"/>
  <c r="AF39" i="125"/>
  <c r="I42" i="125"/>
  <c r="AE40" i="125"/>
  <c r="AE42" i="125"/>
  <c r="AE43" i="125"/>
  <c r="AE39" i="125"/>
  <c r="BA19" i="97" l="1"/>
  <c r="AA98" i="78"/>
  <c r="Z98" i="78"/>
  <c r="Y110" i="78"/>
  <c r="Z105" i="78"/>
  <c r="Z101" i="78"/>
  <c r="AA102" i="78"/>
  <c r="Z100" i="78"/>
  <c r="AA106" i="78"/>
  <c r="AA107" i="78"/>
  <c r="Z103" i="78"/>
  <c r="AE41" i="125"/>
  <c r="AF41" i="125"/>
  <c r="Y112" i="78" l="1"/>
  <c r="Z110" i="78"/>
  <c r="AA110" i="78"/>
  <c r="E66" i="126" l="1"/>
  <c r="F66" i="126"/>
  <c r="E67" i="126"/>
  <c r="F67" i="126"/>
  <c r="F65" i="126"/>
  <c r="E65" i="126"/>
  <c r="E60" i="126"/>
  <c r="F60" i="126"/>
  <c r="E61" i="126"/>
  <c r="F61" i="126"/>
  <c r="F59" i="126"/>
  <c r="E59" i="126"/>
  <c r="E102" i="126"/>
  <c r="F102" i="126"/>
  <c r="G102" i="126"/>
  <c r="H102" i="126"/>
  <c r="I102" i="126"/>
  <c r="J102" i="126"/>
  <c r="D102" i="126"/>
  <c r="H75" i="126"/>
  <c r="E75" i="126" s="1"/>
  <c r="I75" i="126"/>
  <c r="F75" i="126" s="1"/>
  <c r="I71" i="126"/>
  <c r="I72" i="126"/>
  <c r="I73" i="126"/>
  <c r="F73" i="126" s="1"/>
  <c r="H71" i="126"/>
  <c r="H72" i="126"/>
  <c r="H73" i="126"/>
  <c r="E73" i="126" s="1"/>
  <c r="H74" i="126"/>
  <c r="E74" i="126" s="1"/>
  <c r="I70" i="126"/>
  <c r="F70" i="126" s="1"/>
  <c r="E70" i="126"/>
  <c r="G6" i="126" l="1"/>
  <c r="I57" i="126"/>
  <c r="H57" i="126"/>
  <c r="T58" i="126" l="1"/>
  <c r="O21" i="126"/>
  <c r="O23" i="126"/>
  <c r="T31" i="126"/>
  <c r="H32" i="126"/>
  <c r="L78" i="126"/>
  <c r="L76" i="126"/>
  <c r="C71" i="126"/>
  <c r="K67" i="126"/>
  <c r="L67" i="126" s="1"/>
  <c r="J67" i="126"/>
  <c r="K66" i="126"/>
  <c r="L66" i="126" s="1"/>
  <c r="J66" i="126"/>
  <c r="J65" i="126"/>
  <c r="K65" i="126"/>
  <c r="L65" i="126" s="1"/>
  <c r="J63" i="126"/>
  <c r="I63" i="126" s="1"/>
  <c r="AA58" i="126"/>
  <c r="Z58" i="126"/>
  <c r="H50" i="126"/>
  <c r="I51" i="126"/>
  <c r="I50" i="126"/>
  <c r="L46" i="126"/>
  <c r="J46" i="126"/>
  <c r="J44" i="126"/>
  <c r="J43" i="126"/>
  <c r="S42" i="126"/>
  <c r="J42" i="126"/>
  <c r="W41" i="126"/>
  <c r="X41" i="126" s="1"/>
  <c r="J41" i="126"/>
  <c r="J40" i="126"/>
  <c r="J39" i="126"/>
  <c r="K36" i="126"/>
  <c r="J36" i="126"/>
  <c r="I36" i="126"/>
  <c r="J34" i="126"/>
  <c r="I34" i="126"/>
  <c r="I33" i="126"/>
  <c r="K32" i="126"/>
  <c r="J32" i="126"/>
  <c r="K31" i="126"/>
  <c r="J31" i="126"/>
  <c r="Q29" i="126"/>
  <c r="E29" i="126"/>
  <c r="G27" i="126"/>
  <c r="F27" i="126"/>
  <c r="D27" i="126"/>
  <c r="C27" i="126"/>
  <c r="I26" i="126"/>
  <c r="I23" i="126"/>
  <c r="E23" i="126"/>
  <c r="I22" i="126"/>
  <c r="E22" i="126"/>
  <c r="I21" i="126"/>
  <c r="E21" i="126"/>
  <c r="I20" i="126"/>
  <c r="E20" i="126"/>
  <c r="G19" i="126"/>
  <c r="F19" i="126"/>
  <c r="D19" i="126"/>
  <c r="C19" i="126"/>
  <c r="I17" i="126"/>
  <c r="I15" i="126"/>
  <c r="F12" i="126"/>
  <c r="O10" i="126"/>
  <c r="C10" i="126"/>
  <c r="F9" i="126"/>
  <c r="D9" i="126"/>
  <c r="H8" i="126"/>
  <c r="I8" i="126"/>
  <c r="G7" i="126"/>
  <c r="H26" i="126" s="1"/>
  <c r="F7" i="126"/>
  <c r="F6" i="126"/>
  <c r="I6" i="126" s="1"/>
  <c r="S4" i="126"/>
  <c r="S19" i="126" s="1"/>
  <c r="R4" i="126"/>
  <c r="O19" i="126" s="1"/>
  <c r="E4" i="126"/>
  <c r="Q4" i="126" s="1"/>
  <c r="E12" i="126" l="1"/>
  <c r="H15" i="126"/>
  <c r="H39" i="126"/>
  <c r="H40" i="126"/>
  <c r="I39" i="126"/>
  <c r="Q23" i="126"/>
  <c r="Q21" i="126"/>
  <c r="I32" i="126"/>
  <c r="E10" i="126"/>
  <c r="H7" i="126"/>
  <c r="H21" i="126"/>
  <c r="H23" i="126"/>
  <c r="I27" i="126"/>
  <c r="Q20" i="126"/>
  <c r="Q22" i="126"/>
  <c r="E27" i="126"/>
  <c r="I7" i="126"/>
  <c r="H24" i="126"/>
  <c r="H20" i="126"/>
  <c r="H22" i="126"/>
  <c r="H25" i="126"/>
  <c r="F10" i="126"/>
  <c r="H33" i="126"/>
  <c r="H31" i="126"/>
  <c r="P19" i="126"/>
  <c r="R19" i="126"/>
  <c r="H41" i="126"/>
  <c r="I48" i="126"/>
  <c r="I52" i="126"/>
  <c r="I31" i="126"/>
  <c r="I47" i="126"/>
  <c r="R9" i="126"/>
  <c r="K47" i="126"/>
  <c r="L47" i="126" l="1"/>
  <c r="H47" i="126" s="1"/>
  <c r="H6" i="126"/>
  <c r="H27" i="126"/>
  <c r="G12" i="126"/>
  <c r="S20" i="125"/>
  <c r="G7" i="125"/>
  <c r="I12" i="126" l="1"/>
  <c r="H12" i="126"/>
  <c r="AI13" i="78"/>
  <c r="Z13" i="78" s="1"/>
  <c r="K31" i="144" s="1"/>
  <c r="M31" i="144" s="1"/>
  <c r="R40" i="125" l="1"/>
  <c r="R41" i="125"/>
  <c r="R42" i="125"/>
  <c r="S42" i="125"/>
  <c r="R43" i="125"/>
  <c r="R44" i="125"/>
  <c r="R39" i="125"/>
  <c r="G37" i="125"/>
  <c r="T13" i="78"/>
  <c r="G31" i="125"/>
  <c r="G34" i="125"/>
  <c r="N16" i="78"/>
  <c r="AA13" i="78" l="1"/>
  <c r="B31" i="144"/>
  <c r="D31" i="144" s="1"/>
  <c r="R9" i="125"/>
  <c r="AK13" i="78"/>
  <c r="F14" i="78" l="1"/>
  <c r="G14" i="78" s="1"/>
  <c r="O31" i="144"/>
  <c r="R31" i="144" s="1"/>
  <c r="G43" i="125"/>
  <c r="G41" i="125"/>
  <c r="G40" i="125"/>
  <c r="G39" i="125"/>
  <c r="S39" i="125" s="1"/>
  <c r="Y40" i="125"/>
  <c r="Z40" i="125" s="1"/>
  <c r="M16" i="78"/>
  <c r="H72" i="125"/>
  <c r="I41" i="125" l="1"/>
  <c r="S41" i="125"/>
  <c r="I40" i="125"/>
  <c r="S40" i="125"/>
  <c r="I43" i="125"/>
  <c r="S43" i="125"/>
  <c r="R26" i="125"/>
  <c r="R25" i="125"/>
  <c r="R22" i="125"/>
  <c r="S21" i="125"/>
  <c r="R21" i="125"/>
  <c r="R20" i="125"/>
  <c r="U20" i="126" l="1"/>
  <c r="I59" i="125"/>
  <c r="J44" i="78"/>
  <c r="J61" i="78"/>
  <c r="J62" i="78"/>
  <c r="J63" i="78"/>
  <c r="J64" i="78"/>
  <c r="J65" i="78"/>
  <c r="J66" i="78"/>
  <c r="J67" i="78"/>
  <c r="J68" i="78"/>
  <c r="J69" i="78"/>
  <c r="J70" i="78"/>
  <c r="J71" i="78"/>
  <c r="J60" i="78"/>
  <c r="J45" i="78"/>
  <c r="J46" i="78"/>
  <c r="J47" i="78"/>
  <c r="J48" i="78"/>
  <c r="J49" i="78"/>
  <c r="J50" i="78"/>
  <c r="J51" i="78"/>
  <c r="J52" i="78"/>
  <c r="K67" i="125"/>
  <c r="J78" i="125"/>
  <c r="U21" i="126" l="1"/>
  <c r="H71" i="125"/>
  <c r="E71" i="125" s="1"/>
  <c r="H36" i="107"/>
  <c r="H38" i="107" s="1"/>
  <c r="H40" i="107" s="1"/>
  <c r="H42" i="107" s="1"/>
  <c r="H44" i="107" s="1"/>
  <c r="H46" i="107" s="1"/>
  <c r="H48" i="107" s="1"/>
  <c r="H50" i="107" s="1"/>
  <c r="H52" i="107" s="1"/>
  <c r="H54" i="107" s="1"/>
  <c r="H56" i="107" s="1"/>
  <c r="D55" i="107"/>
  <c r="D53" i="107"/>
  <c r="D72" i="107" s="1"/>
  <c r="D51" i="107"/>
  <c r="G51" i="107" s="1"/>
  <c r="D49" i="107"/>
  <c r="D47" i="107"/>
  <c r="D45" i="107"/>
  <c r="D43" i="107"/>
  <c r="D41" i="107"/>
  <c r="D39" i="107"/>
  <c r="D37" i="107"/>
  <c r="F36" i="107"/>
  <c r="F38" i="107" s="1"/>
  <c r="F40" i="107" s="1"/>
  <c r="F42" i="107" s="1"/>
  <c r="F44" i="107" s="1"/>
  <c r="F46" i="107" s="1"/>
  <c r="F48" i="107" s="1"/>
  <c r="F50" i="107" s="1"/>
  <c r="F52" i="107" s="1"/>
  <c r="E36" i="107"/>
  <c r="E38" i="107" s="1"/>
  <c r="E40" i="107" s="1"/>
  <c r="E42" i="107" s="1"/>
  <c r="E44" i="107" s="1"/>
  <c r="E46" i="107" s="1"/>
  <c r="E48" i="107" s="1"/>
  <c r="E50" i="107" s="1"/>
  <c r="E52" i="107" s="1"/>
  <c r="C36" i="107"/>
  <c r="C38" i="107" s="1"/>
  <c r="C40" i="107" s="1"/>
  <c r="C42" i="107" s="1"/>
  <c r="C44" i="107" s="1"/>
  <c r="C46" i="107" s="1"/>
  <c r="C48" i="107" s="1"/>
  <c r="C50" i="107" s="1"/>
  <c r="C52" i="107" s="1"/>
  <c r="B36" i="107"/>
  <c r="B38" i="107" s="1"/>
  <c r="B40" i="107" s="1"/>
  <c r="B42" i="107" s="1"/>
  <c r="B44" i="107" s="1"/>
  <c r="B46" i="107" s="1"/>
  <c r="B48" i="107" s="1"/>
  <c r="B50" i="107" s="1"/>
  <c r="B52" i="107" s="1"/>
  <c r="D35" i="107"/>
  <c r="D34" i="107"/>
  <c r="AA7" i="97"/>
  <c r="AA8" i="97"/>
  <c r="AA9" i="97"/>
  <c r="AA10" i="97"/>
  <c r="AA11" i="97"/>
  <c r="AA12" i="97"/>
  <c r="AA13" i="97"/>
  <c r="AA14" i="97"/>
  <c r="AA15" i="97"/>
  <c r="AA16" i="97"/>
  <c r="AA18" i="97"/>
  <c r="AA6" i="97"/>
  <c r="I72" i="125"/>
  <c r="L76" i="125"/>
  <c r="J67" i="125"/>
  <c r="E67" i="125"/>
  <c r="E61" i="125"/>
  <c r="F61" i="125"/>
  <c r="F67" i="125"/>
  <c r="I60" i="125"/>
  <c r="F60" i="125" s="1"/>
  <c r="I66" i="125"/>
  <c r="H60" i="125"/>
  <c r="E60" i="125" s="1"/>
  <c r="H66" i="125"/>
  <c r="J66" i="125" s="1"/>
  <c r="H59" i="125"/>
  <c r="E59" i="125" s="1"/>
  <c r="I65" i="125"/>
  <c r="K65" i="125" s="1"/>
  <c r="F59" i="125"/>
  <c r="H73" i="125"/>
  <c r="E73" i="125" s="1"/>
  <c r="I73" i="125"/>
  <c r="F73" i="125" s="1"/>
  <c r="H65" i="125"/>
  <c r="E65" i="125" s="1"/>
  <c r="AA58" i="125"/>
  <c r="Z58" i="125"/>
  <c r="R66" i="107"/>
  <c r="AA17" i="97" l="1"/>
  <c r="G37" i="107"/>
  <c r="D63" i="107"/>
  <c r="G45" i="107"/>
  <c r="D68" i="107"/>
  <c r="G39" i="107"/>
  <c r="D64" i="107"/>
  <c r="G47" i="107"/>
  <c r="D69" i="107"/>
  <c r="D73" i="107"/>
  <c r="AA37" i="107"/>
  <c r="AA38" i="107" s="1"/>
  <c r="G34" i="107"/>
  <c r="D61" i="107"/>
  <c r="G41" i="107"/>
  <c r="D66" i="107"/>
  <c r="G49" i="107"/>
  <c r="D70" i="107"/>
  <c r="G35" i="107"/>
  <c r="D62" i="107"/>
  <c r="G43" i="107"/>
  <c r="D67" i="107"/>
  <c r="AA19" i="97"/>
  <c r="E54" i="107"/>
  <c r="F54" i="107"/>
  <c r="C54" i="107"/>
  <c r="B54" i="107"/>
  <c r="G53" i="107"/>
  <c r="K66" i="125"/>
  <c r="AL33" i="97"/>
  <c r="D36" i="107"/>
  <c r="D38" i="107" s="1"/>
  <c r="D40" i="107" s="1"/>
  <c r="D42" i="107" s="1"/>
  <c r="D44" i="107" s="1"/>
  <c r="G44" i="107" s="1"/>
  <c r="F65" i="125"/>
  <c r="L78" i="125"/>
  <c r="F66" i="125"/>
  <c r="E66" i="125"/>
  <c r="J65" i="125"/>
  <c r="AK33" i="97" s="1"/>
  <c r="X57" i="107"/>
  <c r="K19" i="85"/>
  <c r="L19" i="85" s="1"/>
  <c r="N19" i="85" s="1"/>
  <c r="AK37" i="97" l="1"/>
  <c r="AN45" i="97" s="1"/>
  <c r="AL37" i="97"/>
  <c r="D74" i="107"/>
  <c r="D65" i="107"/>
  <c r="E56" i="107"/>
  <c r="AB39" i="107"/>
  <c r="G36" i="107"/>
  <c r="G38" i="107" s="1"/>
  <c r="F56" i="107"/>
  <c r="AC39" i="107"/>
  <c r="B56" i="107"/>
  <c r="Y39" i="107"/>
  <c r="C56" i="107"/>
  <c r="Z39" i="107"/>
  <c r="D7" i="126"/>
  <c r="D7" i="125"/>
  <c r="G46" i="107"/>
  <c r="D8" i="126"/>
  <c r="D8" i="125"/>
  <c r="G40" i="107"/>
  <c r="D46" i="107"/>
  <c r="D48" i="107" s="1"/>
  <c r="D50" i="107" s="1"/>
  <c r="D52" i="107" s="1"/>
  <c r="L67" i="125"/>
  <c r="AM33" i="97"/>
  <c r="AJ33" i="97"/>
  <c r="AV33" i="97" s="1"/>
  <c r="D75" i="107" l="1"/>
  <c r="D8" i="134"/>
  <c r="D8" i="127"/>
  <c r="D7" i="134"/>
  <c r="D7" i="127"/>
  <c r="D54" i="107"/>
  <c r="G48" i="107"/>
  <c r="G42" i="107"/>
  <c r="D56" i="107" l="1"/>
  <c r="AA39" i="107"/>
  <c r="G50" i="107"/>
  <c r="D6" i="126"/>
  <c r="D10" i="126" s="1"/>
  <c r="D6" i="125"/>
  <c r="G37" i="99"/>
  <c r="G36" i="99"/>
  <c r="G35" i="99"/>
  <c r="I40" i="123"/>
  <c r="I41" i="123"/>
  <c r="I42" i="123"/>
  <c r="I43" i="123"/>
  <c r="I39" i="123"/>
  <c r="K78" i="125"/>
  <c r="I71" i="125" s="1"/>
  <c r="E72" i="125"/>
  <c r="E75" i="125"/>
  <c r="E74" i="125"/>
  <c r="E70" i="125"/>
  <c r="G48" i="125"/>
  <c r="J63" i="125"/>
  <c r="I63" i="125" s="1"/>
  <c r="D6" i="134" l="1"/>
  <c r="D10" i="134" s="1"/>
  <c r="D6" i="127"/>
  <c r="D10" i="127" s="1"/>
  <c r="G52" i="107"/>
  <c r="F6" i="125"/>
  <c r="K73" i="125"/>
  <c r="K16" i="125"/>
  <c r="Q39" i="123"/>
  <c r="Q40" i="123"/>
  <c r="Q33" i="123"/>
  <c r="T40" i="125"/>
  <c r="U43" i="125"/>
  <c r="R31" i="125"/>
  <c r="F75" i="125"/>
  <c r="G36" i="125" s="1"/>
  <c r="F74" i="125"/>
  <c r="G35" i="125" s="1"/>
  <c r="F72" i="125"/>
  <c r="F71" i="125"/>
  <c r="C71" i="125"/>
  <c r="F70" i="125"/>
  <c r="I31" i="125" s="1"/>
  <c r="S52" i="125"/>
  <c r="T50" i="125" s="1"/>
  <c r="R52" i="125"/>
  <c r="G52" i="125"/>
  <c r="H50" i="125" s="1"/>
  <c r="F52" i="125"/>
  <c r="U51" i="125"/>
  <c r="I51" i="125"/>
  <c r="U50" i="125"/>
  <c r="I50" i="125"/>
  <c r="I48" i="125"/>
  <c r="L46" i="125"/>
  <c r="J46" i="125"/>
  <c r="J44" i="125"/>
  <c r="J43" i="125"/>
  <c r="J42" i="125"/>
  <c r="W41" i="125"/>
  <c r="X41" i="125" s="1"/>
  <c r="J41" i="125"/>
  <c r="H41" i="125"/>
  <c r="W40" i="125"/>
  <c r="X40" i="125" s="1"/>
  <c r="U40" i="125"/>
  <c r="J40" i="125"/>
  <c r="H40" i="125"/>
  <c r="W39" i="125"/>
  <c r="X39" i="125" s="1"/>
  <c r="J39" i="125"/>
  <c r="I39" i="125"/>
  <c r="H39" i="125"/>
  <c r="K36" i="125"/>
  <c r="J36" i="125"/>
  <c r="I36" i="125"/>
  <c r="J34" i="125"/>
  <c r="K32" i="125"/>
  <c r="J32" i="125"/>
  <c r="K31" i="125"/>
  <c r="J31" i="125"/>
  <c r="Q29" i="125"/>
  <c r="E29" i="125"/>
  <c r="G27" i="125"/>
  <c r="F27" i="125"/>
  <c r="AT27" i="153" s="1"/>
  <c r="D27" i="125"/>
  <c r="C27" i="125"/>
  <c r="I26" i="125"/>
  <c r="Q23" i="125"/>
  <c r="I23" i="125"/>
  <c r="E23" i="125"/>
  <c r="Q22" i="125"/>
  <c r="I22" i="125"/>
  <c r="E22" i="125"/>
  <c r="Q21" i="125"/>
  <c r="I21" i="125"/>
  <c r="E21" i="125"/>
  <c r="Q20" i="125"/>
  <c r="I20" i="125"/>
  <c r="E20" i="125"/>
  <c r="G19" i="125"/>
  <c r="F19" i="125"/>
  <c r="D19" i="125"/>
  <c r="C19" i="125"/>
  <c r="J17" i="125"/>
  <c r="I17" i="125"/>
  <c r="J16" i="125"/>
  <c r="J15" i="125"/>
  <c r="P12" i="125"/>
  <c r="F12" i="125"/>
  <c r="D12" i="125"/>
  <c r="O10" i="125"/>
  <c r="C10" i="125"/>
  <c r="P10" i="125"/>
  <c r="F9" i="125"/>
  <c r="D9" i="125"/>
  <c r="D10" i="125" s="1"/>
  <c r="F7" i="125"/>
  <c r="S4" i="125"/>
  <c r="S19" i="125" s="1"/>
  <c r="R4" i="125"/>
  <c r="O19" i="125" s="1"/>
  <c r="E4" i="125"/>
  <c r="Q4" i="125" s="1"/>
  <c r="AT7" i="153" l="1"/>
  <c r="AW7" i="153" s="1"/>
  <c r="K7" i="127"/>
  <c r="K10" i="127" s="1"/>
  <c r="F7" i="134"/>
  <c r="Q39" i="125"/>
  <c r="Y39" i="125" s="1"/>
  <c r="Z39" i="125" s="1"/>
  <c r="G54" i="107"/>
  <c r="U31" i="126"/>
  <c r="I16" i="125"/>
  <c r="I34" i="125"/>
  <c r="U21" i="125"/>
  <c r="S16" i="125"/>
  <c r="G6" i="125"/>
  <c r="I6" i="125" s="1"/>
  <c r="I15" i="125"/>
  <c r="H15" i="125"/>
  <c r="E6" i="125"/>
  <c r="E10" i="125" s="1"/>
  <c r="L66" i="125"/>
  <c r="G47" i="125"/>
  <c r="H7" i="125"/>
  <c r="U52" i="125"/>
  <c r="I52" i="125"/>
  <c r="L65" i="125"/>
  <c r="G46" i="125"/>
  <c r="H8" i="125"/>
  <c r="I33" i="125"/>
  <c r="F8" i="125"/>
  <c r="I7" i="125"/>
  <c r="I27" i="125"/>
  <c r="U20" i="125"/>
  <c r="E27" i="125"/>
  <c r="T39" i="125"/>
  <c r="U41" i="125"/>
  <c r="U39" i="125"/>
  <c r="H20" i="125"/>
  <c r="H21" i="125"/>
  <c r="H22" i="125"/>
  <c r="H23" i="125"/>
  <c r="H24" i="125"/>
  <c r="H25" i="125"/>
  <c r="H26" i="125"/>
  <c r="R19" i="125"/>
  <c r="P19" i="125"/>
  <c r="I7" i="134" l="1"/>
  <c r="F10" i="134"/>
  <c r="G56" i="107"/>
  <c r="G12" i="125"/>
  <c r="H31" i="125"/>
  <c r="H33" i="125"/>
  <c r="I8" i="125"/>
  <c r="L16" i="125"/>
  <c r="H16" i="125" s="1"/>
  <c r="H6" i="125"/>
  <c r="I47" i="125"/>
  <c r="S47" i="125"/>
  <c r="K47" i="125"/>
  <c r="L47" i="125" s="1"/>
  <c r="H47" i="125" s="1"/>
  <c r="E12" i="125"/>
  <c r="Q12" i="125"/>
  <c r="S46" i="125"/>
  <c r="H46" i="125"/>
  <c r="I46" i="125"/>
  <c r="F10" i="125"/>
  <c r="H27" i="125"/>
  <c r="N15" i="85"/>
  <c r="R15" i="85" s="1"/>
  <c r="S54" i="125" l="1"/>
  <c r="S55" i="126"/>
  <c r="S55" i="125"/>
  <c r="H12" i="125"/>
  <c r="I12" i="125"/>
  <c r="T46" i="125"/>
  <c r="S54" i="126" l="1"/>
  <c r="G52" i="123"/>
  <c r="F52" i="123"/>
  <c r="AY33" i="97" l="1"/>
  <c r="AJ32" i="97"/>
  <c r="AV32" i="97" s="1"/>
  <c r="U5" i="97"/>
  <c r="S32" i="125"/>
  <c r="R32" i="125"/>
  <c r="R33" i="125"/>
  <c r="S33" i="125"/>
  <c r="R34" i="125"/>
  <c r="U34" i="126" s="1"/>
  <c r="R35" i="125"/>
  <c r="R36" i="125"/>
  <c r="R37" i="125"/>
  <c r="G17" i="123"/>
  <c r="G16" i="123"/>
  <c r="G15" i="123"/>
  <c r="T33" i="126" l="1"/>
  <c r="U33" i="126"/>
  <c r="R8" i="126"/>
  <c r="T33" i="125"/>
  <c r="U33" i="125"/>
  <c r="U32" i="125"/>
  <c r="T32" i="125"/>
  <c r="R8" i="125"/>
  <c r="G48" i="123"/>
  <c r="G47" i="123"/>
  <c r="G46" i="123"/>
  <c r="E47" i="123"/>
  <c r="E46" i="123"/>
  <c r="T32" i="126" l="1"/>
  <c r="U32" i="126"/>
  <c r="AK12" i="78"/>
  <c r="AD28" i="78"/>
  <c r="T12" i="78"/>
  <c r="B30" i="144" s="1"/>
  <c r="D30" i="144" s="1"/>
  <c r="S39" i="126" l="1"/>
  <c r="T39" i="126" l="1"/>
  <c r="U39" i="126"/>
  <c r="W39" i="127"/>
  <c r="O22" i="123" l="1"/>
  <c r="H72" i="123"/>
  <c r="I72" i="123"/>
  <c r="K71" i="123"/>
  <c r="I71" i="123" s="1"/>
  <c r="J71" i="123"/>
  <c r="H71" i="123" s="1"/>
  <c r="T61" i="107"/>
  <c r="U61" i="107" s="1"/>
  <c r="K73" i="123" l="1"/>
  <c r="H74" i="123"/>
  <c r="W73" i="123"/>
  <c r="X73" i="123"/>
  <c r="Y73" i="123"/>
  <c r="Z73" i="123"/>
  <c r="AA73" i="123"/>
  <c r="AB73" i="123"/>
  <c r="AC73" i="123"/>
  <c r="AD73" i="123"/>
  <c r="AE73" i="123"/>
  <c r="AF73" i="123"/>
  <c r="AG73" i="123"/>
  <c r="V73" i="123"/>
  <c r="H50" i="123"/>
  <c r="AJ31" i="97" l="1"/>
  <c r="AV31" i="97" s="1"/>
  <c r="E67" i="123"/>
  <c r="E66" i="123"/>
  <c r="E65" i="123"/>
  <c r="G33" i="122"/>
  <c r="Y80" i="107" l="1"/>
  <c r="Y81" i="107"/>
  <c r="Y82" i="107"/>
  <c r="Y83" i="107"/>
  <c r="Y84" i="107"/>
  <c r="Y79" i="107"/>
  <c r="X80" i="107"/>
  <c r="X81" i="107"/>
  <c r="X82" i="107"/>
  <c r="X83" i="107"/>
  <c r="X84" i="107"/>
  <c r="X79" i="107"/>
  <c r="L14" i="85"/>
  <c r="N14" i="85" s="1"/>
  <c r="R19" i="85" l="1"/>
  <c r="P19" i="85"/>
  <c r="P14" i="85"/>
  <c r="R14" i="85"/>
  <c r="S52" i="123"/>
  <c r="R52" i="123"/>
  <c r="E4" i="123"/>
  <c r="Q4" i="123" s="1"/>
  <c r="O20" i="122"/>
  <c r="O20" i="123" s="1"/>
  <c r="P20" i="122"/>
  <c r="P20" i="123" s="1"/>
  <c r="O21" i="122"/>
  <c r="O21" i="123" s="1"/>
  <c r="P21" i="122"/>
  <c r="P21" i="123" s="1"/>
  <c r="O23" i="122"/>
  <c r="O23" i="123" s="1"/>
  <c r="P23" i="122"/>
  <c r="P23" i="123" s="1"/>
  <c r="O24" i="122"/>
  <c r="O24" i="123" s="1"/>
  <c r="O24" i="125" s="1"/>
  <c r="P24" i="122"/>
  <c r="P24" i="123" s="1"/>
  <c r="P24" i="125" s="1"/>
  <c r="O25" i="122"/>
  <c r="O25" i="123" s="1"/>
  <c r="O25" i="125" s="1"/>
  <c r="O25" i="126" s="1"/>
  <c r="P25" i="122"/>
  <c r="P25" i="123" s="1"/>
  <c r="P25" i="125" s="1"/>
  <c r="P26" i="122"/>
  <c r="P26" i="123" s="1"/>
  <c r="P26" i="125" s="1"/>
  <c r="P27" i="126" l="1"/>
  <c r="P27" i="125"/>
  <c r="O24" i="126"/>
  <c r="P27" i="123"/>
  <c r="E72" i="123"/>
  <c r="F72" i="123"/>
  <c r="F71" i="123"/>
  <c r="E71" i="123"/>
  <c r="E59" i="123"/>
  <c r="E60" i="123"/>
  <c r="F60" i="123"/>
  <c r="F59" i="123"/>
  <c r="H15" i="123" l="1"/>
  <c r="T33" i="123"/>
  <c r="T32" i="123"/>
  <c r="G9" i="123"/>
  <c r="F9" i="123"/>
  <c r="G7" i="123"/>
  <c r="H21" i="123" s="1"/>
  <c r="F7" i="123"/>
  <c r="F75" i="123"/>
  <c r="E75" i="123"/>
  <c r="F74" i="123"/>
  <c r="E74" i="123"/>
  <c r="F73" i="123"/>
  <c r="E73" i="123"/>
  <c r="C71" i="123"/>
  <c r="F70" i="123"/>
  <c r="E70" i="123"/>
  <c r="F67" i="123"/>
  <c r="S48" i="123" s="1"/>
  <c r="S48" i="125" s="1"/>
  <c r="R48" i="123"/>
  <c r="R48" i="125" s="1"/>
  <c r="F66" i="123"/>
  <c r="R47" i="123"/>
  <c r="R47" i="125" s="1"/>
  <c r="F65" i="123"/>
  <c r="R46" i="123"/>
  <c r="F61" i="123"/>
  <c r="K16" i="123" s="1"/>
  <c r="E61" i="123"/>
  <c r="U52" i="123"/>
  <c r="I52" i="123"/>
  <c r="U51" i="123"/>
  <c r="I51" i="123"/>
  <c r="U50" i="123"/>
  <c r="T50" i="123"/>
  <c r="I50" i="123"/>
  <c r="L46" i="123"/>
  <c r="J46" i="123"/>
  <c r="J44" i="123"/>
  <c r="I44" i="123"/>
  <c r="J43" i="123"/>
  <c r="U43" i="123"/>
  <c r="J42" i="123"/>
  <c r="W41" i="123"/>
  <c r="X41" i="123" s="1"/>
  <c r="J41" i="123"/>
  <c r="H41" i="123"/>
  <c r="W40" i="123"/>
  <c r="X40" i="123" s="1"/>
  <c r="T40" i="123"/>
  <c r="J40" i="123"/>
  <c r="H40" i="123"/>
  <c r="W39" i="123"/>
  <c r="X39" i="123" s="1"/>
  <c r="R9" i="123"/>
  <c r="J39" i="123"/>
  <c r="H39" i="123"/>
  <c r="K36" i="123"/>
  <c r="J36" i="123"/>
  <c r="J34" i="123"/>
  <c r="U33" i="123"/>
  <c r="I33" i="123"/>
  <c r="H33" i="123"/>
  <c r="K32" i="123"/>
  <c r="J32" i="123"/>
  <c r="I32" i="123"/>
  <c r="K31" i="123"/>
  <c r="J31" i="123"/>
  <c r="Q29" i="123"/>
  <c r="E29" i="123"/>
  <c r="G27" i="123"/>
  <c r="F27" i="123"/>
  <c r="D27" i="123"/>
  <c r="C27" i="123"/>
  <c r="I26" i="123"/>
  <c r="Q23" i="123"/>
  <c r="I23" i="123"/>
  <c r="E23" i="123"/>
  <c r="Q22" i="123"/>
  <c r="I22" i="123"/>
  <c r="E22" i="123"/>
  <c r="U21" i="123"/>
  <c r="Q21" i="123"/>
  <c r="I21" i="123"/>
  <c r="E21" i="123"/>
  <c r="Q20" i="123"/>
  <c r="I20" i="123"/>
  <c r="E20" i="123"/>
  <c r="G19" i="123"/>
  <c r="F19" i="123"/>
  <c r="D19" i="123"/>
  <c r="C19" i="123"/>
  <c r="J17" i="123"/>
  <c r="I16" i="123"/>
  <c r="J15" i="123"/>
  <c r="I15" i="123"/>
  <c r="P12" i="123"/>
  <c r="D12" i="123"/>
  <c r="O10" i="123"/>
  <c r="C10" i="123"/>
  <c r="P9" i="123"/>
  <c r="P10" i="123" s="1"/>
  <c r="D9" i="123"/>
  <c r="D10" i="123" s="1"/>
  <c r="S4" i="123"/>
  <c r="S19" i="123" s="1"/>
  <c r="R4" i="123"/>
  <c r="R19" i="123" s="1"/>
  <c r="R55" i="126" l="1"/>
  <c r="U47" i="126"/>
  <c r="R56" i="125"/>
  <c r="R56" i="126"/>
  <c r="S56" i="126"/>
  <c r="U47" i="125"/>
  <c r="R55" i="125"/>
  <c r="S56" i="125"/>
  <c r="W47" i="125"/>
  <c r="X47" i="125" s="1"/>
  <c r="T47" i="125" s="1"/>
  <c r="R12" i="123"/>
  <c r="R46" i="125"/>
  <c r="U48" i="125"/>
  <c r="S12" i="125"/>
  <c r="I31" i="123"/>
  <c r="I36" i="123"/>
  <c r="I17" i="123"/>
  <c r="I48" i="123"/>
  <c r="J16" i="123"/>
  <c r="F12" i="123"/>
  <c r="I47" i="123"/>
  <c r="G12" i="123"/>
  <c r="U46" i="123"/>
  <c r="G6" i="123"/>
  <c r="L6" i="127" s="1"/>
  <c r="H32" i="123"/>
  <c r="I46" i="123"/>
  <c r="F6" i="123"/>
  <c r="K47" i="123"/>
  <c r="L47" i="123" s="1"/>
  <c r="H47" i="123" s="1"/>
  <c r="Q12" i="123"/>
  <c r="H46" i="123"/>
  <c r="E12" i="123"/>
  <c r="L16" i="123"/>
  <c r="H16" i="123" s="1"/>
  <c r="H31" i="123"/>
  <c r="E10" i="123"/>
  <c r="O19" i="123"/>
  <c r="H25" i="123"/>
  <c r="I7" i="123"/>
  <c r="E27" i="123"/>
  <c r="I34" i="123"/>
  <c r="F8" i="123"/>
  <c r="S12" i="123"/>
  <c r="U48" i="123"/>
  <c r="W47" i="123"/>
  <c r="X47" i="123" s="1"/>
  <c r="T47" i="123" s="1"/>
  <c r="U40" i="123"/>
  <c r="U32" i="123"/>
  <c r="I27" i="123"/>
  <c r="P19" i="123"/>
  <c r="H20" i="123"/>
  <c r="U20" i="123"/>
  <c r="H22" i="123"/>
  <c r="H23" i="123"/>
  <c r="H26" i="123"/>
  <c r="U44" i="123"/>
  <c r="T46" i="123"/>
  <c r="H24" i="123"/>
  <c r="U47" i="123"/>
  <c r="H7" i="123"/>
  <c r="T11" i="78"/>
  <c r="B28" i="144" s="1"/>
  <c r="R9" i="122"/>
  <c r="J40" i="122"/>
  <c r="J41" i="122"/>
  <c r="J42" i="122"/>
  <c r="J43" i="122"/>
  <c r="J44" i="122"/>
  <c r="J39" i="122"/>
  <c r="S9" i="122"/>
  <c r="G43" i="122"/>
  <c r="G41" i="122"/>
  <c r="G40" i="122"/>
  <c r="G39" i="122"/>
  <c r="I39" i="122" s="1"/>
  <c r="D28" i="144" l="1"/>
  <c r="U48" i="126"/>
  <c r="R54" i="125"/>
  <c r="W54" i="126"/>
  <c r="U55" i="126"/>
  <c r="U56" i="126"/>
  <c r="X54" i="126"/>
  <c r="S57" i="126"/>
  <c r="U56" i="125"/>
  <c r="S57" i="125"/>
  <c r="X54" i="125"/>
  <c r="R57" i="125"/>
  <c r="U54" i="125"/>
  <c r="W54" i="125"/>
  <c r="U55" i="125"/>
  <c r="T12" i="125"/>
  <c r="R12" i="125"/>
  <c r="U12" i="125" s="1"/>
  <c r="U46" i="125"/>
  <c r="T12" i="123"/>
  <c r="H12" i="123"/>
  <c r="H6" i="123"/>
  <c r="U12" i="123"/>
  <c r="R8" i="123"/>
  <c r="I12" i="123"/>
  <c r="I6" i="123"/>
  <c r="F10" i="123"/>
  <c r="H27" i="123"/>
  <c r="H9" i="123"/>
  <c r="I9" i="123"/>
  <c r="Z54" i="126" l="1"/>
  <c r="R54" i="126"/>
  <c r="U12" i="126"/>
  <c r="Z54" i="125"/>
  <c r="AK11" i="78"/>
  <c r="R57" i="126" l="1"/>
  <c r="U54" i="126"/>
  <c r="L13" i="85"/>
  <c r="N13" i="85" s="1"/>
  <c r="R13" i="85" s="1"/>
  <c r="F73" i="122" l="1"/>
  <c r="E73" i="122"/>
  <c r="I80" i="122"/>
  <c r="H80" i="122"/>
  <c r="E67" i="122" l="1"/>
  <c r="E66" i="122"/>
  <c r="E65" i="122"/>
  <c r="E61" i="122"/>
  <c r="E60" i="122"/>
  <c r="E59" i="122"/>
  <c r="K77" i="122"/>
  <c r="F59" i="122"/>
  <c r="S25" i="122" l="1"/>
  <c r="S25" i="123" s="1"/>
  <c r="S25" i="125" s="1"/>
  <c r="S23" i="122"/>
  <c r="S23" i="123" s="1"/>
  <c r="S23" i="125" s="1"/>
  <c r="S21" i="122"/>
  <c r="S20" i="122"/>
  <c r="F70" i="122"/>
  <c r="E70" i="122"/>
  <c r="J77" i="122"/>
  <c r="E75" i="122" l="1"/>
  <c r="E74" i="122"/>
  <c r="F65" i="122"/>
  <c r="Q35" i="107" l="1"/>
  <c r="Q37" i="107"/>
  <c r="Q39" i="107"/>
  <c r="Q41" i="107"/>
  <c r="Q43" i="107"/>
  <c r="Q45" i="107"/>
  <c r="Q47" i="107"/>
  <c r="Q49" i="107"/>
  <c r="Q51" i="107"/>
  <c r="Q53" i="107"/>
  <c r="Q55" i="107"/>
  <c r="Q34" i="107"/>
  <c r="C71" i="122" l="1"/>
  <c r="F74" i="122"/>
  <c r="F75" i="122"/>
  <c r="F66" i="122"/>
  <c r="F67" i="122"/>
  <c r="F60" i="122"/>
  <c r="F61" i="122"/>
  <c r="R9" i="121"/>
  <c r="G7" i="122"/>
  <c r="R21" i="122"/>
  <c r="R22" i="122"/>
  <c r="S22" i="122"/>
  <c r="S22" i="123" s="1"/>
  <c r="S22" i="125" s="1"/>
  <c r="R23" i="122"/>
  <c r="R23" i="123" s="1"/>
  <c r="R23" i="125" s="1"/>
  <c r="R24" i="122"/>
  <c r="R24" i="123" s="1"/>
  <c r="R24" i="125" s="1"/>
  <c r="S24" i="122"/>
  <c r="S24" i="123" s="1"/>
  <c r="S24" i="125" s="1"/>
  <c r="S26" i="122"/>
  <c r="S26" i="123" s="1"/>
  <c r="S26" i="125" s="1"/>
  <c r="R20" i="122"/>
  <c r="S41" i="126" l="1"/>
  <c r="U41" i="126" s="1"/>
  <c r="S7" i="125"/>
  <c r="U26" i="126"/>
  <c r="R7" i="126"/>
  <c r="U23" i="126"/>
  <c r="R27" i="126"/>
  <c r="R7" i="125"/>
  <c r="R7" i="123"/>
  <c r="R27" i="123"/>
  <c r="U23" i="123"/>
  <c r="U26" i="123"/>
  <c r="U22" i="123"/>
  <c r="S7" i="123"/>
  <c r="S27" i="123"/>
  <c r="AJ30" i="97"/>
  <c r="U41" i="123"/>
  <c r="R7" i="122"/>
  <c r="S7" i="122"/>
  <c r="AV30" i="97" l="1"/>
  <c r="CL12" i="97"/>
  <c r="U22" i="126"/>
  <c r="S7" i="126"/>
  <c r="T22" i="126" s="1"/>
  <c r="U27" i="126"/>
  <c r="T24" i="125"/>
  <c r="T26" i="123"/>
  <c r="T21" i="123"/>
  <c r="T20" i="123"/>
  <c r="U7" i="123"/>
  <c r="T25" i="123"/>
  <c r="T23" i="123"/>
  <c r="U26" i="125"/>
  <c r="T26" i="125"/>
  <c r="U23" i="125"/>
  <c r="R27" i="125"/>
  <c r="T24" i="123"/>
  <c r="T7" i="123"/>
  <c r="T22" i="123"/>
  <c r="S27" i="125"/>
  <c r="U22" i="125"/>
  <c r="U27" i="123"/>
  <c r="I51" i="122"/>
  <c r="I50" i="122"/>
  <c r="F7" i="122"/>
  <c r="E7" i="121"/>
  <c r="E7" i="134" s="1"/>
  <c r="E8" i="121"/>
  <c r="E8" i="134" s="1"/>
  <c r="G15" i="121"/>
  <c r="G16" i="121"/>
  <c r="G17" i="121"/>
  <c r="G32" i="121"/>
  <c r="G33" i="121"/>
  <c r="G34" i="121"/>
  <c r="G35" i="121"/>
  <c r="G39" i="121"/>
  <c r="G40" i="121"/>
  <c r="G41" i="121"/>
  <c r="G46" i="121"/>
  <c r="G47" i="121"/>
  <c r="G48" i="121"/>
  <c r="U52" i="122"/>
  <c r="G52" i="122"/>
  <c r="F52" i="122"/>
  <c r="U51" i="122"/>
  <c r="U50" i="122"/>
  <c r="T50" i="122"/>
  <c r="L46" i="122"/>
  <c r="J46" i="122"/>
  <c r="U44" i="122"/>
  <c r="U43" i="122"/>
  <c r="W41" i="122"/>
  <c r="X41" i="122" s="1"/>
  <c r="U41" i="122"/>
  <c r="T41" i="122"/>
  <c r="H41" i="122"/>
  <c r="W40" i="122"/>
  <c r="X40" i="122" s="1"/>
  <c r="U40" i="122"/>
  <c r="H40" i="122"/>
  <c r="W39" i="122"/>
  <c r="X39" i="122" s="1"/>
  <c r="U39" i="122"/>
  <c r="T39" i="122"/>
  <c r="H39" i="122"/>
  <c r="U37" i="122"/>
  <c r="K36" i="122"/>
  <c r="J36" i="122"/>
  <c r="I36" i="122"/>
  <c r="J34" i="122"/>
  <c r="K32" i="122"/>
  <c r="J32" i="122"/>
  <c r="K31" i="122"/>
  <c r="J31" i="122"/>
  <c r="Q29" i="122"/>
  <c r="E29" i="122"/>
  <c r="R27" i="122"/>
  <c r="P27" i="122"/>
  <c r="G27" i="122"/>
  <c r="F27" i="122"/>
  <c r="D27" i="122"/>
  <c r="C27" i="122"/>
  <c r="U26" i="122"/>
  <c r="I26" i="122"/>
  <c r="H26" i="122"/>
  <c r="H25" i="122"/>
  <c r="T24" i="122"/>
  <c r="H24" i="122"/>
  <c r="U23" i="122"/>
  <c r="Q23" i="122"/>
  <c r="I23" i="122"/>
  <c r="H23" i="122"/>
  <c r="E23" i="122"/>
  <c r="U22" i="122"/>
  <c r="Q22" i="122"/>
  <c r="I22" i="122"/>
  <c r="H22" i="122"/>
  <c r="E22" i="122"/>
  <c r="U21" i="122"/>
  <c r="Q21" i="122"/>
  <c r="I21" i="122"/>
  <c r="H21" i="122"/>
  <c r="E21" i="122"/>
  <c r="U20" i="122"/>
  <c r="Q20" i="122"/>
  <c r="I20" i="122"/>
  <c r="H20" i="122"/>
  <c r="E20" i="122"/>
  <c r="G19" i="122"/>
  <c r="F19" i="122"/>
  <c r="D19" i="122"/>
  <c r="C19" i="122"/>
  <c r="J17" i="122"/>
  <c r="J15" i="122"/>
  <c r="P12" i="122"/>
  <c r="D12" i="122"/>
  <c r="O10" i="122"/>
  <c r="C10" i="122"/>
  <c r="P9" i="122"/>
  <c r="P10" i="122" s="1"/>
  <c r="F9" i="122"/>
  <c r="D9" i="122"/>
  <c r="D10" i="122" s="1"/>
  <c r="T7" i="122"/>
  <c r="T26" i="122"/>
  <c r="S4" i="122"/>
  <c r="S19" i="122" s="1"/>
  <c r="R4" i="122"/>
  <c r="O19" i="122" s="1"/>
  <c r="E4" i="122"/>
  <c r="Q4" i="122" s="1"/>
  <c r="E10" i="134" l="1"/>
  <c r="H7" i="134"/>
  <c r="T7" i="126"/>
  <c r="T21" i="126"/>
  <c r="U7" i="126"/>
  <c r="T20" i="126"/>
  <c r="T23" i="126"/>
  <c r="T25" i="126"/>
  <c r="T26" i="126"/>
  <c r="T24" i="126"/>
  <c r="U27" i="125"/>
  <c r="I52" i="122"/>
  <c r="T27" i="123"/>
  <c r="T22" i="125"/>
  <c r="U7" i="125"/>
  <c r="T20" i="125"/>
  <c r="T21" i="125"/>
  <c r="T25" i="125"/>
  <c r="T23" i="125"/>
  <c r="K47" i="121"/>
  <c r="L47" i="121" s="1"/>
  <c r="I48" i="122"/>
  <c r="T32" i="122"/>
  <c r="J16" i="122"/>
  <c r="U46" i="122"/>
  <c r="U47" i="122"/>
  <c r="T33" i="122"/>
  <c r="T31" i="122"/>
  <c r="E10" i="122"/>
  <c r="U33" i="122"/>
  <c r="I34" i="122"/>
  <c r="U34" i="122"/>
  <c r="U35" i="122"/>
  <c r="F12" i="122"/>
  <c r="I17" i="122"/>
  <c r="K16" i="122"/>
  <c r="L16" i="122" s="1"/>
  <c r="H16" i="122" s="1"/>
  <c r="F6" i="122"/>
  <c r="T46" i="122"/>
  <c r="I46" i="122"/>
  <c r="G12" i="122"/>
  <c r="R12" i="122"/>
  <c r="I47" i="122"/>
  <c r="I15" i="122"/>
  <c r="G6" i="122"/>
  <c r="I16" i="122"/>
  <c r="U27" i="122"/>
  <c r="S8" i="122"/>
  <c r="I33" i="122"/>
  <c r="I32" i="122"/>
  <c r="U31" i="122"/>
  <c r="H31" i="122"/>
  <c r="I31" i="122"/>
  <c r="E27" i="122"/>
  <c r="I7" i="122"/>
  <c r="I27" i="122"/>
  <c r="F8" i="122"/>
  <c r="G8" i="122"/>
  <c r="H8" i="122" s="1"/>
  <c r="H33" i="122"/>
  <c r="H7" i="122"/>
  <c r="Q10" i="122"/>
  <c r="K47" i="122"/>
  <c r="L47" i="122" s="1"/>
  <c r="H47" i="122" s="1"/>
  <c r="Q12" i="122"/>
  <c r="E12" i="122"/>
  <c r="H46" i="122"/>
  <c r="H27" i="122"/>
  <c r="T40" i="122"/>
  <c r="U36" i="122"/>
  <c r="U32" i="122"/>
  <c r="P19" i="122"/>
  <c r="U7" i="122"/>
  <c r="H15" i="122"/>
  <c r="R19" i="122"/>
  <c r="T21" i="122"/>
  <c r="T23" i="122"/>
  <c r="T25" i="122"/>
  <c r="H32" i="122"/>
  <c r="T20" i="122"/>
  <c r="T22" i="122"/>
  <c r="H50" i="122"/>
  <c r="T27" i="126" l="1"/>
  <c r="T27" i="125"/>
  <c r="T8" i="122"/>
  <c r="S12" i="122"/>
  <c r="U48" i="122"/>
  <c r="W47" i="122"/>
  <c r="X47" i="122" s="1"/>
  <c r="T47" i="122" s="1"/>
  <c r="H12" i="122"/>
  <c r="H6" i="122"/>
  <c r="R8" i="122"/>
  <c r="U8" i="122" s="1"/>
  <c r="I8" i="122"/>
  <c r="I6" i="122"/>
  <c r="I12" i="122"/>
  <c r="F10" i="122"/>
  <c r="T27" i="122"/>
  <c r="S35" i="125" l="1"/>
  <c r="U35" i="123"/>
  <c r="T12" i="122"/>
  <c r="U12" i="122"/>
  <c r="U35" i="125" l="1"/>
  <c r="F9" i="121"/>
  <c r="G52" i="121"/>
  <c r="H50" i="121" s="1"/>
  <c r="F52" i="121"/>
  <c r="I51" i="121"/>
  <c r="I50" i="121"/>
  <c r="U35" i="126" l="1"/>
  <c r="I52" i="121"/>
  <c r="T46" i="121"/>
  <c r="X47" i="121"/>
  <c r="T47" i="121" s="1"/>
  <c r="W47" i="121"/>
  <c r="H40" i="121"/>
  <c r="O26" i="121" l="1"/>
  <c r="O26" i="122" s="1"/>
  <c r="S27" i="121"/>
  <c r="O26" i="123" l="1"/>
  <c r="O27" i="122"/>
  <c r="Q27" i="122" s="1"/>
  <c r="E6" i="121"/>
  <c r="Q40" i="121"/>
  <c r="Q39" i="121"/>
  <c r="AI9" i="78"/>
  <c r="Z9" i="78" s="1"/>
  <c r="K26" i="144" s="1"/>
  <c r="M26" i="144" s="1"/>
  <c r="O27" i="123" l="1"/>
  <c r="Q27" i="123" s="1"/>
  <c r="O26" i="125"/>
  <c r="AD26" i="78"/>
  <c r="T10" i="78"/>
  <c r="AK10" i="78"/>
  <c r="U59" i="121"/>
  <c r="T59" i="121"/>
  <c r="R26" i="121"/>
  <c r="R7" i="121" s="1"/>
  <c r="G36" i="121" l="1"/>
  <c r="B27" i="144"/>
  <c r="S40" i="126"/>
  <c r="O26" i="126"/>
  <c r="O27" i="126" s="1"/>
  <c r="Q27" i="126" s="1"/>
  <c r="O27" i="125"/>
  <c r="Q27" i="125" s="1"/>
  <c r="T39" i="123"/>
  <c r="U39" i="123"/>
  <c r="S9" i="123"/>
  <c r="L73" i="121"/>
  <c r="N73" i="121" s="1"/>
  <c r="H73" i="121"/>
  <c r="J73" i="121"/>
  <c r="K73" i="121"/>
  <c r="R67" i="121"/>
  <c r="R66" i="121"/>
  <c r="R61" i="121"/>
  <c r="R60" i="121"/>
  <c r="I61" i="121"/>
  <c r="I67" i="121"/>
  <c r="I66" i="121"/>
  <c r="I65" i="121"/>
  <c r="K65" i="121" s="1"/>
  <c r="I60" i="121"/>
  <c r="I59" i="121"/>
  <c r="J59" i="121"/>
  <c r="L12" i="85"/>
  <c r="N12" i="85" s="1"/>
  <c r="R12" i="85" s="1"/>
  <c r="D27" i="144" l="1"/>
  <c r="U40" i="126"/>
  <c r="T40" i="126"/>
  <c r="U9" i="123"/>
  <c r="K66" i="121"/>
  <c r="J60" i="121"/>
  <c r="K60" i="121"/>
  <c r="J61" i="121"/>
  <c r="K59" i="121"/>
  <c r="E80" i="121"/>
  <c r="F70" i="121"/>
  <c r="E70" i="121"/>
  <c r="H67" i="121"/>
  <c r="J67" i="121" s="1"/>
  <c r="J75" i="121"/>
  <c r="E82" i="121" s="1"/>
  <c r="H66" i="121"/>
  <c r="J66" i="121" s="1"/>
  <c r="H65" i="121"/>
  <c r="J65" i="121" s="1"/>
  <c r="F82" i="121"/>
  <c r="E81" i="121"/>
  <c r="E78" i="121"/>
  <c r="F78" i="121"/>
  <c r="E79" i="121"/>
  <c r="F79" i="121"/>
  <c r="F80" i="121"/>
  <c r="K74" i="121"/>
  <c r="F81" i="121" s="1"/>
  <c r="K70" i="121" l="1"/>
  <c r="F77" i="121" s="1"/>
  <c r="J70" i="121"/>
  <c r="E77" i="121" s="1"/>
  <c r="G73" i="121"/>
  <c r="R52" i="121"/>
  <c r="S52" i="121"/>
  <c r="T50" i="121" s="1"/>
  <c r="C10" i="121" l="1"/>
  <c r="S4" i="121" l="1"/>
  <c r="R4" i="121"/>
  <c r="G6" i="121" l="1"/>
  <c r="H15" i="121"/>
  <c r="H31" i="121"/>
  <c r="Q33" i="121"/>
  <c r="Q32" i="121"/>
  <c r="U52" i="121"/>
  <c r="U51" i="121"/>
  <c r="U50" i="121"/>
  <c r="I48" i="121"/>
  <c r="L46" i="121"/>
  <c r="J46" i="121"/>
  <c r="I46" i="121"/>
  <c r="W41" i="121"/>
  <c r="X41" i="121" s="1"/>
  <c r="W40" i="121"/>
  <c r="X40" i="121" s="1"/>
  <c r="W39" i="121"/>
  <c r="X39" i="121" s="1"/>
  <c r="I39" i="121"/>
  <c r="H39" i="121"/>
  <c r="K36" i="121"/>
  <c r="J36" i="121"/>
  <c r="I36" i="121"/>
  <c r="I35" i="121"/>
  <c r="J34" i="121"/>
  <c r="I34" i="121"/>
  <c r="I33" i="121"/>
  <c r="K32" i="121"/>
  <c r="J32" i="121"/>
  <c r="K31" i="121"/>
  <c r="J31" i="121"/>
  <c r="I31" i="121"/>
  <c r="Q29" i="121"/>
  <c r="E29" i="121"/>
  <c r="R27" i="121"/>
  <c r="G27" i="121"/>
  <c r="F27" i="121"/>
  <c r="D27" i="121"/>
  <c r="C27" i="121"/>
  <c r="U26" i="121"/>
  <c r="I26" i="121"/>
  <c r="H26" i="121"/>
  <c r="H25" i="121"/>
  <c r="H24" i="121"/>
  <c r="U23" i="121"/>
  <c r="Q23" i="121"/>
  <c r="I23" i="121"/>
  <c r="H23" i="121"/>
  <c r="E23" i="121"/>
  <c r="U22" i="121"/>
  <c r="Q22" i="121"/>
  <c r="I22" i="121"/>
  <c r="H22" i="121"/>
  <c r="E22" i="121"/>
  <c r="Q21" i="121"/>
  <c r="I21" i="121"/>
  <c r="H21" i="121"/>
  <c r="E21" i="121"/>
  <c r="U20" i="121"/>
  <c r="Q20" i="121"/>
  <c r="O27" i="121"/>
  <c r="I20" i="121"/>
  <c r="H20" i="121"/>
  <c r="E20" i="121"/>
  <c r="S19" i="121"/>
  <c r="R19" i="121"/>
  <c r="P19" i="121"/>
  <c r="O19" i="121"/>
  <c r="G19" i="121"/>
  <c r="F19" i="121"/>
  <c r="D19" i="121"/>
  <c r="C19" i="121"/>
  <c r="J17" i="121"/>
  <c r="I17" i="121"/>
  <c r="J16" i="121"/>
  <c r="J15" i="121"/>
  <c r="I15" i="121"/>
  <c r="P12" i="121"/>
  <c r="G12" i="121"/>
  <c r="F12" i="121"/>
  <c r="D12" i="121"/>
  <c r="O10" i="121"/>
  <c r="P9" i="121"/>
  <c r="P10" i="121" s="1"/>
  <c r="E9" i="121"/>
  <c r="E10" i="121" s="1"/>
  <c r="D9" i="121"/>
  <c r="D10" i="121" s="1"/>
  <c r="H7" i="121"/>
  <c r="I7" i="121"/>
  <c r="F6" i="121"/>
  <c r="E4" i="121"/>
  <c r="Q4" i="121" s="1"/>
  <c r="H32" i="121" l="1"/>
  <c r="E12" i="121"/>
  <c r="H12" i="121" s="1"/>
  <c r="U27" i="121"/>
  <c r="E27" i="121"/>
  <c r="I27" i="121"/>
  <c r="I12" i="121"/>
  <c r="F10" i="121"/>
  <c r="H27" i="121"/>
  <c r="I6" i="121"/>
  <c r="I16" i="121"/>
  <c r="U21" i="121"/>
  <c r="P27" i="121"/>
  <c r="Q27" i="121" s="1"/>
  <c r="I32" i="121"/>
  <c r="H33" i="121"/>
  <c r="I47" i="121"/>
  <c r="H41" i="121"/>
  <c r="H46" i="121"/>
  <c r="H47" i="121"/>
  <c r="K16" i="121"/>
  <c r="L16" i="121" s="1"/>
  <c r="H16" i="121" s="1"/>
  <c r="W75" i="107"/>
  <c r="X75" i="107"/>
  <c r="X74" i="107"/>
  <c r="W74" i="107"/>
  <c r="E54" i="120"/>
  <c r="F54" i="120"/>
  <c r="Q54" i="120"/>
  <c r="U9" i="122" l="1"/>
  <c r="T9" i="122"/>
  <c r="H6" i="121"/>
  <c r="AJ29" i="97" l="1"/>
  <c r="AV29" i="97" l="1"/>
  <c r="CL11" i="97"/>
  <c r="G52" i="120"/>
  <c r="H50" i="120" s="1"/>
  <c r="F52" i="120"/>
  <c r="O10" i="120"/>
  <c r="O21" i="120"/>
  <c r="P21" i="120"/>
  <c r="O22" i="120"/>
  <c r="P22" i="120"/>
  <c r="O23" i="120"/>
  <c r="P23" i="120"/>
  <c r="O24" i="120"/>
  <c r="P24" i="120"/>
  <c r="O25" i="120"/>
  <c r="P25" i="120"/>
  <c r="P26" i="120"/>
  <c r="P20" i="120"/>
  <c r="O20" i="120"/>
  <c r="R20" i="120"/>
  <c r="E12" i="120" l="1"/>
  <c r="E9" i="120"/>
  <c r="U62" i="120"/>
  <c r="U61" i="120"/>
  <c r="F7" i="120" l="1"/>
  <c r="G33" i="120" l="1"/>
  <c r="G32" i="120"/>
  <c r="G31" i="120"/>
  <c r="AK9" i="78"/>
  <c r="Q40" i="120"/>
  <c r="Q39" i="120"/>
  <c r="V61" i="120"/>
  <c r="V62" i="120"/>
  <c r="U63" i="120"/>
  <c r="V63" i="120" s="1"/>
  <c r="G34" i="120"/>
  <c r="G15" i="120"/>
  <c r="G16" i="120"/>
  <c r="G17" i="120"/>
  <c r="T9" i="78"/>
  <c r="B26" i="144" s="1"/>
  <c r="AD25" i="78"/>
  <c r="D26" i="144" l="1"/>
  <c r="O26" i="144"/>
  <c r="G54" i="120"/>
  <c r="G41" i="120"/>
  <c r="S41" i="120" s="1"/>
  <c r="S41" i="121" s="1"/>
  <c r="H54" i="120" l="1"/>
  <c r="I54" i="120" s="1"/>
  <c r="J54" i="120" l="1"/>
  <c r="G48" i="120"/>
  <c r="G47" i="120"/>
  <c r="G46" i="120"/>
  <c r="G36" i="120"/>
  <c r="S36" i="120" s="1"/>
  <c r="S36" i="121" s="1"/>
  <c r="G43" i="120"/>
  <c r="G43" i="135" s="1"/>
  <c r="G40" i="120"/>
  <c r="G39" i="120"/>
  <c r="S39" i="120" s="1"/>
  <c r="S39" i="121" s="1"/>
  <c r="U39" i="121" l="1"/>
  <c r="T39" i="121"/>
  <c r="S40" i="120"/>
  <c r="S40" i="121" s="1"/>
  <c r="T40" i="121" s="1"/>
  <c r="R39" i="120"/>
  <c r="D9" i="120"/>
  <c r="I72" i="120" l="1"/>
  <c r="I73" i="120" s="1"/>
  <c r="H72" i="120"/>
  <c r="H73" i="120" s="1"/>
  <c r="O62" i="120"/>
  <c r="R62" i="120" s="1"/>
  <c r="P63" i="120"/>
  <c r="Q63" i="120" s="1"/>
  <c r="P62" i="120"/>
  <c r="Q62" i="120" s="1"/>
  <c r="O63" i="120"/>
  <c r="O57" i="120"/>
  <c r="R57" i="120" s="1"/>
  <c r="J16" i="120"/>
  <c r="K16" i="120"/>
  <c r="P58" i="120"/>
  <c r="Q58" i="120" s="1"/>
  <c r="R58" i="120"/>
  <c r="P57" i="120"/>
  <c r="Q57" i="120" s="1"/>
  <c r="O58" i="120"/>
  <c r="I70" i="120" l="1"/>
  <c r="I71" i="120" s="1"/>
  <c r="H70" i="120"/>
  <c r="H71" i="120" s="1"/>
  <c r="J17" i="120"/>
  <c r="V59" i="120"/>
  <c r="V60" i="120" s="1"/>
  <c r="U59" i="120"/>
  <c r="U60" i="120" s="1"/>
  <c r="T59" i="120"/>
  <c r="S59" i="120"/>
  <c r="I59" i="120" l="1"/>
  <c r="I60" i="120" s="1"/>
  <c r="H59" i="120"/>
  <c r="H60" i="120" s="1"/>
  <c r="R63" i="120"/>
  <c r="P59" i="120"/>
  <c r="Q59" i="120" s="1"/>
  <c r="O64" i="120"/>
  <c r="R64" i="120" s="1"/>
  <c r="P64" i="120"/>
  <c r="Q64" i="120" s="1"/>
  <c r="O59" i="120"/>
  <c r="R59" i="120" s="1"/>
  <c r="F71" i="120"/>
  <c r="E71" i="120"/>
  <c r="F8" i="120" l="1"/>
  <c r="L16" i="120" l="1"/>
  <c r="H16" i="120" s="1"/>
  <c r="I48" i="120"/>
  <c r="I17" i="120"/>
  <c r="F6" i="120"/>
  <c r="E65" i="120"/>
  <c r="F65" i="120"/>
  <c r="F60" i="120"/>
  <c r="E60" i="120"/>
  <c r="Q4" i="120"/>
  <c r="W41" i="120"/>
  <c r="X41" i="120" s="1"/>
  <c r="S52" i="120"/>
  <c r="T50" i="120" s="1"/>
  <c r="R52" i="120"/>
  <c r="I52" i="120"/>
  <c r="U51" i="120"/>
  <c r="I51" i="120"/>
  <c r="U50" i="120"/>
  <c r="I50" i="120"/>
  <c r="I47" i="120"/>
  <c r="L46" i="120"/>
  <c r="J46" i="120"/>
  <c r="I43" i="120"/>
  <c r="I42" i="120"/>
  <c r="H41" i="120"/>
  <c r="I41" i="120"/>
  <c r="W40" i="120"/>
  <c r="X40" i="120" s="1"/>
  <c r="I40" i="120"/>
  <c r="H40" i="120"/>
  <c r="W39" i="120"/>
  <c r="X39" i="120" s="1"/>
  <c r="U39" i="120"/>
  <c r="T39" i="120"/>
  <c r="I39" i="120"/>
  <c r="K36" i="120"/>
  <c r="J36" i="120"/>
  <c r="I36" i="120"/>
  <c r="J34" i="120"/>
  <c r="I34" i="120"/>
  <c r="K32" i="120"/>
  <c r="J32" i="120"/>
  <c r="I32" i="120"/>
  <c r="K31" i="120"/>
  <c r="J31" i="120"/>
  <c r="I31" i="120"/>
  <c r="Q29" i="120"/>
  <c r="E29" i="120"/>
  <c r="P27" i="120"/>
  <c r="G27" i="120"/>
  <c r="F27" i="120"/>
  <c r="D27" i="120"/>
  <c r="C27" i="120"/>
  <c r="I26" i="120"/>
  <c r="Q23" i="120"/>
  <c r="I23" i="120"/>
  <c r="E23" i="120"/>
  <c r="Q22" i="120"/>
  <c r="I22" i="120"/>
  <c r="E22" i="120"/>
  <c r="Q21" i="120"/>
  <c r="I21" i="120"/>
  <c r="E21" i="120"/>
  <c r="U20" i="120"/>
  <c r="Q20" i="120"/>
  <c r="I20" i="120"/>
  <c r="E20" i="120"/>
  <c r="S19" i="120"/>
  <c r="R19" i="120"/>
  <c r="P19" i="120"/>
  <c r="O19" i="120"/>
  <c r="G19" i="120"/>
  <c r="F19" i="120"/>
  <c r="D19" i="120"/>
  <c r="C19" i="120"/>
  <c r="I16" i="120"/>
  <c r="J15" i="120"/>
  <c r="P12" i="120"/>
  <c r="D12" i="120"/>
  <c r="D10" i="120"/>
  <c r="P9" i="120"/>
  <c r="P10" i="120" s="1"/>
  <c r="F9" i="120"/>
  <c r="H20" i="120"/>
  <c r="E4" i="120"/>
  <c r="L11" i="85"/>
  <c r="N11" i="85" s="1"/>
  <c r="P11" i="85" l="1"/>
  <c r="R11" i="85"/>
  <c r="T40" i="120"/>
  <c r="E6" i="120"/>
  <c r="E10" i="120" s="1"/>
  <c r="H15" i="120"/>
  <c r="H46" i="120"/>
  <c r="I27" i="120"/>
  <c r="G12" i="120"/>
  <c r="K47" i="120"/>
  <c r="L47" i="120" s="1"/>
  <c r="H47" i="120" s="1"/>
  <c r="F12" i="120"/>
  <c r="I46" i="120"/>
  <c r="G6" i="120"/>
  <c r="G6" i="134" s="1"/>
  <c r="I15" i="120"/>
  <c r="F10" i="120"/>
  <c r="H39" i="120"/>
  <c r="E27" i="120"/>
  <c r="I33" i="120"/>
  <c r="U52" i="120"/>
  <c r="H7" i="120"/>
  <c r="H21" i="120"/>
  <c r="H22" i="120"/>
  <c r="H23" i="120"/>
  <c r="H26" i="120"/>
  <c r="I35" i="120"/>
  <c r="H24" i="120"/>
  <c r="H25" i="120"/>
  <c r="I7" i="120"/>
  <c r="Q16" i="119"/>
  <c r="Q16" i="120" s="1"/>
  <c r="Q16" i="121" s="1"/>
  <c r="I6" i="134" l="1"/>
  <c r="H6" i="134"/>
  <c r="H6" i="120"/>
  <c r="I12" i="120"/>
  <c r="I6" i="120"/>
  <c r="H12" i="120"/>
  <c r="H27" i="120"/>
  <c r="O26" i="119" l="1"/>
  <c r="O26" i="120" s="1"/>
  <c r="O27" i="120" s="1"/>
  <c r="Q27" i="120" s="1"/>
  <c r="T39" i="119" l="1"/>
  <c r="AD24" i="78"/>
  <c r="E6" i="119"/>
  <c r="V3" i="97"/>
  <c r="AJ28" i="97" l="1"/>
  <c r="CL10" i="97" s="1"/>
  <c r="T8" i="78"/>
  <c r="B25" i="144" s="1"/>
  <c r="J34" i="78"/>
  <c r="J74" i="78"/>
  <c r="F12" i="119"/>
  <c r="O8" i="78"/>
  <c r="C77" i="119"/>
  <c r="D77" i="119"/>
  <c r="E9" i="119"/>
  <c r="Q15" i="119"/>
  <c r="D25" i="144" l="1"/>
  <c r="AV28" i="97"/>
  <c r="Q15" i="120"/>
  <c r="Q15" i="121" s="1"/>
  <c r="Q6" i="121" s="1"/>
  <c r="H33" i="120"/>
  <c r="H32" i="120"/>
  <c r="H31" i="120"/>
  <c r="E10" i="119"/>
  <c r="Q6" i="120" l="1"/>
  <c r="W53" i="118"/>
  <c r="W54" i="118" s="1"/>
  <c r="Z82" i="107" l="1"/>
  <c r="AA82" i="107"/>
  <c r="P9" i="119" l="1"/>
  <c r="H83" i="119"/>
  <c r="I83" i="119"/>
  <c r="I82" i="119"/>
  <c r="I84" i="119" s="1"/>
  <c r="H82" i="119"/>
  <c r="K74" i="119"/>
  <c r="L74" i="119"/>
  <c r="K75" i="119"/>
  <c r="L75" i="119"/>
  <c r="L73" i="119"/>
  <c r="K73" i="119"/>
  <c r="L72" i="119"/>
  <c r="K72" i="119"/>
  <c r="H84" i="119" l="1"/>
  <c r="L67" i="119"/>
  <c r="L68" i="119"/>
  <c r="L69" i="119"/>
  <c r="K68" i="119"/>
  <c r="K69" i="119"/>
  <c r="K67" i="119"/>
  <c r="K61" i="119"/>
  <c r="K62" i="119"/>
  <c r="K63" i="119"/>
  <c r="L62" i="119"/>
  <c r="L63" i="119"/>
  <c r="L61" i="119"/>
  <c r="J46" i="119"/>
  <c r="O86" i="119"/>
  <c r="O74" i="119"/>
  <c r="L10" i="85"/>
  <c r="N10" i="85" s="1"/>
  <c r="R10" i="85" l="1"/>
  <c r="P10" i="85"/>
  <c r="K32" i="119" l="1"/>
  <c r="J32" i="119"/>
  <c r="S19" i="119"/>
  <c r="R19" i="119"/>
  <c r="J34" i="119" l="1"/>
  <c r="I48" i="119"/>
  <c r="I47" i="119"/>
  <c r="K47" i="119"/>
  <c r="Q21" i="119"/>
  <c r="Q20" i="119"/>
  <c r="J36" i="119"/>
  <c r="J17" i="119"/>
  <c r="G12" i="119"/>
  <c r="I46" i="119"/>
  <c r="Q47" i="119"/>
  <c r="Q47" i="120" s="1"/>
  <c r="Q46" i="119"/>
  <c r="Q46" i="120" s="1"/>
  <c r="H33" i="119"/>
  <c r="Q32" i="119"/>
  <c r="H31" i="119"/>
  <c r="J16" i="119"/>
  <c r="K16" i="119"/>
  <c r="L16" i="119" s="1"/>
  <c r="H16" i="119" s="1"/>
  <c r="F6" i="119"/>
  <c r="J15" i="119"/>
  <c r="F12" i="118"/>
  <c r="G9" i="119"/>
  <c r="F9" i="119"/>
  <c r="F8" i="119"/>
  <c r="G7" i="119"/>
  <c r="H26" i="119" s="1"/>
  <c r="F7" i="119"/>
  <c r="P86" i="119"/>
  <c r="Q74" i="119"/>
  <c r="P74" i="119"/>
  <c r="D56" i="119"/>
  <c r="E56" i="119" s="1"/>
  <c r="F56" i="119" s="1"/>
  <c r="G56" i="119" s="1"/>
  <c r="D55" i="119"/>
  <c r="E55" i="119" s="1"/>
  <c r="F55" i="119" s="1"/>
  <c r="G55" i="119" s="1"/>
  <c r="D54" i="119"/>
  <c r="E54" i="119" s="1"/>
  <c r="S52" i="119"/>
  <c r="R52" i="119"/>
  <c r="G52" i="119"/>
  <c r="F52" i="119"/>
  <c r="U51" i="119"/>
  <c r="I51" i="119"/>
  <c r="U50" i="119"/>
  <c r="I50" i="119"/>
  <c r="L46" i="119"/>
  <c r="I43" i="119"/>
  <c r="I42" i="119"/>
  <c r="W41" i="119"/>
  <c r="X41" i="119" s="1"/>
  <c r="I41" i="119"/>
  <c r="W40" i="119"/>
  <c r="X40" i="119" s="1"/>
  <c r="H40" i="119"/>
  <c r="I40" i="119"/>
  <c r="W39" i="119"/>
  <c r="X39" i="119" s="1"/>
  <c r="I39" i="119"/>
  <c r="K36" i="119"/>
  <c r="I34" i="119"/>
  <c r="I33" i="119"/>
  <c r="I32" i="119"/>
  <c r="K31" i="119"/>
  <c r="J31" i="119"/>
  <c r="Q29" i="119"/>
  <c r="E29" i="119"/>
  <c r="G27" i="119"/>
  <c r="F27" i="119"/>
  <c r="D27" i="119"/>
  <c r="C27" i="119"/>
  <c r="I26" i="119"/>
  <c r="Z25" i="119"/>
  <c r="I23" i="119"/>
  <c r="E23" i="119"/>
  <c r="I22" i="119"/>
  <c r="E22" i="119"/>
  <c r="I21" i="119"/>
  <c r="E21" i="119"/>
  <c r="I20" i="119"/>
  <c r="E20" i="119"/>
  <c r="P19" i="119"/>
  <c r="O19" i="119"/>
  <c r="G19" i="119"/>
  <c r="F19" i="119"/>
  <c r="D19" i="119"/>
  <c r="C19" i="119"/>
  <c r="I15" i="119"/>
  <c r="P12" i="119"/>
  <c r="D12" i="119"/>
  <c r="P10" i="119"/>
  <c r="D10" i="119"/>
  <c r="Q4" i="119"/>
  <c r="E4" i="119"/>
  <c r="I40" i="118"/>
  <c r="I41" i="118"/>
  <c r="I42" i="118"/>
  <c r="I43" i="118"/>
  <c r="I52" i="119" l="1"/>
  <c r="Q12" i="120"/>
  <c r="U52" i="119"/>
  <c r="F54" i="119"/>
  <c r="G54" i="119" s="1"/>
  <c r="Q12" i="119"/>
  <c r="U39" i="119"/>
  <c r="E27" i="119"/>
  <c r="Q6" i="119"/>
  <c r="H32" i="119"/>
  <c r="H15" i="119"/>
  <c r="E12" i="119"/>
  <c r="H12" i="119" s="1"/>
  <c r="L47" i="119"/>
  <c r="H47" i="119" s="1"/>
  <c r="H46" i="119"/>
  <c r="Q31" i="119"/>
  <c r="Q33" i="119"/>
  <c r="Q23" i="119"/>
  <c r="P27" i="119"/>
  <c r="O27" i="119"/>
  <c r="I27" i="119"/>
  <c r="H8" i="119"/>
  <c r="Q22" i="119"/>
  <c r="I17" i="119"/>
  <c r="G6" i="119"/>
  <c r="I12" i="119"/>
  <c r="I9" i="119"/>
  <c r="H9" i="119"/>
  <c r="F10" i="119"/>
  <c r="H24" i="119"/>
  <c r="H25" i="119"/>
  <c r="I31" i="119"/>
  <c r="I35" i="119"/>
  <c r="I37" i="119"/>
  <c r="I44" i="119"/>
  <c r="H7" i="119"/>
  <c r="I16" i="119"/>
  <c r="H20" i="119"/>
  <c r="H21" i="119"/>
  <c r="H22" i="119"/>
  <c r="H23" i="119"/>
  <c r="I36" i="119"/>
  <c r="H39" i="119"/>
  <c r="H41" i="119"/>
  <c r="I7" i="119"/>
  <c r="Z25" i="118"/>
  <c r="G27" i="118"/>
  <c r="Q31" i="120" l="1"/>
  <c r="Q27" i="119"/>
  <c r="H27" i="119"/>
  <c r="I8" i="119"/>
  <c r="G10" i="119"/>
  <c r="I6" i="119"/>
  <c r="Z1" i="97"/>
  <c r="Q31" i="121" l="1"/>
  <c r="AJ27" i="97"/>
  <c r="CL9" i="97" s="1"/>
  <c r="I10" i="119"/>
  <c r="D10" i="116"/>
  <c r="AV27" i="97" l="1"/>
  <c r="I15" i="118"/>
  <c r="W40" i="118"/>
  <c r="X40" i="118" s="1"/>
  <c r="W41" i="118"/>
  <c r="X41" i="118" s="1"/>
  <c r="W39" i="118"/>
  <c r="X39" i="118" s="1"/>
  <c r="AD23" i="78"/>
  <c r="I17" i="118"/>
  <c r="I16" i="118"/>
  <c r="S52" i="118"/>
  <c r="R52" i="118"/>
  <c r="G52" i="118"/>
  <c r="F52" i="118"/>
  <c r="I51" i="118"/>
  <c r="I50" i="118"/>
  <c r="H46" i="118"/>
  <c r="K47" i="118"/>
  <c r="L47" i="118" s="1"/>
  <c r="H47" i="118" s="1"/>
  <c r="K16" i="118"/>
  <c r="L16" i="118" s="1"/>
  <c r="H16" i="118" s="1"/>
  <c r="H15" i="118"/>
  <c r="I52" i="118" l="1"/>
  <c r="H31" i="118"/>
  <c r="M73" i="78"/>
  <c r="N73" i="78"/>
  <c r="E12" i="118" l="1"/>
  <c r="Q7" i="119"/>
  <c r="T7" i="78"/>
  <c r="E74" i="118"/>
  <c r="D74" i="118"/>
  <c r="H74" i="118" s="1"/>
  <c r="K31" i="118"/>
  <c r="J31" i="118"/>
  <c r="B24" i="144" l="1"/>
  <c r="Q7" i="120"/>
  <c r="O26" i="118"/>
  <c r="O25" i="118"/>
  <c r="Q8" i="119"/>
  <c r="Q8" i="120" s="1"/>
  <c r="D24" i="144" l="1"/>
  <c r="E68" i="118"/>
  <c r="E67" i="118"/>
  <c r="E62" i="118"/>
  <c r="E61" i="118"/>
  <c r="P86" i="118"/>
  <c r="O86" i="118"/>
  <c r="P74" i="118"/>
  <c r="Q74" i="118"/>
  <c r="I73" i="118" s="1"/>
  <c r="O74" i="118"/>
  <c r="I62" i="118"/>
  <c r="I61" i="118"/>
  <c r="L55" i="85"/>
  <c r="N55" i="85" s="1"/>
  <c r="P66" i="116"/>
  <c r="P55" i="85" l="1"/>
  <c r="R51" i="85"/>
  <c r="H61" i="118"/>
  <c r="H68" i="118"/>
  <c r="H62" i="118"/>
  <c r="H67" i="118"/>
  <c r="H73" i="118"/>
  <c r="H75" i="118"/>
  <c r="I75" i="118"/>
  <c r="I74" i="118"/>
  <c r="L51" i="116" l="1"/>
  <c r="F10" i="118" l="1"/>
  <c r="I48" i="118"/>
  <c r="I47" i="118"/>
  <c r="M40" i="78"/>
  <c r="N40" i="78"/>
  <c r="L40" i="78"/>
  <c r="S6" i="134" l="1"/>
  <c r="AF96" i="85"/>
  <c r="AF97" i="85"/>
  <c r="AF95" i="85"/>
  <c r="AD97" i="85"/>
  <c r="AD96" i="85"/>
  <c r="AD95" i="85"/>
  <c r="I46" i="118"/>
  <c r="L46" i="118"/>
  <c r="J17" i="118"/>
  <c r="J16" i="118"/>
  <c r="J15" i="118"/>
  <c r="J36" i="118"/>
  <c r="I36" i="118"/>
  <c r="K36" i="118"/>
  <c r="U52" i="118"/>
  <c r="U51" i="118"/>
  <c r="U50" i="118"/>
  <c r="Q29" i="118"/>
  <c r="P27" i="118"/>
  <c r="O27" i="118"/>
  <c r="Q23" i="118"/>
  <c r="Q22" i="118"/>
  <c r="Q21" i="118"/>
  <c r="Q20" i="118"/>
  <c r="S19" i="118"/>
  <c r="R19" i="118"/>
  <c r="P19" i="118"/>
  <c r="O19" i="118"/>
  <c r="P12" i="118"/>
  <c r="P10" i="118"/>
  <c r="Q4" i="118"/>
  <c r="D56" i="118"/>
  <c r="E56" i="118" s="1"/>
  <c r="F56" i="118" s="1"/>
  <c r="G56" i="118" s="1"/>
  <c r="D55" i="118"/>
  <c r="E55" i="118" s="1"/>
  <c r="F55" i="118" s="1"/>
  <c r="G55" i="118" s="1"/>
  <c r="D54" i="118"/>
  <c r="E54" i="118" s="1"/>
  <c r="F54" i="118" s="1"/>
  <c r="G54" i="118" s="1"/>
  <c r="I44" i="118"/>
  <c r="H41" i="118"/>
  <c r="H40" i="118"/>
  <c r="H39" i="118"/>
  <c r="I32" i="118"/>
  <c r="E29" i="118"/>
  <c r="F27" i="118"/>
  <c r="D27" i="118"/>
  <c r="C27" i="118"/>
  <c r="I26" i="118"/>
  <c r="E23" i="118"/>
  <c r="E22" i="118"/>
  <c r="E21" i="118"/>
  <c r="E20" i="118"/>
  <c r="G19" i="118"/>
  <c r="F19" i="118"/>
  <c r="D19" i="118"/>
  <c r="C19" i="118"/>
  <c r="D12" i="118"/>
  <c r="D10" i="118"/>
  <c r="E4" i="118"/>
  <c r="AC56" i="78"/>
  <c r="AL26" i="78"/>
  <c r="S10" i="134" l="1"/>
  <c r="I9" i="118"/>
  <c r="I27" i="118"/>
  <c r="I33" i="118"/>
  <c r="H33" i="118"/>
  <c r="H32" i="118"/>
  <c r="I34" i="118"/>
  <c r="H6" i="118"/>
  <c r="Q27" i="118"/>
  <c r="Q10" i="118"/>
  <c r="I6" i="118"/>
  <c r="I35" i="118"/>
  <c r="G12" i="118"/>
  <c r="I20" i="118"/>
  <c r="E27" i="118"/>
  <c r="H22" i="118"/>
  <c r="I31" i="118"/>
  <c r="E10" i="118"/>
  <c r="I21" i="118"/>
  <c r="I22" i="118"/>
  <c r="I23" i="118"/>
  <c r="I39" i="118"/>
  <c r="H24" i="118"/>
  <c r="AB1" i="78"/>
  <c r="AB2" i="78"/>
  <c r="T62" i="107"/>
  <c r="U62" i="107" s="1"/>
  <c r="I12" i="118" l="1"/>
  <c r="H12" i="118"/>
  <c r="H9" i="118"/>
  <c r="H20" i="118"/>
  <c r="H26" i="118"/>
  <c r="I7" i="118"/>
  <c r="H7" i="118"/>
  <c r="H23" i="118"/>
  <c r="H25" i="118"/>
  <c r="H21" i="118"/>
  <c r="H27" i="118" l="1"/>
  <c r="F48" i="115"/>
  <c r="F47" i="115"/>
  <c r="F46" i="115"/>
  <c r="L9" i="85" l="1"/>
  <c r="N9" i="85" s="1"/>
  <c r="R9" i="85" s="1"/>
  <c r="G52" i="116"/>
  <c r="F52" i="116"/>
  <c r="E46" i="115"/>
  <c r="F21" i="116"/>
  <c r="R21" i="118" s="1"/>
  <c r="R21" i="119" s="1"/>
  <c r="F22" i="116"/>
  <c r="F23" i="116"/>
  <c r="R23" i="118" s="1"/>
  <c r="R23" i="119" s="1"/>
  <c r="R23" i="120" s="1"/>
  <c r="F24" i="116"/>
  <c r="R24" i="118" s="1"/>
  <c r="R24" i="119" s="1"/>
  <c r="R24" i="120" s="1"/>
  <c r="G24" i="116"/>
  <c r="S24" i="118" s="1"/>
  <c r="F25" i="116"/>
  <c r="R25" i="118" s="1"/>
  <c r="R25" i="119" s="1"/>
  <c r="R25" i="120" s="1"/>
  <c r="G25" i="116"/>
  <c r="S25" i="118" s="1"/>
  <c r="F26" i="116"/>
  <c r="R26" i="118" s="1"/>
  <c r="R26" i="119" s="1"/>
  <c r="R26" i="120" s="1"/>
  <c r="F20" i="116"/>
  <c r="R20" i="118" s="1"/>
  <c r="C21" i="116"/>
  <c r="D21" i="116"/>
  <c r="C22" i="116"/>
  <c r="D22" i="116"/>
  <c r="C23" i="116"/>
  <c r="D23" i="116"/>
  <c r="C24" i="116"/>
  <c r="D24" i="116"/>
  <c r="C25" i="116"/>
  <c r="D25" i="116"/>
  <c r="D26" i="116"/>
  <c r="D20" i="116"/>
  <c r="E20" i="116" s="1"/>
  <c r="C20" i="116"/>
  <c r="F9" i="115"/>
  <c r="G35" i="115"/>
  <c r="I35" i="115" s="1"/>
  <c r="G34" i="115"/>
  <c r="I34" i="115" s="1"/>
  <c r="G33" i="115"/>
  <c r="G32" i="115"/>
  <c r="H32" i="115" s="1"/>
  <c r="G31" i="115"/>
  <c r="E33" i="115"/>
  <c r="E33" i="135" s="1"/>
  <c r="E32" i="115"/>
  <c r="E32" i="135" s="1"/>
  <c r="E31" i="115"/>
  <c r="E31" i="135" s="1"/>
  <c r="H31" i="135" s="1"/>
  <c r="E22" i="115"/>
  <c r="E21" i="115"/>
  <c r="G41" i="115"/>
  <c r="G41" i="135" s="1"/>
  <c r="H41" i="135" s="1"/>
  <c r="G40" i="115"/>
  <c r="G40" i="135" s="1"/>
  <c r="H39" i="135" s="1"/>
  <c r="G39" i="115"/>
  <c r="I39" i="115" s="1"/>
  <c r="F8" i="115"/>
  <c r="G26" i="115"/>
  <c r="G26" i="116" s="1"/>
  <c r="G23" i="115"/>
  <c r="G23" i="116" s="1"/>
  <c r="S23" i="118" s="1"/>
  <c r="G22" i="115"/>
  <c r="G22" i="116" s="1"/>
  <c r="G21" i="115"/>
  <c r="I21" i="115" s="1"/>
  <c r="G20" i="115"/>
  <c r="G20" i="116" s="1"/>
  <c r="S20" i="118" s="1"/>
  <c r="AD22" i="78"/>
  <c r="F7" i="115"/>
  <c r="X7" i="126" s="1"/>
  <c r="O46" i="78"/>
  <c r="F6" i="115"/>
  <c r="D12" i="115"/>
  <c r="E47" i="115"/>
  <c r="E8" i="115"/>
  <c r="E7" i="115"/>
  <c r="G47" i="115"/>
  <c r="I47" i="115" s="1"/>
  <c r="G48" i="115"/>
  <c r="I48" i="115" s="1"/>
  <c r="G46" i="115"/>
  <c r="H46" i="115" s="1"/>
  <c r="G17" i="115"/>
  <c r="I17" i="115" s="1"/>
  <c r="G16" i="115"/>
  <c r="I16" i="115" s="1"/>
  <c r="G15" i="115"/>
  <c r="I15" i="115" s="1"/>
  <c r="V4" i="97"/>
  <c r="AJ26" i="97"/>
  <c r="CL8" i="97" s="1"/>
  <c r="T6" i="78"/>
  <c r="W33" i="116"/>
  <c r="X33" i="116" s="1"/>
  <c r="X32" i="116"/>
  <c r="W31" i="116"/>
  <c r="X31" i="116" s="1"/>
  <c r="X30" i="116"/>
  <c r="W30" i="116"/>
  <c r="W44" i="116"/>
  <c r="X44" i="116" s="1"/>
  <c r="W43" i="116"/>
  <c r="X43" i="116" s="1"/>
  <c r="W42" i="116"/>
  <c r="X42" i="116" s="1"/>
  <c r="S30" i="116"/>
  <c r="W39" i="78"/>
  <c r="V39" i="78"/>
  <c r="U39" i="78"/>
  <c r="Y39" i="78"/>
  <c r="T39" i="78"/>
  <c r="W17" i="116"/>
  <c r="W16" i="116"/>
  <c r="W15" i="116"/>
  <c r="E4" i="115"/>
  <c r="Q34" i="115"/>
  <c r="S31" i="115"/>
  <c r="Q31" i="115"/>
  <c r="P31" i="115"/>
  <c r="J28" i="117"/>
  <c r="J29" i="117"/>
  <c r="J30" i="117"/>
  <c r="M29" i="117"/>
  <c r="O29" i="117" s="1"/>
  <c r="L29" i="117"/>
  <c r="I28" i="117"/>
  <c r="Z64" i="107"/>
  <c r="Z65" i="107" s="1"/>
  <c r="Y64" i="107"/>
  <c r="Y65" i="107" s="1"/>
  <c r="AB64" i="107"/>
  <c r="AB65" i="107" s="1"/>
  <c r="AB66" i="107" s="1"/>
  <c r="K56" i="116"/>
  <c r="F31" i="117"/>
  <c r="G31" i="117"/>
  <c r="Q15" i="117"/>
  <c r="G20" i="117"/>
  <c r="M19" i="117" s="1"/>
  <c r="H20" i="117"/>
  <c r="H21" i="117"/>
  <c r="H19" i="117"/>
  <c r="J19" i="117" s="1"/>
  <c r="G19" i="117"/>
  <c r="G22" i="117" s="1"/>
  <c r="F22" i="117"/>
  <c r="H14" i="117"/>
  <c r="G14" i="117"/>
  <c r="F14" i="117"/>
  <c r="G10" i="117"/>
  <c r="G3" i="117"/>
  <c r="G7" i="117"/>
  <c r="H7" i="117"/>
  <c r="F7" i="117"/>
  <c r="M47" i="115"/>
  <c r="S6" i="116"/>
  <c r="G19" i="116"/>
  <c r="F19" i="116"/>
  <c r="D19" i="116"/>
  <c r="C19" i="116"/>
  <c r="E4" i="116"/>
  <c r="F55" i="116"/>
  <c r="I51" i="116"/>
  <c r="I50" i="116"/>
  <c r="M48" i="116"/>
  <c r="M46" i="116"/>
  <c r="O44" i="116"/>
  <c r="N34" i="116"/>
  <c r="N33" i="116"/>
  <c r="Q32" i="116"/>
  <c r="N32" i="116"/>
  <c r="E29" i="116"/>
  <c r="E23" i="116"/>
  <c r="O21" i="116"/>
  <c r="L21" i="116" s="1"/>
  <c r="E21" i="116"/>
  <c r="O20" i="116"/>
  <c r="L20" i="116" s="1"/>
  <c r="O19" i="116"/>
  <c r="L19" i="116" s="1"/>
  <c r="R17" i="116"/>
  <c r="Q17" i="116" s="1"/>
  <c r="R16" i="116"/>
  <c r="Q16" i="116" s="1"/>
  <c r="R15" i="116"/>
  <c r="Q15" i="116" s="1"/>
  <c r="N13" i="116"/>
  <c r="S10" i="116"/>
  <c r="P19" i="115"/>
  <c r="S19" i="115" s="1"/>
  <c r="P18" i="115"/>
  <c r="S18" i="115" s="1"/>
  <c r="P15" i="115"/>
  <c r="S15" i="115" s="1"/>
  <c r="P14" i="115"/>
  <c r="S14" i="115" s="1"/>
  <c r="Q19" i="115"/>
  <c r="T19" i="115" s="1"/>
  <c r="Q18" i="115"/>
  <c r="T18" i="115" s="1"/>
  <c r="Q15" i="115"/>
  <c r="Q14" i="115"/>
  <c r="T14" i="115" s="1"/>
  <c r="G19" i="115"/>
  <c r="F19" i="115"/>
  <c r="D19" i="115"/>
  <c r="C19" i="115"/>
  <c r="F12" i="115"/>
  <c r="D56" i="115"/>
  <c r="E56" i="115" s="1"/>
  <c r="F56" i="115" s="1"/>
  <c r="G56" i="115" s="1"/>
  <c r="D55" i="115"/>
  <c r="E55" i="115" s="1"/>
  <c r="F55" i="115" s="1"/>
  <c r="G55" i="115" s="1"/>
  <c r="D54" i="115"/>
  <c r="E54" i="115" s="1"/>
  <c r="F54" i="115" s="1"/>
  <c r="G54" i="115" s="1"/>
  <c r="I52" i="115"/>
  <c r="I51" i="115"/>
  <c r="I50" i="115"/>
  <c r="I33" i="115"/>
  <c r="E29" i="115"/>
  <c r="F27" i="115"/>
  <c r="D27" i="115"/>
  <c r="I26" i="115"/>
  <c r="C27" i="115"/>
  <c r="I23" i="115"/>
  <c r="E23" i="115"/>
  <c r="I20" i="115"/>
  <c r="E20" i="115"/>
  <c r="AE98" i="85"/>
  <c r="L76" i="78" l="1"/>
  <c r="G36" i="115"/>
  <c r="I36" i="115" s="1"/>
  <c r="B23" i="144"/>
  <c r="H40" i="115"/>
  <c r="H41" i="115"/>
  <c r="AV26" i="97"/>
  <c r="H31" i="115"/>
  <c r="E22" i="116"/>
  <c r="Q16" i="115"/>
  <c r="G12" i="115"/>
  <c r="I12" i="115" s="1"/>
  <c r="E10" i="115"/>
  <c r="T15" i="115"/>
  <c r="I19" i="117"/>
  <c r="G7" i="115"/>
  <c r="Y7" i="126" s="1"/>
  <c r="H33" i="115"/>
  <c r="X7" i="125"/>
  <c r="X7" i="123"/>
  <c r="X7" i="122"/>
  <c r="I31" i="115"/>
  <c r="S22" i="118"/>
  <c r="S26" i="118"/>
  <c r="I26" i="116"/>
  <c r="Y7" i="120"/>
  <c r="H25" i="115"/>
  <c r="I7" i="115"/>
  <c r="H23" i="115"/>
  <c r="H7" i="115"/>
  <c r="H24" i="115"/>
  <c r="H26" i="115"/>
  <c r="H22" i="115"/>
  <c r="H20" i="115"/>
  <c r="P20" i="115"/>
  <c r="S23" i="119"/>
  <c r="U23" i="118"/>
  <c r="G27" i="115"/>
  <c r="I27" i="115" s="1"/>
  <c r="Q20" i="115"/>
  <c r="S20" i="119"/>
  <c r="U20" i="118"/>
  <c r="I22" i="115"/>
  <c r="H39" i="115"/>
  <c r="I46" i="115"/>
  <c r="P16" i="115"/>
  <c r="I20" i="116"/>
  <c r="I25" i="116"/>
  <c r="X7" i="121"/>
  <c r="X7" i="120"/>
  <c r="S24" i="119"/>
  <c r="I52" i="116"/>
  <c r="S25" i="119"/>
  <c r="G21" i="116"/>
  <c r="I23" i="116"/>
  <c r="R21" i="120"/>
  <c r="H21" i="115"/>
  <c r="I7" i="117"/>
  <c r="F27" i="116"/>
  <c r="R22" i="118"/>
  <c r="R22" i="119" s="1"/>
  <c r="R22" i="120" s="1"/>
  <c r="U22" i="120" s="1"/>
  <c r="P9" i="85"/>
  <c r="I22" i="116"/>
  <c r="D27" i="116"/>
  <c r="G6" i="115"/>
  <c r="K15" i="115"/>
  <c r="E10" i="116"/>
  <c r="I32" i="115"/>
  <c r="F10" i="115"/>
  <c r="J20" i="117"/>
  <c r="J7" i="117"/>
  <c r="H22" i="117"/>
  <c r="I22" i="117" s="1"/>
  <c r="J21" i="117"/>
  <c r="J14" i="117"/>
  <c r="N19" i="117"/>
  <c r="I14" i="117"/>
  <c r="E27" i="115"/>
  <c r="K46" i="115"/>
  <c r="H15" i="115"/>
  <c r="Y7" i="121" l="1"/>
  <c r="H27" i="115"/>
  <c r="Y7" i="125"/>
  <c r="Y7" i="123"/>
  <c r="Y7" i="122"/>
  <c r="S7" i="121"/>
  <c r="R7" i="120"/>
  <c r="R27" i="120"/>
  <c r="S21" i="118"/>
  <c r="I21" i="116"/>
  <c r="S23" i="120"/>
  <c r="S24" i="120"/>
  <c r="U23" i="119"/>
  <c r="G27" i="116"/>
  <c r="I27" i="116" s="1"/>
  <c r="R27" i="119"/>
  <c r="S25" i="120"/>
  <c r="R27" i="118"/>
  <c r="S22" i="119"/>
  <c r="U22" i="118"/>
  <c r="S26" i="119"/>
  <c r="U26" i="118"/>
  <c r="R7" i="119"/>
  <c r="U20" i="119"/>
  <c r="R7" i="118"/>
  <c r="J22" i="117"/>
  <c r="Q19" i="117"/>
  <c r="P19" i="117"/>
  <c r="H6" i="115"/>
  <c r="I6" i="115"/>
  <c r="F55" i="114"/>
  <c r="N13" i="114"/>
  <c r="T20" i="121" l="1"/>
  <c r="T26" i="121"/>
  <c r="T25" i="121"/>
  <c r="T22" i="121"/>
  <c r="T24" i="121"/>
  <c r="T21" i="121"/>
  <c r="T23" i="121"/>
  <c r="U7" i="121"/>
  <c r="U22" i="119"/>
  <c r="S21" i="119"/>
  <c r="U21" i="118"/>
  <c r="S27" i="118"/>
  <c r="U27" i="118" s="1"/>
  <c r="S7" i="118"/>
  <c r="U7" i="118" s="1"/>
  <c r="U23" i="120"/>
  <c r="S26" i="120"/>
  <c r="U26" i="119"/>
  <c r="H31" i="117"/>
  <c r="T27" i="121" l="1"/>
  <c r="U26" i="120"/>
  <c r="S21" i="120"/>
  <c r="U21" i="119"/>
  <c r="S27" i="119"/>
  <c r="U27" i="119" s="1"/>
  <c r="S7" i="119"/>
  <c r="T20" i="118"/>
  <c r="T7" i="118"/>
  <c r="T25" i="118"/>
  <c r="T23" i="118"/>
  <c r="T24" i="118"/>
  <c r="T26" i="118"/>
  <c r="T22" i="118"/>
  <c r="J31" i="117"/>
  <c r="I31" i="117"/>
  <c r="T21" i="118"/>
  <c r="L54" i="85"/>
  <c r="L53" i="85"/>
  <c r="N53" i="85" s="1"/>
  <c r="N54" i="85" l="1"/>
  <c r="P54" i="85" s="1"/>
  <c r="R49" i="85"/>
  <c r="P53" i="85"/>
  <c r="T27" i="118"/>
  <c r="T7" i="119"/>
  <c r="T25" i="119"/>
  <c r="T20" i="119"/>
  <c r="T24" i="119"/>
  <c r="T23" i="119"/>
  <c r="T22" i="119"/>
  <c r="U7" i="119"/>
  <c r="T26" i="119"/>
  <c r="S7" i="120"/>
  <c r="U21" i="120"/>
  <c r="S27" i="120"/>
  <c r="U27" i="120" s="1"/>
  <c r="T21" i="119"/>
  <c r="D55" i="113"/>
  <c r="E55" i="113" s="1"/>
  <c r="F55" i="113" s="1"/>
  <c r="G55" i="113" s="1"/>
  <c r="D56" i="113"/>
  <c r="E56" i="113"/>
  <c r="F56" i="113" s="1"/>
  <c r="G56" i="113" s="1"/>
  <c r="D54" i="113"/>
  <c r="E54" i="113" s="1"/>
  <c r="F54" i="113" s="1"/>
  <c r="G54" i="113" s="1"/>
  <c r="R50" i="85" l="1"/>
  <c r="T27" i="119"/>
  <c r="T22" i="120"/>
  <c r="U7" i="120"/>
  <c r="T20" i="120"/>
  <c r="T7" i="120"/>
  <c r="T24" i="120"/>
  <c r="T25" i="120"/>
  <c r="T23" i="120"/>
  <c r="T26" i="120"/>
  <c r="T21" i="120"/>
  <c r="T36" i="107"/>
  <c r="T38" i="107" s="1"/>
  <c r="T40" i="107" s="1"/>
  <c r="T42" i="107" s="1"/>
  <c r="T27" i="120" l="1"/>
  <c r="T44" i="107"/>
  <c r="AJ25" i="97"/>
  <c r="CL7" i="97" s="1"/>
  <c r="AC98" i="85"/>
  <c r="AB98" i="85"/>
  <c r="BB25" i="97" l="1"/>
  <c r="AV25" i="97"/>
  <c r="T46" i="107"/>
  <c r="T48" i="107" s="1"/>
  <c r="T50" i="107" s="1"/>
  <c r="AF98" i="85"/>
  <c r="AD98" i="85"/>
  <c r="O5" i="78"/>
  <c r="T52" i="107" l="1"/>
  <c r="P5" i="78"/>
  <c r="T54" i="107" l="1"/>
  <c r="G26" i="113"/>
  <c r="C26" i="113"/>
  <c r="D10" i="114"/>
  <c r="E46" i="114"/>
  <c r="E12" i="114" s="1"/>
  <c r="F42" i="114"/>
  <c r="F42" i="116" s="1"/>
  <c r="G42" i="114"/>
  <c r="G42" i="116" s="1"/>
  <c r="F43" i="114"/>
  <c r="F43" i="116" s="1"/>
  <c r="G43" i="114"/>
  <c r="G43" i="116" s="1"/>
  <c r="F44" i="114"/>
  <c r="F44" i="116" s="1"/>
  <c r="E40" i="114"/>
  <c r="E40" i="116" s="1"/>
  <c r="Q40" i="119" s="1"/>
  <c r="F40" i="114"/>
  <c r="F40" i="116" s="1"/>
  <c r="E39" i="114"/>
  <c r="E39" i="116" s="1"/>
  <c r="F34" i="114"/>
  <c r="F34" i="116" s="1"/>
  <c r="R34" i="118" s="1"/>
  <c r="R34" i="119" s="1"/>
  <c r="R34" i="120" s="1"/>
  <c r="R34" i="121" s="1"/>
  <c r="F35" i="114"/>
  <c r="F35" i="116" s="1"/>
  <c r="R35" i="118" s="1"/>
  <c r="R35" i="119" s="1"/>
  <c r="R35" i="120" s="1"/>
  <c r="R35" i="121" s="1"/>
  <c r="F36" i="114"/>
  <c r="F36" i="116" s="1"/>
  <c r="R36" i="118" s="1"/>
  <c r="R36" i="119" s="1"/>
  <c r="F37" i="114"/>
  <c r="F37" i="116" s="1"/>
  <c r="R37" i="118" s="1"/>
  <c r="R37" i="119" s="1"/>
  <c r="R37" i="120" s="1"/>
  <c r="R37" i="121" s="1"/>
  <c r="F32" i="114"/>
  <c r="F32" i="116" s="1"/>
  <c r="R32" i="118" s="1"/>
  <c r="R32" i="119" s="1"/>
  <c r="R32" i="120" s="1"/>
  <c r="F33" i="114"/>
  <c r="F33" i="116" s="1"/>
  <c r="R33" i="118" s="1"/>
  <c r="R33" i="119" s="1"/>
  <c r="R33" i="120" s="1"/>
  <c r="R33" i="121" s="1"/>
  <c r="F31" i="114"/>
  <c r="F31" i="116" s="1"/>
  <c r="R31" i="118" s="1"/>
  <c r="E31" i="114"/>
  <c r="F7" i="114"/>
  <c r="F7" i="116" s="1"/>
  <c r="G7" i="114"/>
  <c r="G7" i="116" s="1"/>
  <c r="C26" i="114"/>
  <c r="C26" i="116" s="1"/>
  <c r="C27" i="116" s="1"/>
  <c r="E27" i="116" s="1"/>
  <c r="S10" i="114"/>
  <c r="T56" i="107" l="1"/>
  <c r="AD39" i="107"/>
  <c r="S43" i="119"/>
  <c r="S43" i="118"/>
  <c r="R31" i="119"/>
  <c r="R8" i="118"/>
  <c r="R43" i="119"/>
  <c r="R43" i="118"/>
  <c r="U43" i="118" s="1"/>
  <c r="H7" i="116"/>
  <c r="H22" i="116"/>
  <c r="H20" i="116"/>
  <c r="I7" i="116"/>
  <c r="H26" i="116"/>
  <c r="H25" i="116"/>
  <c r="H23" i="116"/>
  <c r="H24" i="116"/>
  <c r="H21" i="116"/>
  <c r="T40" i="119"/>
  <c r="S42" i="119"/>
  <c r="S42" i="118"/>
  <c r="R36" i="120"/>
  <c r="R36" i="121" s="1"/>
  <c r="U36" i="121" s="1"/>
  <c r="U36" i="119"/>
  <c r="R40" i="119"/>
  <c r="R40" i="118"/>
  <c r="R32" i="121"/>
  <c r="R54" i="120"/>
  <c r="R44" i="119"/>
  <c r="R44" i="118"/>
  <c r="R42" i="119"/>
  <c r="R42" i="118"/>
  <c r="G40" i="113"/>
  <c r="G39" i="113"/>
  <c r="G39" i="135" s="1"/>
  <c r="I39" i="135" s="1"/>
  <c r="G35" i="113"/>
  <c r="G35" i="135" s="1"/>
  <c r="G34" i="113"/>
  <c r="G34" i="135" s="1"/>
  <c r="I34" i="135" s="1"/>
  <c r="G33" i="113"/>
  <c r="G32" i="113"/>
  <c r="G48" i="113"/>
  <c r="G47" i="113"/>
  <c r="G46" i="113"/>
  <c r="F48" i="113"/>
  <c r="F47" i="113"/>
  <c r="F46" i="113"/>
  <c r="G17" i="113"/>
  <c r="G16" i="113"/>
  <c r="G16" i="135" s="1"/>
  <c r="G15" i="113"/>
  <c r="G15" i="135" s="1"/>
  <c r="F17" i="113"/>
  <c r="F16" i="113"/>
  <c r="F15" i="113"/>
  <c r="G52" i="113"/>
  <c r="F52" i="113"/>
  <c r="L8" i="85"/>
  <c r="N8" i="85" s="1"/>
  <c r="F15" i="114" l="1"/>
  <c r="F15" i="116" s="1"/>
  <c r="R15" i="118" s="1"/>
  <c r="T15" i="134" s="1"/>
  <c r="AG15" i="134" s="1"/>
  <c r="F15" i="135"/>
  <c r="I15" i="135" s="1"/>
  <c r="U16" i="135"/>
  <c r="F48" i="114"/>
  <c r="F48" i="116" s="1"/>
  <c r="R48" i="118" s="1"/>
  <c r="F48" i="135"/>
  <c r="H32" i="113"/>
  <c r="G32" i="135"/>
  <c r="F16" i="114"/>
  <c r="F16" i="116" s="1"/>
  <c r="R16" i="118" s="1"/>
  <c r="F16" i="135"/>
  <c r="G17" i="114"/>
  <c r="G17" i="116" s="1"/>
  <c r="G17" i="135"/>
  <c r="G46" i="114"/>
  <c r="G46" i="116" s="1"/>
  <c r="I46" i="116" s="1"/>
  <c r="G46" i="135"/>
  <c r="H33" i="113"/>
  <c r="G33" i="135"/>
  <c r="F17" i="114"/>
  <c r="F17" i="116" s="1"/>
  <c r="R17" i="118" s="1"/>
  <c r="F17" i="135"/>
  <c r="F46" i="114"/>
  <c r="F46" i="116" s="1"/>
  <c r="F46" i="135"/>
  <c r="G47" i="114"/>
  <c r="G47" i="116" s="1"/>
  <c r="G47" i="135"/>
  <c r="H15" i="135"/>
  <c r="U15" i="135"/>
  <c r="F47" i="114"/>
  <c r="F47" i="116" s="1"/>
  <c r="F12" i="116" s="1"/>
  <c r="F47" i="135"/>
  <c r="G48" i="114"/>
  <c r="G48" i="116" s="1"/>
  <c r="G48" i="135"/>
  <c r="G15" i="114"/>
  <c r="G15" i="116" s="1"/>
  <c r="I15" i="116" s="1"/>
  <c r="G16" i="114"/>
  <c r="G16" i="116" s="1"/>
  <c r="U36" i="120"/>
  <c r="S17" i="118"/>
  <c r="R44" i="120"/>
  <c r="U44" i="119"/>
  <c r="R40" i="120"/>
  <c r="U40" i="119"/>
  <c r="U42" i="118"/>
  <c r="R31" i="120"/>
  <c r="R8" i="119"/>
  <c r="R46" i="118"/>
  <c r="T46" i="134" s="1"/>
  <c r="S42" i="120"/>
  <c r="S42" i="121" s="1"/>
  <c r="U42" i="119"/>
  <c r="S9" i="119"/>
  <c r="R42" i="120"/>
  <c r="H27" i="116"/>
  <c r="R43" i="120"/>
  <c r="S43" i="120"/>
  <c r="S43" i="121" s="1"/>
  <c r="U43" i="119"/>
  <c r="R8" i="85"/>
  <c r="P8" i="85"/>
  <c r="H15" i="113"/>
  <c r="K46" i="113"/>
  <c r="I17" i="113"/>
  <c r="K15" i="113"/>
  <c r="I15" i="113"/>
  <c r="I16" i="113"/>
  <c r="H46" i="113"/>
  <c r="AI5" i="78"/>
  <c r="Z5" i="78" s="1"/>
  <c r="AI4" i="78"/>
  <c r="T5" i="78"/>
  <c r="R15" i="119" l="1"/>
  <c r="I47" i="116"/>
  <c r="K16" i="116"/>
  <c r="G36" i="113"/>
  <c r="B22" i="144"/>
  <c r="F37" i="138"/>
  <c r="I48" i="114"/>
  <c r="I17" i="116"/>
  <c r="Z4" i="78"/>
  <c r="K22" i="144"/>
  <c r="M22" i="144" s="1"/>
  <c r="F38" i="138"/>
  <c r="H46" i="114"/>
  <c r="S15" i="118"/>
  <c r="AZ15" i="134" s="1"/>
  <c r="S46" i="118"/>
  <c r="U46" i="134" s="1"/>
  <c r="S47" i="118"/>
  <c r="AZ47" i="134" s="1"/>
  <c r="I46" i="114"/>
  <c r="G12" i="116"/>
  <c r="R16" i="119"/>
  <c r="R16" i="120" s="1"/>
  <c r="R16" i="121" s="1"/>
  <c r="R16" i="122" s="1"/>
  <c r="R16" i="123" s="1"/>
  <c r="R16" i="125" s="1"/>
  <c r="T16" i="134"/>
  <c r="I46" i="135"/>
  <c r="U46" i="135"/>
  <c r="H46" i="135"/>
  <c r="I47" i="135"/>
  <c r="U47" i="135"/>
  <c r="K47" i="135"/>
  <c r="L47" i="135" s="1"/>
  <c r="H47" i="135" s="1"/>
  <c r="J16" i="135"/>
  <c r="W16" i="135"/>
  <c r="L47" i="116"/>
  <c r="G12" i="135"/>
  <c r="I48" i="135"/>
  <c r="U48" i="135"/>
  <c r="W15" i="135"/>
  <c r="V15" i="135"/>
  <c r="R17" i="119"/>
  <c r="R17" i="120" s="1"/>
  <c r="R17" i="121" s="1"/>
  <c r="R17" i="122" s="1"/>
  <c r="R17" i="123" s="1"/>
  <c r="R17" i="125" s="1"/>
  <c r="T17" i="134"/>
  <c r="AG17" i="134" s="1"/>
  <c r="I16" i="135"/>
  <c r="I47" i="114"/>
  <c r="R47" i="118"/>
  <c r="U47" i="118" s="1"/>
  <c r="AZ17" i="134"/>
  <c r="U17" i="134"/>
  <c r="F12" i="135"/>
  <c r="I33" i="135"/>
  <c r="H33" i="135"/>
  <c r="U17" i="135"/>
  <c r="W17" i="135" s="1"/>
  <c r="I17" i="135"/>
  <c r="I32" i="135"/>
  <c r="H32" i="135"/>
  <c r="R48" i="119"/>
  <c r="R48" i="120" s="1"/>
  <c r="R48" i="121" s="1"/>
  <c r="T48" i="134"/>
  <c r="G12" i="114"/>
  <c r="H12" i="114" s="1"/>
  <c r="K47" i="114"/>
  <c r="AG46" i="134"/>
  <c r="T54" i="134"/>
  <c r="K16" i="135"/>
  <c r="L16" i="135" s="1"/>
  <c r="H16" i="135" s="1"/>
  <c r="K16" i="114"/>
  <c r="AJ7" i="97"/>
  <c r="M47" i="116"/>
  <c r="U43" i="121"/>
  <c r="U42" i="120"/>
  <c r="S46" i="119"/>
  <c r="U46" i="118"/>
  <c r="T46" i="118"/>
  <c r="S48" i="118"/>
  <c r="I48" i="116"/>
  <c r="R46" i="119"/>
  <c r="R12" i="118"/>
  <c r="R8" i="120"/>
  <c r="U40" i="120"/>
  <c r="R6" i="118"/>
  <c r="T6" i="134" s="1"/>
  <c r="S15" i="119"/>
  <c r="U15" i="118"/>
  <c r="T15" i="118"/>
  <c r="I12" i="116"/>
  <c r="U43" i="120"/>
  <c r="S16" i="118"/>
  <c r="L16" i="116"/>
  <c r="O16" i="116" s="1"/>
  <c r="I16" i="116"/>
  <c r="U40" i="121"/>
  <c r="S17" i="119"/>
  <c r="U17" i="118"/>
  <c r="R15" i="120"/>
  <c r="G37" i="113"/>
  <c r="F12" i="114"/>
  <c r="Q32" i="114"/>
  <c r="C27" i="114"/>
  <c r="M39" i="78"/>
  <c r="N39" i="78"/>
  <c r="L39" i="78"/>
  <c r="L51" i="114"/>
  <c r="N34" i="114"/>
  <c r="N33" i="114"/>
  <c r="N32" i="114"/>
  <c r="O20" i="114"/>
  <c r="L20" i="114" s="1"/>
  <c r="O21" i="114"/>
  <c r="L21" i="114" s="1"/>
  <c r="O19" i="114"/>
  <c r="L19" i="114" s="1"/>
  <c r="R17" i="114"/>
  <c r="Q17" i="114" s="1"/>
  <c r="Q15" i="114"/>
  <c r="R16" i="114"/>
  <c r="Q16" i="114" s="1"/>
  <c r="R15" i="114"/>
  <c r="M47" i="114"/>
  <c r="M48" i="114"/>
  <c r="M46" i="114"/>
  <c r="O44" i="114"/>
  <c r="H46" i="112"/>
  <c r="H26" i="114"/>
  <c r="G27" i="114"/>
  <c r="D27" i="114"/>
  <c r="I17" i="114"/>
  <c r="M82" i="107"/>
  <c r="M80" i="107"/>
  <c r="M78" i="107"/>
  <c r="M76" i="107"/>
  <c r="M74" i="107"/>
  <c r="M72" i="107"/>
  <c r="M70" i="107"/>
  <c r="M68" i="107"/>
  <c r="M66" i="107"/>
  <c r="M64" i="107"/>
  <c r="L63" i="107"/>
  <c r="K63" i="107"/>
  <c r="M62" i="107"/>
  <c r="M61" i="107"/>
  <c r="E12" i="112" s="1"/>
  <c r="E41" i="113"/>
  <c r="F8" i="113"/>
  <c r="H31" i="113"/>
  <c r="E33" i="112"/>
  <c r="E33" i="114" s="1"/>
  <c r="E32" i="112"/>
  <c r="E32" i="114" s="1"/>
  <c r="V36" i="107"/>
  <c r="V38" i="107" s="1"/>
  <c r="W36" i="107"/>
  <c r="U36" i="107"/>
  <c r="U38" i="107" s="1"/>
  <c r="U40" i="107" s="1"/>
  <c r="U42" i="107" s="1"/>
  <c r="U5" i="107"/>
  <c r="V5" i="107" s="1"/>
  <c r="I36" i="113"/>
  <c r="I34" i="113"/>
  <c r="G52" i="114"/>
  <c r="F52" i="114"/>
  <c r="I51" i="114"/>
  <c r="I50" i="114"/>
  <c r="E29" i="114"/>
  <c r="F27" i="114"/>
  <c r="I26" i="114"/>
  <c r="I25" i="114"/>
  <c r="I23" i="114"/>
  <c r="E23" i="114"/>
  <c r="I22" i="114"/>
  <c r="I21" i="114"/>
  <c r="E21" i="114"/>
  <c r="I20" i="114"/>
  <c r="E20" i="114"/>
  <c r="I16" i="114"/>
  <c r="I15" i="114"/>
  <c r="H15" i="114"/>
  <c r="E4" i="114"/>
  <c r="I52" i="113"/>
  <c r="I51" i="113"/>
  <c r="I50" i="113"/>
  <c r="I48" i="113"/>
  <c r="I47" i="113"/>
  <c r="I46" i="113"/>
  <c r="H40" i="113"/>
  <c r="F9" i="113"/>
  <c r="I35" i="113"/>
  <c r="I33" i="113"/>
  <c r="I31" i="113"/>
  <c r="E29" i="113"/>
  <c r="G27" i="113"/>
  <c r="F27" i="113"/>
  <c r="D27" i="113"/>
  <c r="C27" i="113"/>
  <c r="I26" i="113"/>
  <c r="H26" i="113"/>
  <c r="H25" i="113"/>
  <c r="H24" i="113"/>
  <c r="I23" i="113"/>
  <c r="H23" i="113"/>
  <c r="E23" i="113"/>
  <c r="I22" i="113"/>
  <c r="H22" i="113"/>
  <c r="E22" i="113"/>
  <c r="I21" i="113"/>
  <c r="H21" i="113"/>
  <c r="E21" i="113"/>
  <c r="I20" i="113"/>
  <c r="H20" i="113"/>
  <c r="E20" i="113"/>
  <c r="G12" i="113"/>
  <c r="F12" i="113"/>
  <c r="I7" i="113"/>
  <c r="H7" i="113"/>
  <c r="F6" i="113"/>
  <c r="E4" i="113"/>
  <c r="X61" i="85"/>
  <c r="X62" i="85" s="1"/>
  <c r="V61" i="85"/>
  <c r="D22" i="144" l="1"/>
  <c r="O22" i="144"/>
  <c r="AV7" i="97"/>
  <c r="P47" i="116"/>
  <c r="U15" i="134"/>
  <c r="X6" i="150"/>
  <c r="X10" i="150" s="1"/>
  <c r="X6" i="147"/>
  <c r="X10" i="147" s="1"/>
  <c r="X6" i="145"/>
  <c r="X6" i="143"/>
  <c r="X10" i="143" s="1"/>
  <c r="X6" i="140"/>
  <c r="X10" i="140" s="1"/>
  <c r="R6" i="119"/>
  <c r="AZ46" i="134"/>
  <c r="R38" i="139"/>
  <c r="U38" i="139" s="1"/>
  <c r="R38" i="138"/>
  <c r="U38" i="138" s="1"/>
  <c r="K21" i="144"/>
  <c r="R37" i="139"/>
  <c r="I37" i="138"/>
  <c r="R37" i="138"/>
  <c r="F8" i="138"/>
  <c r="S47" i="119"/>
  <c r="S47" i="120" s="1"/>
  <c r="I12" i="114"/>
  <c r="U47" i="134"/>
  <c r="AH47" i="134" s="1"/>
  <c r="BB7" i="97"/>
  <c r="G8" i="113"/>
  <c r="AZ16" i="134"/>
  <c r="AV16" i="134" s="1"/>
  <c r="U16" i="134"/>
  <c r="AH17" i="134"/>
  <c r="AJ17" i="134" s="1"/>
  <c r="W17" i="134"/>
  <c r="U6" i="135"/>
  <c r="H12" i="135"/>
  <c r="I12" i="135"/>
  <c r="Y16" i="135"/>
  <c r="Z16" i="135" s="1"/>
  <c r="V16" i="135" s="1"/>
  <c r="AH46" i="134"/>
  <c r="V46" i="134"/>
  <c r="W46" i="134"/>
  <c r="U54" i="134"/>
  <c r="BA17" i="134"/>
  <c r="AB15" i="135"/>
  <c r="AC15" i="135" s="1"/>
  <c r="BA46" i="134"/>
  <c r="R47" i="119"/>
  <c r="R47" i="120" s="1"/>
  <c r="R47" i="121" s="1"/>
  <c r="T47" i="134"/>
  <c r="W48" i="135"/>
  <c r="U56" i="135"/>
  <c r="W56" i="135" s="1"/>
  <c r="AV47" i="134"/>
  <c r="BA47" i="134"/>
  <c r="BB47" i="134" s="1"/>
  <c r="AG16" i="134"/>
  <c r="BC15" i="134"/>
  <c r="AH15" i="134"/>
  <c r="W15" i="134"/>
  <c r="V15" i="134"/>
  <c r="S12" i="118"/>
  <c r="U12" i="118" s="1"/>
  <c r="AZ48" i="134"/>
  <c r="U48" i="134"/>
  <c r="W46" i="135"/>
  <c r="V46" i="135"/>
  <c r="U54" i="135"/>
  <c r="U12" i="135"/>
  <c r="Z6" i="127"/>
  <c r="X6" i="139"/>
  <c r="X10" i="139" s="1"/>
  <c r="X6" i="138"/>
  <c r="X10" i="138" s="1"/>
  <c r="X6" i="137"/>
  <c r="X10" i="137" s="1"/>
  <c r="F6" i="135"/>
  <c r="F10" i="135" s="1"/>
  <c r="Z6" i="135"/>
  <c r="Z10" i="135" s="1"/>
  <c r="X6" i="130"/>
  <c r="X10" i="130" s="1"/>
  <c r="AG6" i="134"/>
  <c r="AG10" i="134" s="1"/>
  <c r="T10" i="134"/>
  <c r="U55" i="134"/>
  <c r="U55" i="135"/>
  <c r="W47" i="135"/>
  <c r="Y47" i="135"/>
  <c r="Z47" i="135" s="1"/>
  <c r="V47" i="135" s="1"/>
  <c r="AU46" i="134"/>
  <c r="AG48" i="134"/>
  <c r="AU48" i="134" s="1"/>
  <c r="AW48" i="134" s="1"/>
  <c r="T56" i="134"/>
  <c r="BA15" i="134"/>
  <c r="W38" i="107"/>
  <c r="X38" i="107" s="1"/>
  <c r="X36" i="107"/>
  <c r="W47" i="118"/>
  <c r="X47" i="118" s="1"/>
  <c r="T47" i="118" s="1"/>
  <c r="Y15" i="126"/>
  <c r="U16" i="126"/>
  <c r="U16" i="125"/>
  <c r="Y15" i="125"/>
  <c r="V62" i="85"/>
  <c r="Z62" i="85" s="1"/>
  <c r="I37" i="113"/>
  <c r="S16" i="119"/>
  <c r="S6" i="119" s="1"/>
  <c r="U16" i="118"/>
  <c r="W16" i="118"/>
  <c r="X16" i="118" s="1"/>
  <c r="T16" i="118" s="1"/>
  <c r="S46" i="120"/>
  <c r="T46" i="119"/>
  <c r="U46" i="119"/>
  <c r="R15" i="121"/>
  <c r="R15" i="122" s="1"/>
  <c r="R6" i="120"/>
  <c r="R46" i="120"/>
  <c r="S17" i="120"/>
  <c r="U17" i="119"/>
  <c r="S6" i="118"/>
  <c r="S48" i="119"/>
  <c r="W47" i="119" s="1"/>
  <c r="X47" i="119" s="1"/>
  <c r="T47" i="119" s="1"/>
  <c r="U48" i="118"/>
  <c r="S15" i="120"/>
  <c r="S15" i="121" s="1"/>
  <c r="T15" i="119"/>
  <c r="U15" i="119"/>
  <c r="W40" i="107"/>
  <c r="E33" i="116"/>
  <c r="V40" i="107"/>
  <c r="V42" i="107" s="1"/>
  <c r="E32" i="116"/>
  <c r="M63" i="107"/>
  <c r="M65" i="107" s="1"/>
  <c r="Y66" i="107"/>
  <c r="L65" i="107"/>
  <c r="Z66" i="107"/>
  <c r="U44" i="107"/>
  <c r="E12" i="115"/>
  <c r="AA64" i="107"/>
  <c r="AA65" i="107" s="1"/>
  <c r="I52" i="114"/>
  <c r="H21" i="114"/>
  <c r="H23" i="114"/>
  <c r="H20" i="114"/>
  <c r="H24" i="114"/>
  <c r="H25" i="114"/>
  <c r="H7" i="114"/>
  <c r="I7" i="114"/>
  <c r="I27" i="114"/>
  <c r="H22" i="114"/>
  <c r="E22" i="114"/>
  <c r="E27" i="114"/>
  <c r="K65" i="107"/>
  <c r="E10" i="113"/>
  <c r="F10" i="113"/>
  <c r="I32" i="113"/>
  <c r="H27" i="113"/>
  <c r="G6" i="113"/>
  <c r="Y6" i="150" s="1"/>
  <c r="I39" i="113"/>
  <c r="I12" i="113"/>
  <c r="E27" i="113"/>
  <c r="I27" i="113"/>
  <c r="H41" i="113"/>
  <c r="H39" i="113"/>
  <c r="AJ24" i="97"/>
  <c r="AJ4" i="107"/>
  <c r="AN4" i="107"/>
  <c r="AJ37" i="97" l="1"/>
  <c r="AV35" i="97"/>
  <c r="CL6" i="97"/>
  <c r="CL13" i="97" s="1"/>
  <c r="W47" i="134"/>
  <c r="R12" i="119"/>
  <c r="U47" i="119"/>
  <c r="F10" i="138"/>
  <c r="I10" i="138" s="1"/>
  <c r="I8" i="138"/>
  <c r="R8" i="139"/>
  <c r="U37" i="139"/>
  <c r="R8" i="138"/>
  <c r="U37" i="138"/>
  <c r="M21" i="144"/>
  <c r="Y6" i="147"/>
  <c r="Y6" i="145"/>
  <c r="Y6" i="143"/>
  <c r="Z6" i="141"/>
  <c r="Y6" i="140"/>
  <c r="U6" i="134"/>
  <c r="BA6" i="134" s="1"/>
  <c r="AA6" i="127"/>
  <c r="Y6" i="139"/>
  <c r="Y6" i="138"/>
  <c r="AA6" i="135"/>
  <c r="Y6" i="137"/>
  <c r="G6" i="135"/>
  <c r="Y6" i="130"/>
  <c r="U57" i="135"/>
  <c r="W54" i="135"/>
  <c r="AJ15" i="134"/>
  <c r="AI15" i="134"/>
  <c r="BA16" i="134"/>
  <c r="BB16" i="134" s="1"/>
  <c r="AH16" i="134"/>
  <c r="AJ16" i="134" s="1"/>
  <c r="W16" i="134"/>
  <c r="BD15" i="134"/>
  <c r="BE15" i="134" s="1"/>
  <c r="BB24" i="97"/>
  <c r="W54" i="134"/>
  <c r="AJ46" i="134"/>
  <c r="AI46" i="134"/>
  <c r="X6" i="135"/>
  <c r="V6" i="135"/>
  <c r="W6" i="135"/>
  <c r="Y6" i="135"/>
  <c r="W55" i="135"/>
  <c r="Z54" i="135"/>
  <c r="AB54" i="135" s="1"/>
  <c r="AW46" i="134"/>
  <c r="AV46" i="134"/>
  <c r="W12" i="135"/>
  <c r="V12" i="135"/>
  <c r="BA48" i="134"/>
  <c r="AH48" i="134"/>
  <c r="AJ48" i="134" s="1"/>
  <c r="W48" i="134"/>
  <c r="U56" i="134"/>
  <c r="W56" i="134" s="1"/>
  <c r="AG47" i="134"/>
  <c r="T55" i="134"/>
  <c r="W55" i="134" s="1"/>
  <c r="T12" i="134"/>
  <c r="U12" i="134"/>
  <c r="W42" i="107"/>
  <c r="X42" i="107" s="1"/>
  <c r="X40" i="107"/>
  <c r="I6" i="113"/>
  <c r="R15" i="123"/>
  <c r="R6" i="122"/>
  <c r="R10" i="122" s="1"/>
  <c r="T15" i="121"/>
  <c r="S15" i="122"/>
  <c r="U46" i="107"/>
  <c r="AA66" i="107"/>
  <c r="U47" i="120"/>
  <c r="R46" i="121"/>
  <c r="R12" i="121" s="1"/>
  <c r="R12" i="120"/>
  <c r="S48" i="120"/>
  <c r="S12" i="120" s="1"/>
  <c r="U48" i="119"/>
  <c r="U46" i="120"/>
  <c r="T46" i="120"/>
  <c r="T6" i="119"/>
  <c r="U6" i="118"/>
  <c r="T6" i="118"/>
  <c r="U6" i="119"/>
  <c r="T15" i="120"/>
  <c r="U15" i="120"/>
  <c r="S17" i="121"/>
  <c r="S17" i="122" s="1"/>
  <c r="U17" i="120"/>
  <c r="S12" i="119"/>
  <c r="S16" i="120"/>
  <c r="S16" i="121" s="1"/>
  <c r="S16" i="122" s="1"/>
  <c r="W16" i="119"/>
  <c r="X16" i="119" s="1"/>
  <c r="T16" i="119" s="1"/>
  <c r="U16" i="119"/>
  <c r="K67" i="107"/>
  <c r="E46" i="116"/>
  <c r="H46" i="116" s="1"/>
  <c r="L67" i="107"/>
  <c r="E47" i="116"/>
  <c r="K47" i="116" s="1"/>
  <c r="V44" i="107"/>
  <c r="M67" i="107"/>
  <c r="E12" i="116"/>
  <c r="W44" i="107"/>
  <c r="X44" i="107" s="1"/>
  <c r="H6" i="113"/>
  <c r="H27" i="114"/>
  <c r="I8" i="113"/>
  <c r="H8" i="113"/>
  <c r="AM4" i="107"/>
  <c r="AK4" i="107"/>
  <c r="AI4" i="107"/>
  <c r="AD5" i="107"/>
  <c r="AE5" i="107"/>
  <c r="AD7" i="107"/>
  <c r="AE7" i="107"/>
  <c r="AD9" i="107"/>
  <c r="AE9" i="107"/>
  <c r="AD11" i="107"/>
  <c r="AE11" i="107"/>
  <c r="AD13" i="107"/>
  <c r="AE13" i="107"/>
  <c r="AD15" i="107"/>
  <c r="AE15" i="107"/>
  <c r="AD17" i="107"/>
  <c r="AE17" i="107"/>
  <c r="AD19" i="107"/>
  <c r="AE19" i="107"/>
  <c r="AD21" i="107"/>
  <c r="AE21" i="107"/>
  <c r="AD23" i="107"/>
  <c r="AE23" i="107"/>
  <c r="AD25" i="107"/>
  <c r="AE25" i="107"/>
  <c r="AE4" i="107"/>
  <c r="AD4" i="107"/>
  <c r="AC25" i="107"/>
  <c r="AC23" i="107"/>
  <c r="AC21" i="107"/>
  <c r="AC19" i="107"/>
  <c r="AC17" i="107"/>
  <c r="AC15" i="107"/>
  <c r="AC13" i="107"/>
  <c r="AC11" i="107"/>
  <c r="AC9" i="107"/>
  <c r="AC7" i="107"/>
  <c r="AB6" i="107"/>
  <c r="AB8" i="107" s="1"/>
  <c r="AB10" i="107" s="1"/>
  <c r="AB12" i="107" s="1"/>
  <c r="AB14" i="107" s="1"/>
  <c r="AB16" i="107" s="1"/>
  <c r="AB18" i="107" s="1"/>
  <c r="AB20" i="107" s="1"/>
  <c r="AB22" i="107" s="1"/>
  <c r="AB24" i="107" s="1"/>
  <c r="AB26" i="107" s="1"/>
  <c r="AA6" i="107"/>
  <c r="AC5" i="107"/>
  <c r="AC4" i="107"/>
  <c r="Z25" i="107"/>
  <c r="Z23" i="107"/>
  <c r="Z21" i="107"/>
  <c r="Z19" i="107"/>
  <c r="Z17" i="107"/>
  <c r="Z15" i="107"/>
  <c r="Z13" i="107"/>
  <c r="Z11" i="107"/>
  <c r="Z9" i="107"/>
  <c r="Z7" i="107"/>
  <c r="Y6" i="107"/>
  <c r="Y8" i="107" s="1"/>
  <c r="Y10" i="107" s="1"/>
  <c r="Y12" i="107" s="1"/>
  <c r="Y14" i="107" s="1"/>
  <c r="Y16" i="107" s="1"/>
  <c r="Y18" i="107" s="1"/>
  <c r="Y20" i="107" s="1"/>
  <c r="Y22" i="107" s="1"/>
  <c r="Y24" i="107" s="1"/>
  <c r="Y26" i="107" s="1"/>
  <c r="X6" i="107"/>
  <c r="Z5" i="107"/>
  <c r="Z4" i="107"/>
  <c r="Y40" i="97"/>
  <c r="Z40" i="97" s="1"/>
  <c r="Z41" i="97" s="1"/>
  <c r="AP17" i="97" l="1"/>
  <c r="AP7" i="97"/>
  <c r="V6" i="134"/>
  <c r="AH12" i="134"/>
  <c r="AI12" i="134" s="1"/>
  <c r="R10" i="139"/>
  <c r="U10" i="139" s="1"/>
  <c r="U8" i="139"/>
  <c r="W6" i="134"/>
  <c r="AH6" i="134"/>
  <c r="AJ6" i="134" s="1"/>
  <c r="R10" i="138"/>
  <c r="U10" i="138" s="1"/>
  <c r="U8" i="138"/>
  <c r="U57" i="134"/>
  <c r="AP8" i="97"/>
  <c r="AU47" i="134"/>
  <c r="AW47" i="134" s="1"/>
  <c r="AG12" i="134"/>
  <c r="AJ12" i="134" s="1"/>
  <c r="AJ47" i="134"/>
  <c r="I6" i="135"/>
  <c r="H6" i="135"/>
  <c r="AV37" i="97"/>
  <c r="BA12" i="134"/>
  <c r="V12" i="134"/>
  <c r="W12" i="134"/>
  <c r="BA54" i="134"/>
  <c r="T57" i="134"/>
  <c r="BB54" i="134"/>
  <c r="BE7" i="97"/>
  <c r="AF5" i="107"/>
  <c r="AF7" i="107"/>
  <c r="U48" i="107"/>
  <c r="U50" i="107" s="1"/>
  <c r="Y45" i="107"/>
  <c r="Y46" i="107" s="1"/>
  <c r="S17" i="123"/>
  <c r="W16" i="123" s="1"/>
  <c r="X16" i="123" s="1"/>
  <c r="U17" i="122"/>
  <c r="R15" i="125"/>
  <c r="R6" i="123"/>
  <c r="R10" i="123" s="1"/>
  <c r="U16" i="122"/>
  <c r="W16" i="122"/>
  <c r="X16" i="122" s="1"/>
  <c r="T16" i="122" s="1"/>
  <c r="S6" i="120"/>
  <c r="U6" i="120" s="1"/>
  <c r="S15" i="123"/>
  <c r="S15" i="125" s="1"/>
  <c r="T15" i="122"/>
  <c r="U15" i="122"/>
  <c r="S6" i="122"/>
  <c r="U17" i="121"/>
  <c r="W16" i="121"/>
  <c r="X16" i="121" s="1"/>
  <c r="T16" i="121" s="1"/>
  <c r="U15" i="121"/>
  <c r="V46" i="107"/>
  <c r="V48" i="107" s="1"/>
  <c r="V50" i="107" s="1"/>
  <c r="W16" i="120"/>
  <c r="X16" i="120" s="1"/>
  <c r="T16" i="120" s="1"/>
  <c r="U16" i="120"/>
  <c r="T12" i="120"/>
  <c r="U12" i="120"/>
  <c r="U48" i="121"/>
  <c r="U48" i="120"/>
  <c r="W47" i="120"/>
  <c r="X47" i="120" s="1"/>
  <c r="T47" i="120" s="1"/>
  <c r="U46" i="121"/>
  <c r="W46" i="107"/>
  <c r="U12" i="119"/>
  <c r="T12" i="119"/>
  <c r="U47" i="121"/>
  <c r="Z6" i="107"/>
  <c r="Z8" i="107" s="1"/>
  <c r="Z10" i="107" s="1"/>
  <c r="Z12" i="107" s="1"/>
  <c r="Z14" i="107" s="1"/>
  <c r="Z16" i="107" s="1"/>
  <c r="Z18" i="107" s="1"/>
  <c r="Z20" i="107" s="1"/>
  <c r="Z22" i="107" s="1"/>
  <c r="Z24" i="107" s="1"/>
  <c r="Z26" i="107" s="1"/>
  <c r="AF23" i="107"/>
  <c r="AF15" i="107"/>
  <c r="AC6" i="107"/>
  <c r="AC8" i="107" s="1"/>
  <c r="AC10" i="107" s="1"/>
  <c r="AC12" i="107" s="1"/>
  <c r="AC14" i="107" s="1"/>
  <c r="AC16" i="107" s="1"/>
  <c r="AC18" i="107" s="1"/>
  <c r="AC20" i="107" s="1"/>
  <c r="AC22" i="107" s="1"/>
  <c r="AC24" i="107" s="1"/>
  <c r="AC26" i="107" s="1"/>
  <c r="AF25" i="107"/>
  <c r="AF21" i="107"/>
  <c r="AF17" i="107"/>
  <c r="AF13" i="107"/>
  <c r="AF9" i="107"/>
  <c r="M69" i="107"/>
  <c r="M85" i="107"/>
  <c r="M86" i="107" s="1"/>
  <c r="L69" i="107"/>
  <c r="L85" i="107"/>
  <c r="L86" i="107" s="1"/>
  <c r="T12" i="118"/>
  <c r="H12" i="116"/>
  <c r="K69" i="107"/>
  <c r="K85" i="107"/>
  <c r="K86" i="107" s="1"/>
  <c r="AF4" i="107"/>
  <c r="AF19" i="107"/>
  <c r="AF11" i="107"/>
  <c r="AO4" i="107"/>
  <c r="AL4" i="107"/>
  <c r="AE26" i="107"/>
  <c r="AD6" i="107"/>
  <c r="AE24" i="107"/>
  <c r="AE22" i="107"/>
  <c r="AE20" i="107"/>
  <c r="AE18" i="107"/>
  <c r="AE16" i="107"/>
  <c r="AE14" i="107"/>
  <c r="AE12" i="107"/>
  <c r="AE10" i="107"/>
  <c r="AE8" i="107"/>
  <c r="AE6" i="107"/>
  <c r="AA8" i="107"/>
  <c r="X8" i="107"/>
  <c r="X10" i="107" s="1"/>
  <c r="X12" i="107" s="1"/>
  <c r="X14" i="107" s="1"/>
  <c r="X16" i="107" s="1"/>
  <c r="X18" i="107" s="1"/>
  <c r="X20" i="107" s="1"/>
  <c r="X22" i="107" s="1"/>
  <c r="X24" i="107" s="1"/>
  <c r="X26" i="107" s="1"/>
  <c r="AI6" i="134" l="1"/>
  <c r="BD54" i="134"/>
  <c r="W48" i="107"/>
  <c r="X46" i="107"/>
  <c r="R6" i="125"/>
  <c r="R10" i="125" s="1"/>
  <c r="R6" i="126"/>
  <c r="R10" i="126" s="1"/>
  <c r="T15" i="126"/>
  <c r="U52" i="107"/>
  <c r="T15" i="125"/>
  <c r="U15" i="125"/>
  <c r="S17" i="125"/>
  <c r="U17" i="123"/>
  <c r="V52" i="107"/>
  <c r="T6" i="120"/>
  <c r="U16" i="123"/>
  <c r="T16" i="123"/>
  <c r="T6" i="122"/>
  <c r="U6" i="122"/>
  <c r="S10" i="122"/>
  <c r="W10" i="122" s="1"/>
  <c r="T15" i="123"/>
  <c r="U15" i="123"/>
  <c r="S6" i="123"/>
  <c r="S12" i="121"/>
  <c r="U12" i="121" s="1"/>
  <c r="U16" i="121"/>
  <c r="K71" i="107"/>
  <c r="L71" i="107"/>
  <c r="M71" i="107"/>
  <c r="AA10" i="107"/>
  <c r="AD8" i="107"/>
  <c r="AF8" i="107" s="1"/>
  <c r="AF6" i="107"/>
  <c r="AJ8" i="97"/>
  <c r="AJ9" i="97"/>
  <c r="AJ10" i="97"/>
  <c r="AJ11" i="97"/>
  <c r="AJ12" i="97"/>
  <c r="AJ13" i="97"/>
  <c r="AJ14" i="97"/>
  <c r="AJ15" i="97"/>
  <c r="AJ16" i="97"/>
  <c r="CL17" i="97" s="1"/>
  <c r="AJ18" i="97"/>
  <c r="CL18" i="97" s="1"/>
  <c r="AJ6" i="97"/>
  <c r="AJ17" i="97" l="1"/>
  <c r="CL16" i="97"/>
  <c r="AV15" i="97"/>
  <c r="AJ19" i="97"/>
  <c r="BB19" i="97" s="1"/>
  <c r="AV17" i="97"/>
  <c r="CL15" i="97"/>
  <c r="AV14" i="97"/>
  <c r="CL14" i="97"/>
  <c r="AV13" i="97"/>
  <c r="AV8" i="97"/>
  <c r="AV12" i="97"/>
  <c r="AV11" i="97"/>
  <c r="AV10" i="97"/>
  <c r="CK19" i="97"/>
  <c r="AV6" i="97"/>
  <c r="AV9" i="97"/>
  <c r="AP6" i="97"/>
  <c r="BB6" i="97"/>
  <c r="BE6" i="97"/>
  <c r="W50" i="107"/>
  <c r="X48" i="107"/>
  <c r="U54" i="107"/>
  <c r="V54" i="107"/>
  <c r="U15" i="126"/>
  <c r="Z15" i="126"/>
  <c r="AA15" i="126" s="1"/>
  <c r="U17" i="126"/>
  <c r="X16" i="126"/>
  <c r="T16" i="126" s="1"/>
  <c r="S6" i="126"/>
  <c r="S6" i="125"/>
  <c r="Z15" i="125"/>
  <c r="AA15" i="125" s="1"/>
  <c r="W16" i="125"/>
  <c r="X16" i="125" s="1"/>
  <c r="T16" i="125" s="1"/>
  <c r="U17" i="125"/>
  <c r="U10" i="122"/>
  <c r="T10" i="122"/>
  <c r="T6" i="123"/>
  <c r="U6" i="123"/>
  <c r="L73" i="107"/>
  <c r="L75" i="107" s="1"/>
  <c r="L77" i="107" s="1"/>
  <c r="K73" i="107"/>
  <c r="K75" i="107" s="1"/>
  <c r="K77" i="107" s="1"/>
  <c r="M73" i="107"/>
  <c r="M75" i="107" s="1"/>
  <c r="M77" i="107" s="1"/>
  <c r="AA12" i="107"/>
  <c r="AD10" i="107"/>
  <c r="AF10" i="107" s="1"/>
  <c r="M55" i="107"/>
  <c r="P55" i="107" s="1"/>
  <c r="M53" i="107"/>
  <c r="P53" i="107" s="1"/>
  <c r="M51" i="107"/>
  <c r="M49" i="107"/>
  <c r="P49" i="107" s="1"/>
  <c r="M47" i="107"/>
  <c r="P47" i="107" s="1"/>
  <c r="M45" i="107"/>
  <c r="M43" i="107"/>
  <c r="P43" i="107" s="1"/>
  <c r="M41" i="107"/>
  <c r="P41" i="107" s="1"/>
  <c r="M39" i="107"/>
  <c r="P39" i="107" s="1"/>
  <c r="M37" i="107"/>
  <c r="P37" i="107" s="1"/>
  <c r="O36" i="107"/>
  <c r="N36" i="107"/>
  <c r="Q36" i="107" s="1"/>
  <c r="L36" i="107"/>
  <c r="K36" i="107"/>
  <c r="Y34" i="107" s="1"/>
  <c r="Y35" i="107" s="1"/>
  <c r="M35" i="107"/>
  <c r="P35" i="107" s="1"/>
  <c r="M34" i="107"/>
  <c r="P34" i="107" s="1"/>
  <c r="CL19" i="97" l="1"/>
  <c r="V56" i="107"/>
  <c r="V58" i="107" s="1"/>
  <c r="AF39" i="107"/>
  <c r="U56" i="107"/>
  <c r="AE39" i="107"/>
  <c r="E31" i="116" s="1"/>
  <c r="X50" i="107"/>
  <c r="W52" i="107"/>
  <c r="T6" i="126"/>
  <c r="U6" i="126"/>
  <c r="T6" i="125"/>
  <c r="U6" i="125"/>
  <c r="K79" i="107"/>
  <c r="P51" i="107"/>
  <c r="M79" i="107"/>
  <c r="L79" i="107"/>
  <c r="Q12" i="121"/>
  <c r="T12" i="121" s="1"/>
  <c r="P45" i="107"/>
  <c r="L38" i="107"/>
  <c r="Z34" i="107"/>
  <c r="Z35" i="107" s="1"/>
  <c r="K38" i="107"/>
  <c r="N38" i="107"/>
  <c r="AB34" i="107"/>
  <c r="AB35" i="107" s="1"/>
  <c r="O38" i="107"/>
  <c r="O40" i="107" s="1"/>
  <c r="O42" i="107" s="1"/>
  <c r="AC34" i="107"/>
  <c r="AC35" i="107" s="1"/>
  <c r="AA14" i="107"/>
  <c r="AD12" i="107"/>
  <c r="AF12" i="107" s="1"/>
  <c r="M36" i="107"/>
  <c r="P36" i="107"/>
  <c r="P38" i="107" s="1"/>
  <c r="P40" i="107" s="1"/>
  <c r="T6" i="107"/>
  <c r="T8" i="107" s="1"/>
  <c r="T10" i="107" s="1"/>
  <c r="T12" i="107" s="1"/>
  <c r="T14" i="107" s="1"/>
  <c r="T16" i="107" s="1"/>
  <c r="T18" i="107" s="1"/>
  <c r="T20" i="107" s="1"/>
  <c r="T22" i="107" s="1"/>
  <c r="T24" i="107" s="1"/>
  <c r="T26" i="107" s="1"/>
  <c r="E29" i="112"/>
  <c r="G27" i="112"/>
  <c r="F27" i="112"/>
  <c r="D27" i="112"/>
  <c r="C27" i="112"/>
  <c r="E21" i="112"/>
  <c r="E22" i="112"/>
  <c r="E23" i="112"/>
  <c r="E20" i="112"/>
  <c r="X52" i="107" l="1"/>
  <c r="Y52" i="107" s="1"/>
  <c r="W54" i="107"/>
  <c r="L81" i="107"/>
  <c r="M81" i="107"/>
  <c r="K81" i="107"/>
  <c r="I27" i="112"/>
  <c r="N40" i="107"/>
  <c r="Q38" i="107"/>
  <c r="P42" i="107"/>
  <c r="L40" i="107"/>
  <c r="L42" i="107" s="1"/>
  <c r="E16" i="116"/>
  <c r="K40" i="107"/>
  <c r="K42" i="107" s="1"/>
  <c r="E15" i="116"/>
  <c r="H15" i="116" s="1"/>
  <c r="O44" i="107"/>
  <c r="E27" i="112"/>
  <c r="M38" i="107"/>
  <c r="M40" i="107" s="1"/>
  <c r="M42" i="107" s="1"/>
  <c r="AA34" i="107"/>
  <c r="AA35" i="107" s="1"/>
  <c r="AA16" i="107"/>
  <c r="AD14" i="107"/>
  <c r="AF14" i="107" s="1"/>
  <c r="I20" i="112"/>
  <c r="H26" i="112"/>
  <c r="H25" i="112"/>
  <c r="H24" i="112"/>
  <c r="H23" i="112"/>
  <c r="H22" i="112"/>
  <c r="H21" i="112"/>
  <c r="H20" i="112"/>
  <c r="L83" i="107" l="1"/>
  <c r="O81" i="107"/>
  <c r="O82" i="107" s="1"/>
  <c r="M83" i="107"/>
  <c r="P81" i="107"/>
  <c r="P82" i="107" s="1"/>
  <c r="W56" i="107"/>
  <c r="X54" i="107"/>
  <c r="Y54" i="107" s="1"/>
  <c r="AG39" i="107"/>
  <c r="K83" i="107"/>
  <c r="N81" i="107"/>
  <c r="N82" i="107" s="1"/>
  <c r="T12" i="126"/>
  <c r="T47" i="126"/>
  <c r="N42" i="107"/>
  <c r="Q40" i="107"/>
  <c r="O46" i="107"/>
  <c r="O48" i="107" s="1"/>
  <c r="M44" i="107"/>
  <c r="K44" i="107"/>
  <c r="L44" i="107"/>
  <c r="AA18" i="107"/>
  <c r="AD16" i="107"/>
  <c r="AF16" i="107" s="1"/>
  <c r="H27" i="112"/>
  <c r="W58" i="107" l="1"/>
  <c r="X56" i="107"/>
  <c r="Q42" i="107"/>
  <c r="N44" i="107"/>
  <c r="P44" i="107" s="1"/>
  <c r="P46" i="107" s="1"/>
  <c r="P48" i="107" s="1"/>
  <c r="P50" i="107" s="1"/>
  <c r="P52" i="107" s="1"/>
  <c r="P54" i="107" s="1"/>
  <c r="P56" i="107" s="1"/>
  <c r="O50" i="107"/>
  <c r="T7" i="121"/>
  <c r="L46" i="107"/>
  <c r="L48" i="107" s="1"/>
  <c r="L50" i="107" s="1"/>
  <c r="K46" i="107"/>
  <c r="K48" i="107" s="1"/>
  <c r="K50" i="107" s="1"/>
  <c r="M46" i="107"/>
  <c r="M48" i="107" s="1"/>
  <c r="M50" i="107" s="1"/>
  <c r="AA20" i="107"/>
  <c r="AD18" i="107"/>
  <c r="AF18" i="107" s="1"/>
  <c r="Q8" i="121" l="1"/>
  <c r="K52" i="107"/>
  <c r="K54" i="107" s="1"/>
  <c r="K56" i="107" s="1"/>
  <c r="D15" i="126" s="1"/>
  <c r="O52" i="107"/>
  <c r="O54" i="107" s="1"/>
  <c r="O56" i="107" s="1"/>
  <c r="M52" i="107"/>
  <c r="M54" i="107" s="1"/>
  <c r="M56" i="107" s="1"/>
  <c r="L52" i="107"/>
  <c r="L54" i="107" s="1"/>
  <c r="L56" i="107" s="1"/>
  <c r="Q44" i="107"/>
  <c r="N46" i="107"/>
  <c r="AA22" i="107"/>
  <c r="AD20" i="107"/>
  <c r="AF20" i="107" s="1"/>
  <c r="D16" i="115" l="1"/>
  <c r="D16" i="126"/>
  <c r="D16" i="112"/>
  <c r="D16" i="113"/>
  <c r="N48" i="107"/>
  <c r="Q46" i="107"/>
  <c r="D15" i="121"/>
  <c r="P15" i="121" s="1"/>
  <c r="D15" i="125"/>
  <c r="P15" i="125" s="1"/>
  <c r="D15" i="123"/>
  <c r="P15" i="123" s="1"/>
  <c r="D15" i="122"/>
  <c r="P15" i="122" s="1"/>
  <c r="D15" i="119"/>
  <c r="P15" i="119" s="1"/>
  <c r="D15" i="112"/>
  <c r="D6" i="112" s="1"/>
  <c r="D15" i="120"/>
  <c r="P15" i="120" s="1"/>
  <c r="D15" i="118"/>
  <c r="P15" i="118" s="1"/>
  <c r="D15" i="113"/>
  <c r="D15" i="115"/>
  <c r="D6" i="115" s="1"/>
  <c r="D10" i="115" s="1"/>
  <c r="D16" i="121"/>
  <c r="P16" i="121" s="1"/>
  <c r="D16" i="125"/>
  <c r="P16" i="125" s="1"/>
  <c r="D16" i="123"/>
  <c r="P16" i="123" s="1"/>
  <c r="D16" i="122"/>
  <c r="P16" i="122" s="1"/>
  <c r="D16" i="119"/>
  <c r="P16" i="119" s="1"/>
  <c r="D16" i="118"/>
  <c r="P16" i="118" s="1"/>
  <c r="D16" i="120"/>
  <c r="P16" i="120" s="1"/>
  <c r="AA24" i="107"/>
  <c r="AD22" i="107"/>
  <c r="AF22" i="107" s="1"/>
  <c r="I16" i="112"/>
  <c r="D6" i="113" l="1"/>
  <c r="D10" i="113" s="1"/>
  <c r="N50" i="107"/>
  <c r="Q48" i="107"/>
  <c r="AA26" i="107"/>
  <c r="AD26" i="107" s="1"/>
  <c r="AF26" i="107" s="1"/>
  <c r="AD24" i="107"/>
  <c r="AF24" i="107" s="1"/>
  <c r="N52" i="107" l="1"/>
  <c r="Q50" i="107"/>
  <c r="L64" i="85"/>
  <c r="N64" i="85" s="1"/>
  <c r="L63" i="85"/>
  <c r="N63" i="85" s="1"/>
  <c r="L62" i="85"/>
  <c r="N62" i="85" s="1"/>
  <c r="L61" i="85"/>
  <c r="N61" i="85" s="1"/>
  <c r="L60" i="85"/>
  <c r="N60" i="85" s="1"/>
  <c r="P60" i="85" s="1"/>
  <c r="L59" i="85"/>
  <c r="L57" i="85"/>
  <c r="N57" i="85" s="1"/>
  <c r="L56" i="85"/>
  <c r="N56" i="85" s="1"/>
  <c r="P18" i="85"/>
  <c r="P17" i="85"/>
  <c r="P15" i="85"/>
  <c r="P13" i="85"/>
  <c r="P12" i="85"/>
  <c r="L7" i="85"/>
  <c r="N7" i="85" s="1"/>
  <c r="R59" i="85" l="1"/>
  <c r="P56" i="85"/>
  <c r="R52" i="85"/>
  <c r="R56" i="85"/>
  <c r="N59" i="85"/>
  <c r="P57" i="85"/>
  <c r="R53" i="85"/>
  <c r="R57" i="85"/>
  <c r="R54" i="85"/>
  <c r="R58" i="85"/>
  <c r="P64" i="85"/>
  <c r="R60" i="85"/>
  <c r="Q10" i="125"/>
  <c r="T7" i="125"/>
  <c r="N54" i="107"/>
  <c r="Q52" i="107"/>
  <c r="P7" i="85"/>
  <c r="R7" i="85"/>
  <c r="R55" i="85" l="1"/>
  <c r="P59" i="85"/>
  <c r="P61" i="85"/>
  <c r="P62" i="85"/>
  <c r="P63" i="85"/>
  <c r="N56" i="107"/>
  <c r="Q56" i="107" s="1"/>
  <c r="Q54" i="107"/>
  <c r="I51" i="112"/>
  <c r="I50" i="112"/>
  <c r="I48" i="112"/>
  <c r="I47" i="112"/>
  <c r="I46" i="112"/>
  <c r="I26" i="112"/>
  <c r="I25" i="112"/>
  <c r="I23" i="112"/>
  <c r="I22" i="112"/>
  <c r="I21" i="112"/>
  <c r="I17" i="112"/>
  <c r="I15" i="112"/>
  <c r="I7" i="112"/>
  <c r="H7" i="112"/>
  <c r="G41" i="112"/>
  <c r="G41" i="114" s="1"/>
  <c r="G41" i="116" s="1"/>
  <c r="G40" i="112"/>
  <c r="G39" i="112"/>
  <c r="G35" i="112"/>
  <c r="G34" i="112"/>
  <c r="G33" i="112"/>
  <c r="G32" i="112"/>
  <c r="G31" i="112"/>
  <c r="G31" i="114" s="1"/>
  <c r="G31" i="116" s="1"/>
  <c r="G37" i="112"/>
  <c r="D10" i="112"/>
  <c r="S31" i="118" l="1"/>
  <c r="Z27" i="116"/>
  <c r="I31" i="116"/>
  <c r="H31" i="116"/>
  <c r="S41" i="118"/>
  <c r="I37" i="112"/>
  <c r="G37" i="114"/>
  <c r="H39" i="112"/>
  <c r="G39" i="114"/>
  <c r="G39" i="116" s="1"/>
  <c r="H40" i="112"/>
  <c r="G40" i="114"/>
  <c r="I33" i="112"/>
  <c r="G33" i="114"/>
  <c r="G33" i="116" s="1"/>
  <c r="I34" i="112"/>
  <c r="G34" i="114"/>
  <c r="I31" i="114"/>
  <c r="H31" i="114"/>
  <c r="I35" i="112"/>
  <c r="G35" i="114"/>
  <c r="I32" i="112"/>
  <c r="G32" i="114"/>
  <c r="G32" i="116" s="1"/>
  <c r="I31" i="112"/>
  <c r="H31" i="112"/>
  <c r="AZ41" i="134" l="1"/>
  <c r="U41" i="134"/>
  <c r="AZ31" i="134"/>
  <c r="U31" i="134"/>
  <c r="S32" i="118"/>
  <c r="I32" i="116"/>
  <c r="H32" i="116"/>
  <c r="S39" i="118"/>
  <c r="H39" i="116"/>
  <c r="T41" i="118"/>
  <c r="S33" i="118"/>
  <c r="I33" i="116"/>
  <c r="H33" i="116"/>
  <c r="I35" i="114"/>
  <c r="G35" i="116"/>
  <c r="I34" i="114"/>
  <c r="G34" i="116"/>
  <c r="H40" i="114"/>
  <c r="G40" i="116"/>
  <c r="I37" i="114"/>
  <c r="S31" i="119"/>
  <c r="U31" i="118"/>
  <c r="T31" i="118"/>
  <c r="I32" i="114"/>
  <c r="H32" i="114"/>
  <c r="H33" i="114"/>
  <c r="I33" i="114"/>
  <c r="H39" i="114"/>
  <c r="H15" i="112"/>
  <c r="G52" i="112"/>
  <c r="F52" i="112"/>
  <c r="T4" i="78"/>
  <c r="F41" i="112"/>
  <c r="F39" i="112"/>
  <c r="E41" i="112"/>
  <c r="AD20" i="78"/>
  <c r="AE20" i="78" s="1"/>
  <c r="X20" i="78" s="1"/>
  <c r="G6" i="112"/>
  <c r="Y6" i="126" s="1"/>
  <c r="F8" i="112"/>
  <c r="X8" i="126" s="1"/>
  <c r="F6" i="112"/>
  <c r="X6" i="126" s="1"/>
  <c r="G12" i="112"/>
  <c r="F12" i="112"/>
  <c r="E4" i="112"/>
  <c r="O31" i="78"/>
  <c r="O30" i="78"/>
  <c r="P30" i="78" s="1"/>
  <c r="O29" i="78"/>
  <c r="O28" i="78"/>
  <c r="O27" i="78"/>
  <c r="O26" i="78"/>
  <c r="P26" i="78" s="1"/>
  <c r="O25" i="78"/>
  <c r="P25" i="78" s="1"/>
  <c r="O24" i="78"/>
  <c r="O23" i="78"/>
  <c r="P23" i="78" s="1"/>
  <c r="O22" i="78"/>
  <c r="P22" i="78" s="1"/>
  <c r="O21" i="78"/>
  <c r="P21" i="78" s="1"/>
  <c r="O20" i="78"/>
  <c r="O6" i="78"/>
  <c r="O7" i="78"/>
  <c r="P7" i="78" s="1"/>
  <c r="P8" i="78"/>
  <c r="O9" i="78"/>
  <c r="O10" i="78"/>
  <c r="P10" i="78" s="1"/>
  <c r="O11" i="78"/>
  <c r="P11" i="78" s="1"/>
  <c r="O12" i="78"/>
  <c r="O13" i="78"/>
  <c r="O14" i="78"/>
  <c r="P14" i="78" s="1"/>
  <c r="O15" i="78"/>
  <c r="O4" i="78"/>
  <c r="AI8" i="78"/>
  <c r="Z8" i="78" s="1"/>
  <c r="K25" i="144" s="1"/>
  <c r="AE31" i="78"/>
  <c r="AB31" i="78"/>
  <c r="AB30" i="78"/>
  <c r="AE29" i="78"/>
  <c r="X29" i="78" s="1"/>
  <c r="E31" i="142" s="1"/>
  <c r="AB29" i="78"/>
  <c r="AJ28" i="78"/>
  <c r="AE28" i="78"/>
  <c r="AB28" i="78"/>
  <c r="AE27" i="78"/>
  <c r="AB27" i="78"/>
  <c r="AE26" i="78"/>
  <c r="X26" i="78" s="1"/>
  <c r="AB26" i="78"/>
  <c r="AE25" i="78"/>
  <c r="X25" i="78" s="1"/>
  <c r="AB25" i="78"/>
  <c r="AE24" i="78"/>
  <c r="AB24" i="78"/>
  <c r="AE23" i="78"/>
  <c r="X23" i="78" s="1"/>
  <c r="AB23" i="78"/>
  <c r="AE22" i="78"/>
  <c r="X22" i="78" s="1"/>
  <c r="AB22" i="78"/>
  <c r="AE21" i="78"/>
  <c r="X21" i="78" s="1"/>
  <c r="AB21" i="78"/>
  <c r="AB20" i="78"/>
  <c r="AJ16" i="78"/>
  <c r="Z15" i="78"/>
  <c r="K33" i="144" s="1"/>
  <c r="M33" i="144" s="1"/>
  <c r="AI12" i="78"/>
  <c r="AI11" i="78"/>
  <c r="Z11" i="78" s="1"/>
  <c r="K28" i="144" s="1"/>
  <c r="AI10" i="78"/>
  <c r="Z10" i="78" s="1"/>
  <c r="AK8" i="78"/>
  <c r="AK7" i="78"/>
  <c r="AI7" i="78"/>
  <c r="Z7" i="78" s="1"/>
  <c r="AK6" i="78"/>
  <c r="AI6" i="78"/>
  <c r="AK5" i="78"/>
  <c r="AK4" i="78"/>
  <c r="M25" i="144" l="1"/>
  <c r="O25" i="144"/>
  <c r="M28" i="144"/>
  <c r="O28" i="144"/>
  <c r="R28" i="144" s="1"/>
  <c r="E21" i="142"/>
  <c r="Z6" i="78"/>
  <c r="Z1" i="78" s="1"/>
  <c r="AI16" i="78"/>
  <c r="G44" i="113"/>
  <c r="G9" i="113" s="1"/>
  <c r="E22" i="142"/>
  <c r="E24" i="142"/>
  <c r="X33" i="78"/>
  <c r="G44" i="120"/>
  <c r="S44" i="120" s="1"/>
  <c r="E26" i="142"/>
  <c r="G26" i="142" s="1"/>
  <c r="G37" i="121"/>
  <c r="G8" i="121" s="1"/>
  <c r="K27" i="144"/>
  <c r="I31" i="142"/>
  <c r="L31" i="142" s="1"/>
  <c r="G31" i="142"/>
  <c r="AA4" i="78"/>
  <c r="B21" i="144"/>
  <c r="S36" i="126"/>
  <c r="W36" i="127" s="1"/>
  <c r="K24" i="144"/>
  <c r="G44" i="115"/>
  <c r="I44" i="115" s="1"/>
  <c r="E23" i="142"/>
  <c r="G44" i="121"/>
  <c r="E27" i="142"/>
  <c r="G27" i="142" s="1"/>
  <c r="P6" i="78"/>
  <c r="I19" i="78"/>
  <c r="P13" i="78"/>
  <c r="I20" i="78"/>
  <c r="P24" i="78"/>
  <c r="O35" i="78"/>
  <c r="O34" i="78"/>
  <c r="O32" i="78"/>
  <c r="O33" i="78" s="1"/>
  <c r="BA31" i="134"/>
  <c r="AH31" i="134"/>
  <c r="W31" i="134"/>
  <c r="V31" i="134"/>
  <c r="AZ33" i="134"/>
  <c r="U33" i="134"/>
  <c r="BA41" i="134"/>
  <c r="BD41" i="134" s="1"/>
  <c r="AH41" i="134"/>
  <c r="W41" i="134"/>
  <c r="V41" i="134"/>
  <c r="U39" i="134"/>
  <c r="AZ39" i="134"/>
  <c r="AZ32" i="134"/>
  <c r="U32" i="134"/>
  <c r="AA15" i="78"/>
  <c r="O33" i="144" s="1"/>
  <c r="R33" i="144" s="1"/>
  <c r="O16" i="78"/>
  <c r="P16" i="78" s="1"/>
  <c r="U43" i="127"/>
  <c r="S43" i="126"/>
  <c r="U43" i="126" s="1"/>
  <c r="P15" i="78"/>
  <c r="Q22" i="78"/>
  <c r="S36" i="125"/>
  <c r="Q31" i="78"/>
  <c r="Q34" i="78" s="1"/>
  <c r="P31" i="78"/>
  <c r="P34" i="78" s="1"/>
  <c r="Q30" i="78"/>
  <c r="Q28" i="78"/>
  <c r="P28" i="78"/>
  <c r="Q27" i="78"/>
  <c r="P27" i="78"/>
  <c r="R27" i="78" s="1"/>
  <c r="AA29" i="78"/>
  <c r="H14" i="78" s="1"/>
  <c r="I14" i="78" s="1"/>
  <c r="G44" i="125"/>
  <c r="S44" i="125" s="1"/>
  <c r="Q29" i="78"/>
  <c r="P29" i="78"/>
  <c r="P12" i="78"/>
  <c r="S44" i="121"/>
  <c r="G9" i="121"/>
  <c r="I44" i="121"/>
  <c r="X6" i="125"/>
  <c r="X6" i="123"/>
  <c r="X6" i="122"/>
  <c r="R6" i="121"/>
  <c r="Q41" i="123"/>
  <c r="Q41" i="121"/>
  <c r="Q9" i="121" s="1"/>
  <c r="AA10" i="78"/>
  <c r="U31" i="123"/>
  <c r="T31" i="123"/>
  <c r="X8" i="125"/>
  <c r="X8" i="123"/>
  <c r="X8" i="122"/>
  <c r="Y6" i="125"/>
  <c r="S6" i="121"/>
  <c r="Y6" i="123"/>
  <c r="Y6" i="122"/>
  <c r="Q21" i="78"/>
  <c r="Z12" i="78"/>
  <c r="I37" i="121"/>
  <c r="Q26" i="78"/>
  <c r="S31" i="120"/>
  <c r="U31" i="119"/>
  <c r="T31" i="119"/>
  <c r="T39" i="118"/>
  <c r="G37" i="115"/>
  <c r="S34" i="118"/>
  <c r="I34" i="116"/>
  <c r="P4" i="78"/>
  <c r="F6" i="114"/>
  <c r="F6" i="116" s="1"/>
  <c r="X6" i="121"/>
  <c r="X6" i="120"/>
  <c r="Q41" i="120"/>
  <c r="G6" i="114"/>
  <c r="G6" i="116" s="1"/>
  <c r="Y6" i="121"/>
  <c r="Y6" i="120"/>
  <c r="G37" i="120"/>
  <c r="I37" i="120" s="1"/>
  <c r="AA9" i="78"/>
  <c r="R26" i="144" s="1"/>
  <c r="F8" i="114"/>
  <c r="F8" i="116" s="1"/>
  <c r="X8" i="121"/>
  <c r="X8" i="120"/>
  <c r="I52" i="112"/>
  <c r="H50" i="112"/>
  <c r="S40" i="118"/>
  <c r="H40" i="116"/>
  <c r="S35" i="118"/>
  <c r="I35" i="116"/>
  <c r="S33" i="119"/>
  <c r="T33" i="118"/>
  <c r="U33" i="118"/>
  <c r="S32" i="119"/>
  <c r="T32" i="118"/>
  <c r="U32" i="118"/>
  <c r="P9" i="78"/>
  <c r="Q25" i="78"/>
  <c r="Q24" i="78"/>
  <c r="Q23" i="78"/>
  <c r="H6" i="114"/>
  <c r="I41" i="112"/>
  <c r="F41" i="114"/>
  <c r="I39" i="112"/>
  <c r="F39" i="114"/>
  <c r="E9" i="112"/>
  <c r="E41" i="114"/>
  <c r="G44" i="112"/>
  <c r="AA20" i="78"/>
  <c r="F5" i="78"/>
  <c r="G36" i="112"/>
  <c r="Q20" i="78"/>
  <c r="AB32" i="78"/>
  <c r="H41" i="112"/>
  <c r="I6" i="112"/>
  <c r="H6" i="112"/>
  <c r="I12" i="112"/>
  <c r="F9" i="112"/>
  <c r="X9" i="126" s="1"/>
  <c r="X10" i="126" s="1"/>
  <c r="AA30" i="78"/>
  <c r="H15" i="78" s="1"/>
  <c r="AA25" i="78"/>
  <c r="H10" i="78" s="1"/>
  <c r="X28" i="78"/>
  <c r="E30" i="142" s="1"/>
  <c r="X24" i="78"/>
  <c r="AA21" i="78"/>
  <c r="H6" i="78" s="1"/>
  <c r="AA22" i="78"/>
  <c r="H7" i="78" s="1"/>
  <c r="AA26" i="78"/>
  <c r="H11" i="78" s="1"/>
  <c r="X31" i="78"/>
  <c r="E33" i="142" s="1"/>
  <c r="X27" i="78"/>
  <c r="E28" i="142" s="1"/>
  <c r="G28" i="142" s="1"/>
  <c r="AA23" i="78"/>
  <c r="AA14" i="78"/>
  <c r="AA5" i="78"/>
  <c r="R22" i="144" s="1"/>
  <c r="AA7" i="78"/>
  <c r="AA8" i="78"/>
  <c r="AA6" i="78"/>
  <c r="AA11" i="78"/>
  <c r="AK16" i="78"/>
  <c r="AJ24" i="78"/>
  <c r="AK24" i="78"/>
  <c r="B61" i="110"/>
  <c r="F61" i="110" s="1"/>
  <c r="F58" i="110"/>
  <c r="F59" i="110"/>
  <c r="F60" i="110"/>
  <c r="F57" i="110"/>
  <c r="E58" i="110"/>
  <c r="E59" i="110"/>
  <c r="E60" i="110"/>
  <c r="E61" i="110"/>
  <c r="E57" i="110"/>
  <c r="O21" i="144" l="1"/>
  <c r="B29" i="144"/>
  <c r="M27" i="144"/>
  <c r="O27" i="144"/>
  <c r="R27" i="144" s="1"/>
  <c r="M24" i="144"/>
  <c r="O24" i="144"/>
  <c r="R24" i="144" s="1"/>
  <c r="I44" i="113"/>
  <c r="G9" i="115"/>
  <c r="AA1" i="78"/>
  <c r="I28" i="142"/>
  <c r="L28" i="142" s="1"/>
  <c r="H5" i="78"/>
  <c r="I23" i="142"/>
  <c r="L23" i="142" s="1"/>
  <c r="G23" i="142"/>
  <c r="I24" i="142"/>
  <c r="L24" i="142" s="1"/>
  <c r="G24" i="142"/>
  <c r="I33" i="142"/>
  <c r="L33" i="142" s="1"/>
  <c r="G33" i="142"/>
  <c r="AA24" i="78"/>
  <c r="H9" i="78" s="1"/>
  <c r="E25" i="142"/>
  <c r="E29" i="142" s="1"/>
  <c r="Z16" i="78"/>
  <c r="S37" i="125" s="1"/>
  <c r="K30" i="144"/>
  <c r="M30" i="144" s="1"/>
  <c r="I26" i="142"/>
  <c r="L26" i="142" s="1"/>
  <c r="K23" i="144"/>
  <c r="I27" i="142"/>
  <c r="L27" i="142" s="1"/>
  <c r="D29" i="144"/>
  <c r="B34" i="144"/>
  <c r="I22" i="142"/>
  <c r="L22" i="142" s="1"/>
  <c r="G22" i="142"/>
  <c r="I21" i="142"/>
  <c r="G21" i="142"/>
  <c r="F15" i="78"/>
  <c r="G15" i="78" s="1"/>
  <c r="I15" i="78" s="1"/>
  <c r="O32" i="144"/>
  <c r="R32" i="144" s="1"/>
  <c r="I30" i="142"/>
  <c r="L30" i="142" s="1"/>
  <c r="G30" i="142"/>
  <c r="R25" i="144"/>
  <c r="H8" i="78"/>
  <c r="AA33" i="78"/>
  <c r="AZ40" i="134"/>
  <c r="U40" i="134"/>
  <c r="G37" i="135"/>
  <c r="U43" i="134"/>
  <c r="AH32" i="134"/>
  <c r="W32" i="134"/>
  <c r="V32" i="134"/>
  <c r="BA39" i="134"/>
  <c r="BD39" i="134" s="1"/>
  <c r="AH39" i="134"/>
  <c r="W39" i="134"/>
  <c r="V39" i="134"/>
  <c r="AZ34" i="134"/>
  <c r="U34" i="134"/>
  <c r="BA32" i="134"/>
  <c r="BA33" i="134"/>
  <c r="AH33" i="134"/>
  <c r="W33" i="134"/>
  <c r="V33" i="134"/>
  <c r="AJ31" i="134"/>
  <c r="AI31" i="134"/>
  <c r="AJ41" i="134"/>
  <c r="AI41" i="134"/>
  <c r="AZ35" i="134"/>
  <c r="U35" i="134"/>
  <c r="AA31" i="78"/>
  <c r="H16" i="78" s="1"/>
  <c r="I16" i="78" s="1"/>
  <c r="AB17" i="78"/>
  <c r="W43" i="127"/>
  <c r="P32" i="78"/>
  <c r="P35" i="78" s="1"/>
  <c r="Q41" i="125"/>
  <c r="F10" i="112"/>
  <c r="F9" i="78"/>
  <c r="G9" i="78" s="1"/>
  <c r="I9" i="78" s="1"/>
  <c r="F8" i="78"/>
  <c r="G8" i="78" s="1"/>
  <c r="I8" i="78" s="1"/>
  <c r="G5" i="78"/>
  <c r="F12" i="78"/>
  <c r="G12" i="78" s="1"/>
  <c r="F10" i="78"/>
  <c r="G10" i="78" s="1"/>
  <c r="I10" i="78" s="1"/>
  <c r="F6" i="78"/>
  <c r="G6" i="78" s="1"/>
  <c r="I6" i="78" s="1"/>
  <c r="F7" i="78"/>
  <c r="G7" i="78" s="1"/>
  <c r="I7" i="78" s="1"/>
  <c r="F11" i="78"/>
  <c r="G11" i="78" s="1"/>
  <c r="I11" i="78" s="1"/>
  <c r="I6" i="114"/>
  <c r="I44" i="126"/>
  <c r="S9" i="125"/>
  <c r="U44" i="125"/>
  <c r="I44" i="125"/>
  <c r="G9" i="125"/>
  <c r="U34" i="125"/>
  <c r="U34" i="123"/>
  <c r="AA28" i="78"/>
  <c r="H13" i="78" s="1"/>
  <c r="X9" i="125"/>
  <c r="X9" i="123"/>
  <c r="X10" i="123" s="1"/>
  <c r="X9" i="122"/>
  <c r="X10" i="122" s="1"/>
  <c r="R28" i="78"/>
  <c r="T6" i="121"/>
  <c r="U6" i="121"/>
  <c r="Q9" i="123"/>
  <c r="T41" i="123"/>
  <c r="X10" i="125"/>
  <c r="AA27" i="78"/>
  <c r="H12" i="78" s="1"/>
  <c r="I12" i="78" s="1"/>
  <c r="G44" i="122"/>
  <c r="G44" i="135" s="1"/>
  <c r="I44" i="135" s="1"/>
  <c r="U36" i="125"/>
  <c r="U36" i="123"/>
  <c r="H9" i="121"/>
  <c r="I9" i="121"/>
  <c r="AA12" i="78"/>
  <c r="G37" i="123"/>
  <c r="G8" i="123" s="1"/>
  <c r="L8" i="127" s="1"/>
  <c r="U31" i="125"/>
  <c r="T31" i="125"/>
  <c r="U44" i="121"/>
  <c r="S9" i="121"/>
  <c r="H8" i="121"/>
  <c r="I8" i="121"/>
  <c r="G10" i="121"/>
  <c r="T41" i="120"/>
  <c r="Q9" i="120"/>
  <c r="Q10" i="120" s="1"/>
  <c r="I37" i="115"/>
  <c r="G8" i="115"/>
  <c r="G37" i="116"/>
  <c r="S33" i="120"/>
  <c r="U33" i="119"/>
  <c r="T33" i="119"/>
  <c r="U40" i="118"/>
  <c r="T40" i="118"/>
  <c r="T41" i="121"/>
  <c r="F9" i="114"/>
  <c r="X9" i="121"/>
  <c r="X10" i="121" s="1"/>
  <c r="X9" i="120"/>
  <c r="X10" i="120" s="1"/>
  <c r="H41" i="114"/>
  <c r="E41" i="116"/>
  <c r="I41" i="114"/>
  <c r="F41" i="116"/>
  <c r="S32" i="120"/>
  <c r="T32" i="119"/>
  <c r="U32" i="119"/>
  <c r="S34" i="119"/>
  <c r="U34" i="118"/>
  <c r="I39" i="114"/>
  <c r="F39" i="116"/>
  <c r="G8" i="120"/>
  <c r="S35" i="119"/>
  <c r="U35" i="118"/>
  <c r="H6" i="116"/>
  <c r="I6" i="116"/>
  <c r="I9" i="115"/>
  <c r="H9" i="115"/>
  <c r="U31" i="120"/>
  <c r="T31" i="120"/>
  <c r="S9" i="120"/>
  <c r="I44" i="120"/>
  <c r="G9" i="120"/>
  <c r="P33" i="78"/>
  <c r="I37" i="118"/>
  <c r="E9" i="114"/>
  <c r="E10" i="114" s="1"/>
  <c r="E10" i="112"/>
  <c r="G8" i="112"/>
  <c r="Y8" i="150" s="1"/>
  <c r="I36" i="112"/>
  <c r="G36" i="114"/>
  <c r="I9" i="113"/>
  <c r="G10" i="113"/>
  <c r="H9" i="113"/>
  <c r="I44" i="112"/>
  <c r="G44" i="114"/>
  <c r="G9" i="112"/>
  <c r="Q32" i="78"/>
  <c r="H35" i="110"/>
  <c r="H34" i="110"/>
  <c r="H33" i="110"/>
  <c r="H32" i="110"/>
  <c r="H31" i="110"/>
  <c r="H30" i="110"/>
  <c r="H29" i="110"/>
  <c r="H28" i="110"/>
  <c r="H27" i="110"/>
  <c r="H26" i="110"/>
  <c r="H25" i="110"/>
  <c r="H24" i="110"/>
  <c r="H5" i="110"/>
  <c r="H6" i="110"/>
  <c r="H7" i="110"/>
  <c r="H8" i="110"/>
  <c r="H9" i="110"/>
  <c r="H10" i="110"/>
  <c r="H11" i="110"/>
  <c r="H12" i="110"/>
  <c r="H13" i="110"/>
  <c r="H14" i="110"/>
  <c r="H15" i="110"/>
  <c r="H4" i="110"/>
  <c r="E36" i="110"/>
  <c r="E16" i="110"/>
  <c r="M25" i="107"/>
  <c r="P25" i="107" s="1"/>
  <c r="M23" i="107"/>
  <c r="P23" i="107" s="1"/>
  <c r="M21" i="107"/>
  <c r="P21" i="107" s="1"/>
  <c r="M19" i="107"/>
  <c r="P19" i="107" s="1"/>
  <c r="M17" i="107"/>
  <c r="P17" i="107" s="1"/>
  <c r="M15" i="107"/>
  <c r="P15" i="107" s="1"/>
  <c r="M13" i="107"/>
  <c r="P13" i="107" s="1"/>
  <c r="M11" i="107"/>
  <c r="P11" i="107" s="1"/>
  <c r="M9" i="107"/>
  <c r="P9" i="107" s="1"/>
  <c r="M7" i="107"/>
  <c r="P7" i="107" s="1"/>
  <c r="O6" i="107"/>
  <c r="O8" i="107" s="1"/>
  <c r="O10" i="107" s="1"/>
  <c r="O12" i="107" s="1"/>
  <c r="O14" i="107" s="1"/>
  <c r="O16" i="107" s="1"/>
  <c r="O18" i="107" s="1"/>
  <c r="O20" i="107" s="1"/>
  <c r="O22" i="107" s="1"/>
  <c r="O24" i="107" s="1"/>
  <c r="O26" i="107" s="1"/>
  <c r="N6" i="107"/>
  <c r="N8" i="107" s="1"/>
  <c r="N10" i="107" s="1"/>
  <c r="N12" i="107" s="1"/>
  <c r="N14" i="107" s="1"/>
  <c r="N16" i="107" s="1"/>
  <c r="N18" i="107" s="1"/>
  <c r="N20" i="107" s="1"/>
  <c r="N22" i="107" s="1"/>
  <c r="N24" i="107" s="1"/>
  <c r="N26" i="107" s="1"/>
  <c r="L6" i="107"/>
  <c r="L8" i="107" s="1"/>
  <c r="L10" i="107" s="1"/>
  <c r="L12" i="107" s="1"/>
  <c r="L14" i="107" s="1"/>
  <c r="L16" i="107" s="1"/>
  <c r="L18" i="107" s="1"/>
  <c r="L20" i="107" s="1"/>
  <c r="L22" i="107" s="1"/>
  <c r="L24" i="107" s="1"/>
  <c r="L26" i="107" s="1"/>
  <c r="K6" i="107"/>
  <c r="K8" i="107" s="1"/>
  <c r="K10" i="107" s="1"/>
  <c r="K12" i="107" s="1"/>
  <c r="K14" i="107" s="1"/>
  <c r="K16" i="107" s="1"/>
  <c r="K18" i="107" s="1"/>
  <c r="K20" i="107" s="1"/>
  <c r="K22" i="107" s="1"/>
  <c r="K24" i="107" s="1"/>
  <c r="K26" i="107" s="1"/>
  <c r="M5" i="107"/>
  <c r="P5" i="107" s="1"/>
  <c r="M4" i="107"/>
  <c r="P4" i="107" s="1"/>
  <c r="O23" i="144" l="1"/>
  <c r="R23" i="144" s="1"/>
  <c r="K29" i="144"/>
  <c r="E34" i="142"/>
  <c r="G34" i="142" s="1"/>
  <c r="R21" i="144"/>
  <c r="I25" i="142"/>
  <c r="L25" i="142" s="1"/>
  <c r="G25" i="142"/>
  <c r="G29" i="142"/>
  <c r="H17" i="78"/>
  <c r="AA16" i="78"/>
  <c r="O30" i="144"/>
  <c r="R30" i="144" s="1"/>
  <c r="BA34" i="134"/>
  <c r="S44" i="137"/>
  <c r="U44" i="135"/>
  <c r="S45" i="130"/>
  <c r="Y9" i="150"/>
  <c r="Y10" i="150" s="1"/>
  <c r="Z10" i="150" s="1"/>
  <c r="Y9" i="147"/>
  <c r="Y9" i="145"/>
  <c r="Y9" i="143"/>
  <c r="Z9" i="141"/>
  <c r="Y9" i="140"/>
  <c r="L21" i="142"/>
  <c r="M23" i="144"/>
  <c r="K34" i="144"/>
  <c r="M34" i="144" s="1"/>
  <c r="M29" i="144"/>
  <c r="S37" i="126"/>
  <c r="S8" i="126" s="1"/>
  <c r="Y8" i="147"/>
  <c r="Y8" i="145"/>
  <c r="Y8" i="143"/>
  <c r="Z8" i="141"/>
  <c r="Z10" i="141" s="1"/>
  <c r="AA10" i="141" s="1"/>
  <c r="Y8" i="140"/>
  <c r="I5" i="78"/>
  <c r="AA9" i="127"/>
  <c r="Y9" i="139"/>
  <c r="Y9" i="138"/>
  <c r="Y9" i="137"/>
  <c r="AA9" i="135"/>
  <c r="Y9" i="130"/>
  <c r="Y8" i="139"/>
  <c r="Y8" i="138"/>
  <c r="AA8" i="135"/>
  <c r="AA10" i="135" s="1"/>
  <c r="Y8" i="137"/>
  <c r="Y8" i="130"/>
  <c r="I8" i="120"/>
  <c r="G8" i="134"/>
  <c r="BA35" i="134"/>
  <c r="AH35" i="134"/>
  <c r="AJ35" i="134" s="1"/>
  <c r="W35" i="134"/>
  <c r="AH34" i="134"/>
  <c r="AJ34" i="134" s="1"/>
  <c r="W34" i="134"/>
  <c r="AI39" i="134"/>
  <c r="AJ39" i="134"/>
  <c r="AJ32" i="134"/>
  <c r="AI32" i="134"/>
  <c r="AH40" i="134"/>
  <c r="V40" i="134"/>
  <c r="W40" i="134"/>
  <c r="G8" i="135"/>
  <c r="AI33" i="134"/>
  <c r="AJ33" i="134"/>
  <c r="BA43" i="134"/>
  <c r="BD43" i="134" s="1"/>
  <c r="AH43" i="134"/>
  <c r="AJ43" i="134" s="1"/>
  <c r="W43" i="134"/>
  <c r="BA40" i="134"/>
  <c r="BD40" i="134" s="1"/>
  <c r="AA8" i="127"/>
  <c r="AA10" i="127" s="1"/>
  <c r="W37" i="127"/>
  <c r="U8" i="127"/>
  <c r="U44" i="127"/>
  <c r="S44" i="126"/>
  <c r="U44" i="126" s="1"/>
  <c r="T41" i="126"/>
  <c r="Y41" i="125"/>
  <c r="Z41" i="125" s="1"/>
  <c r="T41" i="125"/>
  <c r="F13" i="78"/>
  <c r="G13" i="78" s="1"/>
  <c r="I13" i="78" s="1"/>
  <c r="Y9" i="126"/>
  <c r="S8" i="125"/>
  <c r="S10" i="125" s="1"/>
  <c r="Y8" i="126"/>
  <c r="U36" i="126"/>
  <c r="U9" i="125"/>
  <c r="T9" i="125"/>
  <c r="G10" i="126"/>
  <c r="I9" i="126"/>
  <c r="H9" i="126"/>
  <c r="H9" i="125"/>
  <c r="I9" i="125"/>
  <c r="G10" i="125"/>
  <c r="I8" i="123"/>
  <c r="H8" i="123"/>
  <c r="G10" i="123"/>
  <c r="I44" i="122"/>
  <c r="G9" i="122"/>
  <c r="G9" i="135" s="1"/>
  <c r="Q10" i="123"/>
  <c r="T9" i="123"/>
  <c r="Y9" i="121"/>
  <c r="Y9" i="125"/>
  <c r="Y9" i="123"/>
  <c r="Y9" i="122"/>
  <c r="G10" i="112"/>
  <c r="I10" i="112" s="1"/>
  <c r="Y8" i="125"/>
  <c r="H8" i="120"/>
  <c r="Q33" i="78"/>
  <c r="Y8" i="123"/>
  <c r="Y8" i="122"/>
  <c r="I10" i="121"/>
  <c r="H10" i="121"/>
  <c r="I44" i="114"/>
  <c r="G44" i="116"/>
  <c r="Q41" i="119"/>
  <c r="H41" i="116"/>
  <c r="F10" i="114"/>
  <c r="F9" i="116"/>
  <c r="F10" i="116" s="1"/>
  <c r="S33" i="121"/>
  <c r="U33" i="120"/>
  <c r="T33" i="120"/>
  <c r="Y8" i="121"/>
  <c r="Y8" i="120"/>
  <c r="I36" i="114"/>
  <c r="G36" i="116"/>
  <c r="S35" i="120"/>
  <c r="U35" i="119"/>
  <c r="R39" i="118"/>
  <c r="I39" i="116"/>
  <c r="S34" i="120"/>
  <c r="S34" i="121" s="1"/>
  <c r="U34" i="119"/>
  <c r="S32" i="121"/>
  <c r="S54" i="120"/>
  <c r="T32" i="120"/>
  <c r="U32" i="120"/>
  <c r="I37" i="116"/>
  <c r="S37" i="118"/>
  <c r="T9" i="121"/>
  <c r="Q10" i="121"/>
  <c r="Y9" i="120"/>
  <c r="T31" i="121"/>
  <c r="U31" i="121"/>
  <c r="R41" i="119"/>
  <c r="R41" i="118"/>
  <c r="U41" i="118" s="1"/>
  <c r="I41" i="116"/>
  <c r="I8" i="115"/>
  <c r="G10" i="115"/>
  <c r="H8" i="115"/>
  <c r="I9" i="120"/>
  <c r="H9" i="120"/>
  <c r="G10" i="120"/>
  <c r="U44" i="120"/>
  <c r="H8" i="118"/>
  <c r="I8" i="118"/>
  <c r="G10" i="118"/>
  <c r="H10" i="113"/>
  <c r="I10" i="113"/>
  <c r="G8" i="114"/>
  <c r="G8" i="116" s="1"/>
  <c r="H8" i="112"/>
  <c r="I8" i="112"/>
  <c r="G9" i="114"/>
  <c r="G9" i="116" s="1"/>
  <c r="I9" i="112"/>
  <c r="H9" i="112"/>
  <c r="AB16" i="78"/>
  <c r="M6" i="107"/>
  <c r="M8" i="107" s="1"/>
  <c r="M10" i="107" s="1"/>
  <c r="M12" i="107" s="1"/>
  <c r="M14" i="107" s="1"/>
  <c r="M16" i="107" s="1"/>
  <c r="M18" i="107" s="1"/>
  <c r="M20" i="107" s="1"/>
  <c r="M22" i="107" s="1"/>
  <c r="M24" i="107" s="1"/>
  <c r="M26" i="107" s="1"/>
  <c r="P6" i="107"/>
  <c r="P8" i="107" s="1"/>
  <c r="P10" i="107" s="1"/>
  <c r="P12" i="107" s="1"/>
  <c r="P14" i="107" s="1"/>
  <c r="P16" i="107" s="1"/>
  <c r="P18" i="107" s="1"/>
  <c r="P20" i="107" s="1"/>
  <c r="P22" i="107" s="1"/>
  <c r="P24" i="107" s="1"/>
  <c r="P26" i="107" s="1"/>
  <c r="R51" i="110"/>
  <c r="S51" i="110" s="1"/>
  <c r="O29" i="144" l="1"/>
  <c r="R29" i="144" s="1"/>
  <c r="I29" i="142"/>
  <c r="L29" i="142" s="1"/>
  <c r="Y10" i="130"/>
  <c r="Y10" i="139"/>
  <c r="Z10" i="139" s="1"/>
  <c r="Y10" i="140"/>
  <c r="Z10" i="140" s="1"/>
  <c r="Y10" i="147"/>
  <c r="Z10" i="147" s="1"/>
  <c r="I34" i="142"/>
  <c r="Y10" i="145"/>
  <c r="Z10" i="145" s="1"/>
  <c r="U45" i="130"/>
  <c r="S9" i="130"/>
  <c r="W44" i="135"/>
  <c r="U9" i="135"/>
  <c r="F17" i="78"/>
  <c r="I17" i="78" s="1"/>
  <c r="O34" i="144"/>
  <c r="Y10" i="143"/>
  <c r="Z10" i="143" s="1"/>
  <c r="U44" i="137"/>
  <c r="S9" i="137"/>
  <c r="Y10" i="138"/>
  <c r="Z10" i="138" s="1"/>
  <c r="U37" i="126"/>
  <c r="S9" i="126"/>
  <c r="S10" i="126" s="1"/>
  <c r="U10" i="126" s="1"/>
  <c r="G17" i="78"/>
  <c r="AJ40" i="134"/>
  <c r="AI40" i="134"/>
  <c r="H8" i="135"/>
  <c r="I8" i="135"/>
  <c r="G10" i="135"/>
  <c r="Y10" i="137"/>
  <c r="G9" i="134"/>
  <c r="S37" i="119"/>
  <c r="S8" i="119" s="1"/>
  <c r="T8" i="119" s="1"/>
  <c r="AZ37" i="134"/>
  <c r="U37" i="134"/>
  <c r="H9" i="135"/>
  <c r="I9" i="135"/>
  <c r="U9" i="127"/>
  <c r="I8" i="134"/>
  <c r="H8" i="134"/>
  <c r="L9" i="127"/>
  <c r="L10" i="127" s="1"/>
  <c r="Y10" i="126"/>
  <c r="V8" i="127"/>
  <c r="W8" i="127"/>
  <c r="W44" i="127"/>
  <c r="U37" i="118"/>
  <c r="H10" i="112"/>
  <c r="Y10" i="121"/>
  <c r="I10" i="126"/>
  <c r="H10" i="126"/>
  <c r="U8" i="126"/>
  <c r="T8" i="126"/>
  <c r="Y10" i="123"/>
  <c r="Y10" i="125"/>
  <c r="H10" i="125"/>
  <c r="I10" i="125"/>
  <c r="Y10" i="122"/>
  <c r="Z10" i="122" s="1"/>
  <c r="U37" i="125"/>
  <c r="H10" i="123"/>
  <c r="I10" i="123"/>
  <c r="H9" i="122"/>
  <c r="I9" i="122"/>
  <c r="G10" i="122"/>
  <c r="U37" i="123"/>
  <c r="S8" i="123"/>
  <c r="Y10" i="120"/>
  <c r="H9" i="116"/>
  <c r="I9" i="116"/>
  <c r="H10" i="115"/>
  <c r="I10" i="115"/>
  <c r="U33" i="121"/>
  <c r="T33" i="121"/>
  <c r="R9" i="118"/>
  <c r="R10" i="118" s="1"/>
  <c r="U39" i="118"/>
  <c r="U34" i="121"/>
  <c r="U34" i="120"/>
  <c r="S35" i="121"/>
  <c r="U35" i="121" s="1"/>
  <c r="U35" i="120"/>
  <c r="T41" i="119"/>
  <c r="Q9" i="119"/>
  <c r="S44" i="118"/>
  <c r="AZ44" i="134" s="1"/>
  <c r="I44" i="116"/>
  <c r="H8" i="116"/>
  <c r="I8" i="116"/>
  <c r="G10" i="116"/>
  <c r="R41" i="120"/>
  <c r="U41" i="119"/>
  <c r="R9" i="119"/>
  <c r="T32" i="121"/>
  <c r="U32" i="121"/>
  <c r="U54" i="120"/>
  <c r="T54" i="120"/>
  <c r="S36" i="118"/>
  <c r="I36" i="116"/>
  <c r="I10" i="120"/>
  <c r="H10" i="120"/>
  <c r="T9" i="120"/>
  <c r="I10" i="118"/>
  <c r="H10" i="118"/>
  <c r="H9" i="114"/>
  <c r="I9" i="114"/>
  <c r="H8" i="114"/>
  <c r="I8" i="114"/>
  <c r="G10" i="114"/>
  <c r="AB19" i="78"/>
  <c r="J42" i="110"/>
  <c r="K42" i="110" s="1"/>
  <c r="J43" i="110"/>
  <c r="K43" i="110" s="1"/>
  <c r="J44" i="110"/>
  <c r="K44" i="110" s="1"/>
  <c r="J45" i="110"/>
  <c r="K45" i="110" s="1"/>
  <c r="J46" i="110"/>
  <c r="K46" i="110" s="1"/>
  <c r="J47" i="110"/>
  <c r="K47" i="110" s="1"/>
  <c r="J48" i="110"/>
  <c r="K48" i="110" s="1"/>
  <c r="J49" i="110"/>
  <c r="K49" i="110" s="1"/>
  <c r="J50" i="110"/>
  <c r="K50" i="110" s="1"/>
  <c r="J51" i="110"/>
  <c r="K51" i="110" s="1"/>
  <c r="J52" i="110"/>
  <c r="K52" i="110" s="1"/>
  <c r="J41" i="110"/>
  <c r="K41" i="110" s="1"/>
  <c r="F53" i="110"/>
  <c r="D53" i="110"/>
  <c r="H53" i="110"/>
  <c r="G53" i="110"/>
  <c r="C53" i="110"/>
  <c r="B53" i="110"/>
  <c r="F36" i="110"/>
  <c r="D36" i="110"/>
  <c r="G25" i="110"/>
  <c r="G26" i="110"/>
  <c r="G27" i="110"/>
  <c r="G28" i="110"/>
  <c r="G29" i="110"/>
  <c r="G30" i="110"/>
  <c r="G31" i="110"/>
  <c r="G32" i="110"/>
  <c r="G33" i="110"/>
  <c r="G34" i="110"/>
  <c r="G35" i="110"/>
  <c r="G24" i="110"/>
  <c r="C36" i="110"/>
  <c r="N16" i="110"/>
  <c r="M16" i="110"/>
  <c r="G5" i="110"/>
  <c r="G6" i="110"/>
  <c r="G7" i="110"/>
  <c r="G8" i="110"/>
  <c r="G9" i="110"/>
  <c r="G10" i="110"/>
  <c r="G11" i="110"/>
  <c r="G12" i="110"/>
  <c r="G13" i="110"/>
  <c r="G14" i="110"/>
  <c r="G15" i="110"/>
  <c r="F16" i="110"/>
  <c r="I5" i="110"/>
  <c r="I6" i="110"/>
  <c r="I7" i="110"/>
  <c r="I8" i="110"/>
  <c r="I9" i="110"/>
  <c r="I10" i="110"/>
  <c r="I11" i="110"/>
  <c r="I12" i="110"/>
  <c r="I13" i="110"/>
  <c r="I14" i="110"/>
  <c r="I15" i="110"/>
  <c r="I4" i="110"/>
  <c r="T9" i="126" l="1"/>
  <c r="U9" i="126"/>
  <c r="T10" i="126"/>
  <c r="U8" i="119"/>
  <c r="S37" i="120"/>
  <c r="S37" i="121" s="1"/>
  <c r="W9" i="135"/>
  <c r="V9" i="135"/>
  <c r="U10" i="135"/>
  <c r="U9" i="137"/>
  <c r="T9" i="137"/>
  <c r="S10" i="137"/>
  <c r="Z10" i="137" s="1"/>
  <c r="U9" i="130"/>
  <c r="T9" i="130"/>
  <c r="AZ36" i="134"/>
  <c r="U36" i="134"/>
  <c r="U37" i="119"/>
  <c r="H9" i="134"/>
  <c r="I9" i="134"/>
  <c r="S10" i="119"/>
  <c r="BA37" i="134"/>
  <c r="AH37" i="134"/>
  <c r="AJ37" i="134" s="1"/>
  <c r="W37" i="134"/>
  <c r="G10" i="134"/>
  <c r="U44" i="134"/>
  <c r="BA44" i="134" s="1"/>
  <c r="BD44" i="134" s="1"/>
  <c r="I10" i="135"/>
  <c r="H10" i="135"/>
  <c r="V9" i="127"/>
  <c r="W9" i="127"/>
  <c r="U10" i="127"/>
  <c r="Z10" i="127" s="1"/>
  <c r="Z12" i="127" s="1"/>
  <c r="Z10" i="126"/>
  <c r="H10" i="122"/>
  <c r="I10" i="122"/>
  <c r="T8" i="125"/>
  <c r="U8" i="125"/>
  <c r="S10" i="123"/>
  <c r="U8" i="123"/>
  <c r="T8" i="123"/>
  <c r="U9" i="119"/>
  <c r="R10" i="119"/>
  <c r="H10" i="116"/>
  <c r="I10" i="116"/>
  <c r="U36" i="118"/>
  <c r="S8" i="118"/>
  <c r="Q10" i="119"/>
  <c r="T9" i="119"/>
  <c r="U37" i="121"/>
  <c r="U37" i="120"/>
  <c r="U44" i="118"/>
  <c r="S9" i="118"/>
  <c r="U9" i="134" s="1"/>
  <c r="U41" i="120"/>
  <c r="R9" i="120"/>
  <c r="U41" i="121"/>
  <c r="I10" i="114"/>
  <c r="H10" i="114"/>
  <c r="H36" i="110"/>
  <c r="G36" i="110"/>
  <c r="G16" i="110"/>
  <c r="H16" i="110"/>
  <c r="K53" i="110"/>
  <c r="U10" i="119" l="1"/>
  <c r="S8" i="120"/>
  <c r="U10" i="137"/>
  <c r="T10" i="137"/>
  <c r="V10" i="135"/>
  <c r="W10" i="135"/>
  <c r="AB10" i="135"/>
  <c r="U8" i="134"/>
  <c r="W8" i="134" s="1"/>
  <c r="S10" i="118"/>
  <c r="V9" i="134"/>
  <c r="AH9" i="134"/>
  <c r="W9" i="134"/>
  <c r="BA9" i="134"/>
  <c r="AH36" i="134"/>
  <c r="AJ36" i="134" s="1"/>
  <c r="W36" i="134"/>
  <c r="BA8" i="134"/>
  <c r="I10" i="134"/>
  <c r="H10" i="134"/>
  <c r="T10" i="119"/>
  <c r="AH44" i="134"/>
  <c r="AJ44" i="134" s="1"/>
  <c r="W44" i="134"/>
  <c r="BA36" i="134"/>
  <c r="V10" i="127"/>
  <c r="AB10" i="127"/>
  <c r="W10" i="127"/>
  <c r="T10" i="125"/>
  <c r="Z10" i="125"/>
  <c r="U10" i="125"/>
  <c r="U10" i="123"/>
  <c r="T10" i="123"/>
  <c r="Z10" i="123"/>
  <c r="S8" i="121"/>
  <c r="S10" i="121" s="1"/>
  <c r="R10" i="120"/>
  <c r="U9" i="120"/>
  <c r="U8" i="120"/>
  <c r="S10" i="120"/>
  <c r="T8" i="120"/>
  <c r="U9" i="121"/>
  <c r="R10" i="121"/>
  <c r="U9" i="118"/>
  <c r="T9" i="118"/>
  <c r="U8" i="118"/>
  <c r="T8" i="118"/>
  <c r="J4" i="110"/>
  <c r="J11" i="110"/>
  <c r="J12" i="110"/>
  <c r="J14" i="110"/>
  <c r="J5" i="110"/>
  <c r="J8" i="110"/>
  <c r="J9" i="110"/>
  <c r="J10" i="110"/>
  <c r="B16" i="110"/>
  <c r="I16" i="110" s="1"/>
  <c r="U10" i="134" l="1"/>
  <c r="BD10" i="134" s="1"/>
  <c r="V8" i="134"/>
  <c r="AH8" i="134"/>
  <c r="AJ8" i="134" s="1"/>
  <c r="BA10" i="134"/>
  <c r="W10" i="134"/>
  <c r="V10" i="134"/>
  <c r="AJ9" i="134"/>
  <c r="AI9" i="134"/>
  <c r="AI8" i="134"/>
  <c r="AH10" i="134"/>
  <c r="U8" i="121"/>
  <c r="T8" i="121"/>
  <c r="Z10" i="120"/>
  <c r="T10" i="120"/>
  <c r="U10" i="120"/>
  <c r="U10" i="118"/>
  <c r="T10" i="118"/>
  <c r="U10" i="121"/>
  <c r="Z10" i="121"/>
  <c r="T10" i="121"/>
  <c r="J16" i="110"/>
  <c r="AI10" i="134" l="1"/>
  <c r="AJ10" i="134"/>
  <c r="J53" i="78"/>
  <c r="J54" i="78"/>
  <c r="J55" i="78"/>
  <c r="J56" i="78" l="1"/>
  <c r="V36" i="101" l="1"/>
  <c r="V38" i="101" s="1"/>
  <c r="V40" i="101" s="1"/>
  <c r="V42" i="101" s="1"/>
  <c r="V44" i="101" s="1"/>
  <c r="V46" i="101" s="1"/>
  <c r="V48" i="101" s="1"/>
  <c r="V50" i="101" s="1"/>
  <c r="V52" i="101" s="1"/>
  <c r="D55" i="101"/>
  <c r="M53" i="101"/>
  <c r="Q34" i="101"/>
  <c r="P34" i="101"/>
  <c r="L94" i="85" l="1"/>
  <c r="N94" i="85" s="1"/>
  <c r="Q90" i="85" s="1"/>
  <c r="AM36" i="97" l="1"/>
  <c r="AK18" i="97"/>
  <c r="AK19" i="97" s="1"/>
  <c r="AM18" i="97" l="1"/>
  <c r="N110" i="78" l="1"/>
  <c r="M110" i="78"/>
  <c r="M94" i="78"/>
  <c r="N94" i="78"/>
  <c r="E57" i="101"/>
  <c r="F57" i="101"/>
  <c r="C57" i="101"/>
  <c r="D57" i="101"/>
  <c r="B57" i="101"/>
  <c r="Q76" i="85" l="1"/>
  <c r="L80" i="85" l="1"/>
  <c r="U18" i="85"/>
  <c r="L79" i="85"/>
  <c r="N79" i="85" s="1"/>
  <c r="H7" i="109" l="1"/>
  <c r="M109" i="78"/>
  <c r="N109" i="78"/>
  <c r="N111" i="78" s="1"/>
  <c r="L109" i="78"/>
  <c r="L111" i="78" s="1"/>
  <c r="M111" i="78" l="1"/>
  <c r="I109" i="78"/>
  <c r="J109" i="78" s="1"/>
  <c r="O109" i="78"/>
  <c r="O111" i="78" s="1"/>
  <c r="I22" i="109" l="1"/>
  <c r="I46" i="109" l="1"/>
  <c r="I45" i="109"/>
  <c r="AI55" i="78"/>
  <c r="Z55" i="78" s="1"/>
  <c r="V55" i="78"/>
  <c r="W55" i="78"/>
  <c r="G29" i="108" s="1"/>
  <c r="G19" i="109"/>
  <c r="I19" i="109" s="1"/>
  <c r="G24" i="109"/>
  <c r="I24" i="109" s="1"/>
  <c r="G23" i="109"/>
  <c r="I23" i="109" s="1"/>
  <c r="G21" i="109"/>
  <c r="I21" i="109" s="1"/>
  <c r="G20" i="109"/>
  <c r="I20" i="109" s="1"/>
  <c r="G18" i="109"/>
  <c r="I18" i="109" s="1"/>
  <c r="G44" i="108"/>
  <c r="G43" i="108"/>
  <c r="G42" i="108"/>
  <c r="F35" i="108"/>
  <c r="G39" i="108"/>
  <c r="G35" i="108"/>
  <c r="G31" i="108"/>
  <c r="G30" i="108"/>
  <c r="G27" i="108"/>
  <c r="AI44" i="78"/>
  <c r="G17" i="108"/>
  <c r="G16" i="108"/>
  <c r="G15" i="108"/>
  <c r="E16" i="108"/>
  <c r="E15" i="108"/>
  <c r="AD71" i="78"/>
  <c r="T55" i="78"/>
  <c r="U56" i="78"/>
  <c r="W56" i="78"/>
  <c r="N72" i="78"/>
  <c r="N76" i="78" s="1"/>
  <c r="M72" i="78"/>
  <c r="M76" i="78" s="1"/>
  <c r="AA55" i="78" l="1"/>
  <c r="G32" i="108"/>
  <c r="G6" i="108"/>
  <c r="I7" i="109"/>
  <c r="G33" i="108"/>
  <c r="G28" i="108"/>
  <c r="AB55" i="78" l="1"/>
  <c r="R13" i="108"/>
  <c r="R14" i="108" s="1"/>
  <c r="R15" i="108" s="1"/>
  <c r="S13" i="108" s="1"/>
  <c r="G8" i="108"/>
  <c r="AM16" i="97"/>
  <c r="AM15" i="97"/>
  <c r="Q55" i="101"/>
  <c r="P55" i="101"/>
  <c r="Q53" i="101"/>
  <c r="P53" i="101"/>
  <c r="F47" i="109"/>
  <c r="G47" i="109"/>
  <c r="I35" i="109"/>
  <c r="I39" i="109"/>
  <c r="F63" i="109"/>
  <c r="G63" i="109" s="1"/>
  <c r="E63" i="109"/>
  <c r="F62" i="109"/>
  <c r="G62" i="109" s="1"/>
  <c r="E62" i="109"/>
  <c r="H35" i="109"/>
  <c r="E10" i="109"/>
  <c r="E4" i="109"/>
  <c r="E6" i="108"/>
  <c r="F6" i="108"/>
  <c r="F7" i="108"/>
  <c r="F8" i="108"/>
  <c r="E9" i="108"/>
  <c r="H64" i="108"/>
  <c r="D58" i="108"/>
  <c r="E57" i="108"/>
  <c r="F57" i="108" s="1"/>
  <c r="D57" i="108"/>
  <c r="G56" i="108"/>
  <c r="H56" i="108" s="1"/>
  <c r="E56" i="108"/>
  <c r="F56" i="108" s="1"/>
  <c r="D56" i="108"/>
  <c r="E55" i="108"/>
  <c r="F55" i="108" s="1"/>
  <c r="D55" i="108"/>
  <c r="E54" i="108"/>
  <c r="F54" i="108" s="1"/>
  <c r="D54" i="108"/>
  <c r="C54" i="108"/>
  <c r="C57" i="108" s="1"/>
  <c r="E53" i="108"/>
  <c r="F53" i="108" s="1"/>
  <c r="D53" i="108"/>
  <c r="C53" i="108"/>
  <c r="C56" i="108" s="1"/>
  <c r="G52" i="108"/>
  <c r="E52" i="108"/>
  <c r="C52" i="108"/>
  <c r="C55" i="108" s="1"/>
  <c r="G51" i="108"/>
  <c r="G50" i="108"/>
  <c r="I48" i="108"/>
  <c r="L47" i="108"/>
  <c r="I47" i="108"/>
  <c r="I46" i="108"/>
  <c r="N44" i="108"/>
  <c r="M44" i="108"/>
  <c r="J44" i="108"/>
  <c r="I44" i="108"/>
  <c r="N43" i="108"/>
  <c r="M43" i="108"/>
  <c r="J43" i="108"/>
  <c r="I43" i="108"/>
  <c r="E51" i="108"/>
  <c r="N42" i="108"/>
  <c r="M42" i="108"/>
  <c r="J42" i="108"/>
  <c r="E50" i="108"/>
  <c r="M39" i="108"/>
  <c r="L38" i="108" s="1"/>
  <c r="I39" i="108"/>
  <c r="I38" i="108"/>
  <c r="L37" i="108"/>
  <c r="K37" i="108"/>
  <c r="K38" i="108" s="1"/>
  <c r="J38" i="108" s="1"/>
  <c r="H37" i="108"/>
  <c r="I37" i="108"/>
  <c r="I36" i="108"/>
  <c r="H36" i="108"/>
  <c r="I35" i="108"/>
  <c r="H35" i="108"/>
  <c r="I33" i="108"/>
  <c r="I32" i="108"/>
  <c r="I31" i="108"/>
  <c r="U30" i="108"/>
  <c r="I30" i="108"/>
  <c r="I29" i="108"/>
  <c r="H29" i="108"/>
  <c r="R28" i="108"/>
  <c r="Q28" i="108"/>
  <c r="L28" i="108"/>
  <c r="L29" i="108" s="1"/>
  <c r="I28" i="108"/>
  <c r="H28" i="108"/>
  <c r="O27" i="108"/>
  <c r="O28" i="108" s="1"/>
  <c r="H27" i="108"/>
  <c r="I27" i="108"/>
  <c r="M24" i="108"/>
  <c r="M25" i="108" s="1"/>
  <c r="I23" i="108"/>
  <c r="I22" i="108"/>
  <c r="I21" i="108"/>
  <c r="I20" i="108"/>
  <c r="I19" i="108"/>
  <c r="K16" i="108"/>
  <c r="I16" i="108"/>
  <c r="I15" i="108"/>
  <c r="H15" i="108"/>
  <c r="K14" i="108"/>
  <c r="F12" i="108"/>
  <c r="H7" i="108"/>
  <c r="I7" i="108"/>
  <c r="E4" i="108"/>
  <c r="I47" i="109" l="1"/>
  <c r="E10" i="108"/>
  <c r="F10" i="108"/>
  <c r="H6" i="108"/>
  <c r="I6" i="108"/>
  <c r="L16" i="108"/>
  <c r="I17" i="108"/>
  <c r="P27" i="108"/>
  <c r="P28" i="108" s="1"/>
  <c r="I42" i="108"/>
  <c r="G55" i="108"/>
  <c r="H55" i="108" s="1"/>
  <c r="G57" i="108"/>
  <c r="H57" i="108" s="1"/>
  <c r="G12" i="108"/>
  <c r="I12" i="108" s="1"/>
  <c r="I8" i="108" l="1"/>
  <c r="H8" i="108"/>
  <c r="N16" i="108"/>
  <c r="M16" i="108"/>
  <c r="K16" i="105"/>
  <c r="I36" i="105" l="1"/>
  <c r="I38" i="105"/>
  <c r="I39" i="105"/>
  <c r="E9" i="106"/>
  <c r="D52" i="106"/>
  <c r="D55" i="106" s="1"/>
  <c r="D53" i="106"/>
  <c r="D56" i="106" s="1"/>
  <c r="D54" i="106"/>
  <c r="D57" i="106" s="1"/>
  <c r="C53" i="105"/>
  <c r="C56" i="105" s="1"/>
  <c r="C54" i="105"/>
  <c r="C57" i="105" s="1"/>
  <c r="C52" i="105"/>
  <c r="C55" i="105" s="1"/>
  <c r="G48" i="106" l="1"/>
  <c r="F48" i="106"/>
  <c r="T54" i="78"/>
  <c r="I19" i="106" l="1"/>
  <c r="H36" i="106"/>
  <c r="I7" i="106"/>
  <c r="G44" i="105" l="1"/>
  <c r="G43" i="105"/>
  <c r="G42" i="105"/>
  <c r="E10" i="106"/>
  <c r="F64" i="106"/>
  <c r="G64" i="106" s="1"/>
  <c r="E64" i="106"/>
  <c r="F63" i="106"/>
  <c r="G63" i="106" s="1"/>
  <c r="E63" i="106"/>
  <c r="I48" i="106"/>
  <c r="I47" i="106"/>
  <c r="I46" i="106"/>
  <c r="I23" i="106"/>
  <c r="I22" i="106"/>
  <c r="I21" i="106"/>
  <c r="I20" i="106"/>
  <c r="D10" i="106"/>
  <c r="H7" i="106"/>
  <c r="E4" i="106"/>
  <c r="AD70" i="78" l="1"/>
  <c r="AE70" i="78" s="1"/>
  <c r="G37" i="105"/>
  <c r="I37" i="105" s="1"/>
  <c r="G35" i="105"/>
  <c r="G32" i="105"/>
  <c r="G30" i="105"/>
  <c r="G29" i="105"/>
  <c r="G28" i="105"/>
  <c r="G27" i="105"/>
  <c r="E16" i="105"/>
  <c r="E15" i="105"/>
  <c r="G17" i="105"/>
  <c r="G16" i="105"/>
  <c r="G15" i="105"/>
  <c r="O34" i="104"/>
  <c r="P34" i="104"/>
  <c r="AB45" i="78"/>
  <c r="AB46" i="78"/>
  <c r="AB47" i="78"/>
  <c r="AB48" i="78"/>
  <c r="AB49" i="78"/>
  <c r="AB50" i="78"/>
  <c r="AB51" i="78"/>
  <c r="AB52" i="78"/>
  <c r="AB53" i="78"/>
  <c r="AB54" i="78"/>
  <c r="AB44" i="78"/>
  <c r="AI54" i="78"/>
  <c r="Z54" i="78" s="1"/>
  <c r="AA54" i="78" s="1"/>
  <c r="AG56" i="78"/>
  <c r="L16" i="105" l="1"/>
  <c r="M16" i="105" s="1"/>
  <c r="G33" i="105"/>
  <c r="I16" i="105"/>
  <c r="E9" i="105"/>
  <c r="O64" i="101"/>
  <c r="O65" i="101" s="1"/>
  <c r="R63" i="101"/>
  <c r="L93" i="85"/>
  <c r="Q75" i="85"/>
  <c r="H64" i="105"/>
  <c r="D58" i="105"/>
  <c r="E57" i="105"/>
  <c r="F57" i="105" s="1"/>
  <c r="D57" i="105"/>
  <c r="E56" i="105"/>
  <c r="F56" i="105" s="1"/>
  <c r="D56" i="105"/>
  <c r="D55" i="105"/>
  <c r="D54" i="105"/>
  <c r="D53" i="105"/>
  <c r="G52" i="105"/>
  <c r="G51" i="105"/>
  <c r="G50" i="105"/>
  <c r="I48" i="105"/>
  <c r="L47" i="105"/>
  <c r="I47" i="105"/>
  <c r="I46" i="105"/>
  <c r="N44" i="105"/>
  <c r="M44" i="105"/>
  <c r="J44" i="105"/>
  <c r="G57" i="105"/>
  <c r="H57" i="105" s="1"/>
  <c r="N43" i="105"/>
  <c r="M43" i="105"/>
  <c r="J43" i="105"/>
  <c r="E51" i="105"/>
  <c r="N42" i="105"/>
  <c r="M42" i="105"/>
  <c r="J42" i="105"/>
  <c r="I42" i="105"/>
  <c r="M39" i="105"/>
  <c r="L38" i="105" s="1"/>
  <c r="L37" i="105"/>
  <c r="K37" i="105"/>
  <c r="K38" i="105" s="1"/>
  <c r="J38" i="105" s="1"/>
  <c r="H37" i="105"/>
  <c r="E55" i="105"/>
  <c r="F55" i="105" s="1"/>
  <c r="E54" i="105"/>
  <c r="F54" i="105" s="1"/>
  <c r="E53" i="105"/>
  <c r="F53" i="105" s="1"/>
  <c r="I33" i="105"/>
  <c r="I32" i="105"/>
  <c r="I31" i="105"/>
  <c r="U30" i="105"/>
  <c r="I30" i="105"/>
  <c r="I29" i="105"/>
  <c r="H29" i="105"/>
  <c r="R28" i="105"/>
  <c r="Q28" i="105"/>
  <c r="L28" i="105"/>
  <c r="L29" i="105" s="1"/>
  <c r="I28" i="105"/>
  <c r="O27" i="105"/>
  <c r="O28" i="105" s="1"/>
  <c r="I27" i="105"/>
  <c r="M24" i="105"/>
  <c r="M25" i="105" s="1"/>
  <c r="I23" i="105"/>
  <c r="I22" i="105"/>
  <c r="I21" i="105"/>
  <c r="I20" i="105"/>
  <c r="I19" i="105"/>
  <c r="I17" i="105"/>
  <c r="H15" i="105"/>
  <c r="K14" i="105"/>
  <c r="F12" i="105"/>
  <c r="F8" i="105"/>
  <c r="H7" i="105"/>
  <c r="F7" i="105"/>
  <c r="G6" i="105"/>
  <c r="F6" i="105"/>
  <c r="E6" i="105"/>
  <c r="E4" i="105"/>
  <c r="N16" i="105" l="1"/>
  <c r="O66" i="101"/>
  <c r="O68" i="101" s="1"/>
  <c r="O70" i="101" s="1"/>
  <c r="O72" i="101" s="1"/>
  <c r="O74" i="101" s="1"/>
  <c r="O76" i="101" s="1"/>
  <c r="O78" i="101" s="1"/>
  <c r="O80" i="101" s="1"/>
  <c r="O82" i="101" s="1"/>
  <c r="O84" i="101" s="1"/>
  <c r="N93" i="85"/>
  <c r="Q89" i="85" s="1"/>
  <c r="F10" i="105"/>
  <c r="G12" i="105"/>
  <c r="I12" i="105" s="1"/>
  <c r="E52" i="105"/>
  <c r="G8" i="105"/>
  <c r="I43" i="105"/>
  <c r="H28" i="105"/>
  <c r="I44" i="105"/>
  <c r="E50" i="105"/>
  <c r="G55" i="105"/>
  <c r="H55" i="105" s="1"/>
  <c r="G56" i="105"/>
  <c r="H56" i="105" s="1"/>
  <c r="E10" i="105"/>
  <c r="H6" i="105"/>
  <c r="H36" i="105"/>
  <c r="I6" i="105"/>
  <c r="I7" i="105"/>
  <c r="I15" i="105"/>
  <c r="H27" i="105"/>
  <c r="I35" i="105"/>
  <c r="P27" i="105"/>
  <c r="P28" i="105" s="1"/>
  <c r="H35" i="105"/>
  <c r="AB61" i="78"/>
  <c r="AB62" i="78"/>
  <c r="AB63" i="78"/>
  <c r="AB64" i="78"/>
  <c r="AB65" i="78"/>
  <c r="AB66" i="78"/>
  <c r="AB67" i="78"/>
  <c r="AB68" i="78"/>
  <c r="AB69" i="78"/>
  <c r="AB70" i="78"/>
  <c r="AB71" i="78"/>
  <c r="AB60" i="78"/>
  <c r="O67" i="101" l="1"/>
  <c r="O69" i="101" s="1"/>
  <c r="O71" i="101" s="1"/>
  <c r="O73" i="101" s="1"/>
  <c r="O75" i="101" s="1"/>
  <c r="O77" i="101" s="1"/>
  <c r="O79" i="101" s="1"/>
  <c r="O81" i="101" s="1"/>
  <c r="O83" i="101" s="1"/>
  <c r="O85" i="101" s="1"/>
  <c r="I8" i="105"/>
  <c r="H8" i="105"/>
  <c r="Z44" i="78" l="1"/>
  <c r="J57" i="78" l="1"/>
  <c r="H57" i="78" s="1"/>
  <c r="H9" i="104" l="1"/>
  <c r="H10" i="104" s="1"/>
  <c r="G9" i="104"/>
  <c r="G10" i="104" s="1"/>
  <c r="J5" i="104"/>
  <c r="I8" i="104"/>
  <c r="I6" i="104"/>
  <c r="I5" i="104"/>
  <c r="H19" i="104"/>
  <c r="H20" i="104" s="1"/>
  <c r="D19" i="104"/>
  <c r="D20" i="104" s="1"/>
  <c r="C19" i="104"/>
  <c r="C20" i="104" s="1"/>
  <c r="G16" i="104"/>
  <c r="I16" i="104" s="1"/>
  <c r="G15" i="104"/>
  <c r="I15" i="104" s="1"/>
  <c r="E18" i="104"/>
  <c r="E16" i="104"/>
  <c r="E15" i="104"/>
  <c r="H17" i="104"/>
  <c r="D17" i="104"/>
  <c r="C17" i="104"/>
  <c r="E6" i="104"/>
  <c r="E8" i="104"/>
  <c r="E5" i="104"/>
  <c r="D9" i="104"/>
  <c r="C9" i="104"/>
  <c r="C10" i="104" s="1"/>
  <c r="D7" i="104"/>
  <c r="F7" i="104"/>
  <c r="G7" i="104"/>
  <c r="H7" i="104"/>
  <c r="C7" i="104"/>
  <c r="J9" i="104" l="1"/>
  <c r="E19" i="104"/>
  <c r="E17" i="104"/>
  <c r="E20" i="104"/>
  <c r="I9" i="104"/>
  <c r="I10" i="104"/>
  <c r="J10" i="104"/>
  <c r="I7" i="104"/>
  <c r="G17" i="104"/>
  <c r="I17" i="104" s="1"/>
  <c r="E9" i="104"/>
  <c r="E7" i="104"/>
  <c r="D10" i="104"/>
  <c r="E10" i="104" s="1"/>
  <c r="N93" i="101" l="1"/>
  <c r="N94" i="101"/>
  <c r="N95" i="101"/>
  <c r="N96" i="101"/>
  <c r="N92" i="101"/>
  <c r="M93" i="101"/>
  <c r="M94" i="101"/>
  <c r="M95" i="101"/>
  <c r="M96" i="101"/>
  <c r="M92" i="101"/>
  <c r="L30" i="84"/>
  <c r="L31" i="84" s="1"/>
  <c r="O87" i="101"/>
  <c r="O88" i="101" s="1"/>
  <c r="K87" i="101"/>
  <c r="K88" i="101" s="1"/>
  <c r="AK76" i="78" l="1"/>
  <c r="AK77" i="78" s="1"/>
  <c r="AL75" i="78" s="1"/>
  <c r="AL76" i="78" s="1"/>
  <c r="L92" i="85" l="1"/>
  <c r="N92" i="85" s="1"/>
  <c r="Q88" i="85" s="1"/>
  <c r="L91" i="85"/>
  <c r="N91" i="85" s="1"/>
  <c r="Q87" i="85" s="1"/>
  <c r="L90" i="85"/>
  <c r="N90" i="85" s="1"/>
  <c r="Q86" i="85" s="1"/>
  <c r="L89" i="85"/>
  <c r="N89" i="85" s="1"/>
  <c r="Q85" i="85" s="1"/>
  <c r="N88" i="85"/>
  <c r="Q84" i="85" s="1"/>
  <c r="L87" i="85"/>
  <c r="N87" i="85" s="1"/>
  <c r="Q83" i="85" s="1"/>
  <c r="L86" i="85"/>
  <c r="N86" i="85" s="1"/>
  <c r="Q82" i="85" s="1"/>
  <c r="L85" i="85"/>
  <c r="N85" i="85" s="1"/>
  <c r="Q81" i="85" s="1"/>
  <c r="L84" i="85"/>
  <c r="N84" i="85" s="1"/>
  <c r="Q80" i="85" s="1"/>
  <c r="L83" i="85"/>
  <c r="N83" i="85" s="1"/>
  <c r="Q79" i="85" s="1"/>
  <c r="R69" i="78" l="1"/>
  <c r="L64" i="101"/>
  <c r="L66" i="101"/>
  <c r="L68" i="101"/>
  <c r="L70" i="101"/>
  <c r="L72" i="101"/>
  <c r="L74" i="101"/>
  <c r="L76" i="101"/>
  <c r="L78" i="101"/>
  <c r="L80" i="101"/>
  <c r="L63" i="101"/>
  <c r="K65" i="101"/>
  <c r="R70" i="78"/>
  <c r="R71" i="78"/>
  <c r="N88" i="101"/>
  <c r="N89" i="101" s="1"/>
  <c r="N90" i="101" s="1"/>
  <c r="N65" i="101"/>
  <c r="N67" i="101" s="1"/>
  <c r="N69" i="101" s="1"/>
  <c r="N71" i="101" s="1"/>
  <c r="N73" i="101" s="1"/>
  <c r="N75" i="101" s="1"/>
  <c r="N77" i="101" s="1"/>
  <c r="N79" i="101" s="1"/>
  <c r="N81" i="101" s="1"/>
  <c r="N83" i="101" s="1"/>
  <c r="N85" i="101" s="1"/>
  <c r="J88" i="101"/>
  <c r="J89" i="101" s="1"/>
  <c r="J65" i="101"/>
  <c r="J67" i="101" s="1"/>
  <c r="J69" i="101" s="1"/>
  <c r="J71" i="101" s="1"/>
  <c r="J73" i="101" s="1"/>
  <c r="J75" i="101" s="1"/>
  <c r="J77" i="101" s="1"/>
  <c r="J79" i="101" s="1"/>
  <c r="J81" i="101" s="1"/>
  <c r="J83" i="101" s="1"/>
  <c r="J85" i="101" s="1"/>
  <c r="F84" i="101"/>
  <c r="F82" i="101"/>
  <c r="F80" i="101"/>
  <c r="F78" i="101"/>
  <c r="F76" i="101"/>
  <c r="F74" i="101"/>
  <c r="F72" i="101"/>
  <c r="F70" i="101"/>
  <c r="F68" i="101"/>
  <c r="F66" i="101"/>
  <c r="E65" i="101"/>
  <c r="E67" i="101" s="1"/>
  <c r="E69" i="101" s="1"/>
  <c r="E71" i="101" s="1"/>
  <c r="E73" i="101" s="1"/>
  <c r="E75" i="101" s="1"/>
  <c r="E77" i="101" s="1"/>
  <c r="E79" i="101" s="1"/>
  <c r="E81" i="101" s="1"/>
  <c r="E83" i="101" s="1"/>
  <c r="E85" i="101" s="1"/>
  <c r="D65" i="101"/>
  <c r="D67" i="101" s="1"/>
  <c r="D69" i="101" s="1"/>
  <c r="D71" i="101" s="1"/>
  <c r="D73" i="101" s="1"/>
  <c r="D75" i="101" s="1"/>
  <c r="D77" i="101" s="1"/>
  <c r="D79" i="101" s="1"/>
  <c r="D81" i="101" s="1"/>
  <c r="D83" i="101" s="1"/>
  <c r="D85" i="101" s="1"/>
  <c r="C65" i="101"/>
  <c r="C67" i="101" s="1"/>
  <c r="C69" i="101" s="1"/>
  <c r="C71" i="101" s="1"/>
  <c r="C73" i="101" s="1"/>
  <c r="C75" i="101" s="1"/>
  <c r="C77" i="101" s="1"/>
  <c r="C79" i="101" s="1"/>
  <c r="C81" i="101" s="1"/>
  <c r="C83" i="101" s="1"/>
  <c r="C85" i="101" s="1"/>
  <c r="B65" i="101"/>
  <c r="B67" i="101" s="1"/>
  <c r="F64" i="101"/>
  <c r="F63" i="101"/>
  <c r="L65" i="101" l="1"/>
  <c r="K67" i="101"/>
  <c r="F67" i="101"/>
  <c r="B69" i="101"/>
  <c r="F65" i="101"/>
  <c r="W23" i="101"/>
  <c r="W25" i="101"/>
  <c r="W27" i="101"/>
  <c r="AF53" i="78"/>
  <c r="AE53" i="78"/>
  <c r="AD53" i="78"/>
  <c r="G21" i="102"/>
  <c r="G22" i="102"/>
  <c r="G20" i="102"/>
  <c r="G19" i="102"/>
  <c r="L78" i="85"/>
  <c r="N78" i="85" s="1"/>
  <c r="Q74" i="85" s="1"/>
  <c r="G29" i="102"/>
  <c r="H29" i="102" s="1"/>
  <c r="G28" i="102"/>
  <c r="H28" i="102" s="1"/>
  <c r="G27" i="102"/>
  <c r="H27" i="102" s="1"/>
  <c r="AE56" i="78" l="1"/>
  <c r="AE57" i="78"/>
  <c r="AD56" i="78"/>
  <c r="AD57" i="78"/>
  <c r="AI53" i="78"/>
  <c r="Z53" i="78" s="1"/>
  <c r="K69" i="101"/>
  <c r="L67" i="101"/>
  <c r="B71" i="101"/>
  <c r="F69" i="101"/>
  <c r="G25" i="103"/>
  <c r="F64" i="103"/>
  <c r="G64" i="103" s="1"/>
  <c r="E64" i="103"/>
  <c r="F63" i="103"/>
  <c r="G63" i="103" s="1"/>
  <c r="E63" i="103"/>
  <c r="G48" i="103"/>
  <c r="F48" i="103"/>
  <c r="I47" i="103"/>
  <c r="I46" i="103"/>
  <c r="D10" i="103"/>
  <c r="E4" i="103"/>
  <c r="G31" i="102"/>
  <c r="I31" i="102" s="1"/>
  <c r="G30" i="102"/>
  <c r="I30" i="102" s="1"/>
  <c r="G43" i="102"/>
  <c r="I43" i="102" s="1"/>
  <c r="G42" i="102"/>
  <c r="G55" i="102" s="1"/>
  <c r="H55" i="102" s="1"/>
  <c r="G44" i="102"/>
  <c r="G57" i="102" s="1"/>
  <c r="H57" i="102" s="1"/>
  <c r="G7" i="102"/>
  <c r="G37" i="102"/>
  <c r="G36" i="102"/>
  <c r="G35" i="102"/>
  <c r="E53" i="102" s="1"/>
  <c r="F53" i="102" s="1"/>
  <c r="G17" i="102"/>
  <c r="I17" i="102" s="1"/>
  <c r="G16" i="102"/>
  <c r="G15" i="102"/>
  <c r="H15" i="102" s="1"/>
  <c r="E6" i="102"/>
  <c r="H64" i="102"/>
  <c r="D58" i="102"/>
  <c r="E57" i="102"/>
  <c r="F57" i="102" s="1"/>
  <c r="E56" i="102"/>
  <c r="F56" i="102" s="1"/>
  <c r="D56" i="102"/>
  <c r="E55" i="102"/>
  <c r="F55" i="102" s="1"/>
  <c r="D55" i="102"/>
  <c r="D54" i="102"/>
  <c r="C54" i="102"/>
  <c r="G52" i="102"/>
  <c r="G51" i="102"/>
  <c r="G50" i="102"/>
  <c r="I48" i="102"/>
  <c r="L47" i="102"/>
  <c r="I47" i="102"/>
  <c r="I46" i="102"/>
  <c r="N44" i="102"/>
  <c r="M44" i="102"/>
  <c r="J44" i="102"/>
  <c r="N43" i="102"/>
  <c r="M43" i="102"/>
  <c r="J43" i="102"/>
  <c r="N42" i="102"/>
  <c r="M42" i="102"/>
  <c r="J42" i="102"/>
  <c r="M39" i="102"/>
  <c r="L38" i="102" s="1"/>
  <c r="D57" i="102"/>
  <c r="L37" i="102"/>
  <c r="K37" i="102"/>
  <c r="K38" i="102" s="1"/>
  <c r="J38" i="102" s="1"/>
  <c r="E37" i="102"/>
  <c r="E54" i="102"/>
  <c r="F54" i="102" s="1"/>
  <c r="E36" i="102"/>
  <c r="H36" i="102" s="1"/>
  <c r="D53" i="102"/>
  <c r="E35" i="102"/>
  <c r="U30" i="102"/>
  <c r="I29" i="102"/>
  <c r="R28" i="102"/>
  <c r="Q28" i="102"/>
  <c r="L28" i="102"/>
  <c r="L29" i="102" s="1"/>
  <c r="I28" i="102"/>
  <c r="O27" i="102"/>
  <c r="O28" i="102" s="1"/>
  <c r="P27" i="102"/>
  <c r="P28" i="102" s="1"/>
  <c r="M24" i="102"/>
  <c r="M25" i="102" s="1"/>
  <c r="I23" i="102"/>
  <c r="I22" i="102"/>
  <c r="F7" i="102"/>
  <c r="I21" i="102"/>
  <c r="I20" i="102"/>
  <c r="M17" i="102"/>
  <c r="J17" i="102"/>
  <c r="M16" i="102"/>
  <c r="J16" i="102"/>
  <c r="M15" i="102"/>
  <c r="K15" i="102"/>
  <c r="J15" i="102" s="1"/>
  <c r="K14" i="102"/>
  <c r="F12" i="102"/>
  <c r="F8" i="102"/>
  <c r="F6" i="102"/>
  <c r="E4" i="102"/>
  <c r="AB72" i="78"/>
  <c r="N51" i="101"/>
  <c r="Q51" i="101" s="1"/>
  <c r="M51" i="101"/>
  <c r="P51" i="101" s="1"/>
  <c r="AD69" i="78"/>
  <c r="T53" i="78"/>
  <c r="G32" i="102" s="1"/>
  <c r="I32" i="102" s="1"/>
  <c r="H37" i="102" l="1"/>
  <c r="I35" i="102"/>
  <c r="L69" i="101"/>
  <c r="K71" i="101"/>
  <c r="R72" i="78"/>
  <c r="E52" i="102"/>
  <c r="I48" i="103"/>
  <c r="F71" i="101"/>
  <c r="B73" i="101"/>
  <c r="H7" i="103"/>
  <c r="I9" i="103"/>
  <c r="I7" i="103"/>
  <c r="H36" i="103"/>
  <c r="G12" i="102"/>
  <c r="G6" i="102"/>
  <c r="I6" i="102" s="1"/>
  <c r="I15" i="102"/>
  <c r="E9" i="102"/>
  <c r="F10" i="102"/>
  <c r="I7" i="102"/>
  <c r="H7" i="102"/>
  <c r="E10" i="102"/>
  <c r="I19" i="102"/>
  <c r="I27" i="102"/>
  <c r="I42" i="102"/>
  <c r="E51" i="102"/>
  <c r="I12" i="102"/>
  <c r="H35" i="102"/>
  <c r="I44" i="102"/>
  <c r="E50" i="102"/>
  <c r="G56" i="102"/>
  <c r="H56" i="102" s="1"/>
  <c r="I16" i="102"/>
  <c r="AA36" i="101"/>
  <c r="AA38" i="101" s="1"/>
  <c r="AA40" i="101" s="1"/>
  <c r="AA42" i="101" s="1"/>
  <c r="AA44" i="101" s="1"/>
  <c r="AA46" i="101" s="1"/>
  <c r="AA48" i="101" s="1"/>
  <c r="Z36" i="101"/>
  <c r="Z38" i="101" s="1"/>
  <c r="Z40" i="101" s="1"/>
  <c r="Z42" i="101" s="1"/>
  <c r="Z44" i="101" s="1"/>
  <c r="Z46" i="101" s="1"/>
  <c r="Z48" i="101" s="1"/>
  <c r="Z50" i="101" s="1"/>
  <c r="Z52" i="101" s="1"/>
  <c r="Z54" i="101" s="1"/>
  <c r="Z56" i="101" s="1"/>
  <c r="Z8" i="101"/>
  <c r="Z10" i="101" s="1"/>
  <c r="Z12" i="101" s="1"/>
  <c r="Z14" i="101" s="1"/>
  <c r="Z16" i="101" s="1"/>
  <c r="Z18" i="101" s="1"/>
  <c r="Z20" i="101" s="1"/>
  <c r="Z22" i="101" s="1"/>
  <c r="Z24" i="101" s="1"/>
  <c r="Z26" i="101" s="1"/>
  <c r="Z28" i="101" s="1"/>
  <c r="AB49" i="101"/>
  <c r="AB47" i="101"/>
  <c r="AB45" i="101"/>
  <c r="AB43" i="101"/>
  <c r="AB41" i="101"/>
  <c r="AB39" i="101"/>
  <c r="AB37" i="101"/>
  <c r="AB35" i="101"/>
  <c r="AB34" i="101"/>
  <c r="AB21" i="101"/>
  <c r="AB19" i="101"/>
  <c r="AB17" i="101"/>
  <c r="AB15" i="101"/>
  <c r="AB13" i="101"/>
  <c r="AB11" i="101"/>
  <c r="AB9" i="101"/>
  <c r="AA8" i="101"/>
  <c r="AB8" i="101" s="1"/>
  <c r="AB7" i="101"/>
  <c r="AB6" i="101"/>
  <c r="U55" i="101"/>
  <c r="W55" i="101" s="1"/>
  <c r="U53" i="101"/>
  <c r="W53" i="101" s="1"/>
  <c r="U51" i="101"/>
  <c r="W51" i="101" s="1"/>
  <c r="U49" i="101"/>
  <c r="W49" i="101" s="1"/>
  <c r="U47" i="101"/>
  <c r="W47" i="101" s="1"/>
  <c r="U45" i="101"/>
  <c r="W45" i="101" s="1"/>
  <c r="U43" i="101"/>
  <c r="W43" i="101" s="1"/>
  <c r="U41" i="101"/>
  <c r="W41" i="101" s="1"/>
  <c r="U39" i="101"/>
  <c r="W39" i="101" s="1"/>
  <c r="U37" i="101"/>
  <c r="W37" i="101" s="1"/>
  <c r="U35" i="101"/>
  <c r="W35" i="101" s="1"/>
  <c r="U34" i="101"/>
  <c r="W34" i="101" s="1"/>
  <c r="W21" i="101"/>
  <c r="W19" i="101"/>
  <c r="W17" i="101"/>
  <c r="W15" i="101"/>
  <c r="W13" i="101"/>
  <c r="W11" i="101"/>
  <c r="W9" i="101"/>
  <c r="W7" i="101"/>
  <c r="W6" i="101"/>
  <c r="V8" i="101"/>
  <c r="V10" i="101" s="1"/>
  <c r="V12" i="101" s="1"/>
  <c r="V14" i="101" s="1"/>
  <c r="V16" i="101" s="1"/>
  <c r="V18" i="101" s="1"/>
  <c r="V20" i="101" s="1"/>
  <c r="V22" i="101" s="1"/>
  <c r="V24" i="101" s="1"/>
  <c r="U8" i="101"/>
  <c r="U10" i="101" s="1"/>
  <c r="U12" i="101" s="1"/>
  <c r="U14" i="101" s="1"/>
  <c r="U16" i="101" s="1"/>
  <c r="U18" i="101" s="1"/>
  <c r="U20" i="101" s="1"/>
  <c r="U22" i="101" s="1"/>
  <c r="U24" i="101" s="1"/>
  <c r="U26" i="101" s="1"/>
  <c r="U28" i="101" s="1"/>
  <c r="P49" i="101"/>
  <c r="O7" i="101"/>
  <c r="P6" i="101"/>
  <c r="L6" i="101"/>
  <c r="O27" i="101"/>
  <c r="L27" i="101"/>
  <c r="O25" i="101"/>
  <c r="L25" i="101"/>
  <c r="O23" i="101"/>
  <c r="L23" i="101"/>
  <c r="Q21" i="101"/>
  <c r="P21" i="101"/>
  <c r="O21" i="101"/>
  <c r="L21" i="101"/>
  <c r="Q19" i="101"/>
  <c r="P19" i="101"/>
  <c r="O19" i="101"/>
  <c r="L19" i="101"/>
  <c r="Q17" i="101"/>
  <c r="P17" i="101"/>
  <c r="O17" i="101"/>
  <c r="L17" i="101"/>
  <c r="Q15" i="101"/>
  <c r="P15" i="101"/>
  <c r="O15" i="101"/>
  <c r="L15" i="101"/>
  <c r="Q13" i="101"/>
  <c r="P13" i="101"/>
  <c r="O13" i="101"/>
  <c r="L13" i="101"/>
  <c r="Q11" i="101"/>
  <c r="P11" i="101"/>
  <c r="O11" i="101"/>
  <c r="L11" i="101"/>
  <c r="Q9" i="101"/>
  <c r="P9" i="101"/>
  <c r="O9" i="101"/>
  <c r="L9" i="101"/>
  <c r="N8" i="101"/>
  <c r="N10" i="101" s="1"/>
  <c r="M8" i="101"/>
  <c r="Q7" i="101"/>
  <c r="P7" i="101"/>
  <c r="L7" i="101"/>
  <c r="Q6" i="101"/>
  <c r="O6" i="101"/>
  <c r="P37" i="101"/>
  <c r="Q37" i="101"/>
  <c r="P39" i="101"/>
  <c r="Q39" i="101"/>
  <c r="P41" i="101"/>
  <c r="Q41" i="101"/>
  <c r="P43" i="101"/>
  <c r="Q43" i="101"/>
  <c r="P45" i="101"/>
  <c r="Q45" i="101"/>
  <c r="P47" i="101"/>
  <c r="Q47" i="101"/>
  <c r="Q49" i="101"/>
  <c r="Q35" i="101"/>
  <c r="P35" i="101"/>
  <c r="O55" i="101"/>
  <c r="O53" i="101"/>
  <c r="O51" i="101"/>
  <c r="R51" i="101" s="1"/>
  <c r="O49" i="101"/>
  <c r="O47" i="101"/>
  <c r="O45" i="101"/>
  <c r="O43" i="101"/>
  <c r="O41" i="101"/>
  <c r="O39" i="101"/>
  <c r="O37" i="101"/>
  <c r="N36" i="101"/>
  <c r="N38" i="101" s="1"/>
  <c r="N40" i="101" s="1"/>
  <c r="N42" i="101" s="1"/>
  <c r="N44" i="101" s="1"/>
  <c r="M36" i="101"/>
  <c r="O35" i="101"/>
  <c r="O34" i="101"/>
  <c r="L55" i="101"/>
  <c r="L53" i="101"/>
  <c r="L51" i="101"/>
  <c r="L49" i="101"/>
  <c r="L47" i="101"/>
  <c r="L45" i="101"/>
  <c r="L43" i="101"/>
  <c r="L41" i="101"/>
  <c r="L39" i="101"/>
  <c r="L37" i="101"/>
  <c r="K36" i="101"/>
  <c r="K38" i="101" s="1"/>
  <c r="K40" i="101" s="1"/>
  <c r="K42" i="101" s="1"/>
  <c r="K44" i="101" s="1"/>
  <c r="K46" i="101" s="1"/>
  <c r="K48" i="101" s="1"/>
  <c r="K50" i="101" s="1"/>
  <c r="K52" i="101" s="1"/>
  <c r="K54" i="101" s="1"/>
  <c r="K56" i="101" s="1"/>
  <c r="J36" i="101"/>
  <c r="J38" i="101" s="1"/>
  <c r="J40" i="101" s="1"/>
  <c r="J42" i="101" s="1"/>
  <c r="J44" i="101" s="1"/>
  <c r="J46" i="101" s="1"/>
  <c r="J48" i="101" s="1"/>
  <c r="J50" i="101" s="1"/>
  <c r="J52" i="101" s="1"/>
  <c r="J54" i="101" s="1"/>
  <c r="J56" i="101" s="1"/>
  <c r="L35" i="101"/>
  <c r="L34" i="101"/>
  <c r="G55" i="101"/>
  <c r="D53" i="101"/>
  <c r="G53" i="101" s="1"/>
  <c r="D51" i="101"/>
  <c r="G51" i="101" s="1"/>
  <c r="D49" i="101"/>
  <c r="G49" i="101" s="1"/>
  <c r="D47" i="101"/>
  <c r="G47" i="101" s="1"/>
  <c r="D45" i="101"/>
  <c r="G45" i="101" s="1"/>
  <c r="D43" i="101"/>
  <c r="G43" i="101" s="1"/>
  <c r="D41" i="101"/>
  <c r="G41" i="101" s="1"/>
  <c r="D39" i="101"/>
  <c r="G39" i="101" s="1"/>
  <c r="D37" i="101"/>
  <c r="G37" i="101" s="1"/>
  <c r="F36" i="101"/>
  <c r="F38" i="101" s="1"/>
  <c r="F40" i="101" s="1"/>
  <c r="F42" i="101" s="1"/>
  <c r="F44" i="101" s="1"/>
  <c r="F46" i="101" s="1"/>
  <c r="F48" i="101" s="1"/>
  <c r="F50" i="101" s="1"/>
  <c r="F52" i="101" s="1"/>
  <c r="F54" i="101" s="1"/>
  <c r="F56" i="101" s="1"/>
  <c r="F58" i="101" s="1"/>
  <c r="E36" i="101"/>
  <c r="E38" i="101" s="1"/>
  <c r="E40" i="101" s="1"/>
  <c r="E42" i="101" s="1"/>
  <c r="E44" i="101" s="1"/>
  <c r="E46" i="101" s="1"/>
  <c r="E48" i="101" s="1"/>
  <c r="E50" i="101" s="1"/>
  <c r="E52" i="101" s="1"/>
  <c r="E54" i="101" s="1"/>
  <c r="E56" i="101" s="1"/>
  <c r="E58" i="101" s="1"/>
  <c r="C36" i="101"/>
  <c r="C38" i="101" s="1"/>
  <c r="C40" i="101" s="1"/>
  <c r="C42" i="101" s="1"/>
  <c r="C44" i="101" s="1"/>
  <c r="C46" i="101" s="1"/>
  <c r="C48" i="101" s="1"/>
  <c r="C50" i="101" s="1"/>
  <c r="C52" i="101" s="1"/>
  <c r="C54" i="101" s="1"/>
  <c r="C56" i="101" s="1"/>
  <c r="C58" i="101" s="1"/>
  <c r="B36" i="101"/>
  <c r="B38" i="101" s="1"/>
  <c r="B40" i="101" s="1"/>
  <c r="B42" i="101" s="1"/>
  <c r="B44" i="101" s="1"/>
  <c r="B46" i="101" s="1"/>
  <c r="B48" i="101" s="1"/>
  <c r="B50" i="101" s="1"/>
  <c r="B52" i="101" s="1"/>
  <c r="B54" i="101" s="1"/>
  <c r="B56" i="101" s="1"/>
  <c r="B58" i="101" s="1"/>
  <c r="D35" i="101"/>
  <c r="G35" i="101" s="1"/>
  <c r="D34" i="101"/>
  <c r="G34" i="101" s="1"/>
  <c r="D27" i="101"/>
  <c r="G27" i="101" s="1"/>
  <c r="D25" i="101"/>
  <c r="G25" i="101" s="1"/>
  <c r="D23" i="101"/>
  <c r="G23" i="101" s="1"/>
  <c r="D21" i="101"/>
  <c r="G21" i="101" s="1"/>
  <c r="D19" i="101"/>
  <c r="G19" i="101" s="1"/>
  <c r="D17" i="101"/>
  <c r="G17" i="101" s="1"/>
  <c r="D15" i="101"/>
  <c r="G15" i="101" s="1"/>
  <c r="D13" i="101"/>
  <c r="G13" i="101" s="1"/>
  <c r="D11" i="101"/>
  <c r="G11" i="101" s="1"/>
  <c r="D9" i="101"/>
  <c r="G9" i="101" s="1"/>
  <c r="F8" i="101"/>
  <c r="F10" i="101" s="1"/>
  <c r="F12" i="101" s="1"/>
  <c r="F14" i="101" s="1"/>
  <c r="F16" i="101" s="1"/>
  <c r="F18" i="101" s="1"/>
  <c r="F20" i="101" s="1"/>
  <c r="F22" i="101" s="1"/>
  <c r="F24" i="101" s="1"/>
  <c r="F26" i="101" s="1"/>
  <c r="F28" i="101" s="1"/>
  <c r="E8" i="101"/>
  <c r="E10" i="101" s="1"/>
  <c r="E12" i="101" s="1"/>
  <c r="E14" i="101" s="1"/>
  <c r="E16" i="101" s="1"/>
  <c r="E18" i="101" s="1"/>
  <c r="E20" i="101" s="1"/>
  <c r="E22" i="101" s="1"/>
  <c r="E24" i="101" s="1"/>
  <c r="E26" i="101" s="1"/>
  <c r="E28" i="101" s="1"/>
  <c r="C8" i="101"/>
  <c r="C10" i="101" s="1"/>
  <c r="C12" i="101" s="1"/>
  <c r="C14" i="101" s="1"/>
  <c r="C16" i="101" s="1"/>
  <c r="C18" i="101" s="1"/>
  <c r="C20" i="101" s="1"/>
  <c r="C22" i="101" s="1"/>
  <c r="C24" i="101" s="1"/>
  <c r="C26" i="101" s="1"/>
  <c r="C28" i="101" s="1"/>
  <c r="B8" i="101"/>
  <c r="B10" i="101" s="1"/>
  <c r="B12" i="101" s="1"/>
  <c r="B14" i="101" s="1"/>
  <c r="B16" i="101" s="1"/>
  <c r="B18" i="101" s="1"/>
  <c r="B20" i="101" s="1"/>
  <c r="B22" i="101" s="1"/>
  <c r="B24" i="101" s="1"/>
  <c r="B26" i="101" s="1"/>
  <c r="B28" i="101" s="1"/>
  <c r="D7" i="101"/>
  <c r="G7" i="101" s="1"/>
  <c r="D6" i="101"/>
  <c r="G6" i="101" s="1"/>
  <c r="H6" i="102" l="1"/>
  <c r="R53" i="101"/>
  <c r="L71" i="101"/>
  <c r="K73" i="101"/>
  <c r="N46" i="101"/>
  <c r="N48" i="101" s="1"/>
  <c r="N50" i="101" s="1"/>
  <c r="N52" i="101" s="1"/>
  <c r="N54" i="101" s="1"/>
  <c r="N56" i="101" s="1"/>
  <c r="Q56" i="101" s="1"/>
  <c r="Q44" i="101"/>
  <c r="V26" i="101"/>
  <c r="W24" i="101"/>
  <c r="R55" i="101"/>
  <c r="B75" i="101"/>
  <c r="F73" i="101"/>
  <c r="AA10" i="101"/>
  <c r="U36" i="101"/>
  <c r="U38" i="101" s="1"/>
  <c r="U40" i="101" s="1"/>
  <c r="U42" i="101" s="1"/>
  <c r="U44" i="101" s="1"/>
  <c r="U46" i="101" s="1"/>
  <c r="U48" i="101" s="1"/>
  <c r="U50" i="101" s="1"/>
  <c r="U52" i="101" s="1"/>
  <c r="U54" i="101" s="1"/>
  <c r="U56" i="101" s="1"/>
  <c r="R11" i="101"/>
  <c r="R15" i="101"/>
  <c r="R19" i="101"/>
  <c r="W20" i="101"/>
  <c r="W16" i="101"/>
  <c r="W12" i="101"/>
  <c r="W8" i="101"/>
  <c r="W10" i="101"/>
  <c r="W14" i="101"/>
  <c r="W18" i="101"/>
  <c r="W22" i="101"/>
  <c r="R34" i="101"/>
  <c r="R37" i="101"/>
  <c r="R45" i="101"/>
  <c r="R7" i="101"/>
  <c r="R39" i="101"/>
  <c r="R47" i="101"/>
  <c r="Q8" i="101"/>
  <c r="P36" i="101"/>
  <c r="R41" i="101"/>
  <c r="R49" i="101"/>
  <c r="R35" i="101"/>
  <c r="R43" i="101"/>
  <c r="R9" i="101"/>
  <c r="Q46" i="101"/>
  <c r="Q42" i="101"/>
  <c r="Q38" i="101"/>
  <c r="R6" i="101"/>
  <c r="Q50" i="101"/>
  <c r="P8" i="101"/>
  <c r="D8" i="101"/>
  <c r="D10" i="101" s="1"/>
  <c r="D12" i="101" s="1"/>
  <c r="D14" i="101" s="1"/>
  <c r="D16" i="101" s="1"/>
  <c r="D18" i="101" s="1"/>
  <c r="D20" i="101" s="1"/>
  <c r="D22" i="101" s="1"/>
  <c r="D24" i="101" s="1"/>
  <c r="D26" i="101" s="1"/>
  <c r="D28" i="101" s="1"/>
  <c r="Q48" i="101"/>
  <c r="Q40" i="101"/>
  <c r="Q36" i="101"/>
  <c r="R13" i="101"/>
  <c r="R17" i="101"/>
  <c r="R21" i="101"/>
  <c r="Q10" i="101"/>
  <c r="N12" i="101"/>
  <c r="O8" i="101"/>
  <c r="M10" i="101"/>
  <c r="L8" i="101"/>
  <c r="L10" i="101" s="1"/>
  <c r="L12" i="101" s="1"/>
  <c r="L14" i="101" s="1"/>
  <c r="L16" i="101" s="1"/>
  <c r="L18" i="101" s="1"/>
  <c r="L20" i="101" s="1"/>
  <c r="L22" i="101" s="1"/>
  <c r="L24" i="101" s="1"/>
  <c r="L26" i="101" s="1"/>
  <c r="L28" i="101" s="1"/>
  <c r="O36" i="101"/>
  <c r="M38" i="101"/>
  <c r="L36" i="101"/>
  <c r="L38" i="101" s="1"/>
  <c r="L40" i="101" s="1"/>
  <c r="L42" i="101" s="1"/>
  <c r="L44" i="101" s="1"/>
  <c r="L46" i="101" s="1"/>
  <c r="L48" i="101" s="1"/>
  <c r="L50" i="101" s="1"/>
  <c r="L52" i="101" s="1"/>
  <c r="L54" i="101" s="1"/>
  <c r="L56" i="101" s="1"/>
  <c r="D36" i="101"/>
  <c r="D38" i="101" s="1"/>
  <c r="D40" i="101" s="1"/>
  <c r="D42" i="101" s="1"/>
  <c r="D44" i="101" s="1"/>
  <c r="D46" i="101" s="1"/>
  <c r="D48" i="101" s="1"/>
  <c r="D50" i="101" s="1"/>
  <c r="D52" i="101" s="1"/>
  <c r="D54" i="101" s="1"/>
  <c r="D56" i="101" s="1"/>
  <c r="D58" i="101" s="1"/>
  <c r="G36" i="101"/>
  <c r="G38" i="101" s="1"/>
  <c r="G40" i="101" s="1"/>
  <c r="G42" i="101" s="1"/>
  <c r="G44" i="101" s="1"/>
  <c r="G46" i="101" s="1"/>
  <c r="G48" i="101" s="1"/>
  <c r="G50" i="101" s="1"/>
  <c r="G52" i="101" s="1"/>
  <c r="G54" i="101" s="1"/>
  <c r="G56" i="101" s="1"/>
  <c r="G8" i="101"/>
  <c r="G10" i="101" s="1"/>
  <c r="G12" i="101" s="1"/>
  <c r="G14" i="101" s="1"/>
  <c r="G16" i="101" s="1"/>
  <c r="G18" i="101" s="1"/>
  <c r="G20" i="101" s="1"/>
  <c r="G22" i="101" s="1"/>
  <c r="G24" i="101" s="1"/>
  <c r="G26" i="101" s="1"/>
  <c r="G28" i="101" s="1"/>
  <c r="Q52" i="101" l="1"/>
  <c r="L73" i="101"/>
  <c r="K75" i="101"/>
  <c r="V28" i="101"/>
  <c r="W26" i="101"/>
  <c r="W36" i="101"/>
  <c r="Q54" i="101"/>
  <c r="F75" i="101"/>
  <c r="B77" i="101"/>
  <c r="AB10" i="101"/>
  <c r="AA12" i="101"/>
  <c r="AB38" i="101"/>
  <c r="AB36" i="101"/>
  <c r="AB40" i="101"/>
  <c r="W38" i="101"/>
  <c r="W40" i="101"/>
  <c r="O38" i="101"/>
  <c r="R36" i="101"/>
  <c r="M40" i="101"/>
  <c r="P38" i="101"/>
  <c r="P10" i="101"/>
  <c r="M12" i="101"/>
  <c r="R8" i="101"/>
  <c r="O10" i="101"/>
  <c r="N14" i="101"/>
  <c r="Q12" i="101"/>
  <c r="K77" i="101" l="1"/>
  <c r="L75" i="101"/>
  <c r="B79" i="101"/>
  <c r="F77" i="101"/>
  <c r="AB12" i="101"/>
  <c r="AA14" i="101"/>
  <c r="AB42" i="101"/>
  <c r="W42" i="101"/>
  <c r="M42" i="101"/>
  <c r="P40" i="101"/>
  <c r="O40" i="101"/>
  <c r="R38" i="101"/>
  <c r="P12" i="101"/>
  <c r="M14" i="101"/>
  <c r="R10" i="101"/>
  <c r="O12" i="101"/>
  <c r="Q14" i="101"/>
  <c r="N16" i="101"/>
  <c r="L77" i="101" l="1"/>
  <c r="K79" i="101"/>
  <c r="F79" i="101"/>
  <c r="B81" i="101"/>
  <c r="AB44" i="101"/>
  <c r="AB14" i="101"/>
  <c r="AA16" i="101"/>
  <c r="W44" i="101"/>
  <c r="O42" i="101"/>
  <c r="R40" i="101"/>
  <c r="M44" i="101"/>
  <c r="P42" i="101"/>
  <c r="R12" i="101"/>
  <c r="O14" i="101"/>
  <c r="N18" i="101"/>
  <c r="Q16" i="101"/>
  <c r="P14" i="101"/>
  <c r="M16" i="101"/>
  <c r="G48" i="100"/>
  <c r="F48" i="100"/>
  <c r="L79" i="101" l="1"/>
  <c r="K81" i="101"/>
  <c r="B83" i="101"/>
  <c r="F81" i="101"/>
  <c r="AB16" i="101"/>
  <c r="AA18" i="101"/>
  <c r="AB46" i="101"/>
  <c r="V54" i="101"/>
  <c r="V56" i="101" s="1"/>
  <c r="W46" i="101"/>
  <c r="M46" i="101"/>
  <c r="P44" i="101"/>
  <c r="O44" i="101"/>
  <c r="R42" i="101"/>
  <c r="Q18" i="101"/>
  <c r="N20" i="101"/>
  <c r="P16" i="101"/>
  <c r="M18" i="101"/>
  <c r="R14" i="101"/>
  <c r="O16" i="101"/>
  <c r="K35" i="84"/>
  <c r="K36" i="84"/>
  <c r="K34" i="84"/>
  <c r="O48" i="78"/>
  <c r="L81" i="101" l="1"/>
  <c r="K83" i="101"/>
  <c r="K85" i="101" s="1"/>
  <c r="F83" i="101"/>
  <c r="B85" i="101"/>
  <c r="F85" i="101" s="1"/>
  <c r="AA50" i="101"/>
  <c r="AB48" i="101"/>
  <c r="AB18" i="101"/>
  <c r="AA20" i="101"/>
  <c r="W48" i="101"/>
  <c r="O46" i="101"/>
  <c r="R44" i="101"/>
  <c r="M48" i="101"/>
  <c r="P46" i="101"/>
  <c r="P18" i="101"/>
  <c r="M20" i="101"/>
  <c r="R16" i="101"/>
  <c r="O18" i="101"/>
  <c r="N22" i="101"/>
  <c r="Q20" i="101"/>
  <c r="AB20" i="101" l="1"/>
  <c r="AA22" i="101"/>
  <c r="AB50" i="101"/>
  <c r="AA52" i="101"/>
  <c r="AA54" i="101" s="1"/>
  <c r="AA56" i="101" s="1"/>
  <c r="W50" i="101"/>
  <c r="M50" i="101"/>
  <c r="P50" i="101" s="1"/>
  <c r="P48" i="101"/>
  <c r="O48" i="101"/>
  <c r="R46" i="101"/>
  <c r="R18" i="101"/>
  <c r="O20" i="101"/>
  <c r="P20" i="101"/>
  <c r="M22" i="101"/>
  <c r="N24" i="101"/>
  <c r="N26" i="101" s="1"/>
  <c r="N28" i="101" s="1"/>
  <c r="Q22" i="101"/>
  <c r="L77" i="85"/>
  <c r="AM14" i="97"/>
  <c r="N29" i="100"/>
  <c r="N8" i="100"/>
  <c r="AM32" i="97" l="1"/>
  <c r="W52" i="101"/>
  <c r="AB22" i="101"/>
  <c r="AA24" i="101"/>
  <c r="AA26" i="101" s="1"/>
  <c r="AA28" i="101" s="1"/>
  <c r="O50" i="101"/>
  <c r="R48" i="101"/>
  <c r="M52" i="101"/>
  <c r="P52" i="101" s="1"/>
  <c r="M24" i="101"/>
  <c r="M26" i="101" s="1"/>
  <c r="M28" i="101" s="1"/>
  <c r="P22" i="101"/>
  <c r="R20" i="101"/>
  <c r="O22" i="101"/>
  <c r="N77" i="85"/>
  <c r="Q73" i="85" s="1"/>
  <c r="G25" i="100"/>
  <c r="G27" i="99"/>
  <c r="E6" i="99"/>
  <c r="F64" i="100"/>
  <c r="G64" i="100" s="1"/>
  <c r="E64" i="100"/>
  <c r="F63" i="100"/>
  <c r="G63" i="100" s="1"/>
  <c r="E63" i="100"/>
  <c r="K59" i="100"/>
  <c r="K57" i="100"/>
  <c r="I48" i="100"/>
  <c r="I47" i="100"/>
  <c r="I46" i="100"/>
  <c r="N38" i="100"/>
  <c r="M37" i="100"/>
  <c r="N37" i="100" s="1"/>
  <c r="M36" i="100"/>
  <c r="N36" i="100" s="1"/>
  <c r="M35" i="100"/>
  <c r="N35" i="100" s="1"/>
  <c r="L27" i="100"/>
  <c r="M27" i="100" s="1"/>
  <c r="D10" i="100"/>
  <c r="E4" i="100"/>
  <c r="M54" i="101" l="1"/>
  <c r="M56" i="101" s="1"/>
  <c r="P56" i="101" s="1"/>
  <c r="W56" i="101"/>
  <c r="W54" i="101"/>
  <c r="O52" i="101"/>
  <c r="R50" i="101"/>
  <c r="O24" i="101"/>
  <c r="O26" i="101" s="1"/>
  <c r="O28" i="101" s="1"/>
  <c r="R22" i="101"/>
  <c r="E37" i="99"/>
  <c r="E36" i="99"/>
  <c r="E35" i="99"/>
  <c r="G24" i="99"/>
  <c r="G22" i="99"/>
  <c r="G21" i="99"/>
  <c r="G20" i="99"/>
  <c r="G19" i="99"/>
  <c r="P54" i="101" l="1"/>
  <c r="O54" i="101"/>
  <c r="O56" i="101" s="1"/>
  <c r="R56" i="101" s="1"/>
  <c r="R52" i="101"/>
  <c r="E9" i="99"/>
  <c r="E10" i="99" s="1"/>
  <c r="V52" i="78"/>
  <c r="G44" i="99"/>
  <c r="G43" i="99"/>
  <c r="G42" i="99"/>
  <c r="H37" i="99"/>
  <c r="H36" i="99"/>
  <c r="AI52" i="78"/>
  <c r="G31" i="99"/>
  <c r="G30" i="99"/>
  <c r="G29" i="99"/>
  <c r="G28" i="99"/>
  <c r="Z52" i="78" l="1"/>
  <c r="G33" i="99" s="1"/>
  <c r="I33" i="99" s="1"/>
  <c r="R54" i="101"/>
  <c r="AJ68" i="78"/>
  <c r="AD68" i="78" s="1"/>
  <c r="AE68" i="78" s="1"/>
  <c r="X68" i="78" s="1"/>
  <c r="G17" i="99"/>
  <c r="I17" i="99" s="1"/>
  <c r="G16" i="99"/>
  <c r="G15" i="99"/>
  <c r="H15" i="99" s="1"/>
  <c r="F39" i="99"/>
  <c r="D57" i="99" s="1"/>
  <c r="F36" i="99"/>
  <c r="D54" i="99" s="1"/>
  <c r="F35" i="99"/>
  <c r="I35" i="99" s="1"/>
  <c r="F32" i="99"/>
  <c r="F8" i="99" s="1"/>
  <c r="G7" i="99"/>
  <c r="H7" i="99" s="1"/>
  <c r="F24" i="99"/>
  <c r="F22" i="99"/>
  <c r="I22" i="99" s="1"/>
  <c r="F21" i="99"/>
  <c r="F20" i="99"/>
  <c r="I20" i="99" s="1"/>
  <c r="F6" i="99"/>
  <c r="H64" i="99"/>
  <c r="D58" i="99"/>
  <c r="G57" i="99"/>
  <c r="H57" i="99" s="1"/>
  <c r="E57" i="99"/>
  <c r="F57" i="99" s="1"/>
  <c r="G56" i="99"/>
  <c r="H56" i="99" s="1"/>
  <c r="E56" i="99"/>
  <c r="F56" i="99" s="1"/>
  <c r="D56" i="99"/>
  <c r="G55" i="99"/>
  <c r="H55" i="99" s="1"/>
  <c r="E55" i="99"/>
  <c r="F55" i="99" s="1"/>
  <c r="D55" i="99"/>
  <c r="E54" i="99"/>
  <c r="F54" i="99" s="1"/>
  <c r="C54" i="99"/>
  <c r="E53" i="99"/>
  <c r="F53" i="99" s="1"/>
  <c r="G52" i="99"/>
  <c r="E52" i="99"/>
  <c r="G51" i="99"/>
  <c r="E51" i="99"/>
  <c r="G50" i="99"/>
  <c r="E50" i="99"/>
  <c r="I48" i="99"/>
  <c r="L47" i="99"/>
  <c r="I47" i="99"/>
  <c r="I46" i="99"/>
  <c r="N44" i="99"/>
  <c r="M44" i="99"/>
  <c r="J44" i="99"/>
  <c r="F12" i="99"/>
  <c r="N43" i="99"/>
  <c r="M43" i="99"/>
  <c r="J43" i="99"/>
  <c r="I43" i="99"/>
  <c r="N42" i="99"/>
  <c r="M42" i="99"/>
  <c r="J42" i="99"/>
  <c r="I42" i="99"/>
  <c r="M39" i="99"/>
  <c r="L38" i="99" s="1"/>
  <c r="L37" i="99"/>
  <c r="K37" i="99"/>
  <c r="K38" i="99" s="1"/>
  <c r="J38" i="99" s="1"/>
  <c r="H35" i="99"/>
  <c r="D53" i="99"/>
  <c r="I31" i="99"/>
  <c r="U30" i="99"/>
  <c r="I30" i="99"/>
  <c r="I29" i="99"/>
  <c r="R28" i="99"/>
  <c r="Q28" i="99"/>
  <c r="L28" i="99"/>
  <c r="L29" i="99" s="1"/>
  <c r="I28" i="99"/>
  <c r="P27" i="99"/>
  <c r="P28" i="99" s="1"/>
  <c r="O27" i="99"/>
  <c r="O28" i="99" s="1"/>
  <c r="I27" i="99"/>
  <c r="M24" i="99"/>
  <c r="M25" i="99" s="1"/>
  <c r="I23" i="99"/>
  <c r="I19" i="99"/>
  <c r="M17" i="99"/>
  <c r="J17" i="99"/>
  <c r="M16" i="99"/>
  <c r="J16" i="99"/>
  <c r="I16" i="99"/>
  <c r="M15" i="99"/>
  <c r="K15" i="99"/>
  <c r="J15" i="99" s="1"/>
  <c r="K14" i="99"/>
  <c r="G12" i="99"/>
  <c r="E4" i="99"/>
  <c r="G40" i="99" l="1"/>
  <c r="G6" i="99"/>
  <c r="H6" i="99" s="1"/>
  <c r="I15" i="99"/>
  <c r="F7" i="99"/>
  <c r="F10" i="99" s="1"/>
  <c r="I12" i="99"/>
  <c r="I21" i="99"/>
  <c r="I44" i="99"/>
  <c r="T52" i="78"/>
  <c r="I40" i="99" l="1"/>
  <c r="G9" i="99"/>
  <c r="E58" i="99"/>
  <c r="F58" i="99" s="1"/>
  <c r="I6" i="99"/>
  <c r="T56" i="78"/>
  <c r="I7" i="99"/>
  <c r="AA52" i="78"/>
  <c r="G32" i="99"/>
  <c r="P58" i="97"/>
  <c r="Q38" i="97"/>
  <c r="Q39" i="97"/>
  <c r="Q40" i="97"/>
  <c r="P41" i="97"/>
  <c r="Q41" i="97"/>
  <c r="P42" i="97"/>
  <c r="Q42" i="97"/>
  <c r="P43" i="97"/>
  <c r="Q43" i="97"/>
  <c r="P44" i="97"/>
  <c r="Q44" i="97"/>
  <c r="Q37" i="97"/>
  <c r="M38" i="97"/>
  <c r="N38" i="97"/>
  <c r="M39" i="97"/>
  <c r="N39" i="97"/>
  <c r="M40" i="97"/>
  <c r="N40" i="97"/>
  <c r="M41" i="97"/>
  <c r="N41" i="97"/>
  <c r="M42" i="97"/>
  <c r="N42" i="97"/>
  <c r="M43" i="97"/>
  <c r="N43" i="97"/>
  <c r="M44" i="97"/>
  <c r="N44" i="97"/>
  <c r="N37" i="97"/>
  <c r="M37" i="97"/>
  <c r="F83" i="97"/>
  <c r="E83" i="97"/>
  <c r="K66" i="97"/>
  <c r="J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I65" i="97"/>
  <c r="I64" i="97"/>
  <c r="I63" i="97"/>
  <c r="Q61" i="97"/>
  <c r="P61" i="97"/>
  <c r="Q60" i="97"/>
  <c r="I60" i="97"/>
  <c r="I59" i="97"/>
  <c r="Q59" i="97"/>
  <c r="P59" i="97"/>
  <c r="Q58" i="97"/>
  <c r="Q57" i="97"/>
  <c r="I57" i="97"/>
  <c r="Q56" i="97"/>
  <c r="I56" i="97"/>
  <c r="I55" i="97"/>
  <c r="Q55" i="97"/>
  <c r="H66" i="97"/>
  <c r="G66" i="97"/>
  <c r="K49" i="97"/>
  <c r="J49" i="97"/>
  <c r="H49" i="97"/>
  <c r="G49" i="97"/>
  <c r="E49" i="97"/>
  <c r="D49" i="97"/>
  <c r="L48" i="97"/>
  <c r="F48" i="97"/>
  <c r="L47" i="97"/>
  <c r="F47" i="97"/>
  <c r="L46" i="97"/>
  <c r="F46" i="97"/>
  <c r="L45" i="97"/>
  <c r="F45" i="97"/>
  <c r="L44" i="97"/>
  <c r="I44" i="97"/>
  <c r="F44" i="97"/>
  <c r="L43" i="97"/>
  <c r="I43" i="97"/>
  <c r="F43" i="97"/>
  <c r="L42" i="97"/>
  <c r="I42" i="97"/>
  <c r="F42" i="97"/>
  <c r="L41" i="97"/>
  <c r="I41" i="97"/>
  <c r="F41" i="97"/>
  <c r="L40" i="97"/>
  <c r="I40" i="97"/>
  <c r="F40" i="97"/>
  <c r="L39" i="97"/>
  <c r="I39" i="97"/>
  <c r="F39" i="97"/>
  <c r="L38" i="97"/>
  <c r="I38" i="97"/>
  <c r="F38" i="97"/>
  <c r="L37" i="97"/>
  <c r="I37" i="97"/>
  <c r="F37" i="97"/>
  <c r="P7" i="97"/>
  <c r="Q7" i="97"/>
  <c r="P8" i="97"/>
  <c r="Q8" i="97"/>
  <c r="P9" i="97"/>
  <c r="Q9" i="97"/>
  <c r="P11" i="97"/>
  <c r="Q11" i="97"/>
  <c r="P12" i="97"/>
  <c r="Q12" i="97"/>
  <c r="P14" i="97"/>
  <c r="Q14" i="97"/>
  <c r="P15" i="97"/>
  <c r="Q15" i="97"/>
  <c r="P16" i="97"/>
  <c r="Q16" i="97"/>
  <c r="Q6" i="97"/>
  <c r="P6" i="97"/>
  <c r="N7" i="97"/>
  <c r="N8" i="97"/>
  <c r="N9" i="97"/>
  <c r="M11" i="97"/>
  <c r="N11" i="97"/>
  <c r="M12" i="97"/>
  <c r="N12" i="97"/>
  <c r="M14" i="97"/>
  <c r="N14" i="97"/>
  <c r="M15" i="97"/>
  <c r="N15" i="97"/>
  <c r="M16" i="97"/>
  <c r="N16" i="97"/>
  <c r="BN33" i="97"/>
  <c r="BM33" i="97"/>
  <c r="BO30" i="97"/>
  <c r="BR30" i="97" s="1"/>
  <c r="BO29" i="97"/>
  <c r="BR29" i="97" s="1"/>
  <c r="BO27" i="97"/>
  <c r="BR27" i="97" s="1"/>
  <c r="BO26" i="97"/>
  <c r="BR26" i="97" s="1"/>
  <c r="BO25" i="97"/>
  <c r="BR25" i="97" s="1"/>
  <c r="BO24" i="97"/>
  <c r="BR24" i="97" s="1"/>
  <c r="BO23" i="97"/>
  <c r="BR23" i="97" s="1"/>
  <c r="BQ33" i="97"/>
  <c r="BP33" i="97"/>
  <c r="BO22" i="97"/>
  <c r="BR22" i="97" s="1"/>
  <c r="BO21" i="97"/>
  <c r="BR21" i="97" s="1"/>
  <c r="F14" i="97"/>
  <c r="F15" i="97"/>
  <c r="F16" i="97"/>
  <c r="AY32" i="97"/>
  <c r="AY30" i="97"/>
  <c r="AY29" i="97"/>
  <c r="AY27" i="97"/>
  <c r="AY26" i="97"/>
  <c r="AM26" i="97"/>
  <c r="AY25" i="97"/>
  <c r="AY24" i="97"/>
  <c r="AY18" i="97"/>
  <c r="AY15" i="97"/>
  <c r="AY13" i="97"/>
  <c r="AM13" i="97"/>
  <c r="AY12" i="97"/>
  <c r="AM12" i="97"/>
  <c r="AY11" i="97"/>
  <c r="AM11" i="97"/>
  <c r="AM10" i="97"/>
  <c r="AM9" i="97"/>
  <c r="AY8" i="97"/>
  <c r="AM8" i="97"/>
  <c r="AY7" i="97"/>
  <c r="AM7" i="97"/>
  <c r="AM6" i="97"/>
  <c r="AM17" i="97" s="1"/>
  <c r="P98" i="78"/>
  <c r="H22" i="97" s="1"/>
  <c r="Q22" i="97" s="1"/>
  <c r="P99" i="78"/>
  <c r="H23" i="97" s="1"/>
  <c r="Q23" i="97" s="1"/>
  <c r="P100" i="78"/>
  <c r="H24" i="97" s="1"/>
  <c r="Q24" i="97" s="1"/>
  <c r="P101" i="78"/>
  <c r="H25" i="97" s="1"/>
  <c r="Q25" i="97" s="1"/>
  <c r="P102" i="78"/>
  <c r="P103" i="78"/>
  <c r="H26" i="97" s="1"/>
  <c r="Q26" i="97" s="1"/>
  <c r="P104" i="78"/>
  <c r="H27" i="97" s="1"/>
  <c r="Q27" i="97" s="1"/>
  <c r="P105" i="78"/>
  <c r="P106" i="78"/>
  <c r="H29" i="97" s="1"/>
  <c r="Q29" i="97" s="1"/>
  <c r="P107" i="78"/>
  <c r="H30" i="97" s="1"/>
  <c r="Q30" i="97" s="1"/>
  <c r="P108" i="78"/>
  <c r="H32" i="97" s="1"/>
  <c r="Q32" i="97" s="1"/>
  <c r="P97" i="78"/>
  <c r="H21" i="97" s="1"/>
  <c r="Q21" i="97" s="1"/>
  <c r="G22" i="97"/>
  <c r="P22" i="97" s="1"/>
  <c r="G23" i="97"/>
  <c r="P23" i="97" s="1"/>
  <c r="G24" i="97"/>
  <c r="P24" i="97" s="1"/>
  <c r="G25" i="97"/>
  <c r="P25" i="97" s="1"/>
  <c r="G26" i="97"/>
  <c r="P26" i="97" s="1"/>
  <c r="G27" i="97"/>
  <c r="P27" i="97" s="1"/>
  <c r="G29" i="97"/>
  <c r="P29" i="97" s="1"/>
  <c r="G30" i="97"/>
  <c r="P30" i="97" s="1"/>
  <c r="G32" i="97"/>
  <c r="P32" i="97" s="1"/>
  <c r="G21" i="97"/>
  <c r="P21" i="97" s="1"/>
  <c r="L32" i="97"/>
  <c r="L30" i="97"/>
  <c r="L29" i="97"/>
  <c r="L27" i="97"/>
  <c r="L26" i="97"/>
  <c r="L25" i="97"/>
  <c r="L24" i="97"/>
  <c r="L22" i="97"/>
  <c r="L21" i="97"/>
  <c r="F7" i="97"/>
  <c r="F8" i="97"/>
  <c r="F9" i="97"/>
  <c r="F11" i="97"/>
  <c r="F12" i="97"/>
  <c r="F6" i="97"/>
  <c r="L7" i="97"/>
  <c r="L8" i="97"/>
  <c r="L9" i="97"/>
  <c r="L11" i="97"/>
  <c r="L12" i="97"/>
  <c r="L14" i="97"/>
  <c r="L15" i="97"/>
  <c r="L16" i="97"/>
  <c r="L6" i="97"/>
  <c r="BY15" i="97"/>
  <c r="BQ15" i="97"/>
  <c r="BY14" i="97"/>
  <c r="BQ14" i="97"/>
  <c r="BY12" i="97"/>
  <c r="BQ12" i="97"/>
  <c r="BY11" i="97"/>
  <c r="BQ11" i="97"/>
  <c r="BY9" i="97"/>
  <c r="BQ9" i="97"/>
  <c r="BY8" i="97"/>
  <c r="BQ8" i="97"/>
  <c r="BY7" i="97"/>
  <c r="BQ7" i="97"/>
  <c r="BY6" i="97"/>
  <c r="BZ6" i="97" s="1"/>
  <c r="BX6" i="97"/>
  <c r="BX7" i="97" s="1"/>
  <c r="BX8" i="97" s="1"/>
  <c r="BX9" i="97" s="1"/>
  <c r="BX11" i="97" s="1"/>
  <c r="BX12" i="97" s="1"/>
  <c r="BX14" i="97" s="1"/>
  <c r="BX15" i="97" s="1"/>
  <c r="BV6" i="97"/>
  <c r="BV7" i="97" s="1"/>
  <c r="BV8" i="97" s="1"/>
  <c r="BV9" i="97" s="1"/>
  <c r="BV11" i="97" s="1"/>
  <c r="BV12" i="97" s="1"/>
  <c r="BV14" i="97" s="1"/>
  <c r="BV15" i="97" s="1"/>
  <c r="BQ6" i="97"/>
  <c r="BR6" i="97" s="1"/>
  <c r="BR7" i="97" s="1"/>
  <c r="BP6" i="97"/>
  <c r="BP7" i="97" s="1"/>
  <c r="BP8" i="97" s="1"/>
  <c r="BP9" i="97" s="1"/>
  <c r="BP11" i="97" s="1"/>
  <c r="BP12" i="97" s="1"/>
  <c r="BP14" i="97" s="1"/>
  <c r="BP15" i="97" s="1"/>
  <c r="BN6" i="97"/>
  <c r="BN7" i="97" s="1"/>
  <c r="BN8" i="97" s="1"/>
  <c r="I7" i="97"/>
  <c r="I8" i="97"/>
  <c r="I9" i="97"/>
  <c r="I11" i="97"/>
  <c r="I12" i="97"/>
  <c r="I14" i="97"/>
  <c r="I15" i="97"/>
  <c r="I16" i="97"/>
  <c r="I6" i="97"/>
  <c r="AM19" i="97" l="1"/>
  <c r="AY37" i="97"/>
  <c r="BN9" i="97"/>
  <c r="BN11" i="97" s="1"/>
  <c r="BN12" i="97" s="1"/>
  <c r="BN14" i="97" s="1"/>
  <c r="BN15" i="97" s="1"/>
  <c r="H9" i="99"/>
  <c r="I9" i="99"/>
  <c r="O39" i="97"/>
  <c r="R40" i="97"/>
  <c r="O43" i="97"/>
  <c r="R44" i="97"/>
  <c r="Q66" i="97"/>
  <c r="R6" i="97"/>
  <c r="R14" i="97"/>
  <c r="R9" i="97"/>
  <c r="G8" i="99"/>
  <c r="I32" i="99"/>
  <c r="O37" i="97"/>
  <c r="L66" i="97"/>
  <c r="O38" i="97"/>
  <c r="O42" i="97"/>
  <c r="O41" i="97"/>
  <c r="O11" i="97"/>
  <c r="R37" i="97"/>
  <c r="O40" i="97"/>
  <c r="R41" i="97"/>
  <c r="O44" i="97"/>
  <c r="R56" i="97"/>
  <c r="R39" i="97"/>
  <c r="R43" i="97"/>
  <c r="R38" i="97"/>
  <c r="R42" i="97"/>
  <c r="R55" i="97"/>
  <c r="R16" i="97"/>
  <c r="R12" i="97"/>
  <c r="R8" i="97"/>
  <c r="R59" i="97"/>
  <c r="O9" i="97"/>
  <c r="O15" i="97"/>
  <c r="O16" i="97"/>
  <c r="R7" i="97"/>
  <c r="O12" i="97"/>
  <c r="R60" i="97"/>
  <c r="O14" i="97"/>
  <c r="R15" i="97"/>
  <c r="R11" i="97"/>
  <c r="R57" i="97"/>
  <c r="O8" i="97"/>
  <c r="O7" i="97"/>
  <c r="BO33" i="97"/>
  <c r="L49" i="97"/>
  <c r="P49" i="97"/>
  <c r="F49" i="97"/>
  <c r="M49" i="97"/>
  <c r="N49" i="97"/>
  <c r="P66" i="97"/>
  <c r="I66" i="97"/>
  <c r="I49" i="97"/>
  <c r="Q49" i="97"/>
  <c r="I54" i="97"/>
  <c r="R54" i="97" s="1"/>
  <c r="I58" i="97"/>
  <c r="R58" i="97" s="1"/>
  <c r="P60" i="97"/>
  <c r="I62" i="97"/>
  <c r="I61" i="97"/>
  <c r="R61" i="97" s="1"/>
  <c r="Q54" i="97"/>
  <c r="BR33" i="97"/>
  <c r="AM31" i="97"/>
  <c r="AM25" i="97"/>
  <c r="AM29" i="97"/>
  <c r="I32" i="97"/>
  <c r="R32" i="97" s="1"/>
  <c r="AM30" i="97"/>
  <c r="I30" i="97"/>
  <c r="R30" i="97" s="1"/>
  <c r="I23" i="97"/>
  <c r="AM28" i="97"/>
  <c r="AM27" i="97"/>
  <c r="AY9" i="97"/>
  <c r="AY19" i="97" s="1"/>
  <c r="AM24" i="97"/>
  <c r="I26" i="97"/>
  <c r="R26" i="97" s="1"/>
  <c r="I29" i="97"/>
  <c r="R29" i="97" s="1"/>
  <c r="I22" i="97"/>
  <c r="R22" i="97" s="1"/>
  <c r="I27" i="97"/>
  <c r="R27" i="97" s="1"/>
  <c r="I24" i="97"/>
  <c r="R24" i="97" s="1"/>
  <c r="I25" i="97"/>
  <c r="R25" i="97" s="1"/>
  <c r="I21" i="97"/>
  <c r="R21" i="97" s="1"/>
  <c r="L23" i="97"/>
  <c r="BZ7" i="97"/>
  <c r="BZ8" i="97" s="1"/>
  <c r="BZ9" i="97" s="1"/>
  <c r="BZ11" i="97" s="1"/>
  <c r="BZ12" i="97" s="1"/>
  <c r="BZ14" i="97" s="1"/>
  <c r="BZ15" i="97" s="1"/>
  <c r="BR8" i="97"/>
  <c r="BR9" i="97" s="1"/>
  <c r="BR11" i="97" s="1"/>
  <c r="BR12" i="97" s="1"/>
  <c r="BR14" i="97" s="1"/>
  <c r="BR15" i="97" s="1"/>
  <c r="AM37" i="97" l="1"/>
  <c r="I8" i="99"/>
  <c r="H8" i="99"/>
  <c r="G10" i="99"/>
  <c r="R66" i="97"/>
  <c r="R49" i="97"/>
  <c r="R23" i="97"/>
  <c r="O49" i="97"/>
  <c r="T47" i="84"/>
  <c r="H10" i="99" l="1"/>
  <c r="I10" i="99"/>
  <c r="D25" i="84" l="1"/>
  <c r="N75" i="85" l="1"/>
  <c r="Q71" i="85" s="1"/>
  <c r="H69" i="78"/>
  <c r="L76" i="85" l="1"/>
  <c r="N76" i="85" s="1"/>
  <c r="Q72" i="85" s="1"/>
  <c r="F48" i="96"/>
  <c r="G48" i="96"/>
  <c r="AD67" i="78"/>
  <c r="N38" i="96"/>
  <c r="M36" i="96"/>
  <c r="N36" i="96" s="1"/>
  <c r="M37" i="96"/>
  <c r="N37" i="96" s="1"/>
  <c r="M35" i="96"/>
  <c r="N35" i="96" s="1"/>
  <c r="L27" i="96"/>
  <c r="M27" i="96" s="1"/>
  <c r="G24" i="96"/>
  <c r="G22" i="96"/>
  <c r="G21" i="96"/>
  <c r="G20" i="96"/>
  <c r="G19" i="96"/>
  <c r="G19" i="103" s="1"/>
  <c r="G22" i="95"/>
  <c r="G21" i="95"/>
  <c r="G20" i="95"/>
  <c r="G19" i="95"/>
  <c r="F22" i="95"/>
  <c r="F21" i="95"/>
  <c r="F20" i="95"/>
  <c r="I20" i="95" s="1"/>
  <c r="F19" i="95"/>
  <c r="F44" i="95"/>
  <c r="F43" i="95"/>
  <c r="F42" i="95"/>
  <c r="G44" i="95"/>
  <c r="G43" i="95"/>
  <c r="G55" i="95" s="1"/>
  <c r="H55" i="95" s="1"/>
  <c r="G42" i="95"/>
  <c r="E16" i="95"/>
  <c r="E15" i="95"/>
  <c r="F64" i="96"/>
  <c r="G64" i="96" s="1"/>
  <c r="E64" i="96"/>
  <c r="F63" i="96"/>
  <c r="G63" i="96" s="1"/>
  <c r="E63" i="96"/>
  <c r="K59" i="96"/>
  <c r="K57" i="96"/>
  <c r="I47" i="96"/>
  <c r="I46" i="96"/>
  <c r="E4" i="96"/>
  <c r="G37" i="95"/>
  <c r="I37" i="95" s="1"/>
  <c r="G36" i="95"/>
  <c r="G35" i="95"/>
  <c r="I35" i="95" s="1"/>
  <c r="G32" i="95"/>
  <c r="I32" i="95" s="1"/>
  <c r="G31" i="95"/>
  <c r="I31" i="95" s="1"/>
  <c r="G30" i="95"/>
  <c r="G29" i="95"/>
  <c r="I29" i="95" s="1"/>
  <c r="G28" i="95"/>
  <c r="I28" i="95" s="1"/>
  <c r="G27" i="95"/>
  <c r="G17" i="95"/>
  <c r="I17" i="95" s="1"/>
  <c r="G16" i="95"/>
  <c r="G15" i="95"/>
  <c r="E8" i="95"/>
  <c r="E7" i="95"/>
  <c r="H64" i="95"/>
  <c r="H57" i="95"/>
  <c r="E54" i="95"/>
  <c r="I48" i="95"/>
  <c r="I47" i="95"/>
  <c r="I46" i="95"/>
  <c r="R41" i="95"/>
  <c r="L41" i="95"/>
  <c r="R40" i="95"/>
  <c r="T39" i="95"/>
  <c r="T40" i="95" s="1"/>
  <c r="R39" i="95"/>
  <c r="L39" i="95"/>
  <c r="E37" i="95"/>
  <c r="J37" i="95" s="1"/>
  <c r="E36" i="95"/>
  <c r="J36" i="95" s="1"/>
  <c r="N35" i="95"/>
  <c r="K35" i="95"/>
  <c r="E35" i="95"/>
  <c r="J35" i="95" s="1"/>
  <c r="V34" i="95"/>
  <c r="U34" i="95"/>
  <c r="T34" i="95"/>
  <c r="T35" i="95" s="1"/>
  <c r="M34" i="95"/>
  <c r="L28" i="95" s="1"/>
  <c r="W33" i="95"/>
  <c r="W32" i="95"/>
  <c r="P32" i="95"/>
  <c r="E29" i="95"/>
  <c r="E28" i="95"/>
  <c r="S27" i="95"/>
  <c r="S28" i="95" s="1"/>
  <c r="T28" i="95" s="1"/>
  <c r="K27" i="95"/>
  <c r="K28" i="95" s="1"/>
  <c r="K29" i="95" s="1"/>
  <c r="K30" i="95" s="1"/>
  <c r="E27" i="95"/>
  <c r="V25" i="95"/>
  <c r="U22" i="95" s="1"/>
  <c r="U23" i="95" s="1"/>
  <c r="N25" i="95"/>
  <c r="N26" i="95" s="1"/>
  <c r="O23" i="95"/>
  <c r="I23" i="95"/>
  <c r="M19" i="95"/>
  <c r="I19" i="95"/>
  <c r="M13" i="95"/>
  <c r="O12" i="95"/>
  <c r="P12" i="95" s="1"/>
  <c r="F9" i="95"/>
  <c r="D9" i="95"/>
  <c r="M8" i="95"/>
  <c r="O8" i="95" s="1"/>
  <c r="P8" i="95" s="1"/>
  <c r="F8" i="95"/>
  <c r="M7" i="95"/>
  <c r="O5" i="95"/>
  <c r="E4" i="95"/>
  <c r="G7" i="95" l="1"/>
  <c r="I22" i="95"/>
  <c r="G22" i="100"/>
  <c r="G22" i="103"/>
  <c r="G24" i="100"/>
  <c r="G24" i="103"/>
  <c r="G20" i="100"/>
  <c r="G20" i="103"/>
  <c r="G21" i="100"/>
  <c r="G21" i="103"/>
  <c r="I44" i="95"/>
  <c r="G19" i="100"/>
  <c r="H7" i="95"/>
  <c r="F12" i="95"/>
  <c r="W34" i="95"/>
  <c r="H27" i="95"/>
  <c r="H35" i="95"/>
  <c r="H37" i="95"/>
  <c r="I48" i="96"/>
  <c r="F7" i="95"/>
  <c r="F6" i="95"/>
  <c r="I16" i="95"/>
  <c r="I42" i="95"/>
  <c r="I36" i="95"/>
  <c r="H29" i="95"/>
  <c r="H28" i="95"/>
  <c r="G6" i="95"/>
  <c r="I15" i="95"/>
  <c r="I27" i="95"/>
  <c r="G54" i="95"/>
  <c r="H54" i="95" s="1"/>
  <c r="G56" i="95"/>
  <c r="H56" i="95" s="1"/>
  <c r="G12" i="95"/>
  <c r="H36" i="95"/>
  <c r="I43" i="95"/>
  <c r="AE66" i="78"/>
  <c r="AL53" i="78"/>
  <c r="I7" i="95" l="1"/>
  <c r="I12" i="95"/>
  <c r="F10" i="95"/>
  <c r="I6" i="95"/>
  <c r="M93" i="78" l="1"/>
  <c r="N93" i="78"/>
  <c r="N95" i="78" s="1"/>
  <c r="L95" i="78" l="1"/>
  <c r="H93" i="78"/>
  <c r="M95" i="78"/>
  <c r="I93" i="78"/>
  <c r="K57" i="94"/>
  <c r="J93" i="78" l="1"/>
  <c r="F64" i="94"/>
  <c r="G64" i="94" s="1"/>
  <c r="F63" i="94"/>
  <c r="G63" i="94" s="1"/>
  <c r="E64" i="94"/>
  <c r="E63" i="94"/>
  <c r="K59" i="94"/>
  <c r="X66" i="78" l="1"/>
  <c r="I44" i="84" l="1"/>
  <c r="J44" i="84" s="1"/>
  <c r="AK37" i="84" l="1"/>
  <c r="AK35" i="84"/>
  <c r="AN38" i="84"/>
  <c r="AK34" i="84"/>
  <c r="AO35" i="84"/>
  <c r="AO36" i="84"/>
  <c r="AO37" i="84"/>
  <c r="AO38" i="84"/>
  <c r="AO39" i="84"/>
  <c r="AO34" i="84"/>
  <c r="AN35" i="84"/>
  <c r="AN36" i="84"/>
  <c r="AN37" i="84"/>
  <c r="AK39" i="84" l="1"/>
  <c r="AN39" i="84" s="1"/>
  <c r="AN34" i="84"/>
  <c r="H69" i="85"/>
  <c r="I69" i="85" s="1"/>
  <c r="H68" i="85"/>
  <c r="I68" i="85" s="1"/>
  <c r="H67" i="85"/>
  <c r="I67" i="85" s="1"/>
  <c r="I70" i="85"/>
  <c r="I66" i="85"/>
  <c r="I65" i="85"/>
  <c r="I71" i="85"/>
  <c r="L75" i="85"/>
  <c r="C58" i="78" l="1"/>
  <c r="C59" i="78" s="1"/>
  <c r="D58" i="78"/>
  <c r="D59" i="78" s="1"/>
  <c r="E58" i="78"/>
  <c r="E59" i="78" s="1"/>
  <c r="F58" i="78"/>
  <c r="F59" i="78" s="1"/>
  <c r="B58" i="78"/>
  <c r="B59" i="78" s="1"/>
  <c r="F37" i="93" l="1"/>
  <c r="E4" i="94" l="1"/>
  <c r="G42" i="64"/>
  <c r="F12" i="93"/>
  <c r="G35" i="93"/>
  <c r="G9" i="93" s="1"/>
  <c r="G31" i="93"/>
  <c r="G32" i="93"/>
  <c r="I32" i="93" s="1"/>
  <c r="G30" i="93"/>
  <c r="G29" i="93"/>
  <c r="I29" i="93" s="1"/>
  <c r="G28" i="93"/>
  <c r="I28" i="93" s="1"/>
  <c r="G27" i="93"/>
  <c r="I27" i="93" s="1"/>
  <c r="G17" i="93"/>
  <c r="I17" i="93" s="1"/>
  <c r="G16" i="93"/>
  <c r="I16" i="93" s="1"/>
  <c r="G15" i="93"/>
  <c r="G44" i="93"/>
  <c r="I44" i="93" s="1"/>
  <c r="G43" i="93"/>
  <c r="G55" i="93" s="1"/>
  <c r="H55" i="93" s="1"/>
  <c r="G42" i="93"/>
  <c r="I42" i="93" s="1"/>
  <c r="E29" i="93"/>
  <c r="E28" i="93"/>
  <c r="E8" i="93"/>
  <c r="E7" i="93"/>
  <c r="H7" i="93" s="1"/>
  <c r="E15" i="93"/>
  <c r="E16" i="93"/>
  <c r="G48" i="94"/>
  <c r="F48" i="94"/>
  <c r="I47" i="94"/>
  <c r="I46" i="94"/>
  <c r="H64" i="93"/>
  <c r="H57" i="93"/>
  <c r="E54" i="93"/>
  <c r="I48" i="93"/>
  <c r="I47" i="93"/>
  <c r="I46" i="93"/>
  <c r="R41" i="93"/>
  <c r="L41" i="93"/>
  <c r="R40" i="93"/>
  <c r="T39" i="93"/>
  <c r="T40" i="93" s="1"/>
  <c r="R39" i="93"/>
  <c r="L39" i="93"/>
  <c r="I37" i="93"/>
  <c r="E37" i="93"/>
  <c r="I36" i="93"/>
  <c r="E36" i="93"/>
  <c r="N35" i="93"/>
  <c r="K35" i="93"/>
  <c r="E35" i="93"/>
  <c r="J35" i="93" s="1"/>
  <c r="V34" i="93"/>
  <c r="U34" i="93"/>
  <c r="T34" i="93"/>
  <c r="T35" i="93" s="1"/>
  <c r="M34" i="93"/>
  <c r="L28" i="93" s="1"/>
  <c r="W33" i="93"/>
  <c r="W32" i="93"/>
  <c r="P32" i="93"/>
  <c r="I31" i="93"/>
  <c r="S27" i="93"/>
  <c r="S28" i="93" s="1"/>
  <c r="T28" i="93" s="1"/>
  <c r="K27" i="93"/>
  <c r="K28" i="93" s="1"/>
  <c r="K29" i="93" s="1"/>
  <c r="K30" i="93" s="1"/>
  <c r="E27" i="93"/>
  <c r="V25" i="93"/>
  <c r="N25" i="93"/>
  <c r="N26" i="93" s="1"/>
  <c r="O23" i="93"/>
  <c r="I23" i="93"/>
  <c r="U22" i="93"/>
  <c r="U23" i="93" s="1"/>
  <c r="I22" i="93"/>
  <c r="I20" i="93"/>
  <c r="M19" i="93"/>
  <c r="I19" i="93"/>
  <c r="F6" i="93"/>
  <c r="M13" i="93"/>
  <c r="O12" i="93"/>
  <c r="P12" i="93" s="1"/>
  <c r="F9" i="93"/>
  <c r="D9" i="93"/>
  <c r="M8" i="93"/>
  <c r="O8" i="93" s="1"/>
  <c r="P8" i="93" s="1"/>
  <c r="F8" i="93"/>
  <c r="M7" i="93"/>
  <c r="F7" i="93"/>
  <c r="O5" i="93"/>
  <c r="E4" i="93"/>
  <c r="AE65" i="78"/>
  <c r="X65" i="78" s="1"/>
  <c r="AK64" i="78"/>
  <c r="AI49" i="78"/>
  <c r="Z49" i="78" s="1"/>
  <c r="H27" i="93" l="1"/>
  <c r="W34" i="93"/>
  <c r="G6" i="93"/>
  <c r="H35" i="93"/>
  <c r="E6" i="93"/>
  <c r="H37" i="93"/>
  <c r="J37" i="93"/>
  <c r="E9" i="93"/>
  <c r="J36" i="93"/>
  <c r="H36" i="93"/>
  <c r="I15" i="93"/>
  <c r="I35" i="93"/>
  <c r="I48" i="94"/>
  <c r="I7" i="93"/>
  <c r="F10" i="93"/>
  <c r="G54" i="93"/>
  <c r="H54" i="93" s="1"/>
  <c r="G56" i="93"/>
  <c r="H56" i="93" s="1"/>
  <c r="H28" i="93"/>
  <c r="H29" i="93"/>
  <c r="I43" i="93"/>
  <c r="G12" i="93"/>
  <c r="I12" i="93" s="1"/>
  <c r="H6" i="93" l="1"/>
  <c r="I6" i="93"/>
  <c r="E10" i="93"/>
  <c r="L74" i="85" l="1"/>
  <c r="N74" i="85" l="1"/>
  <c r="Q70" i="85" s="1"/>
  <c r="H57" i="91" l="1"/>
  <c r="E16" i="91" l="1"/>
  <c r="E15" i="91"/>
  <c r="F8" i="91"/>
  <c r="G40" i="91"/>
  <c r="G39" i="91"/>
  <c r="G37" i="91"/>
  <c r="G36" i="91"/>
  <c r="G35" i="91"/>
  <c r="G9" i="91" s="1"/>
  <c r="AF81" i="78"/>
  <c r="G33" i="91"/>
  <c r="G32" i="91"/>
  <c r="G31" i="91"/>
  <c r="G30" i="91"/>
  <c r="G27" i="91"/>
  <c r="E28" i="91"/>
  <c r="G29" i="91"/>
  <c r="G28" i="91"/>
  <c r="I28" i="91" s="1"/>
  <c r="G7" i="91"/>
  <c r="F7" i="91"/>
  <c r="H28" i="91" l="1"/>
  <c r="G8" i="91"/>
  <c r="F17" i="91"/>
  <c r="F16" i="91"/>
  <c r="F15" i="91"/>
  <c r="E8" i="91"/>
  <c r="E7" i="91"/>
  <c r="E6" i="91"/>
  <c r="E27" i="91"/>
  <c r="G44" i="91"/>
  <c r="G56" i="91" s="1"/>
  <c r="H56" i="91" s="1"/>
  <c r="G43" i="91"/>
  <c r="G42" i="91"/>
  <c r="AA65" i="78"/>
  <c r="G17" i="91"/>
  <c r="G16" i="91"/>
  <c r="G15" i="91"/>
  <c r="I16" i="91" l="1"/>
  <c r="I15" i="91"/>
  <c r="I42" i="91"/>
  <c r="G54" i="91"/>
  <c r="H54" i="91" s="1"/>
  <c r="G55" i="91"/>
  <c r="H55" i="91" s="1"/>
  <c r="I43" i="91"/>
  <c r="F6" i="91"/>
  <c r="G6" i="91"/>
  <c r="AD63" i="78"/>
  <c r="AE63" i="78" s="1"/>
  <c r="AD64" i="78"/>
  <c r="AD62" i="78"/>
  <c r="AD61" i="78"/>
  <c r="AD60" i="78"/>
  <c r="AE60" i="78" s="1"/>
  <c r="E51" i="92"/>
  <c r="G48" i="92"/>
  <c r="F48" i="92"/>
  <c r="I47" i="92"/>
  <c r="I46" i="92"/>
  <c r="N43" i="92"/>
  <c r="E4" i="92"/>
  <c r="O5" i="91"/>
  <c r="M7" i="91"/>
  <c r="M8" i="91"/>
  <c r="O8" i="91" s="1"/>
  <c r="P8" i="91" s="1"/>
  <c r="O12" i="91"/>
  <c r="P12" i="91" s="1"/>
  <c r="M13" i="91"/>
  <c r="M19" i="91"/>
  <c r="O23" i="91"/>
  <c r="N25" i="91"/>
  <c r="N26" i="91" s="1"/>
  <c r="V25" i="91"/>
  <c r="U22" i="91" s="1"/>
  <c r="U23" i="91" s="1"/>
  <c r="K27" i="91"/>
  <c r="K28" i="91" s="1"/>
  <c r="K29" i="91" s="1"/>
  <c r="K30" i="91" s="1"/>
  <c r="S27" i="91"/>
  <c r="S28" i="91" s="1"/>
  <c r="T28" i="91" s="1"/>
  <c r="P32" i="91"/>
  <c r="W32" i="91"/>
  <c r="W33" i="91"/>
  <c r="M34" i="91"/>
  <c r="L28" i="91" s="1"/>
  <c r="T34" i="91"/>
  <c r="T35" i="91" s="1"/>
  <c r="U34" i="91"/>
  <c r="V34" i="91"/>
  <c r="K35" i="91"/>
  <c r="N35" i="91"/>
  <c r="L39" i="91"/>
  <c r="R39" i="91"/>
  <c r="T39" i="91"/>
  <c r="T40" i="91" s="1"/>
  <c r="R40" i="91"/>
  <c r="L41" i="91"/>
  <c r="R41" i="91"/>
  <c r="H64" i="91"/>
  <c r="E54" i="91"/>
  <c r="I48" i="91"/>
  <c r="I47" i="91"/>
  <c r="I46" i="91"/>
  <c r="I44" i="91"/>
  <c r="I40" i="91"/>
  <c r="I37" i="91"/>
  <c r="E37" i="91"/>
  <c r="H37" i="91" s="1"/>
  <c r="I36" i="91"/>
  <c r="E36" i="91"/>
  <c r="I35" i="91"/>
  <c r="E35" i="91"/>
  <c r="H35" i="91" s="1"/>
  <c r="H33" i="91"/>
  <c r="I33" i="91"/>
  <c r="I32" i="91"/>
  <c r="H32" i="91"/>
  <c r="I31" i="91"/>
  <c r="H31" i="91"/>
  <c r="I30" i="91"/>
  <c r="I29" i="91"/>
  <c r="E29" i="91"/>
  <c r="I27" i="91"/>
  <c r="H27" i="91"/>
  <c r="I23" i="91"/>
  <c r="I22" i="91"/>
  <c r="I20" i="91"/>
  <c r="I17" i="91"/>
  <c r="G12" i="91"/>
  <c r="F12" i="91"/>
  <c r="F9" i="91"/>
  <c r="D9" i="91"/>
  <c r="E4" i="91"/>
  <c r="E9" i="91" l="1"/>
  <c r="E10" i="91" s="1"/>
  <c r="H36" i="91"/>
  <c r="W34" i="91"/>
  <c r="I6" i="91"/>
  <c r="I48" i="92"/>
  <c r="I12" i="91"/>
  <c r="I9" i="91"/>
  <c r="I8" i="91"/>
  <c r="F10" i="91"/>
  <c r="I7" i="91"/>
  <c r="H7" i="91"/>
  <c r="H6" i="91"/>
  <c r="G10" i="91"/>
  <c r="H10" i="91" s="1"/>
  <c r="H8" i="91"/>
  <c r="I19" i="91"/>
  <c r="H29" i="91"/>
  <c r="H30" i="91"/>
  <c r="G36" i="76"/>
  <c r="M36" i="76" s="1"/>
  <c r="F31" i="76"/>
  <c r="F32" i="76"/>
  <c r="G24" i="76"/>
  <c r="T43" i="70"/>
  <c r="E6" i="77"/>
  <c r="H9" i="91" l="1"/>
  <c r="I10" i="91"/>
  <c r="Y61" i="84" l="1"/>
  <c r="Y60" i="84"/>
  <c r="X61" i="84"/>
  <c r="X60" i="84"/>
  <c r="U41" i="84"/>
  <c r="U43" i="84"/>
  <c r="U45" i="84"/>
  <c r="U47" i="84"/>
  <c r="U49" i="84"/>
  <c r="U51" i="84"/>
  <c r="U53" i="84"/>
  <c r="U55" i="84"/>
  <c r="T41" i="84"/>
  <c r="F9" i="89" l="1"/>
  <c r="G22" i="89"/>
  <c r="G21" i="89"/>
  <c r="G20" i="89"/>
  <c r="G19" i="89"/>
  <c r="F21" i="89"/>
  <c r="F22" i="89"/>
  <c r="F20" i="89"/>
  <c r="F19" i="89"/>
  <c r="G29" i="89" l="1"/>
  <c r="V48" i="78"/>
  <c r="G28" i="89" s="1"/>
  <c r="AF48" i="78"/>
  <c r="AF57" i="78" s="1"/>
  <c r="AK48" i="78"/>
  <c r="G27" i="89"/>
  <c r="AF56" i="78" l="1"/>
  <c r="AI48" i="78"/>
  <c r="G7" i="89"/>
  <c r="I28" i="89"/>
  <c r="I27" i="89"/>
  <c r="I29" i="89"/>
  <c r="I31" i="89"/>
  <c r="G39" i="89"/>
  <c r="G37" i="89"/>
  <c r="G35" i="89"/>
  <c r="L41" i="89"/>
  <c r="O23" i="89"/>
  <c r="AG57" i="78" l="1"/>
  <c r="AH57" i="78" s="1"/>
  <c r="G9" i="89"/>
  <c r="Z48" i="78"/>
  <c r="AA48" i="78" s="1"/>
  <c r="AL48" i="78"/>
  <c r="AL49" i="78" s="1"/>
  <c r="L73" i="85"/>
  <c r="N73" i="85" l="1"/>
  <c r="Q69" i="85" s="1"/>
  <c r="I7" i="90"/>
  <c r="G30" i="89"/>
  <c r="I30" i="89" s="1"/>
  <c r="G32" i="89"/>
  <c r="I32" i="89" s="1"/>
  <c r="F44" i="89" l="1"/>
  <c r="F43" i="89"/>
  <c r="F42" i="89"/>
  <c r="E37" i="89"/>
  <c r="E36" i="89"/>
  <c r="E35" i="89"/>
  <c r="E16" i="89"/>
  <c r="E15" i="89"/>
  <c r="E29" i="89"/>
  <c r="E28" i="89"/>
  <c r="E27" i="89"/>
  <c r="F44" i="90"/>
  <c r="F15" i="87"/>
  <c r="F6" i="58"/>
  <c r="G17" i="58"/>
  <c r="F17" i="89"/>
  <c r="F16" i="89"/>
  <c r="F15" i="89"/>
  <c r="G44" i="89"/>
  <c r="G43" i="89"/>
  <c r="G42" i="89"/>
  <c r="G17" i="89"/>
  <c r="G16" i="89"/>
  <c r="G15" i="89"/>
  <c r="G6" i="89" s="1"/>
  <c r="F15" i="103" l="1"/>
  <c r="F17" i="103"/>
  <c r="F16" i="109"/>
  <c r="F17" i="106"/>
  <c r="F14" i="109"/>
  <c r="F15" i="106"/>
  <c r="F44" i="103"/>
  <c r="F54" i="103" s="1"/>
  <c r="E54" i="103" s="1"/>
  <c r="F43" i="109"/>
  <c r="F44" i="106"/>
  <c r="F54" i="106" s="1"/>
  <c r="F17" i="94"/>
  <c r="F17" i="100"/>
  <c r="F17" i="96"/>
  <c r="F12" i="89"/>
  <c r="F15" i="90"/>
  <c r="F15" i="100"/>
  <c r="F15" i="96"/>
  <c r="I17" i="89"/>
  <c r="F44" i="100"/>
  <c r="F54" i="100" s="1"/>
  <c r="F44" i="96"/>
  <c r="F54" i="96" s="1"/>
  <c r="F59" i="96" s="1"/>
  <c r="E9" i="89"/>
  <c r="H9" i="89" s="1"/>
  <c r="F44" i="94"/>
  <c r="F54" i="94" s="1"/>
  <c r="F59" i="94" s="1"/>
  <c r="F44" i="92"/>
  <c r="F54" i="92" s="1"/>
  <c r="F59" i="92" s="1"/>
  <c r="F15" i="94"/>
  <c r="F15" i="92"/>
  <c r="F17" i="90"/>
  <c r="AE64" i="78"/>
  <c r="X64" i="78" s="1"/>
  <c r="AE67" i="78"/>
  <c r="X67" i="78" s="1"/>
  <c r="AA68" i="78"/>
  <c r="AE69" i="78"/>
  <c r="X69" i="78" s="1"/>
  <c r="AA69" i="78" s="1"/>
  <c r="G40" i="102" s="1"/>
  <c r="X70" i="78"/>
  <c r="G40" i="105" s="1"/>
  <c r="AE71" i="78"/>
  <c r="X71" i="78" s="1"/>
  <c r="X74" i="78" s="1"/>
  <c r="X63" i="78"/>
  <c r="AI47" i="78"/>
  <c r="Z47" i="78" s="1"/>
  <c r="F59" i="103" l="1"/>
  <c r="F60" i="103" s="1"/>
  <c r="E58" i="102"/>
  <c r="F58" i="102" s="1"/>
  <c r="I40" i="102"/>
  <c r="G9" i="102"/>
  <c r="E54" i="106"/>
  <c r="F59" i="106"/>
  <c r="G40" i="108"/>
  <c r="H58" i="103"/>
  <c r="F59" i="100"/>
  <c r="E54" i="100"/>
  <c r="F60" i="96"/>
  <c r="H58" i="96"/>
  <c r="F60" i="100"/>
  <c r="H58" i="100"/>
  <c r="G40" i="95"/>
  <c r="AA67" i="78"/>
  <c r="AA66" i="78"/>
  <c r="G40" i="93"/>
  <c r="AA64" i="78"/>
  <c r="E51" i="90"/>
  <c r="T34" i="84"/>
  <c r="Q36" i="84"/>
  <c r="Q38" i="84" s="1"/>
  <c r="X34" i="84"/>
  <c r="U34" i="84"/>
  <c r="T35" i="84"/>
  <c r="U35" i="84"/>
  <c r="X35" i="84"/>
  <c r="X36" i="84"/>
  <c r="T37" i="84"/>
  <c r="U37" i="84"/>
  <c r="X37" i="84"/>
  <c r="T39" i="84"/>
  <c r="U39" i="84"/>
  <c r="T43" i="84"/>
  <c r="T45" i="84"/>
  <c r="T49" i="84"/>
  <c r="T51" i="84"/>
  <c r="T53" i="84"/>
  <c r="T55" i="84"/>
  <c r="F8" i="89"/>
  <c r="R61" i="84"/>
  <c r="R62" i="84" s="1"/>
  <c r="Q61" i="84"/>
  <c r="N60" i="84"/>
  <c r="N61" i="84" s="1"/>
  <c r="N25" i="89"/>
  <c r="N26" i="89" s="1"/>
  <c r="U34" i="89"/>
  <c r="V34" i="89"/>
  <c r="T34" i="89"/>
  <c r="T35" i="89" s="1"/>
  <c r="W33" i="89"/>
  <c r="W32" i="89"/>
  <c r="T39" i="89"/>
  <c r="T40" i="89" s="1"/>
  <c r="R54" i="88"/>
  <c r="Q56" i="88"/>
  <c r="T53" i="88"/>
  <c r="T54" i="88"/>
  <c r="T52" i="88"/>
  <c r="E56" i="88"/>
  <c r="R53" i="88"/>
  <c r="R52" i="88"/>
  <c r="P53" i="88"/>
  <c r="P54" i="88"/>
  <c r="P52" i="88"/>
  <c r="H56" i="88"/>
  <c r="K56" i="88"/>
  <c r="E52" i="88"/>
  <c r="E54" i="88" s="1"/>
  <c r="D52" i="88"/>
  <c r="G12" i="89" s="1"/>
  <c r="I12" i="89" s="1"/>
  <c r="H52" i="88"/>
  <c r="H54" i="88" s="1"/>
  <c r="G52" i="88"/>
  <c r="G54" i="88" s="1"/>
  <c r="I51" i="88"/>
  <c r="F51" i="88"/>
  <c r="I50" i="88"/>
  <c r="F50" i="88"/>
  <c r="I49" i="88"/>
  <c r="F49" i="88"/>
  <c r="I48" i="88"/>
  <c r="F48" i="88"/>
  <c r="I47" i="88"/>
  <c r="F47" i="88"/>
  <c r="I46" i="88"/>
  <c r="F46" i="88"/>
  <c r="I45" i="88"/>
  <c r="F45" i="88"/>
  <c r="I44" i="88"/>
  <c r="F44" i="88"/>
  <c r="W34" i="89" l="1"/>
  <c r="I40" i="108"/>
  <c r="G9" i="108"/>
  <c r="E58" i="108"/>
  <c r="F58" i="108" s="1"/>
  <c r="H9" i="102"/>
  <c r="I9" i="102"/>
  <c r="F60" i="106"/>
  <c r="H58" i="106"/>
  <c r="E58" i="105"/>
  <c r="F58" i="105" s="1"/>
  <c r="I40" i="105"/>
  <c r="G9" i="105"/>
  <c r="D54" i="88"/>
  <c r="T36" i="84"/>
  <c r="G9" i="95"/>
  <c r="I40" i="95"/>
  <c r="Q40" i="84"/>
  <c r="T38" i="84"/>
  <c r="I40" i="93"/>
  <c r="F6" i="89"/>
  <c r="I9" i="108" l="1"/>
  <c r="H9" i="108"/>
  <c r="G10" i="108"/>
  <c r="I9" i="105"/>
  <c r="H9" i="105"/>
  <c r="G10" i="105"/>
  <c r="I6" i="89"/>
  <c r="I9" i="95"/>
  <c r="H9" i="95"/>
  <c r="H9" i="93"/>
  <c r="I9" i="93"/>
  <c r="Q42" i="84"/>
  <c r="T40" i="84"/>
  <c r="G53" i="88"/>
  <c r="H53" i="88"/>
  <c r="E53" i="88"/>
  <c r="D53" i="88"/>
  <c r="H10" i="108" l="1"/>
  <c r="I10" i="108"/>
  <c r="I10" i="105"/>
  <c r="H10" i="105"/>
  <c r="Q44" i="84"/>
  <c r="T42" i="84"/>
  <c r="I27" i="88"/>
  <c r="I28" i="88"/>
  <c r="I29" i="88"/>
  <c r="I30" i="88"/>
  <c r="I31" i="88"/>
  <c r="I32" i="88"/>
  <c r="I33" i="88"/>
  <c r="I34" i="88"/>
  <c r="I35" i="88"/>
  <c r="I36" i="88"/>
  <c r="I37" i="88"/>
  <c r="I38" i="88"/>
  <c r="I39" i="88"/>
  <c r="I40" i="88"/>
  <c r="I41" i="88"/>
  <c r="I42" i="88"/>
  <c r="I43" i="88"/>
  <c r="I26" i="88"/>
  <c r="F27" i="88"/>
  <c r="F28" i="88"/>
  <c r="F29" i="88"/>
  <c r="F30" i="88"/>
  <c r="F31" i="88"/>
  <c r="F32" i="88"/>
  <c r="F33" i="88"/>
  <c r="F34" i="88"/>
  <c r="F35" i="88"/>
  <c r="F36" i="88"/>
  <c r="F37" i="88"/>
  <c r="F38" i="88"/>
  <c r="F39" i="88"/>
  <c r="F40" i="88"/>
  <c r="F41" i="88"/>
  <c r="F42" i="88"/>
  <c r="F43" i="88"/>
  <c r="F26" i="88"/>
  <c r="O21" i="88"/>
  <c r="S21" i="88" s="1"/>
  <c r="W22" i="88"/>
  <c r="Y22" i="88" s="1"/>
  <c r="V22" i="88"/>
  <c r="U22" i="88"/>
  <c r="P22" i="88"/>
  <c r="R22" i="88" s="1"/>
  <c r="O22" i="88"/>
  <c r="S22" i="88" s="1"/>
  <c r="X6" i="88"/>
  <c r="Y6" i="88"/>
  <c r="X7" i="88"/>
  <c r="Y7" i="88"/>
  <c r="X8" i="88"/>
  <c r="Y8" i="88"/>
  <c r="X9" i="88"/>
  <c r="Y9" i="88"/>
  <c r="X10" i="88"/>
  <c r="Y10" i="88"/>
  <c r="X11" i="88"/>
  <c r="Y11" i="88"/>
  <c r="X12" i="88"/>
  <c r="Y12" i="88"/>
  <c r="X13" i="88"/>
  <c r="Y13" i="88"/>
  <c r="X14" i="88"/>
  <c r="Y14" i="88"/>
  <c r="X15" i="88"/>
  <c r="Y15" i="88"/>
  <c r="X16" i="88"/>
  <c r="Y16" i="88"/>
  <c r="X17" i="88"/>
  <c r="Y17" i="88"/>
  <c r="X18" i="88"/>
  <c r="Y18" i="88"/>
  <c r="X19" i="88"/>
  <c r="Y19" i="88"/>
  <c r="X20" i="88"/>
  <c r="Y20" i="88"/>
  <c r="X21" i="88"/>
  <c r="Y21" i="88"/>
  <c r="X22" i="88"/>
  <c r="X23" i="88"/>
  <c r="Y23" i="88"/>
  <c r="Y5" i="88"/>
  <c r="X5" i="88"/>
  <c r="R20" i="88"/>
  <c r="S20" i="88"/>
  <c r="R21" i="88"/>
  <c r="R6" i="88"/>
  <c r="S6" i="88"/>
  <c r="R7" i="88"/>
  <c r="S7" i="88"/>
  <c r="R8" i="88"/>
  <c r="S8" i="88"/>
  <c r="R9" i="88"/>
  <c r="S9" i="88"/>
  <c r="R10" i="88"/>
  <c r="S10" i="88"/>
  <c r="R11" i="88"/>
  <c r="S11" i="88"/>
  <c r="R12" i="88"/>
  <c r="S12" i="88"/>
  <c r="R13" i="88"/>
  <c r="S13" i="88"/>
  <c r="R14" i="88"/>
  <c r="S14" i="88"/>
  <c r="R15" i="88"/>
  <c r="S15" i="88"/>
  <c r="R16" i="88"/>
  <c r="S16" i="88"/>
  <c r="R17" i="88"/>
  <c r="S17" i="88"/>
  <c r="R18" i="88"/>
  <c r="S18" i="88"/>
  <c r="R19" i="88"/>
  <c r="S19" i="88"/>
  <c r="S5" i="88"/>
  <c r="R5" i="88"/>
  <c r="T44" i="84" l="1"/>
  <c r="Q46" i="84"/>
  <c r="F52" i="88"/>
  <c r="F53" i="88" s="1"/>
  <c r="I52" i="88"/>
  <c r="I53" i="88" s="1"/>
  <c r="F54" i="90"/>
  <c r="F59" i="90" s="1"/>
  <c r="G48" i="90"/>
  <c r="F48" i="90"/>
  <c r="I47" i="90"/>
  <c r="I46" i="90"/>
  <c r="N43" i="90"/>
  <c r="E4" i="90"/>
  <c r="H29" i="89"/>
  <c r="H28" i="89"/>
  <c r="O61" i="84"/>
  <c r="O62" i="84" s="1"/>
  <c r="H30" i="89"/>
  <c r="H31" i="89"/>
  <c r="H32" i="89"/>
  <c r="H27" i="89"/>
  <c r="K27" i="89"/>
  <c r="K28" i="89" s="1"/>
  <c r="K29" i="89" s="1"/>
  <c r="K30" i="89" s="1"/>
  <c r="I9" i="89"/>
  <c r="D9" i="89"/>
  <c r="E10" i="89"/>
  <c r="Q48" i="84" l="1"/>
  <c r="T48" i="84" s="1"/>
  <c r="T46" i="84"/>
  <c r="I48" i="90"/>
  <c r="Q50" i="84" l="1"/>
  <c r="T50" i="84" s="1"/>
  <c r="F7" i="89"/>
  <c r="I7" i="89" s="1"/>
  <c r="H64" i="89"/>
  <c r="E54" i="89"/>
  <c r="G54" i="89" s="1"/>
  <c r="I48" i="89"/>
  <c r="I47" i="89"/>
  <c r="I46" i="89"/>
  <c r="R41" i="89"/>
  <c r="R40" i="89"/>
  <c r="I40" i="89"/>
  <c r="R39" i="89"/>
  <c r="L39" i="89"/>
  <c r="I37" i="89"/>
  <c r="H37" i="89"/>
  <c r="I36" i="89"/>
  <c r="H36" i="89"/>
  <c r="N35" i="89"/>
  <c r="K35" i="89"/>
  <c r="I35" i="89"/>
  <c r="H35" i="89"/>
  <c r="M34" i="89"/>
  <c r="L28" i="89" s="1"/>
  <c r="P32" i="89"/>
  <c r="S27" i="89"/>
  <c r="S28" i="89" s="1"/>
  <c r="T28" i="89" s="1"/>
  <c r="V25" i="89"/>
  <c r="U22" i="89" s="1"/>
  <c r="U23" i="89" s="1"/>
  <c r="I23" i="89"/>
  <c r="I22" i="89"/>
  <c r="I20" i="89"/>
  <c r="M19" i="89"/>
  <c r="I19" i="89"/>
  <c r="M13" i="89"/>
  <c r="O12" i="89"/>
  <c r="P12" i="89" s="1"/>
  <c r="M8" i="89"/>
  <c r="O8" i="89" s="1"/>
  <c r="P8" i="89" s="1"/>
  <c r="M7" i="89"/>
  <c r="O5" i="89"/>
  <c r="E4" i="89"/>
  <c r="Q52" i="84" l="1"/>
  <c r="T52" i="84" s="1"/>
  <c r="H7" i="89"/>
  <c r="I44" i="89"/>
  <c r="Q54" i="84" l="1"/>
  <c r="F10" i="89"/>
  <c r="H6" i="89"/>
  <c r="Q56" i="84" l="1"/>
  <c r="T56" i="84" s="1"/>
  <c r="T54" i="84"/>
  <c r="N43" i="87"/>
  <c r="F54" i="87"/>
  <c r="F59" i="87" s="1"/>
  <c r="AL60" i="78" l="1"/>
  <c r="F50" i="86" l="1"/>
  <c r="F42" i="87"/>
  <c r="F41" i="109" l="1"/>
  <c r="F42" i="106"/>
  <c r="F42" i="103"/>
  <c r="F42" i="100"/>
  <c r="F42" i="96"/>
  <c r="F52" i="96" s="1"/>
  <c r="F42" i="94"/>
  <c r="F52" i="94" s="1"/>
  <c r="F42" i="92"/>
  <c r="F42" i="90"/>
  <c r="F52" i="87"/>
  <c r="F57" i="87" s="1"/>
  <c r="L72" i="85"/>
  <c r="N72" i="85" s="1"/>
  <c r="Q68" i="85" s="1"/>
  <c r="G69" i="78"/>
  <c r="G70" i="78"/>
  <c r="G68" i="78"/>
  <c r="K16" i="86"/>
  <c r="E16" i="86"/>
  <c r="F52" i="103" l="1"/>
  <c r="E52" i="103" s="1"/>
  <c r="F52" i="106"/>
  <c r="E52" i="106" s="1"/>
  <c r="G71" i="78"/>
  <c r="G72" i="78" s="1"/>
  <c r="F52" i="100"/>
  <c r="E52" i="100" s="1"/>
  <c r="F52" i="90"/>
  <c r="F57" i="90" s="1"/>
  <c r="F52" i="92"/>
  <c r="F57" i="92" s="1"/>
  <c r="G48" i="87"/>
  <c r="F48" i="87"/>
  <c r="I46" i="87" l="1"/>
  <c r="I47" i="87"/>
  <c r="I48" i="87"/>
  <c r="G25" i="86"/>
  <c r="G21" i="86"/>
  <c r="G22" i="86"/>
  <c r="G19" i="86"/>
  <c r="B36" i="84"/>
  <c r="B38" i="84" s="1"/>
  <c r="B40" i="84" s="1"/>
  <c r="E27" i="87"/>
  <c r="E27" i="106" s="1"/>
  <c r="R36" i="84"/>
  <c r="U36" i="84" s="1"/>
  <c r="F43" i="87"/>
  <c r="F12" i="87" s="1"/>
  <c r="F36" i="87"/>
  <c r="F38" i="87"/>
  <c r="G38" i="87"/>
  <c r="F39" i="87"/>
  <c r="F29" i="87"/>
  <c r="F30" i="87"/>
  <c r="F31" i="87"/>
  <c r="F32" i="87"/>
  <c r="F33" i="87"/>
  <c r="F27" i="87"/>
  <c r="F23" i="87"/>
  <c r="F23" i="96" s="1"/>
  <c r="F24" i="87"/>
  <c r="F24" i="96" s="1"/>
  <c r="F25" i="87"/>
  <c r="F25" i="96" s="1"/>
  <c r="F16" i="87"/>
  <c r="E4" i="87"/>
  <c r="F24" i="100" l="1"/>
  <c r="F24" i="103"/>
  <c r="F32" i="106"/>
  <c r="F32" i="103"/>
  <c r="F39" i="106"/>
  <c r="F39" i="103"/>
  <c r="F23" i="100"/>
  <c r="F23" i="103"/>
  <c r="F31" i="106"/>
  <c r="F31" i="103"/>
  <c r="G37" i="109"/>
  <c r="G38" i="106"/>
  <c r="G38" i="103"/>
  <c r="F42" i="109"/>
  <c r="F11" i="109" s="1"/>
  <c r="F43" i="106"/>
  <c r="F43" i="103"/>
  <c r="F15" i="109"/>
  <c r="F16" i="106"/>
  <c r="K16" i="106" s="1"/>
  <c r="F16" i="103"/>
  <c r="K16" i="103" s="1"/>
  <c r="F27" i="106"/>
  <c r="F27" i="103"/>
  <c r="F30" i="106"/>
  <c r="F30" i="103"/>
  <c r="F38" i="106"/>
  <c r="F38" i="103"/>
  <c r="F25" i="100"/>
  <c r="F25" i="103"/>
  <c r="F33" i="106"/>
  <c r="F33" i="103"/>
  <c r="F29" i="106"/>
  <c r="F29" i="103"/>
  <c r="F36" i="106"/>
  <c r="I36" i="106" s="1"/>
  <c r="F36" i="103"/>
  <c r="I36" i="103" s="1"/>
  <c r="F39" i="100"/>
  <c r="F39" i="96"/>
  <c r="F31" i="100"/>
  <c r="F31" i="96"/>
  <c r="G38" i="100"/>
  <c r="G38" i="96"/>
  <c r="G38" i="94"/>
  <c r="N38" i="94" s="1"/>
  <c r="F43" i="100"/>
  <c r="F43" i="96"/>
  <c r="F53" i="96" s="1"/>
  <c r="F32" i="100"/>
  <c r="F32" i="96"/>
  <c r="F12" i="94"/>
  <c r="F12" i="96"/>
  <c r="F16" i="100"/>
  <c r="F16" i="96"/>
  <c r="F27" i="100"/>
  <c r="F27" i="96"/>
  <c r="F30" i="100"/>
  <c r="F30" i="96"/>
  <c r="F38" i="100"/>
  <c r="F38" i="96"/>
  <c r="F38" i="94"/>
  <c r="M38" i="94" s="1"/>
  <c r="F33" i="100"/>
  <c r="F33" i="96"/>
  <c r="F29" i="100"/>
  <c r="F29" i="96"/>
  <c r="F36" i="100"/>
  <c r="F36" i="96"/>
  <c r="E27" i="100"/>
  <c r="E27" i="96"/>
  <c r="F32" i="94"/>
  <c r="F32" i="92"/>
  <c r="F32" i="90"/>
  <c r="G38" i="92"/>
  <c r="G38" i="90"/>
  <c r="F24" i="94"/>
  <c r="F24" i="92"/>
  <c r="F24" i="90"/>
  <c r="F31" i="94"/>
  <c r="F31" i="92"/>
  <c r="F31" i="90"/>
  <c r="F38" i="92"/>
  <c r="F38" i="90"/>
  <c r="F43" i="94"/>
  <c r="F53" i="94" s="1"/>
  <c r="F43" i="92"/>
  <c r="F43" i="90"/>
  <c r="F53" i="87"/>
  <c r="F58" i="87" s="1"/>
  <c r="F27" i="94"/>
  <c r="F27" i="92"/>
  <c r="F27" i="90"/>
  <c r="F30" i="94"/>
  <c r="F30" i="92"/>
  <c r="F30" i="90"/>
  <c r="F16" i="94"/>
  <c r="K16" i="94" s="1"/>
  <c r="F16" i="92"/>
  <c r="F6" i="92" s="1"/>
  <c r="F16" i="90"/>
  <c r="F6" i="87"/>
  <c r="F6" i="103" s="1"/>
  <c r="L16" i="87"/>
  <c r="F25" i="94"/>
  <c r="F25" i="92"/>
  <c r="F25" i="90"/>
  <c r="F23" i="94"/>
  <c r="I23" i="94" s="1"/>
  <c r="F23" i="92"/>
  <c r="F23" i="90"/>
  <c r="F33" i="94"/>
  <c r="F33" i="92"/>
  <c r="F33" i="90"/>
  <c r="F29" i="94"/>
  <c r="F29" i="92"/>
  <c r="F29" i="90"/>
  <c r="F39" i="94"/>
  <c r="M39" i="94" s="1"/>
  <c r="F39" i="92"/>
  <c r="F39" i="90"/>
  <c r="F36" i="94"/>
  <c r="M36" i="94" s="1"/>
  <c r="F36" i="92"/>
  <c r="F36" i="90"/>
  <c r="E27" i="94"/>
  <c r="E27" i="92"/>
  <c r="E27" i="90"/>
  <c r="R38" i="84"/>
  <c r="U38" i="84" s="1"/>
  <c r="G39" i="86"/>
  <c r="G37" i="86"/>
  <c r="G36" i="86"/>
  <c r="I36" i="86" s="1"/>
  <c r="G35" i="86"/>
  <c r="G32" i="86"/>
  <c r="I32" i="86" s="1"/>
  <c r="G30" i="86"/>
  <c r="G29" i="86"/>
  <c r="I29" i="86" s="1"/>
  <c r="G33" i="86"/>
  <c r="I33" i="86" s="1"/>
  <c r="G40" i="86"/>
  <c r="F53" i="103" l="1"/>
  <c r="E53" i="103" s="1"/>
  <c r="F12" i="103"/>
  <c r="F53" i="106"/>
  <c r="E53" i="106" s="1"/>
  <c r="F12" i="106"/>
  <c r="F53" i="100"/>
  <c r="E53" i="100" s="1"/>
  <c r="K43" i="100"/>
  <c r="F12" i="100"/>
  <c r="F6" i="100"/>
  <c r="F6" i="96"/>
  <c r="H58" i="94"/>
  <c r="F60" i="94"/>
  <c r="F53" i="90"/>
  <c r="F58" i="90" s="1"/>
  <c r="F12" i="90"/>
  <c r="G50" i="86"/>
  <c r="F6" i="94"/>
  <c r="F6" i="90"/>
  <c r="F53" i="92"/>
  <c r="F58" i="92" s="1"/>
  <c r="H58" i="92" s="1"/>
  <c r="F12" i="92"/>
  <c r="R40" i="84"/>
  <c r="U40" i="84" s="1"/>
  <c r="X47" i="78"/>
  <c r="V47" i="78"/>
  <c r="V40" i="78" s="1"/>
  <c r="G9" i="86"/>
  <c r="G7" i="86"/>
  <c r="G44" i="86"/>
  <c r="G43" i="86"/>
  <c r="G42" i="86"/>
  <c r="G27" i="86"/>
  <c r="E37" i="86"/>
  <c r="E52" i="86" s="1"/>
  <c r="E36" i="86"/>
  <c r="E51" i="86" s="1"/>
  <c r="E35" i="86"/>
  <c r="E8" i="86"/>
  <c r="E7" i="86"/>
  <c r="E15" i="86"/>
  <c r="G31" i="86" l="1"/>
  <c r="V56" i="78"/>
  <c r="G28" i="86"/>
  <c r="G8" i="86" s="1"/>
  <c r="H8" i="86" s="1"/>
  <c r="H50" i="86"/>
  <c r="I50" i="86"/>
  <c r="E9" i="86"/>
  <c r="H9" i="86" s="1"/>
  <c r="R42" i="84"/>
  <c r="G12" i="86"/>
  <c r="G17" i="86"/>
  <c r="G16" i="86"/>
  <c r="G15" i="86"/>
  <c r="H15" i="86" s="1"/>
  <c r="AJ56" i="78"/>
  <c r="G33" i="89"/>
  <c r="AI50" i="78"/>
  <c r="Z50" i="78" s="1"/>
  <c r="AI51" i="78"/>
  <c r="Z51" i="78" s="1"/>
  <c r="AI46" i="78"/>
  <c r="Z46" i="78" s="1"/>
  <c r="AI45" i="78"/>
  <c r="Z45" i="78" s="1"/>
  <c r="AK45" i="78"/>
  <c r="AK46" i="78"/>
  <c r="AK47" i="78"/>
  <c r="AK44" i="78"/>
  <c r="Z40" i="78" l="1"/>
  <c r="Z56" i="78"/>
  <c r="Z39" i="78"/>
  <c r="L16" i="86"/>
  <c r="M16" i="86" s="1"/>
  <c r="H16" i="86" s="1"/>
  <c r="G33" i="102"/>
  <c r="G33" i="95"/>
  <c r="AJ64" i="78"/>
  <c r="G33" i="93"/>
  <c r="R44" i="84"/>
  <c r="R46" i="84" s="1"/>
  <c r="U42" i="84"/>
  <c r="I33" i="89"/>
  <c r="G8" i="89"/>
  <c r="H33" i="89"/>
  <c r="AK56" i="78"/>
  <c r="I48" i="86"/>
  <c r="I47" i="86"/>
  <c r="I46" i="86"/>
  <c r="H36" i="86"/>
  <c r="H35" i="86"/>
  <c r="I35" i="86"/>
  <c r="F9" i="86"/>
  <c r="I9" i="86" s="1"/>
  <c r="H29" i="86"/>
  <c r="I28" i="86"/>
  <c r="H28" i="86"/>
  <c r="I22" i="86"/>
  <c r="F7" i="86"/>
  <c r="I7" i="86" s="1"/>
  <c r="I19" i="86"/>
  <c r="F12" i="86"/>
  <c r="F8" i="86"/>
  <c r="I8" i="86" s="1"/>
  <c r="G6" i="86"/>
  <c r="F6" i="86"/>
  <c r="E4" i="86"/>
  <c r="I33" i="102" l="1"/>
  <c r="G8" i="102"/>
  <c r="I33" i="95"/>
  <c r="G8" i="95"/>
  <c r="I6" i="86"/>
  <c r="U44" i="84"/>
  <c r="I33" i="93"/>
  <c r="G8" i="93"/>
  <c r="G10" i="93" s="1"/>
  <c r="R48" i="84"/>
  <c r="U46" i="84"/>
  <c r="H8" i="89"/>
  <c r="I8" i="89"/>
  <c r="G10" i="89"/>
  <c r="I10" i="89" s="1"/>
  <c r="G10" i="86"/>
  <c r="I12" i="86"/>
  <c r="F10" i="86"/>
  <c r="I20" i="86"/>
  <c r="H7" i="86"/>
  <c r="N61" i="70"/>
  <c r="P61" i="70" s="1"/>
  <c r="P62" i="70" s="1"/>
  <c r="S47" i="70"/>
  <c r="S48" i="70"/>
  <c r="S46" i="70"/>
  <c r="O61" i="70"/>
  <c r="R48" i="70"/>
  <c r="R46" i="70"/>
  <c r="H46" i="70"/>
  <c r="I8" i="102" l="1"/>
  <c r="G10" i="102"/>
  <c r="H8" i="102"/>
  <c r="I10" i="86"/>
  <c r="H8" i="95"/>
  <c r="G10" i="95"/>
  <c r="I8" i="95"/>
  <c r="H8" i="93"/>
  <c r="I8" i="93"/>
  <c r="R50" i="84"/>
  <c r="R52" i="84" s="1"/>
  <c r="U48" i="84"/>
  <c r="L71" i="85"/>
  <c r="N71" i="85" s="1"/>
  <c r="Q67" i="85" s="1"/>
  <c r="L70" i="85"/>
  <c r="N70" i="85" s="1"/>
  <c r="Q66" i="85" s="1"/>
  <c r="L69" i="85"/>
  <c r="N69" i="85" s="1"/>
  <c r="Q65" i="85" s="1"/>
  <c r="H10" i="102" l="1"/>
  <c r="I10" i="102"/>
  <c r="I10" i="95"/>
  <c r="H10" i="93"/>
  <c r="I10" i="93"/>
  <c r="U50" i="84"/>
  <c r="V23" i="53"/>
  <c r="X26" i="70"/>
  <c r="R54" i="84" l="1"/>
  <c r="U52" i="84"/>
  <c r="U12" i="53"/>
  <c r="T12" i="53"/>
  <c r="Q12" i="53"/>
  <c r="Q13" i="53" s="1"/>
  <c r="P15" i="53" s="1"/>
  <c r="F10" i="53" s="1"/>
  <c r="P12" i="53"/>
  <c r="P13" i="53" s="1"/>
  <c r="E10" i="53" s="1"/>
  <c r="F8" i="53"/>
  <c r="I8" i="53" s="1"/>
  <c r="E8" i="53"/>
  <c r="H8" i="53" s="1"/>
  <c r="F6" i="53"/>
  <c r="I6" i="53" s="1"/>
  <c r="E6" i="53"/>
  <c r="F5" i="53"/>
  <c r="I5" i="53" s="1"/>
  <c r="E5" i="53"/>
  <c r="D26" i="53"/>
  <c r="D24" i="53"/>
  <c r="D22" i="53"/>
  <c r="D20" i="53"/>
  <c r="D18" i="53"/>
  <c r="D16" i="53"/>
  <c r="D14" i="53"/>
  <c r="D12" i="53"/>
  <c r="D10" i="53"/>
  <c r="D8" i="53"/>
  <c r="C7" i="53"/>
  <c r="C9" i="53" s="1"/>
  <c r="C11" i="53" s="1"/>
  <c r="C13" i="53" s="1"/>
  <c r="C15" i="53" s="1"/>
  <c r="C17" i="53" s="1"/>
  <c r="C19" i="53" s="1"/>
  <c r="C21" i="53" s="1"/>
  <c r="C23" i="53" s="1"/>
  <c r="C25" i="53" s="1"/>
  <c r="C27" i="53" s="1"/>
  <c r="B7" i="53"/>
  <c r="B9" i="53" s="1"/>
  <c r="B11" i="53" s="1"/>
  <c r="B13" i="53" s="1"/>
  <c r="B15" i="53" s="1"/>
  <c r="B17" i="53" s="1"/>
  <c r="B19" i="53" s="1"/>
  <c r="B21" i="53" s="1"/>
  <c r="B23" i="53" s="1"/>
  <c r="B25" i="53" s="1"/>
  <c r="B27" i="53" s="1"/>
  <c r="D6" i="53"/>
  <c r="D5" i="53"/>
  <c r="R56" i="84" l="1"/>
  <c r="U54" i="84"/>
  <c r="G5" i="53"/>
  <c r="J5" i="53" s="1"/>
  <c r="H10" i="53"/>
  <c r="I10" i="53"/>
  <c r="G10" i="53"/>
  <c r="E7" i="53"/>
  <c r="E9" i="53" s="1"/>
  <c r="H9" i="53" s="1"/>
  <c r="K9" i="53" s="1"/>
  <c r="H5" i="53"/>
  <c r="D7" i="53"/>
  <c r="D9" i="53" s="1"/>
  <c r="D11" i="53" s="1"/>
  <c r="D13" i="53" s="1"/>
  <c r="D15" i="53" s="1"/>
  <c r="D17" i="53" s="1"/>
  <c r="D19" i="53" s="1"/>
  <c r="D21" i="53" s="1"/>
  <c r="D23" i="53" s="1"/>
  <c r="D25" i="53" s="1"/>
  <c r="D27" i="53" s="1"/>
  <c r="F7" i="53"/>
  <c r="I7" i="53" s="1"/>
  <c r="G6" i="53"/>
  <c r="J6" i="53" s="1"/>
  <c r="H6" i="53"/>
  <c r="G8" i="53"/>
  <c r="U56" i="84" l="1"/>
  <c r="R58" i="84"/>
  <c r="E11" i="53"/>
  <c r="H11" i="53" s="1"/>
  <c r="K11" i="53" s="1"/>
  <c r="J10" i="53"/>
  <c r="J8" i="53"/>
  <c r="F9" i="53"/>
  <c r="G7" i="53"/>
  <c r="J7" i="53" s="1"/>
  <c r="H7" i="53"/>
  <c r="AH27" i="84"/>
  <c r="AH25" i="84"/>
  <c r="AH23" i="84"/>
  <c r="AH21" i="84"/>
  <c r="AH19" i="84"/>
  <c r="AH17" i="84"/>
  <c r="AH15" i="84"/>
  <c r="AH13" i="84"/>
  <c r="X13" i="84"/>
  <c r="X15" i="84"/>
  <c r="X17" i="84"/>
  <c r="X19" i="84"/>
  <c r="X21" i="84"/>
  <c r="X23" i="84"/>
  <c r="X25" i="84"/>
  <c r="X27" i="84"/>
  <c r="AD6" i="84"/>
  <c r="U11" i="84"/>
  <c r="V11" i="84"/>
  <c r="T11" i="84"/>
  <c r="X11" i="84" s="1"/>
  <c r="U9" i="84"/>
  <c r="V9" i="84"/>
  <c r="T9" i="84"/>
  <c r="X9" i="84" s="1"/>
  <c r="V7" i="84"/>
  <c r="V6" i="84"/>
  <c r="T7" i="84"/>
  <c r="X7" i="84" s="1"/>
  <c r="U7" i="84"/>
  <c r="U6" i="84"/>
  <c r="T6" i="84"/>
  <c r="X6" i="84" s="1"/>
  <c r="V27" i="84"/>
  <c r="Y27" i="84" s="1"/>
  <c r="V25" i="84"/>
  <c r="Y25" i="84" s="1"/>
  <c r="V23" i="84"/>
  <c r="Y23" i="84" s="1"/>
  <c r="V21" i="84"/>
  <c r="Y21" i="84" s="1"/>
  <c r="V19" i="84"/>
  <c r="Y19" i="84" s="1"/>
  <c r="V17" i="84"/>
  <c r="Y17" i="84" s="1"/>
  <c r="V15" i="84"/>
  <c r="Y15" i="84" s="1"/>
  <c r="V13" i="84"/>
  <c r="Y13" i="84" s="1"/>
  <c r="S27" i="84"/>
  <c r="Z27" i="84" s="1"/>
  <c r="S25" i="84"/>
  <c r="Z25" i="84" s="1"/>
  <c r="S23" i="84"/>
  <c r="Z23" i="84" s="1"/>
  <c r="S21" i="84"/>
  <c r="AG21" i="84" s="1"/>
  <c r="S19" i="84"/>
  <c r="Z19" i="84" s="1"/>
  <c r="S17" i="84"/>
  <c r="Z17" i="84" s="1"/>
  <c r="S15" i="84"/>
  <c r="Z15" i="84" s="1"/>
  <c r="S13" i="84"/>
  <c r="AG13" i="84" s="1"/>
  <c r="S11" i="84"/>
  <c r="AG11" i="84" s="1"/>
  <c r="S9" i="84"/>
  <c r="AG9" i="84" s="1"/>
  <c r="AE8" i="84"/>
  <c r="AE10" i="84" s="1"/>
  <c r="AE12" i="84" s="1"/>
  <c r="AE14" i="84" s="1"/>
  <c r="AE16" i="84" s="1"/>
  <c r="AE18" i="84" s="1"/>
  <c r="AE20" i="84" s="1"/>
  <c r="AE22" i="84" s="1"/>
  <c r="AE24" i="84" s="1"/>
  <c r="AE26" i="84" s="1"/>
  <c r="AE28" i="84" s="1"/>
  <c r="AC8" i="84"/>
  <c r="AC10" i="84" s="1"/>
  <c r="AC12" i="84" s="1"/>
  <c r="AC14" i="84" s="1"/>
  <c r="AC16" i="84" s="1"/>
  <c r="AC18" i="84" s="1"/>
  <c r="AC20" i="84" s="1"/>
  <c r="AC22" i="84" s="1"/>
  <c r="AC24" i="84" s="1"/>
  <c r="AC26" i="84" s="1"/>
  <c r="AC28" i="84" s="1"/>
  <c r="R8" i="84"/>
  <c r="R10" i="84" s="1"/>
  <c r="R12" i="84" s="1"/>
  <c r="R14" i="84" s="1"/>
  <c r="R16" i="84" s="1"/>
  <c r="R18" i="84" s="1"/>
  <c r="R20" i="84" s="1"/>
  <c r="R22" i="84" s="1"/>
  <c r="R24" i="84" s="1"/>
  <c r="R26" i="84" s="1"/>
  <c r="R28" i="84" s="1"/>
  <c r="Q8" i="84"/>
  <c r="Q10" i="84" s="1"/>
  <c r="Q12" i="84" s="1"/>
  <c r="Q14" i="84" s="1"/>
  <c r="Q16" i="84" s="1"/>
  <c r="Q18" i="84" s="1"/>
  <c r="Q20" i="84" s="1"/>
  <c r="Q22" i="84" s="1"/>
  <c r="Q24" i="84" s="1"/>
  <c r="Q26" i="84" s="1"/>
  <c r="Q28" i="84" s="1"/>
  <c r="S7" i="84"/>
  <c r="AG7" i="84" s="1"/>
  <c r="S6" i="84"/>
  <c r="AG6" i="84" s="1"/>
  <c r="G36" i="84"/>
  <c r="G38" i="84" s="1"/>
  <c r="G40" i="84" s="1"/>
  <c r="G42" i="84" s="1"/>
  <c r="G44" i="84" s="1"/>
  <c r="G46" i="84" s="1"/>
  <c r="G48" i="84" s="1"/>
  <c r="G50" i="84" s="1"/>
  <c r="G52" i="84" s="1"/>
  <c r="G54" i="84" s="1"/>
  <c r="G56" i="84" s="1"/>
  <c r="F16" i="83"/>
  <c r="E37" i="82"/>
  <c r="E36" i="82"/>
  <c r="E35" i="82"/>
  <c r="E29" i="82"/>
  <c r="E28" i="82"/>
  <c r="K16" i="82"/>
  <c r="E16" i="82"/>
  <c r="E15" i="82"/>
  <c r="E37" i="80"/>
  <c r="E36" i="80"/>
  <c r="H36" i="80" s="1"/>
  <c r="E35" i="80"/>
  <c r="E29" i="80"/>
  <c r="E28" i="80"/>
  <c r="K16" i="80"/>
  <c r="E16" i="80"/>
  <c r="E15" i="80"/>
  <c r="E8" i="82"/>
  <c r="E7" i="82"/>
  <c r="E8" i="80"/>
  <c r="E7" i="80"/>
  <c r="E36" i="79"/>
  <c r="E35" i="79"/>
  <c r="E37" i="79"/>
  <c r="E29" i="79"/>
  <c r="E28" i="79"/>
  <c r="E16" i="79"/>
  <c r="E15" i="79"/>
  <c r="N6" i="84"/>
  <c r="E9" i="79" s="1"/>
  <c r="E8" i="79"/>
  <c r="E7" i="79"/>
  <c r="H7" i="79" s="1"/>
  <c r="M8" i="84"/>
  <c r="M10" i="84" s="1"/>
  <c r="M12" i="84" s="1"/>
  <c r="M14" i="84" s="1"/>
  <c r="M16" i="84" s="1"/>
  <c r="M18" i="84" s="1"/>
  <c r="M20" i="84" s="1"/>
  <c r="M22" i="84" s="1"/>
  <c r="M24" i="84" s="1"/>
  <c r="M26" i="84" s="1"/>
  <c r="M28" i="84" s="1"/>
  <c r="N7" i="84"/>
  <c r="E9" i="80" s="1"/>
  <c r="N9" i="84"/>
  <c r="E9" i="82" s="1"/>
  <c r="N11" i="84"/>
  <c r="N13" i="84"/>
  <c r="N15" i="84"/>
  <c r="N17" i="84"/>
  <c r="N19" i="84"/>
  <c r="N21" i="84"/>
  <c r="N23" i="84"/>
  <c r="N25" i="84"/>
  <c r="N27" i="84"/>
  <c r="D27" i="84"/>
  <c r="D23" i="84"/>
  <c r="D21" i="84"/>
  <c r="D19" i="84"/>
  <c r="E6" i="95" s="1"/>
  <c r="D17" i="84"/>
  <c r="D15" i="84"/>
  <c r="D13" i="84"/>
  <c r="D11" i="84"/>
  <c r="E6" i="86" s="1"/>
  <c r="D9" i="84"/>
  <c r="E6" i="82" s="1"/>
  <c r="D7" i="84"/>
  <c r="E6" i="80" s="1"/>
  <c r="D6" i="84"/>
  <c r="E6" i="79" s="1"/>
  <c r="AG19" i="84" l="1"/>
  <c r="E10" i="95"/>
  <c r="H10" i="95" s="1"/>
  <c r="H6" i="95"/>
  <c r="AG27" i="84"/>
  <c r="Y7" i="84"/>
  <c r="V8" i="84"/>
  <c r="V10" i="84" s="1"/>
  <c r="V12" i="84" s="1"/>
  <c r="E37" i="87"/>
  <c r="E37" i="103" s="1"/>
  <c r="E9" i="103" s="1"/>
  <c r="AG23" i="84"/>
  <c r="AG15" i="84"/>
  <c r="H35" i="79"/>
  <c r="E35" i="87"/>
  <c r="AG17" i="84"/>
  <c r="AG25" i="84"/>
  <c r="H28" i="79"/>
  <c r="E28" i="87"/>
  <c r="S8" i="84"/>
  <c r="S10" i="84" s="1"/>
  <c r="S12" i="84" s="1"/>
  <c r="S14" i="84" s="1"/>
  <c r="S16" i="84" s="1"/>
  <c r="S18" i="84" s="1"/>
  <c r="S20" i="84" s="1"/>
  <c r="S22" i="84" s="1"/>
  <c r="S24" i="84" s="1"/>
  <c r="S26" i="84" s="1"/>
  <c r="S28" i="84" s="1"/>
  <c r="Y6" i="84"/>
  <c r="Z21" i="84"/>
  <c r="Z13" i="84"/>
  <c r="H36" i="79"/>
  <c r="E36" i="87"/>
  <c r="E10" i="86"/>
  <c r="H10" i="86" s="1"/>
  <c r="H6" i="86"/>
  <c r="E15" i="87"/>
  <c r="H29" i="79"/>
  <c r="E29" i="87"/>
  <c r="E29" i="103" s="1"/>
  <c r="U8" i="84"/>
  <c r="Y9" i="84"/>
  <c r="E13" i="53"/>
  <c r="E15" i="53" s="1"/>
  <c r="E17" i="53" s="1"/>
  <c r="E19" i="53" s="1"/>
  <c r="E21" i="53" s="1"/>
  <c r="E23" i="53" s="1"/>
  <c r="E25" i="53" s="1"/>
  <c r="E27" i="53" s="1"/>
  <c r="K27" i="53" s="1"/>
  <c r="W7" i="84"/>
  <c r="Z7" i="84" s="1"/>
  <c r="I9" i="53"/>
  <c r="L9" i="53" s="1"/>
  <c r="F11" i="53"/>
  <c r="W9" i="84"/>
  <c r="Z9" i="84" s="1"/>
  <c r="W6" i="84"/>
  <c r="T8" i="84"/>
  <c r="W11" i="84"/>
  <c r="Z11" i="84" s="1"/>
  <c r="Y11" i="84"/>
  <c r="G9" i="53"/>
  <c r="E16" i="81"/>
  <c r="E6" i="81"/>
  <c r="E6" i="87" s="1"/>
  <c r="E37" i="83"/>
  <c r="E9" i="81"/>
  <c r="E9" i="87" s="1"/>
  <c r="E9" i="96" s="1"/>
  <c r="H9" i="96" s="1"/>
  <c r="E15" i="83"/>
  <c r="AG8" i="84"/>
  <c r="H37" i="79"/>
  <c r="E35" i="81"/>
  <c r="E28" i="83"/>
  <c r="E35" i="83"/>
  <c r="E10" i="82"/>
  <c r="E28" i="81"/>
  <c r="E16" i="83"/>
  <c r="M16" i="83" s="1"/>
  <c r="E8" i="81"/>
  <c r="E8" i="87" s="1"/>
  <c r="E8" i="100" s="1"/>
  <c r="E10" i="79"/>
  <c r="E7" i="81"/>
  <c r="E7" i="87" s="1"/>
  <c r="E7" i="100" s="1"/>
  <c r="E15" i="81"/>
  <c r="E29" i="81"/>
  <c r="E36" i="81"/>
  <c r="E29" i="83"/>
  <c r="E36" i="83"/>
  <c r="E10" i="80"/>
  <c r="E37" i="81"/>
  <c r="L8" i="84"/>
  <c r="L10" i="84" s="1"/>
  <c r="L12" i="84" s="1"/>
  <c r="L14" i="84" s="1"/>
  <c r="L16" i="84" s="1"/>
  <c r="L18" i="84" s="1"/>
  <c r="L20" i="84" s="1"/>
  <c r="L22" i="84" s="1"/>
  <c r="L24" i="84" s="1"/>
  <c r="L26" i="84" s="1"/>
  <c r="L28" i="84" s="1"/>
  <c r="K8" i="84"/>
  <c r="K10" i="84" s="1"/>
  <c r="K12" i="84" s="1"/>
  <c r="K14" i="84" s="1"/>
  <c r="K16" i="84" s="1"/>
  <c r="K18" i="84" s="1"/>
  <c r="K20" i="84" s="1"/>
  <c r="K22" i="84" s="1"/>
  <c r="K24" i="84" s="1"/>
  <c r="K26" i="84" s="1"/>
  <c r="K28" i="84" s="1"/>
  <c r="J8" i="84"/>
  <c r="C36" i="84"/>
  <c r="D36" i="84" s="1"/>
  <c r="B42" i="84"/>
  <c r="D35" i="84"/>
  <c r="D37" i="84"/>
  <c r="D39" i="84"/>
  <c r="D41" i="84"/>
  <c r="D43" i="84"/>
  <c r="D45" i="84"/>
  <c r="D47" i="84"/>
  <c r="D49" i="84"/>
  <c r="D51" i="84"/>
  <c r="D53" i="84"/>
  <c r="D55" i="84"/>
  <c r="D34" i="84"/>
  <c r="G27" i="84"/>
  <c r="G25" i="84"/>
  <c r="G23" i="84"/>
  <c r="G21" i="84"/>
  <c r="G19" i="84"/>
  <c r="G17" i="84"/>
  <c r="G15" i="84"/>
  <c r="G13" i="84"/>
  <c r="G11" i="84"/>
  <c r="G9" i="84"/>
  <c r="F8" i="84"/>
  <c r="F10" i="84" s="1"/>
  <c r="F12" i="84" s="1"/>
  <c r="F14" i="84" s="1"/>
  <c r="F16" i="84" s="1"/>
  <c r="F18" i="84" s="1"/>
  <c r="F20" i="84" s="1"/>
  <c r="E8" i="84"/>
  <c r="E10" i="84" s="1"/>
  <c r="E12" i="84" s="1"/>
  <c r="E14" i="84" s="1"/>
  <c r="E16" i="84" s="1"/>
  <c r="E18" i="84" s="1"/>
  <c r="E20" i="84" s="1"/>
  <c r="C8" i="84"/>
  <c r="C10" i="84" s="1"/>
  <c r="C12" i="84" s="1"/>
  <c r="B8" i="84"/>
  <c r="B10" i="84" s="1"/>
  <c r="B12" i="84" s="1"/>
  <c r="B14" i="84" s="1"/>
  <c r="B16" i="84" s="1"/>
  <c r="B18" i="84" s="1"/>
  <c r="G7" i="84"/>
  <c r="G6" i="84"/>
  <c r="E28" i="106" l="1"/>
  <c r="E28" i="103"/>
  <c r="E10" i="103"/>
  <c r="H9" i="103"/>
  <c r="E35" i="96"/>
  <c r="E35" i="100"/>
  <c r="E28" i="96"/>
  <c r="E28" i="100"/>
  <c r="E37" i="96"/>
  <c r="E37" i="100"/>
  <c r="E36" i="96"/>
  <c r="E36" i="100"/>
  <c r="E22" i="84"/>
  <c r="E24" i="84" s="1"/>
  <c r="E26" i="84" s="1"/>
  <c r="E28" i="84" s="1"/>
  <c r="D7" i="94" s="1"/>
  <c r="E7" i="96"/>
  <c r="F22" i="84"/>
  <c r="F24" i="84" s="1"/>
  <c r="F26" i="84" s="1"/>
  <c r="F28" i="84" s="1"/>
  <c r="D8" i="90" s="1"/>
  <c r="E8" i="96"/>
  <c r="E9" i="94"/>
  <c r="E9" i="92"/>
  <c r="B20" i="84"/>
  <c r="B22" i="84" s="1"/>
  <c r="B24" i="84" s="1"/>
  <c r="B26" i="84" s="1"/>
  <c r="B28" i="84" s="1"/>
  <c r="E15" i="94"/>
  <c r="E8" i="90"/>
  <c r="E8" i="94"/>
  <c r="E8" i="92"/>
  <c r="E37" i="94"/>
  <c r="L37" i="94" s="1"/>
  <c r="E37" i="92"/>
  <c r="E37" i="90"/>
  <c r="E6" i="92"/>
  <c r="E6" i="90"/>
  <c r="E36" i="94"/>
  <c r="L36" i="94" s="1"/>
  <c r="E36" i="92"/>
  <c r="E36" i="90"/>
  <c r="E28" i="94"/>
  <c r="E28" i="92"/>
  <c r="E28" i="90"/>
  <c r="E35" i="94"/>
  <c r="E35" i="92"/>
  <c r="E35" i="90"/>
  <c r="E29" i="94"/>
  <c r="E29" i="92"/>
  <c r="E29" i="90"/>
  <c r="D7" i="90"/>
  <c r="D7" i="92"/>
  <c r="B44" i="84"/>
  <c r="B46" i="84" s="1"/>
  <c r="B48" i="84" s="1"/>
  <c r="B50" i="84" s="1"/>
  <c r="B52" i="84" s="1"/>
  <c r="B54" i="84" s="1"/>
  <c r="B56" i="84" s="1"/>
  <c r="B59" i="84"/>
  <c r="B60" i="84" s="1"/>
  <c r="E7" i="94"/>
  <c r="H7" i="94" s="1"/>
  <c r="E7" i="92"/>
  <c r="E15" i="92"/>
  <c r="E15" i="90"/>
  <c r="Y8" i="84"/>
  <c r="U10" i="84"/>
  <c r="U12" i="84" s="1"/>
  <c r="E7" i="90"/>
  <c r="H7" i="90" s="1"/>
  <c r="E6" i="83"/>
  <c r="E10" i="87"/>
  <c r="D8" i="87"/>
  <c r="C14" i="84"/>
  <c r="C16" i="84" s="1"/>
  <c r="C18" i="84" s="1"/>
  <c r="E16" i="87"/>
  <c r="E16" i="92" s="1"/>
  <c r="D7" i="87"/>
  <c r="C38" i="84"/>
  <c r="E9" i="83"/>
  <c r="J9" i="53"/>
  <c r="M9" i="53" s="1"/>
  <c r="G11" i="53"/>
  <c r="T10" i="84"/>
  <c r="X8" i="84"/>
  <c r="F13" i="53"/>
  <c r="F15" i="53" s="1"/>
  <c r="F17" i="53" s="1"/>
  <c r="F19" i="53" s="1"/>
  <c r="F21" i="53" s="1"/>
  <c r="F23" i="53" s="1"/>
  <c r="F25" i="53" s="1"/>
  <c r="F27" i="53" s="1"/>
  <c r="L27" i="53" s="1"/>
  <c r="I11" i="53"/>
  <c r="Z6" i="84"/>
  <c r="W8" i="84"/>
  <c r="AH11" i="84"/>
  <c r="V14" i="84"/>
  <c r="AG10" i="84"/>
  <c r="AG12" i="84" s="1"/>
  <c r="AG14" i="84" s="1"/>
  <c r="AG16" i="84" s="1"/>
  <c r="AG18" i="84" s="1"/>
  <c r="AG20" i="84" s="1"/>
  <c r="AG22" i="84" s="1"/>
  <c r="AG24" i="84" s="1"/>
  <c r="AG26" i="84" s="1"/>
  <c r="AG28" i="84" s="1"/>
  <c r="E7" i="83"/>
  <c r="E8" i="83"/>
  <c r="E10" i="81"/>
  <c r="J10" i="84"/>
  <c r="N10" i="84" s="1"/>
  <c r="N8" i="84"/>
  <c r="G8" i="84"/>
  <c r="G10" i="84" s="1"/>
  <c r="G12" i="84" s="1"/>
  <c r="G14" i="84" s="1"/>
  <c r="G16" i="84" s="1"/>
  <c r="G18" i="84" s="1"/>
  <c r="G20" i="84" s="1"/>
  <c r="G22" i="84" s="1"/>
  <c r="G24" i="84" s="1"/>
  <c r="G26" i="84" s="1"/>
  <c r="G28" i="84" s="1"/>
  <c r="D8" i="84"/>
  <c r="D10" i="84" s="1"/>
  <c r="D12" i="84" s="1"/>
  <c r="D14" i="84" s="1"/>
  <c r="D16" i="84" s="1"/>
  <c r="D18" i="84" s="1"/>
  <c r="D20" i="84" s="1"/>
  <c r="D22" i="84" s="1"/>
  <c r="D24" i="84" s="1"/>
  <c r="D26" i="84" s="1"/>
  <c r="D28" i="84" s="1"/>
  <c r="D10" i="96" s="1"/>
  <c r="M37" i="81"/>
  <c r="K38" i="81"/>
  <c r="K35" i="81"/>
  <c r="K36" i="81" s="1"/>
  <c r="D7" i="83" l="1"/>
  <c r="D28" i="106"/>
  <c r="D28" i="103"/>
  <c r="D15" i="96"/>
  <c r="D15" i="100"/>
  <c r="E9" i="100"/>
  <c r="D28" i="96"/>
  <c r="D28" i="100"/>
  <c r="E15" i="96"/>
  <c r="E15" i="100"/>
  <c r="E9" i="90"/>
  <c r="D8" i="92"/>
  <c r="D8" i="83"/>
  <c r="L35" i="94"/>
  <c r="D8" i="94"/>
  <c r="D28" i="94"/>
  <c r="D28" i="92"/>
  <c r="D28" i="90"/>
  <c r="D28" i="83"/>
  <c r="E10" i="92"/>
  <c r="C20" i="84"/>
  <c r="C22" i="84" s="1"/>
  <c r="C24" i="84" s="1"/>
  <c r="C26" i="84" s="1"/>
  <c r="C28" i="84" s="1"/>
  <c r="E16" i="94"/>
  <c r="D6" i="90"/>
  <c r="D6" i="94"/>
  <c r="D6" i="92"/>
  <c r="D28" i="87"/>
  <c r="E10" i="90"/>
  <c r="Y10" i="84"/>
  <c r="U14" i="84"/>
  <c r="U16" i="84" s="1"/>
  <c r="U18" i="84" s="1"/>
  <c r="U20" i="84" s="1"/>
  <c r="U22" i="84" s="1"/>
  <c r="U24" i="84" s="1"/>
  <c r="U26" i="84" s="1"/>
  <c r="U28" i="84" s="1"/>
  <c r="Y12" i="84"/>
  <c r="E16" i="90"/>
  <c r="J12" i="84"/>
  <c r="N12" i="84" s="1"/>
  <c r="D38" i="84"/>
  <c r="C40" i="84"/>
  <c r="D6" i="83"/>
  <c r="D6" i="87"/>
  <c r="W10" i="84"/>
  <c r="Z8" i="84"/>
  <c r="L11" i="53"/>
  <c r="M11" i="53"/>
  <c r="G13" i="53"/>
  <c r="G15" i="53" s="1"/>
  <c r="G17" i="53" s="1"/>
  <c r="G19" i="53" s="1"/>
  <c r="G21" i="53" s="1"/>
  <c r="G23" i="53" s="1"/>
  <c r="G25" i="53" s="1"/>
  <c r="G27" i="53" s="1"/>
  <c r="M27" i="53" s="1"/>
  <c r="J11" i="53"/>
  <c r="X10" i="84"/>
  <c r="T12" i="84"/>
  <c r="V16" i="84"/>
  <c r="E10" i="83"/>
  <c r="D16" i="96" l="1"/>
  <c r="D16" i="100"/>
  <c r="H9" i="100"/>
  <c r="E10" i="100"/>
  <c r="J14" i="84"/>
  <c r="N14" i="84" s="1"/>
  <c r="E6" i="94"/>
  <c r="E10" i="94" s="1"/>
  <c r="E16" i="96"/>
  <c r="E6" i="96" s="1"/>
  <c r="Y14" i="84"/>
  <c r="C42" i="84"/>
  <c r="C59" i="84" s="1"/>
  <c r="C60" i="84" s="1"/>
  <c r="D40" i="84"/>
  <c r="Z10" i="84"/>
  <c r="W12" i="84"/>
  <c r="T14" i="84"/>
  <c r="X12" i="84"/>
  <c r="V18" i="84"/>
  <c r="Y16" i="84"/>
  <c r="J16" i="84"/>
  <c r="N16" i="84" s="1"/>
  <c r="F48" i="83"/>
  <c r="G48" i="83"/>
  <c r="E10" i="96" l="1"/>
  <c r="C44" i="84"/>
  <c r="D42" i="84"/>
  <c r="D59" i="84" s="1"/>
  <c r="D60" i="84" s="1"/>
  <c r="T16" i="84"/>
  <c r="X14" i="84"/>
  <c r="W14" i="84"/>
  <c r="Z12" i="84"/>
  <c r="V20" i="84"/>
  <c r="Y18" i="84"/>
  <c r="J18" i="84"/>
  <c r="N18" i="84" s="1"/>
  <c r="F43" i="83"/>
  <c r="F44" i="83"/>
  <c r="F42" i="83"/>
  <c r="F50" i="83" s="1"/>
  <c r="F36" i="83"/>
  <c r="F38" i="83"/>
  <c r="G38" i="83"/>
  <c r="F39" i="83"/>
  <c r="F29" i="83"/>
  <c r="F30" i="83"/>
  <c r="F31" i="83"/>
  <c r="F32" i="83"/>
  <c r="F33" i="83"/>
  <c r="F27" i="83"/>
  <c r="F23" i="83"/>
  <c r="F24" i="83"/>
  <c r="F25" i="83"/>
  <c r="F15" i="83"/>
  <c r="I48" i="83"/>
  <c r="I47" i="83"/>
  <c r="I46" i="83"/>
  <c r="E4" i="83"/>
  <c r="F51" i="83" l="1"/>
  <c r="F52" i="83" s="1"/>
  <c r="F53" i="83" s="1"/>
  <c r="H53" i="83" s="1"/>
  <c r="C46" i="84"/>
  <c r="I45" i="84" s="1"/>
  <c r="J45" i="84" s="1"/>
  <c r="D44" i="84"/>
  <c r="W16" i="84"/>
  <c r="Z14" i="84"/>
  <c r="T18" i="84"/>
  <c r="X16" i="84"/>
  <c r="V22" i="84"/>
  <c r="Y20" i="84"/>
  <c r="J20" i="84"/>
  <c r="N20" i="84" s="1"/>
  <c r="F12" i="83"/>
  <c r="C48" i="84" l="1"/>
  <c r="D46" i="84"/>
  <c r="W18" i="84"/>
  <c r="Z16" i="84"/>
  <c r="T20" i="84"/>
  <c r="X18" i="84"/>
  <c r="V24" i="84"/>
  <c r="Y22" i="84"/>
  <c r="J22" i="84"/>
  <c r="N22" i="84" s="1"/>
  <c r="G9" i="79"/>
  <c r="H9" i="79" s="1"/>
  <c r="G33" i="82"/>
  <c r="C50" i="84" l="1"/>
  <c r="D48" i="84"/>
  <c r="Z18" i="84"/>
  <c r="W20" i="84"/>
  <c r="X20" i="84"/>
  <c r="T22" i="84"/>
  <c r="V26" i="84"/>
  <c r="Y24" i="84"/>
  <c r="J24" i="84"/>
  <c r="N24" i="84" s="1"/>
  <c r="G33" i="79"/>
  <c r="C52" i="84" l="1"/>
  <c r="D50" i="84"/>
  <c r="X22" i="84"/>
  <c r="T24" i="84"/>
  <c r="Z20" i="84"/>
  <c r="W22" i="84"/>
  <c r="V28" i="84"/>
  <c r="Y28" i="84" s="1"/>
  <c r="Y26" i="84"/>
  <c r="J26" i="84"/>
  <c r="G8" i="79"/>
  <c r="F8" i="82"/>
  <c r="F8" i="83" s="1"/>
  <c r="G32" i="82"/>
  <c r="G31" i="82"/>
  <c r="G30" i="82"/>
  <c r="G29" i="82"/>
  <c r="H29" i="82" s="1"/>
  <c r="G28" i="82"/>
  <c r="H28" i="82" s="1"/>
  <c r="G27" i="82"/>
  <c r="F40" i="82"/>
  <c r="F37" i="82"/>
  <c r="F35" i="82"/>
  <c r="G39" i="82"/>
  <c r="G37" i="82"/>
  <c r="G36" i="82"/>
  <c r="G36" i="87" s="1"/>
  <c r="G35" i="82"/>
  <c r="I35" i="82" s="1"/>
  <c r="G43" i="82"/>
  <c r="G42" i="82"/>
  <c r="F6" i="82"/>
  <c r="G16" i="82"/>
  <c r="G15" i="82"/>
  <c r="H15" i="82" s="1"/>
  <c r="F9" i="82" l="1"/>
  <c r="F9" i="83" s="1"/>
  <c r="G36" i="96"/>
  <c r="F37" i="87"/>
  <c r="F37" i="83"/>
  <c r="G36" i="94"/>
  <c r="G36" i="92"/>
  <c r="G36" i="90"/>
  <c r="F40" i="87"/>
  <c r="F40" i="83"/>
  <c r="F35" i="87"/>
  <c r="F35" i="83"/>
  <c r="N26" i="84"/>
  <c r="J28" i="84"/>
  <c r="N28" i="84" s="1"/>
  <c r="C54" i="84"/>
  <c r="D52" i="84"/>
  <c r="G39" i="83"/>
  <c r="G39" i="87"/>
  <c r="I36" i="87"/>
  <c r="H36" i="87"/>
  <c r="G37" i="83"/>
  <c r="I37" i="83" s="1"/>
  <c r="G37" i="87"/>
  <c r="W24" i="84"/>
  <c r="Z22" i="84"/>
  <c r="I16" i="82"/>
  <c r="X24" i="84"/>
  <c r="T26" i="84"/>
  <c r="AF6" i="84"/>
  <c r="H8" i="79"/>
  <c r="H36" i="82"/>
  <c r="G36" i="83"/>
  <c r="H36" i="83" s="1"/>
  <c r="I36" i="82"/>
  <c r="G8" i="82"/>
  <c r="G22" i="82"/>
  <c r="G21" i="82"/>
  <c r="G20" i="82"/>
  <c r="G19" i="82"/>
  <c r="F22" i="82"/>
  <c r="F21" i="82"/>
  <c r="F20" i="82"/>
  <c r="F19" i="82"/>
  <c r="G17" i="82"/>
  <c r="G6" i="82" s="1"/>
  <c r="H6" i="82" s="1"/>
  <c r="G44" i="82"/>
  <c r="G12" i="82" s="1"/>
  <c r="I48" i="82"/>
  <c r="I47" i="82"/>
  <c r="I46" i="82"/>
  <c r="I43" i="82"/>
  <c r="H35" i="82"/>
  <c r="I32" i="82"/>
  <c r="I28" i="82"/>
  <c r="F12" i="82"/>
  <c r="E4" i="82"/>
  <c r="I22" i="82" l="1"/>
  <c r="I19" i="82"/>
  <c r="G37" i="103"/>
  <c r="H37" i="103" s="1"/>
  <c r="G36" i="109"/>
  <c r="G37" i="106"/>
  <c r="G39" i="103"/>
  <c r="G38" i="109"/>
  <c r="G39" i="106"/>
  <c r="F40" i="106"/>
  <c r="I40" i="106" s="1"/>
  <c r="F40" i="103"/>
  <c r="I40" i="103" s="1"/>
  <c r="F37" i="106"/>
  <c r="F37" i="103"/>
  <c r="I37" i="103" s="1"/>
  <c r="F35" i="106"/>
  <c r="F35" i="103"/>
  <c r="F40" i="100"/>
  <c r="I40" i="100" s="1"/>
  <c r="F40" i="96"/>
  <c r="I40" i="96" s="1"/>
  <c r="F37" i="100"/>
  <c r="F37" i="96"/>
  <c r="F35" i="100"/>
  <c r="F9" i="100" s="1"/>
  <c r="F35" i="96"/>
  <c r="I36" i="96"/>
  <c r="H36" i="96"/>
  <c r="G37" i="100"/>
  <c r="G37" i="96"/>
  <c r="G39" i="100"/>
  <c r="G39" i="96"/>
  <c r="I36" i="94"/>
  <c r="N36" i="94"/>
  <c r="H36" i="100"/>
  <c r="I36" i="100"/>
  <c r="F20" i="87"/>
  <c r="F20" i="96" s="1"/>
  <c r="F20" i="103" s="1"/>
  <c r="I20" i="103" s="1"/>
  <c r="F20" i="83"/>
  <c r="F35" i="94"/>
  <c r="M35" i="94" s="1"/>
  <c r="F35" i="92"/>
  <c r="F35" i="90"/>
  <c r="F9" i="87"/>
  <c r="G37" i="94"/>
  <c r="N37" i="94" s="1"/>
  <c r="G37" i="92"/>
  <c r="G37" i="90"/>
  <c r="H36" i="94"/>
  <c r="I20" i="82"/>
  <c r="G7" i="82"/>
  <c r="G39" i="94"/>
  <c r="N39" i="94" s="1"/>
  <c r="G39" i="92"/>
  <c r="G39" i="90"/>
  <c r="F22" i="87"/>
  <c r="F22" i="96" s="1"/>
  <c r="F22" i="103" s="1"/>
  <c r="I22" i="103" s="1"/>
  <c r="F22" i="83"/>
  <c r="F40" i="94"/>
  <c r="M40" i="94" s="1"/>
  <c r="F40" i="92"/>
  <c r="F40" i="90"/>
  <c r="I36" i="92"/>
  <c r="H36" i="92"/>
  <c r="F21" i="87"/>
  <c r="F21" i="96" s="1"/>
  <c r="F21" i="103" s="1"/>
  <c r="I21" i="103" s="1"/>
  <c r="F21" i="83"/>
  <c r="D9" i="90"/>
  <c r="D10" i="90" s="1"/>
  <c r="D9" i="94"/>
  <c r="D10" i="94" s="1"/>
  <c r="D9" i="92"/>
  <c r="D10" i="92" s="1"/>
  <c r="F19" i="87"/>
  <c r="F19" i="96" s="1"/>
  <c r="F19" i="103" s="1"/>
  <c r="I19" i="103" s="1"/>
  <c r="F19" i="83"/>
  <c r="F7" i="82"/>
  <c r="I36" i="90"/>
  <c r="H36" i="90"/>
  <c r="F37" i="94"/>
  <c r="M37" i="94" s="1"/>
  <c r="F37" i="92"/>
  <c r="F37" i="90"/>
  <c r="C56" i="84"/>
  <c r="D54" i="84"/>
  <c r="D9" i="83"/>
  <c r="D10" i="83" s="1"/>
  <c r="D9" i="87"/>
  <c r="D10" i="87" s="1"/>
  <c r="H37" i="83"/>
  <c r="AE62" i="78"/>
  <c r="X62" i="78" s="1"/>
  <c r="AA62" i="78" s="1"/>
  <c r="I37" i="87"/>
  <c r="H37" i="87"/>
  <c r="X26" i="84"/>
  <c r="T28" i="84"/>
  <c r="X28" i="84" s="1"/>
  <c r="Z24" i="84"/>
  <c r="W26" i="84"/>
  <c r="L16" i="82"/>
  <c r="M16" i="82" s="1"/>
  <c r="H16" i="82" s="1"/>
  <c r="AH6" i="84"/>
  <c r="I8" i="82"/>
  <c r="AF9" i="84"/>
  <c r="H8" i="82"/>
  <c r="I36" i="83"/>
  <c r="I7" i="82"/>
  <c r="I12" i="82"/>
  <c r="Q27" i="41"/>
  <c r="P27" i="41"/>
  <c r="R27" i="41"/>
  <c r="F9" i="106" l="1"/>
  <c r="D29" i="106"/>
  <c r="D29" i="103"/>
  <c r="H37" i="106"/>
  <c r="I37" i="106"/>
  <c r="H36" i="109"/>
  <c r="I36" i="109"/>
  <c r="D29" i="96"/>
  <c r="D29" i="100"/>
  <c r="F19" i="100"/>
  <c r="I19" i="96"/>
  <c r="F22" i="100"/>
  <c r="I22" i="100" s="1"/>
  <c r="I22" i="96"/>
  <c r="F21" i="100"/>
  <c r="I21" i="100" s="1"/>
  <c r="I21" i="96"/>
  <c r="M41" i="94"/>
  <c r="F9" i="96"/>
  <c r="I9" i="96" s="1"/>
  <c r="F9" i="94"/>
  <c r="F20" i="100"/>
  <c r="I20" i="100" s="1"/>
  <c r="I20" i="96"/>
  <c r="I9" i="100"/>
  <c r="I37" i="96"/>
  <c r="H37" i="96"/>
  <c r="H37" i="100"/>
  <c r="I37" i="100"/>
  <c r="H37" i="94"/>
  <c r="I37" i="94"/>
  <c r="I37" i="92"/>
  <c r="H37" i="92"/>
  <c r="F7" i="83"/>
  <c r="F10" i="82"/>
  <c r="F9" i="92"/>
  <c r="F9" i="90"/>
  <c r="F21" i="94"/>
  <c r="I21" i="94" s="1"/>
  <c r="F21" i="92"/>
  <c r="F21" i="90"/>
  <c r="D29" i="94"/>
  <c r="D29" i="92"/>
  <c r="D29" i="90"/>
  <c r="F19" i="94"/>
  <c r="I19" i="94" s="1"/>
  <c r="F19" i="92"/>
  <c r="F19" i="90"/>
  <c r="F22" i="94"/>
  <c r="F22" i="92"/>
  <c r="F22" i="90"/>
  <c r="AD9" i="84"/>
  <c r="AH9" i="84" s="1"/>
  <c r="H7" i="82"/>
  <c r="I37" i="90"/>
  <c r="H37" i="90"/>
  <c r="F20" i="94"/>
  <c r="F20" i="92"/>
  <c r="F20" i="90"/>
  <c r="D29" i="87"/>
  <c r="D29" i="83"/>
  <c r="D56" i="84"/>
  <c r="G40" i="82"/>
  <c r="Z26" i="84"/>
  <c r="W28" i="84"/>
  <c r="Z28" i="84" s="1"/>
  <c r="F7" i="100" l="1"/>
  <c r="I19" i="100"/>
  <c r="F10" i="83"/>
  <c r="G9" i="82"/>
  <c r="H9" i="82" s="1"/>
  <c r="G10" i="82" l="1"/>
  <c r="H10" i="82" s="1"/>
  <c r="I9" i="82"/>
  <c r="J16" i="76"/>
  <c r="K17" i="37" l="1"/>
  <c r="J17" i="37"/>
  <c r="K16" i="37"/>
  <c r="K18" i="37" s="1"/>
  <c r="K15" i="37"/>
  <c r="J16" i="37"/>
  <c r="J15" i="37"/>
  <c r="L17" i="37"/>
  <c r="L11" i="37"/>
  <c r="L10" i="37"/>
  <c r="L6" i="37"/>
  <c r="J18" i="37" l="1"/>
  <c r="L16" i="37"/>
  <c r="L15" i="37"/>
  <c r="J19" i="37"/>
  <c r="K19" i="37"/>
  <c r="L18" i="37"/>
  <c r="L19" i="37" l="1"/>
  <c r="K5" i="37"/>
  <c r="K7" i="37" s="1"/>
  <c r="J5" i="37"/>
  <c r="J7" i="37" s="1"/>
  <c r="K4" i="37"/>
  <c r="J4" i="37"/>
  <c r="J8" i="37" l="1"/>
  <c r="K8" i="37"/>
  <c r="L4" i="37"/>
  <c r="L5" i="37"/>
  <c r="F4" i="37"/>
  <c r="G4" i="37" s="1"/>
  <c r="L8" i="37" l="1"/>
  <c r="F50" i="80"/>
  <c r="F51" i="80" s="1"/>
  <c r="F52" i="80" s="1"/>
  <c r="K6" i="80"/>
  <c r="K7" i="80" s="1"/>
  <c r="G44" i="80" l="1"/>
  <c r="G43" i="80"/>
  <c r="G42" i="80"/>
  <c r="G17" i="80"/>
  <c r="G16" i="80"/>
  <c r="G15" i="80"/>
  <c r="H15" i="80" s="1"/>
  <c r="G44" i="79"/>
  <c r="G43" i="79"/>
  <c r="G42" i="79"/>
  <c r="G16" i="79"/>
  <c r="G15" i="79"/>
  <c r="G16" i="87" l="1"/>
  <c r="G16" i="103" s="1"/>
  <c r="I16" i="103" s="1"/>
  <c r="G42" i="87"/>
  <c r="G42" i="90" s="1"/>
  <c r="L16" i="80"/>
  <c r="M16" i="80" s="1"/>
  <c r="H16" i="80" s="1"/>
  <c r="AL59" i="78"/>
  <c r="G43" i="87"/>
  <c r="G17" i="83"/>
  <c r="G17" i="87"/>
  <c r="H15" i="79"/>
  <c r="G15" i="87"/>
  <c r="G44" i="87"/>
  <c r="G16" i="83"/>
  <c r="I16" i="83" s="1"/>
  <c r="L16" i="79"/>
  <c r="M16" i="79" s="1"/>
  <c r="H16" i="79" s="1"/>
  <c r="G42" i="83"/>
  <c r="G50" i="83" s="1"/>
  <c r="H50" i="83" s="1"/>
  <c r="G43" i="83"/>
  <c r="I43" i="83" s="1"/>
  <c r="G15" i="83"/>
  <c r="H15" i="83" s="1"/>
  <c r="G44" i="83"/>
  <c r="I44" i="83" s="1"/>
  <c r="AI56" i="78"/>
  <c r="AB56" i="78" s="1"/>
  <c r="G15" i="81"/>
  <c r="H15" i="81" s="1"/>
  <c r="I43" i="80"/>
  <c r="G16" i="90" l="1"/>
  <c r="I16" i="90" s="1"/>
  <c r="G42" i="96"/>
  <c r="G52" i="96" s="1"/>
  <c r="G42" i="100"/>
  <c r="I42" i="100" s="1"/>
  <c r="G42" i="92"/>
  <c r="G52" i="92" s="1"/>
  <c r="G57" i="92" s="1"/>
  <c r="G52" i="87"/>
  <c r="G57" i="87" s="1"/>
  <c r="G16" i="92"/>
  <c r="I16" i="92" s="1"/>
  <c r="G16" i="96"/>
  <c r="I16" i="96" s="1"/>
  <c r="G16" i="94"/>
  <c r="I16" i="94" s="1"/>
  <c r="I16" i="87"/>
  <c r="G16" i="100"/>
  <c r="G16" i="106"/>
  <c r="G15" i="109"/>
  <c r="I15" i="109" s="1"/>
  <c r="G15" i="103"/>
  <c r="H15" i="103" s="1"/>
  <c r="G14" i="109"/>
  <c r="G15" i="106"/>
  <c r="G43" i="103"/>
  <c r="G53" i="103" s="1"/>
  <c r="G42" i="109"/>
  <c r="I42" i="109" s="1"/>
  <c r="G43" i="106"/>
  <c r="I16" i="106"/>
  <c r="G44" i="103"/>
  <c r="I44" i="103" s="1"/>
  <c r="G43" i="109"/>
  <c r="I43" i="109" s="1"/>
  <c r="G44" i="106"/>
  <c r="G17" i="103"/>
  <c r="I17" i="103" s="1"/>
  <c r="G16" i="109"/>
  <c r="I16" i="109" s="1"/>
  <c r="G17" i="106"/>
  <c r="I17" i="106" s="1"/>
  <c r="G42" i="103"/>
  <c r="G52" i="103" s="1"/>
  <c r="G41" i="109"/>
  <c r="G42" i="106"/>
  <c r="I15" i="103"/>
  <c r="G42" i="94"/>
  <c r="G52" i="94" s="1"/>
  <c r="G52" i="100"/>
  <c r="G44" i="100"/>
  <c r="G44" i="96"/>
  <c r="G43" i="100"/>
  <c r="G43" i="96"/>
  <c r="G15" i="100"/>
  <c r="G15" i="96"/>
  <c r="G17" i="100"/>
  <c r="I17" i="100" s="1"/>
  <c r="G17" i="96"/>
  <c r="I17" i="96" s="1"/>
  <c r="I16" i="100"/>
  <c r="G52" i="90"/>
  <c r="G57" i="90" s="1"/>
  <c r="G17" i="94"/>
  <c r="I17" i="94" s="1"/>
  <c r="G17" i="92"/>
  <c r="G17" i="90"/>
  <c r="G44" i="94"/>
  <c r="G44" i="92"/>
  <c r="G54" i="92" s="1"/>
  <c r="G59" i="92" s="1"/>
  <c r="G44" i="90"/>
  <c r="G54" i="90" s="1"/>
  <c r="G59" i="90" s="1"/>
  <c r="G54" i="87"/>
  <c r="G59" i="87" s="1"/>
  <c r="G12" i="87"/>
  <c r="G15" i="94"/>
  <c r="I15" i="94" s="1"/>
  <c r="G15" i="92"/>
  <c r="H15" i="92" s="1"/>
  <c r="G15" i="90"/>
  <c r="H15" i="90" s="1"/>
  <c r="H15" i="87"/>
  <c r="I43" i="87"/>
  <c r="G43" i="94"/>
  <c r="I43" i="94" s="1"/>
  <c r="G43" i="92"/>
  <c r="G43" i="90"/>
  <c r="G53" i="87"/>
  <c r="G58" i="87" s="1"/>
  <c r="M16" i="87"/>
  <c r="N16" i="87" s="1"/>
  <c r="G12" i="83"/>
  <c r="G51" i="83"/>
  <c r="G52" i="83" s="1"/>
  <c r="G31" i="80"/>
  <c r="G29" i="80"/>
  <c r="G28" i="80"/>
  <c r="G27" i="80"/>
  <c r="G27" i="87" s="1"/>
  <c r="G22" i="80"/>
  <c r="G25" i="80"/>
  <c r="G6" i="80"/>
  <c r="H6" i="80" s="1"/>
  <c r="G24" i="80"/>
  <c r="G21" i="80"/>
  <c r="G20" i="80"/>
  <c r="G19" i="80"/>
  <c r="I19" i="80" s="1"/>
  <c r="F8" i="81"/>
  <c r="F8" i="87" s="1"/>
  <c r="Q22" i="70"/>
  <c r="P23" i="70"/>
  <c r="Q24" i="70"/>
  <c r="Q26" i="70"/>
  <c r="Q28" i="70"/>
  <c r="Q30" i="70"/>
  <c r="Q32" i="70"/>
  <c r="Q34" i="70"/>
  <c r="Q36" i="70"/>
  <c r="Q38" i="70"/>
  <c r="Q40" i="70"/>
  <c r="Q42" i="70"/>
  <c r="Q21" i="70"/>
  <c r="F43" i="81"/>
  <c r="G43" i="81"/>
  <c r="F44" i="81"/>
  <c r="G44" i="81"/>
  <c r="G42" i="81"/>
  <c r="F42" i="81"/>
  <c r="F50" i="81" s="1"/>
  <c r="F36" i="81"/>
  <c r="G36" i="81"/>
  <c r="F37" i="81"/>
  <c r="G37" i="81"/>
  <c r="F38" i="81"/>
  <c r="G38" i="81"/>
  <c r="F39" i="81"/>
  <c r="G39" i="81"/>
  <c r="F40" i="81"/>
  <c r="F35" i="81"/>
  <c r="F29" i="81"/>
  <c r="F30" i="81"/>
  <c r="F31" i="81"/>
  <c r="G31" i="81"/>
  <c r="F32" i="81"/>
  <c r="F33" i="81"/>
  <c r="F27" i="81"/>
  <c r="F20" i="81"/>
  <c r="F21" i="81"/>
  <c r="F22" i="81"/>
  <c r="F23" i="81"/>
  <c r="F24" i="81"/>
  <c r="F25" i="81"/>
  <c r="F19" i="81"/>
  <c r="F16" i="81"/>
  <c r="G17" i="81"/>
  <c r="F15" i="81"/>
  <c r="I42" i="103" l="1"/>
  <c r="G54" i="103"/>
  <c r="G59" i="103" s="1"/>
  <c r="G12" i="103"/>
  <c r="I12" i="103" s="1"/>
  <c r="L16" i="103"/>
  <c r="M16" i="103" s="1"/>
  <c r="I43" i="103"/>
  <c r="I42" i="106"/>
  <c r="G52" i="106"/>
  <c r="G12" i="106"/>
  <c r="I12" i="106" s="1"/>
  <c r="L16" i="106"/>
  <c r="N16" i="106" s="1"/>
  <c r="I15" i="106"/>
  <c r="H15" i="106"/>
  <c r="I41" i="109"/>
  <c r="G11" i="109"/>
  <c r="I11" i="109" s="1"/>
  <c r="L15" i="109"/>
  <c r="N15" i="109" s="1"/>
  <c r="I43" i="106"/>
  <c r="G53" i="106"/>
  <c r="H14" i="109"/>
  <c r="I14" i="109"/>
  <c r="F8" i="106"/>
  <c r="F8" i="103"/>
  <c r="F10" i="103" s="1"/>
  <c r="G27" i="103"/>
  <c r="H27" i="103" s="1"/>
  <c r="G26" i="109"/>
  <c r="G27" i="106"/>
  <c r="G54" i="106"/>
  <c r="G59" i="106" s="1"/>
  <c r="I44" i="106"/>
  <c r="L16" i="96"/>
  <c r="N16" i="96" s="1"/>
  <c r="I58" i="103"/>
  <c r="G60" i="103"/>
  <c r="L16" i="100"/>
  <c r="N16" i="100" s="1"/>
  <c r="I43" i="100"/>
  <c r="L43" i="100"/>
  <c r="N43" i="100" s="1"/>
  <c r="F8" i="100"/>
  <c r="F10" i="100" s="1"/>
  <c r="F8" i="96"/>
  <c r="I43" i="96"/>
  <c r="G53" i="96"/>
  <c r="G27" i="100"/>
  <c r="G27" i="96"/>
  <c r="G12" i="94"/>
  <c r="I12" i="94" s="1"/>
  <c r="G12" i="100"/>
  <c r="I12" i="100" s="1"/>
  <c r="G12" i="96"/>
  <c r="I12" i="96" s="1"/>
  <c r="G53" i="100"/>
  <c r="I15" i="96"/>
  <c r="H15" i="96"/>
  <c r="I44" i="96"/>
  <c r="G54" i="96"/>
  <c r="G59" i="96" s="1"/>
  <c r="I15" i="100"/>
  <c r="H15" i="100"/>
  <c r="G54" i="100"/>
  <c r="G59" i="100" s="1"/>
  <c r="I44" i="100"/>
  <c r="G54" i="94"/>
  <c r="G59" i="94" s="1"/>
  <c r="I44" i="94"/>
  <c r="L16" i="94"/>
  <c r="N16" i="94" s="1"/>
  <c r="H27" i="87"/>
  <c r="G27" i="94"/>
  <c r="I27" i="94" s="1"/>
  <c r="G27" i="92"/>
  <c r="G27" i="90"/>
  <c r="H27" i="90" s="1"/>
  <c r="I43" i="90"/>
  <c r="G53" i="90"/>
  <c r="G58" i="90" s="1"/>
  <c r="F7" i="81"/>
  <c r="F7" i="87" s="1"/>
  <c r="F7" i="96" s="1"/>
  <c r="G53" i="92"/>
  <c r="G58" i="92" s="1"/>
  <c r="I58" i="92" s="1"/>
  <c r="I43" i="92"/>
  <c r="F51" i="81"/>
  <c r="F52" i="81" s="1"/>
  <c r="F53" i="81" s="1"/>
  <c r="H53" i="81" s="1"/>
  <c r="G7" i="80"/>
  <c r="G53" i="94"/>
  <c r="G12" i="92"/>
  <c r="F8" i="94"/>
  <c r="F8" i="92"/>
  <c r="F8" i="90"/>
  <c r="F10" i="90" s="1"/>
  <c r="G12" i="90"/>
  <c r="H15" i="94"/>
  <c r="G31" i="83"/>
  <c r="G31" i="87"/>
  <c r="H29" i="80"/>
  <c r="G29" i="87"/>
  <c r="H28" i="80"/>
  <c r="G28" i="87"/>
  <c r="G51" i="81"/>
  <c r="G52" i="81" s="1"/>
  <c r="G27" i="81"/>
  <c r="G27" i="83"/>
  <c r="G28" i="81"/>
  <c r="H28" i="81" s="1"/>
  <c r="G28" i="83"/>
  <c r="G50" i="81"/>
  <c r="H50" i="81" s="1"/>
  <c r="G12" i="81"/>
  <c r="G29" i="81"/>
  <c r="H29" i="81" s="1"/>
  <c r="G29" i="83"/>
  <c r="F9" i="81"/>
  <c r="I43" i="81"/>
  <c r="G32" i="80"/>
  <c r="G35" i="80"/>
  <c r="AE61" i="78"/>
  <c r="X61" i="78" s="1"/>
  <c r="X57" i="78" s="1"/>
  <c r="G30" i="80"/>
  <c r="G30" i="87" s="1"/>
  <c r="N37" i="80"/>
  <c r="O36" i="80" s="1"/>
  <c r="G40" i="80" s="1"/>
  <c r="M40" i="79"/>
  <c r="M39" i="79"/>
  <c r="I47" i="81"/>
  <c r="G48" i="81"/>
  <c r="I48" i="81" s="1"/>
  <c r="F12" i="81"/>
  <c r="E4" i="81"/>
  <c r="I48" i="80"/>
  <c r="I47" i="80"/>
  <c r="I46" i="80"/>
  <c r="I28" i="80"/>
  <c r="I22" i="80"/>
  <c r="I20" i="80"/>
  <c r="G12" i="80"/>
  <c r="F12" i="80"/>
  <c r="E4" i="80"/>
  <c r="I27" i="103" l="1"/>
  <c r="F10" i="96"/>
  <c r="N39" i="79"/>
  <c r="AA61" i="78"/>
  <c r="G60" i="106"/>
  <c r="I58" i="106"/>
  <c r="I27" i="106"/>
  <c r="H27" i="106"/>
  <c r="F8" i="109"/>
  <c r="F10" i="109" s="1"/>
  <c r="K9" i="109" s="1"/>
  <c r="F10" i="106"/>
  <c r="G28" i="103"/>
  <c r="H28" i="103" s="1"/>
  <c r="G27" i="109"/>
  <c r="G28" i="106"/>
  <c r="G31" i="103"/>
  <c r="G30" i="109"/>
  <c r="G31" i="106"/>
  <c r="I26" i="109"/>
  <c r="H26" i="109"/>
  <c r="G29" i="103"/>
  <c r="I29" i="103" s="1"/>
  <c r="G28" i="109"/>
  <c r="G29" i="106"/>
  <c r="G30" i="103"/>
  <c r="G29" i="109"/>
  <c r="G30" i="106"/>
  <c r="G31" i="100"/>
  <c r="G31" i="96"/>
  <c r="G60" i="100"/>
  <c r="K60" i="100" s="1"/>
  <c r="I58" i="100"/>
  <c r="K58" i="100" s="1"/>
  <c r="I27" i="96"/>
  <c r="H27" i="96"/>
  <c r="H27" i="100"/>
  <c r="I27" i="100"/>
  <c r="G30" i="100"/>
  <c r="G30" i="96"/>
  <c r="G29" i="100"/>
  <c r="G29" i="96"/>
  <c r="G28" i="100"/>
  <c r="G28" i="96"/>
  <c r="I58" i="96"/>
  <c r="K58" i="96" s="1"/>
  <c r="G60" i="96"/>
  <c r="K60" i="96" s="1"/>
  <c r="G60" i="94"/>
  <c r="K60" i="94" s="1"/>
  <c r="G40" i="81"/>
  <c r="G40" i="83"/>
  <c r="I40" i="83" s="1"/>
  <c r="G40" i="87"/>
  <c r="G28" i="94"/>
  <c r="G28" i="92"/>
  <c r="G28" i="90"/>
  <c r="G31" i="94"/>
  <c r="G31" i="92"/>
  <c r="G31" i="90"/>
  <c r="AD7" i="84"/>
  <c r="AD8" i="84" s="1"/>
  <c r="AD10" i="84" s="1"/>
  <c r="H7" i="80"/>
  <c r="G7" i="83"/>
  <c r="I7" i="80"/>
  <c r="F7" i="94"/>
  <c r="I7" i="94" s="1"/>
  <c r="F7" i="92"/>
  <c r="F10" i="92" s="1"/>
  <c r="F10" i="87"/>
  <c r="I27" i="92"/>
  <c r="H27" i="92"/>
  <c r="G30" i="94"/>
  <c r="G30" i="92"/>
  <c r="G30" i="90"/>
  <c r="H27" i="94"/>
  <c r="I12" i="80"/>
  <c r="G29" i="94"/>
  <c r="I29" i="94" s="1"/>
  <c r="G29" i="92"/>
  <c r="G29" i="90"/>
  <c r="I29" i="87"/>
  <c r="H29" i="87"/>
  <c r="H35" i="80"/>
  <c r="G35" i="87"/>
  <c r="I32" i="80"/>
  <c r="G32" i="87"/>
  <c r="H28" i="87"/>
  <c r="I12" i="81"/>
  <c r="I29" i="83"/>
  <c r="H29" i="83"/>
  <c r="H28" i="83"/>
  <c r="G30" i="81"/>
  <c r="G30" i="83"/>
  <c r="G35" i="81"/>
  <c r="H35" i="81" s="1"/>
  <c r="G35" i="83"/>
  <c r="H35" i="83" s="1"/>
  <c r="G9" i="80"/>
  <c r="G32" i="81"/>
  <c r="I32" i="81" s="1"/>
  <c r="G32" i="83"/>
  <c r="I32" i="83" s="1"/>
  <c r="AA45" i="78"/>
  <c r="G33" i="80"/>
  <c r="G33" i="87" s="1"/>
  <c r="F10" i="80"/>
  <c r="F6" i="81"/>
  <c r="F10" i="81" s="1"/>
  <c r="I46" i="81"/>
  <c r="G33" i="103" l="1"/>
  <c r="I33" i="103" s="1"/>
  <c r="G32" i="109"/>
  <c r="I32" i="109" s="1"/>
  <c r="G33" i="106"/>
  <c r="I33" i="106" s="1"/>
  <c r="G35" i="103"/>
  <c r="I35" i="103" s="1"/>
  <c r="G34" i="109"/>
  <c r="G35" i="106"/>
  <c r="I28" i="109"/>
  <c r="H28" i="109"/>
  <c r="H29" i="103"/>
  <c r="H27" i="109"/>
  <c r="I27" i="109"/>
  <c r="G32" i="103"/>
  <c r="I32" i="103" s="1"/>
  <c r="G31" i="109"/>
  <c r="I31" i="109" s="1"/>
  <c r="G32" i="106"/>
  <c r="I32" i="106" s="1"/>
  <c r="H29" i="106"/>
  <c r="I29" i="106"/>
  <c r="H28" i="106"/>
  <c r="I29" i="96"/>
  <c r="H29" i="96"/>
  <c r="G35" i="96"/>
  <c r="H35" i="96" s="1"/>
  <c r="G35" i="100"/>
  <c r="I29" i="100"/>
  <c r="H29" i="100"/>
  <c r="G33" i="100"/>
  <c r="I33" i="100" s="1"/>
  <c r="G33" i="96"/>
  <c r="I33" i="96" s="1"/>
  <c r="H28" i="96"/>
  <c r="G32" i="100"/>
  <c r="I32" i="100" s="1"/>
  <c r="G32" i="96"/>
  <c r="I32" i="96" s="1"/>
  <c r="H28" i="100"/>
  <c r="I58" i="94"/>
  <c r="K58" i="94" s="1"/>
  <c r="G35" i="94"/>
  <c r="G35" i="92"/>
  <c r="G35" i="90"/>
  <c r="G9" i="87"/>
  <c r="G9" i="94" s="1"/>
  <c r="I29" i="90"/>
  <c r="H29" i="90"/>
  <c r="I29" i="92"/>
  <c r="H29" i="92"/>
  <c r="F10" i="94"/>
  <c r="H28" i="90"/>
  <c r="I40" i="87"/>
  <c r="G40" i="94"/>
  <c r="G40" i="92"/>
  <c r="I40" i="92" s="1"/>
  <c r="G40" i="90"/>
  <c r="I40" i="90" s="1"/>
  <c r="I33" i="87"/>
  <c r="G33" i="94"/>
  <c r="I33" i="94" s="1"/>
  <c r="G33" i="92"/>
  <c r="G33" i="90"/>
  <c r="I32" i="87"/>
  <c r="G32" i="94"/>
  <c r="I32" i="94" s="1"/>
  <c r="G32" i="92"/>
  <c r="I32" i="92" s="1"/>
  <c r="G32" i="90"/>
  <c r="I32" i="90" s="1"/>
  <c r="H29" i="94"/>
  <c r="H28" i="92"/>
  <c r="H7" i="83"/>
  <c r="I7" i="83"/>
  <c r="H28" i="94"/>
  <c r="I35" i="87"/>
  <c r="H35" i="87"/>
  <c r="G9" i="83"/>
  <c r="H9" i="80"/>
  <c r="I35" i="83"/>
  <c r="G9" i="81"/>
  <c r="G33" i="81"/>
  <c r="G8" i="81" s="1"/>
  <c r="G8" i="87" s="1"/>
  <c r="G33" i="83"/>
  <c r="I33" i="83" s="1"/>
  <c r="G8" i="80"/>
  <c r="I35" i="96" l="1"/>
  <c r="H35" i="103"/>
  <c r="H35" i="106"/>
  <c r="I35" i="106"/>
  <c r="G9" i="106"/>
  <c r="G8" i="103"/>
  <c r="H8" i="103" s="1"/>
  <c r="G8" i="106"/>
  <c r="I34" i="109"/>
  <c r="H34" i="109"/>
  <c r="H35" i="100"/>
  <c r="I35" i="100"/>
  <c r="G8" i="100"/>
  <c r="G8" i="96"/>
  <c r="I40" i="94"/>
  <c r="N40" i="94"/>
  <c r="I35" i="94"/>
  <c r="N35" i="94"/>
  <c r="H35" i="94"/>
  <c r="G9" i="92"/>
  <c r="G9" i="90"/>
  <c r="I9" i="87"/>
  <c r="H9" i="87"/>
  <c r="G8" i="94"/>
  <c r="G8" i="92"/>
  <c r="I8" i="87"/>
  <c r="G8" i="90"/>
  <c r="I35" i="90"/>
  <c r="H35" i="90"/>
  <c r="I35" i="92"/>
  <c r="H35" i="92"/>
  <c r="H8" i="87"/>
  <c r="H9" i="81"/>
  <c r="I9" i="83"/>
  <c r="H9" i="83"/>
  <c r="G8" i="83"/>
  <c r="I8" i="83" s="1"/>
  <c r="AF7" i="84"/>
  <c r="H8" i="80"/>
  <c r="I8" i="81"/>
  <c r="H8" i="81"/>
  <c r="I8" i="80"/>
  <c r="G10" i="80"/>
  <c r="H10" i="80" s="1"/>
  <c r="I47" i="76"/>
  <c r="G46" i="76"/>
  <c r="G48" i="76" s="1"/>
  <c r="I48" i="76" s="1"/>
  <c r="E4" i="76"/>
  <c r="H9" i="106" l="1"/>
  <c r="I9" i="106"/>
  <c r="G9" i="109"/>
  <c r="I8" i="103"/>
  <c r="G8" i="109"/>
  <c r="H8" i="106"/>
  <c r="I8" i="106"/>
  <c r="N41" i="94"/>
  <c r="I8" i="96"/>
  <c r="H8" i="96"/>
  <c r="I8" i="100"/>
  <c r="H8" i="100"/>
  <c r="H8" i="94"/>
  <c r="I8" i="94"/>
  <c r="I9" i="94"/>
  <c r="H9" i="94"/>
  <c r="H8" i="92"/>
  <c r="I8" i="92"/>
  <c r="I9" i="90"/>
  <c r="H9" i="90"/>
  <c r="H9" i="92"/>
  <c r="I9" i="92"/>
  <c r="I8" i="90"/>
  <c r="H8" i="90"/>
  <c r="H8" i="83"/>
  <c r="AH7" i="84"/>
  <c r="AH8" i="84" s="1"/>
  <c r="AH10" i="84" s="1"/>
  <c r="AH12" i="84" s="1"/>
  <c r="AH14" i="84" s="1"/>
  <c r="AH16" i="84" s="1"/>
  <c r="AH18" i="84" s="1"/>
  <c r="AH20" i="84" s="1"/>
  <c r="AH22" i="84" s="1"/>
  <c r="AH24" i="84" s="1"/>
  <c r="AH26" i="84" s="1"/>
  <c r="AH28" i="84" s="1"/>
  <c r="AF8" i="84"/>
  <c r="AF10" i="84" s="1"/>
  <c r="I46" i="76"/>
  <c r="I9" i="109" l="1"/>
  <c r="H9" i="109"/>
  <c r="I8" i="109"/>
  <c r="H8" i="109"/>
  <c r="G46" i="79"/>
  <c r="G48" i="79" s="1"/>
  <c r="F10" i="79"/>
  <c r="G20" i="79"/>
  <c r="I20" i="79" s="1"/>
  <c r="G25" i="79"/>
  <c r="G24" i="79"/>
  <c r="G23" i="79"/>
  <c r="G22" i="79"/>
  <c r="G21" i="79"/>
  <c r="G19" i="79"/>
  <c r="I32" i="79"/>
  <c r="X44" i="78"/>
  <c r="X40" i="78" s="1"/>
  <c r="X39" i="78" l="1"/>
  <c r="X56" i="78"/>
  <c r="AA44" i="78"/>
  <c r="G23" i="81"/>
  <c r="G23" i="87"/>
  <c r="G23" i="96" s="1"/>
  <c r="G23" i="103" s="1"/>
  <c r="I23" i="103" s="1"/>
  <c r="G23" i="83"/>
  <c r="G19" i="87"/>
  <c r="G19" i="83"/>
  <c r="I19" i="83" s="1"/>
  <c r="G24" i="81"/>
  <c r="G24" i="87"/>
  <c r="G24" i="83"/>
  <c r="G21" i="81"/>
  <c r="G21" i="87"/>
  <c r="G21" i="83"/>
  <c r="I21" i="83" s="1"/>
  <c r="G25" i="81"/>
  <c r="G25" i="87"/>
  <c r="G25" i="83"/>
  <c r="G22" i="81"/>
  <c r="I22" i="81" s="1"/>
  <c r="G22" i="87"/>
  <c r="G22" i="83"/>
  <c r="I22" i="83" s="1"/>
  <c r="G20" i="81"/>
  <c r="I20" i="81" s="1"/>
  <c r="G20" i="87"/>
  <c r="G20" i="83"/>
  <c r="I20" i="83" s="1"/>
  <c r="I19" i="79"/>
  <c r="G19" i="81"/>
  <c r="I19" i="81" s="1"/>
  <c r="AA71" i="78"/>
  <c r="AA74" i="78" s="1"/>
  <c r="AA70" i="78"/>
  <c r="AA63" i="78"/>
  <c r="AA57" i="78" s="1"/>
  <c r="AA46" i="78"/>
  <c r="AA47" i="78"/>
  <c r="AA49" i="78"/>
  <c r="AA50" i="78"/>
  <c r="AA51" i="78"/>
  <c r="AA53" i="78"/>
  <c r="O71" i="78"/>
  <c r="O75" i="78" s="1"/>
  <c r="O70" i="78"/>
  <c r="O69" i="78"/>
  <c r="O68" i="78"/>
  <c r="P68" i="78" s="1"/>
  <c r="O67" i="78"/>
  <c r="P67" i="78" s="1"/>
  <c r="O66" i="78"/>
  <c r="P66" i="78" s="1"/>
  <c r="O65" i="78"/>
  <c r="P65" i="78" s="1"/>
  <c r="O64" i="78"/>
  <c r="P64" i="78" s="1"/>
  <c r="O63" i="78"/>
  <c r="P63" i="78" s="1"/>
  <c r="O62" i="78"/>
  <c r="P62" i="78" s="1"/>
  <c r="O61" i="78"/>
  <c r="P61" i="78" s="1"/>
  <c r="O60" i="78"/>
  <c r="O55" i="78"/>
  <c r="O54" i="78"/>
  <c r="O53" i="78"/>
  <c r="O52" i="78"/>
  <c r="O51" i="78"/>
  <c r="P51" i="78" s="1"/>
  <c r="O50" i="78"/>
  <c r="P50" i="78" s="1"/>
  <c r="O49" i="78"/>
  <c r="P49" i="78" s="1"/>
  <c r="P48" i="78"/>
  <c r="O47" i="78"/>
  <c r="P47" i="78" s="1"/>
  <c r="P46" i="78"/>
  <c r="O45" i="78"/>
  <c r="P45" i="78" s="1"/>
  <c r="O44" i="78"/>
  <c r="AA40" i="78" l="1"/>
  <c r="O73" i="78"/>
  <c r="O56" i="78"/>
  <c r="O57" i="78" s="1"/>
  <c r="O72" i="78"/>
  <c r="AA56" i="78"/>
  <c r="AB59" i="78" s="1"/>
  <c r="P55" i="78"/>
  <c r="P57" i="78" s="1"/>
  <c r="P71" i="78"/>
  <c r="P75" i="78" s="1"/>
  <c r="P70" i="78"/>
  <c r="P54" i="78"/>
  <c r="P69" i="78"/>
  <c r="P53" i="78"/>
  <c r="P44" i="78"/>
  <c r="P52" i="78"/>
  <c r="P60" i="78"/>
  <c r="P73" i="78" s="1"/>
  <c r="G23" i="100"/>
  <c r="I23" i="96"/>
  <c r="G7" i="96"/>
  <c r="I22" i="87"/>
  <c r="I22" i="94"/>
  <c r="G22" i="92"/>
  <c r="I22" i="92" s="1"/>
  <c r="G22" i="90"/>
  <c r="I22" i="90" s="1"/>
  <c r="I19" i="87"/>
  <c r="G19" i="92"/>
  <c r="I19" i="92" s="1"/>
  <c r="G19" i="90"/>
  <c r="I19" i="90" s="1"/>
  <c r="I20" i="87"/>
  <c r="I20" i="94"/>
  <c r="G20" i="92"/>
  <c r="I20" i="92" s="1"/>
  <c r="G20" i="90"/>
  <c r="I20" i="90" s="1"/>
  <c r="G24" i="92"/>
  <c r="G24" i="90"/>
  <c r="I21" i="87"/>
  <c r="G21" i="92"/>
  <c r="I21" i="92" s="1"/>
  <c r="G21" i="90"/>
  <c r="I21" i="90" s="1"/>
  <c r="I23" i="87"/>
  <c r="G23" i="92"/>
  <c r="I23" i="92" s="1"/>
  <c r="G23" i="90"/>
  <c r="I23" i="90" s="1"/>
  <c r="G25" i="92"/>
  <c r="G25" i="90"/>
  <c r="X60" i="78"/>
  <c r="X72" i="78" s="1"/>
  <c r="X75" i="78" s="1"/>
  <c r="Q62" i="78"/>
  <c r="Q70" i="78"/>
  <c r="Q63" i="78"/>
  <c r="Q71" i="78"/>
  <c r="Q60" i="78"/>
  <c r="Q64" i="78"/>
  <c r="Q68" i="78"/>
  <c r="G7" i="81"/>
  <c r="Q66" i="78"/>
  <c r="Q67" i="78"/>
  <c r="Q61" i="78"/>
  <c r="Q65" i="78"/>
  <c r="Q69" i="78"/>
  <c r="G16" i="81"/>
  <c r="L16" i="81" s="1"/>
  <c r="M16" i="81" s="1"/>
  <c r="H16" i="81" s="1"/>
  <c r="G12" i="79"/>
  <c r="F28" i="79"/>
  <c r="F17" i="79"/>
  <c r="I48" i="79"/>
  <c r="I47" i="79"/>
  <c r="I46" i="79"/>
  <c r="I22" i="79"/>
  <c r="F12" i="79"/>
  <c r="I8" i="79"/>
  <c r="I7" i="79"/>
  <c r="E4" i="79"/>
  <c r="P72" i="78" l="1"/>
  <c r="O76" i="78"/>
  <c r="G18" i="104"/>
  <c r="I18" i="104" s="1"/>
  <c r="I23" i="100"/>
  <c r="G7" i="100"/>
  <c r="I7" i="96"/>
  <c r="H7" i="96"/>
  <c r="G7" i="87"/>
  <c r="H7" i="81"/>
  <c r="I7" i="81"/>
  <c r="AA60" i="78"/>
  <c r="AA72" i="78" s="1"/>
  <c r="AA75" i="78" s="1"/>
  <c r="F17" i="81"/>
  <c r="K16" i="81" s="1"/>
  <c r="K16" i="79"/>
  <c r="F17" i="83"/>
  <c r="F28" i="87"/>
  <c r="F28" i="83"/>
  <c r="I28" i="83" s="1"/>
  <c r="I16" i="81"/>
  <c r="P56" i="78"/>
  <c r="I28" i="79"/>
  <c r="F28" i="81"/>
  <c r="I28" i="81" s="1"/>
  <c r="Q72" i="78"/>
  <c r="G6" i="81"/>
  <c r="G6" i="79"/>
  <c r="H6" i="79" s="1"/>
  <c r="G19" i="104" l="1"/>
  <c r="I19" i="104" s="1"/>
  <c r="F28" i="106"/>
  <c r="I28" i="106" s="1"/>
  <c r="F28" i="103"/>
  <c r="I28" i="103" s="1"/>
  <c r="G20" i="104"/>
  <c r="I20" i="104" s="1"/>
  <c r="H7" i="100"/>
  <c r="I7" i="100"/>
  <c r="F28" i="100"/>
  <c r="I28" i="100" s="1"/>
  <c r="F28" i="96"/>
  <c r="I28" i="96" s="1"/>
  <c r="F28" i="94"/>
  <c r="I28" i="94" s="1"/>
  <c r="F28" i="92"/>
  <c r="I28" i="92" s="1"/>
  <c r="F28" i="90"/>
  <c r="I28" i="90" s="1"/>
  <c r="I28" i="87"/>
  <c r="G7" i="92"/>
  <c r="I7" i="87"/>
  <c r="H7" i="87"/>
  <c r="H6" i="81"/>
  <c r="G6" i="87"/>
  <c r="G10" i="79"/>
  <c r="H10" i="79" s="1"/>
  <c r="G6" i="83"/>
  <c r="G10" i="81"/>
  <c r="H36" i="76"/>
  <c r="G6" i="103" l="1"/>
  <c r="M6" i="103" s="1"/>
  <c r="O6" i="103" s="1"/>
  <c r="G6" i="106"/>
  <c r="G6" i="100"/>
  <c r="G10" i="100" s="1"/>
  <c r="I10" i="100" s="1"/>
  <c r="G6" i="96"/>
  <c r="G6" i="94"/>
  <c r="G6" i="92"/>
  <c r="G6" i="90"/>
  <c r="H7" i="92"/>
  <c r="I7" i="92"/>
  <c r="H6" i="87"/>
  <c r="G10" i="87"/>
  <c r="I10" i="87" s="1"/>
  <c r="G10" i="83"/>
  <c r="H10" i="83" s="1"/>
  <c r="H6" i="83"/>
  <c r="I10" i="81"/>
  <c r="H10" i="81"/>
  <c r="M17" i="76"/>
  <c r="G10" i="103" l="1"/>
  <c r="I6" i="103"/>
  <c r="H6" i="103"/>
  <c r="K6" i="103"/>
  <c r="H6" i="106"/>
  <c r="G6" i="109"/>
  <c r="I6" i="106"/>
  <c r="G10" i="106"/>
  <c r="I10" i="103"/>
  <c r="H10" i="103"/>
  <c r="I6" i="96"/>
  <c r="G10" i="96"/>
  <c r="H6" i="96"/>
  <c r="H6" i="100"/>
  <c r="I6" i="100"/>
  <c r="H6" i="94"/>
  <c r="I6" i="94"/>
  <c r="H6" i="90"/>
  <c r="G10" i="90"/>
  <c r="I6" i="92"/>
  <c r="H6" i="92"/>
  <c r="G10" i="92"/>
  <c r="G10" i="94"/>
  <c r="H10" i="87"/>
  <c r="I10" i="83"/>
  <c r="AD93" i="78"/>
  <c r="Z93" i="78"/>
  <c r="AA93" i="78"/>
  <c r="AB93" i="78"/>
  <c r="AC93" i="78"/>
  <c r="AE93" i="78"/>
  <c r="X93" i="78"/>
  <c r="AF92" i="78"/>
  <c r="AF82" i="78"/>
  <c r="AF83" i="78"/>
  <c r="AF84" i="78"/>
  <c r="AF85" i="78"/>
  <c r="AF86" i="78"/>
  <c r="AF87" i="78"/>
  <c r="AF88" i="78"/>
  <c r="AF89" i="78"/>
  <c r="AF90" i="78"/>
  <c r="AF91" i="78"/>
  <c r="F29" i="77"/>
  <c r="F28" i="77"/>
  <c r="G29" i="77"/>
  <c r="H29" i="77" s="1"/>
  <c r="G28" i="77"/>
  <c r="H28" i="77" s="1"/>
  <c r="G25" i="77"/>
  <c r="G22" i="77"/>
  <c r="G22" i="76" s="1"/>
  <c r="G21" i="77"/>
  <c r="G20" i="77"/>
  <c r="G19" i="77"/>
  <c r="F23" i="77"/>
  <c r="F22" i="77"/>
  <c r="F21" i="77"/>
  <c r="F20" i="77"/>
  <c r="F19" i="77"/>
  <c r="G39" i="77"/>
  <c r="F39" i="77"/>
  <c r="G35" i="77"/>
  <c r="F35" i="77"/>
  <c r="M38" i="77"/>
  <c r="M37" i="77"/>
  <c r="R98" i="78"/>
  <c r="S98" i="78"/>
  <c r="R99" i="78"/>
  <c r="S99" i="78"/>
  <c r="R100" i="78"/>
  <c r="S100" i="78"/>
  <c r="R101" i="78"/>
  <c r="S101" i="78"/>
  <c r="R102" i="78"/>
  <c r="S102" i="78"/>
  <c r="R103" i="78"/>
  <c r="S103" i="78"/>
  <c r="R104" i="78"/>
  <c r="S104" i="78"/>
  <c r="R105" i="78"/>
  <c r="S105" i="78"/>
  <c r="R106" i="78"/>
  <c r="S106" i="78"/>
  <c r="R107" i="78"/>
  <c r="S107" i="78"/>
  <c r="R108" i="78"/>
  <c r="S108" i="78"/>
  <c r="R97" i="78"/>
  <c r="S97" i="78"/>
  <c r="U81" i="78"/>
  <c r="S81" i="78"/>
  <c r="T81" i="78"/>
  <c r="S82" i="78"/>
  <c r="T82" i="78"/>
  <c r="U82" i="78"/>
  <c r="S83" i="78"/>
  <c r="T83" i="78"/>
  <c r="U83" i="78"/>
  <c r="S84" i="78"/>
  <c r="T84" i="78"/>
  <c r="U84" i="78"/>
  <c r="S85" i="78"/>
  <c r="T85" i="78"/>
  <c r="U85" i="78"/>
  <c r="S86" i="78"/>
  <c r="T86" i="78"/>
  <c r="U86" i="78"/>
  <c r="S87" i="78"/>
  <c r="T87" i="78"/>
  <c r="U87" i="78"/>
  <c r="S88" i="78"/>
  <c r="T88" i="78"/>
  <c r="U88" i="78"/>
  <c r="S89" i="78"/>
  <c r="T89" i="78"/>
  <c r="U89" i="78"/>
  <c r="S90" i="78"/>
  <c r="T90" i="78"/>
  <c r="U90" i="78"/>
  <c r="S91" i="78"/>
  <c r="T91" i="78"/>
  <c r="U91" i="78"/>
  <c r="H15" i="77"/>
  <c r="T92" i="78"/>
  <c r="U92" i="78"/>
  <c r="S92" i="78"/>
  <c r="G6" i="77"/>
  <c r="I10" i="106" l="1"/>
  <c r="H10" i="106"/>
  <c r="I6" i="109"/>
  <c r="H6" i="109"/>
  <c r="G10" i="109"/>
  <c r="L9" i="109" s="1"/>
  <c r="I10" i="96"/>
  <c r="H10" i="96"/>
  <c r="H10" i="100"/>
  <c r="H10" i="94"/>
  <c r="I10" i="94"/>
  <c r="I10" i="90"/>
  <c r="H10" i="90"/>
  <c r="M39" i="77"/>
  <c r="G40" i="77" s="1"/>
  <c r="I40" i="77" s="1"/>
  <c r="I10" i="92"/>
  <c r="H10" i="92"/>
  <c r="Z94" i="78"/>
  <c r="AF93" i="78"/>
  <c r="I10" i="109" l="1"/>
  <c r="H10" i="109"/>
  <c r="O82" i="78"/>
  <c r="O83" i="78"/>
  <c r="O84" i="78"/>
  <c r="O85" i="78"/>
  <c r="O86" i="78"/>
  <c r="P86" i="78" s="1"/>
  <c r="O87" i="78"/>
  <c r="P87" i="78" s="1"/>
  <c r="O88" i="78"/>
  <c r="P88" i="78" s="1"/>
  <c r="O89" i="78"/>
  <c r="P89" i="78" s="1"/>
  <c r="O90" i="78"/>
  <c r="P90" i="78" s="1"/>
  <c r="O91" i="78"/>
  <c r="P91" i="78" s="1"/>
  <c r="O92" i="78"/>
  <c r="O81" i="78"/>
  <c r="O108" i="78"/>
  <c r="O110" i="78" s="1"/>
  <c r="O98" i="78"/>
  <c r="O99" i="78"/>
  <c r="O100" i="78"/>
  <c r="O101" i="78"/>
  <c r="O102" i="78"/>
  <c r="O103" i="78"/>
  <c r="O104" i="78"/>
  <c r="O105" i="78"/>
  <c r="O106" i="78"/>
  <c r="O107" i="78"/>
  <c r="P92" i="78" l="1"/>
  <c r="O94" i="78"/>
  <c r="O93" i="78"/>
  <c r="O95" i="78" s="1"/>
  <c r="R81" i="78"/>
  <c r="P85" i="78"/>
  <c r="R85" i="78"/>
  <c r="P84" i="78"/>
  <c r="R84" i="78"/>
  <c r="P83" i="78"/>
  <c r="R83" i="78"/>
  <c r="P81" i="78"/>
  <c r="P82" i="78"/>
  <c r="R82" i="78"/>
  <c r="G19" i="76"/>
  <c r="D14" i="71"/>
  <c r="D15" i="71" s="1"/>
  <c r="C14" i="71"/>
  <c r="C15" i="71" s="1"/>
  <c r="P93" i="78" l="1"/>
  <c r="C23" i="71"/>
  <c r="C31" i="71"/>
  <c r="C30" i="71"/>
  <c r="C28" i="71"/>
  <c r="C27" i="71"/>
  <c r="Y28" i="71"/>
  <c r="Y29" i="71" s="1"/>
  <c r="U32" i="71"/>
  <c r="C32" i="71" l="1"/>
  <c r="C33" i="71" s="1"/>
  <c r="E9" i="61"/>
  <c r="E10" i="61" s="1"/>
  <c r="M36" i="61"/>
  <c r="N36" i="61" s="1"/>
  <c r="M37" i="61"/>
  <c r="N37" i="61" s="1"/>
  <c r="M35" i="61"/>
  <c r="N35" i="61" s="1"/>
  <c r="D10" i="61"/>
  <c r="G26" i="70"/>
  <c r="D9" i="59"/>
  <c r="D10" i="59" s="1"/>
  <c r="E9" i="59"/>
  <c r="E10" i="59" s="1"/>
  <c r="G40" i="58"/>
  <c r="I40" i="58" s="1"/>
  <c r="H37" i="58"/>
  <c r="H36" i="58"/>
  <c r="H35" i="58"/>
  <c r="R40" i="58"/>
  <c r="R41" i="58"/>
  <c r="R39" i="58"/>
  <c r="F25" i="77" l="1"/>
  <c r="I25" i="77" s="1"/>
  <c r="F24" i="77"/>
  <c r="G23" i="77"/>
  <c r="E16" i="76"/>
  <c r="E15" i="76"/>
  <c r="E9" i="77"/>
  <c r="D53" i="77"/>
  <c r="E53" i="77" s="1"/>
  <c r="F53" i="77" s="1"/>
  <c r="M50" i="77"/>
  <c r="N50" i="77" s="1"/>
  <c r="Q50" i="77"/>
  <c r="L51" i="77"/>
  <c r="O53" i="77"/>
  <c r="N55" i="77"/>
  <c r="O55" i="77"/>
  <c r="M56" i="77"/>
  <c r="M57" i="77" s="1"/>
  <c r="M59" i="77"/>
  <c r="M60" i="77" s="1"/>
  <c r="M61" i="77" s="1"/>
  <c r="N61" i="77" s="1"/>
  <c r="E6" i="76"/>
  <c r="H6" i="76" s="1"/>
  <c r="M6" i="77"/>
  <c r="N6" i="77"/>
  <c r="N7" i="77" s="1"/>
  <c r="G27" i="77"/>
  <c r="F27" i="77"/>
  <c r="Q7" i="77"/>
  <c r="P38" i="77"/>
  <c r="P37" i="77"/>
  <c r="N38" i="77"/>
  <c r="N39" i="77" s="1"/>
  <c r="M40" i="77" s="1"/>
  <c r="N40" i="77" s="1"/>
  <c r="O38" i="77"/>
  <c r="O39" i="77" s="1"/>
  <c r="F9" i="77"/>
  <c r="Q28" i="77"/>
  <c r="Q27" i="77"/>
  <c r="N29" i="77"/>
  <c r="N30" i="77" s="1"/>
  <c r="P28" i="77"/>
  <c r="P27" i="77"/>
  <c r="O29" i="77"/>
  <c r="O30" i="77" s="1"/>
  <c r="K43" i="77"/>
  <c r="K42" i="77"/>
  <c r="K15" i="77"/>
  <c r="F15" i="77" s="1"/>
  <c r="K16" i="77"/>
  <c r="F16" i="77" s="1"/>
  <c r="P29" i="77" l="1"/>
  <c r="Q29" i="77"/>
  <c r="Q30" i="77" s="1"/>
  <c r="Q31" i="77" s="1"/>
  <c r="Q32" i="77" s="1"/>
  <c r="O56" i="77"/>
  <c r="P39" i="77"/>
  <c r="P40" i="77" s="1"/>
  <c r="P41" i="77" s="1"/>
  <c r="N31" i="77"/>
  <c r="N32" i="77" s="1"/>
  <c r="F8" i="77"/>
  <c r="F27" i="76"/>
  <c r="N57" i="77"/>
  <c r="O57" i="77"/>
  <c r="M62" i="77"/>
  <c r="N56" i="77"/>
  <c r="O61" i="77"/>
  <c r="O50" i="77"/>
  <c r="M51" i="77"/>
  <c r="N51" i="77" l="1"/>
  <c r="O51" i="77"/>
  <c r="M52" i="77"/>
  <c r="O62" i="77"/>
  <c r="N62" i="77"/>
  <c r="G32" i="77"/>
  <c r="I32" i="77" s="1"/>
  <c r="H64" i="77"/>
  <c r="I48" i="77"/>
  <c r="L47" i="77"/>
  <c r="I47" i="77"/>
  <c r="I46" i="77"/>
  <c r="N44" i="77"/>
  <c r="M44" i="77"/>
  <c r="J44" i="77"/>
  <c r="I44" i="77"/>
  <c r="N43" i="77"/>
  <c r="M43" i="77"/>
  <c r="J43" i="77"/>
  <c r="I43" i="77"/>
  <c r="N42" i="77"/>
  <c r="M42" i="77"/>
  <c r="J42" i="77"/>
  <c r="I42" i="77"/>
  <c r="I37" i="77"/>
  <c r="H36" i="77"/>
  <c r="I36" i="77"/>
  <c r="H35" i="77"/>
  <c r="I31" i="77"/>
  <c r="U30" i="77"/>
  <c r="I30" i="77"/>
  <c r="I29" i="77"/>
  <c r="I28" i="77"/>
  <c r="R27" i="77"/>
  <c r="H27" i="77"/>
  <c r="I22" i="77"/>
  <c r="I21" i="77"/>
  <c r="I20" i="77"/>
  <c r="F7" i="77"/>
  <c r="I19" i="77"/>
  <c r="L18" i="77"/>
  <c r="N17" i="77"/>
  <c r="M17" i="77"/>
  <c r="J17" i="77"/>
  <c r="I17" i="77"/>
  <c r="P16" i="77"/>
  <c r="Q16" i="77" s="1"/>
  <c r="N16" i="77"/>
  <c r="M16" i="77"/>
  <c r="J16" i="77"/>
  <c r="I16" i="77"/>
  <c r="H16" i="77"/>
  <c r="N15" i="77"/>
  <c r="N18" i="77" s="1"/>
  <c r="M15" i="77"/>
  <c r="J15" i="77"/>
  <c r="I15" i="77"/>
  <c r="K14" i="77"/>
  <c r="O13" i="77"/>
  <c r="N13" i="77"/>
  <c r="G12" i="77"/>
  <c r="F12" i="77"/>
  <c r="E10" i="77"/>
  <c r="K9" i="77"/>
  <c r="K10" i="77" s="1"/>
  <c r="G9" i="77"/>
  <c r="G7" i="77"/>
  <c r="F6" i="77"/>
  <c r="E4" i="77"/>
  <c r="H64" i="76"/>
  <c r="H63" i="76"/>
  <c r="H62" i="76"/>
  <c r="E60" i="76"/>
  <c r="G58" i="76"/>
  <c r="F57" i="76"/>
  <c r="D57" i="76"/>
  <c r="D58" i="76" s="1"/>
  <c r="I54" i="76"/>
  <c r="I53" i="76"/>
  <c r="I52" i="76"/>
  <c r="I51" i="76"/>
  <c r="I50" i="76"/>
  <c r="I17" i="76"/>
  <c r="D10" i="76"/>
  <c r="N45" i="77" l="1"/>
  <c r="M18" i="77"/>
  <c r="N52" i="77"/>
  <c r="O52" i="77"/>
  <c r="I9" i="77"/>
  <c r="I12" i="77"/>
  <c r="M45" i="77"/>
  <c r="F10" i="77"/>
  <c r="I6" i="77"/>
  <c r="I33" i="77"/>
  <c r="G8" i="77"/>
  <c r="I7" i="77"/>
  <c r="I35" i="77"/>
  <c r="H6" i="77"/>
  <c r="H7" i="77"/>
  <c r="H9" i="77"/>
  <c r="I27" i="77"/>
  <c r="H37" i="77"/>
  <c r="D59" i="76"/>
  <c r="E59" i="76" s="1"/>
  <c r="E58" i="76"/>
  <c r="E10" i="76"/>
  <c r="E57" i="76"/>
  <c r="I8" i="77" l="1"/>
  <c r="H8" i="77"/>
  <c r="M63" i="77"/>
  <c r="N65" i="77"/>
  <c r="G10" i="77"/>
  <c r="O63" i="77" l="1"/>
  <c r="N63" i="77"/>
  <c r="I10" i="77"/>
  <c r="H10" i="77"/>
  <c r="M10" i="75"/>
  <c r="J10" i="75"/>
  <c r="L10" i="75" s="1"/>
  <c r="H62" i="75" l="1"/>
  <c r="H63" i="75"/>
  <c r="H64" i="75"/>
  <c r="D57" i="75"/>
  <c r="D58" i="75" s="1"/>
  <c r="E60" i="75"/>
  <c r="M50" i="74"/>
  <c r="N50" i="74"/>
  <c r="D59" i="75" l="1"/>
  <c r="E59" i="75" s="1"/>
  <c r="E58" i="75"/>
  <c r="E57" i="75"/>
  <c r="E52" i="74"/>
  <c r="F52" i="74" s="1"/>
  <c r="E53" i="74"/>
  <c r="F53" i="74" s="1"/>
  <c r="E51" i="74"/>
  <c r="F51" i="74" s="1"/>
  <c r="C52" i="74"/>
  <c r="D52" i="74" s="1"/>
  <c r="C53" i="74"/>
  <c r="D53" i="74" s="1"/>
  <c r="C51" i="74"/>
  <c r="D51" i="74" s="1"/>
  <c r="H36" i="75" l="1"/>
  <c r="E9" i="75"/>
  <c r="G37" i="74"/>
  <c r="H37" i="74" s="1"/>
  <c r="E27" i="75"/>
  <c r="F36" i="74" l="1"/>
  <c r="J21" i="23"/>
  <c r="K33" i="74"/>
  <c r="K34" i="74" s="1"/>
  <c r="F32" i="74"/>
  <c r="G32" i="74"/>
  <c r="F30" i="74"/>
  <c r="M38" i="74"/>
  <c r="M39" i="74" s="1"/>
  <c r="K38" i="74" s="1"/>
  <c r="K37" i="74"/>
  <c r="N38" i="74"/>
  <c r="N37" i="74"/>
  <c r="L28" i="74"/>
  <c r="G33" i="74" s="1"/>
  <c r="G25" i="74"/>
  <c r="G22" i="74"/>
  <c r="G21" i="74"/>
  <c r="G20" i="74"/>
  <c r="G19" i="74"/>
  <c r="F23" i="74"/>
  <c r="F22" i="74"/>
  <c r="F21" i="74"/>
  <c r="F20" i="74"/>
  <c r="F19" i="74"/>
  <c r="R27" i="74"/>
  <c r="F27" i="74"/>
  <c r="G27" i="74"/>
  <c r="F8" i="74" l="1"/>
  <c r="G8" i="74"/>
  <c r="S40" i="70" s="1"/>
  <c r="N39" i="74"/>
  <c r="O39" i="74" s="1"/>
  <c r="L37" i="74"/>
  <c r="F43" i="75" l="1"/>
  <c r="F43" i="76" s="1"/>
  <c r="F44" i="75"/>
  <c r="F44" i="76" s="1"/>
  <c r="F42" i="75"/>
  <c r="F42" i="76" s="1"/>
  <c r="I51" i="75"/>
  <c r="E7" i="75"/>
  <c r="E8" i="75"/>
  <c r="E6" i="75"/>
  <c r="G58" i="75"/>
  <c r="F57" i="75"/>
  <c r="I54" i="75"/>
  <c r="G48" i="75"/>
  <c r="F48" i="75"/>
  <c r="I47" i="75"/>
  <c r="I46" i="75"/>
  <c r="D10" i="75"/>
  <c r="E4" i="75"/>
  <c r="F12" i="74"/>
  <c r="G12" i="74"/>
  <c r="G35" i="74"/>
  <c r="F35" i="74"/>
  <c r="N17" i="74"/>
  <c r="M17" i="74"/>
  <c r="G50" i="76" l="1"/>
  <c r="I48" i="75"/>
  <c r="F12" i="75"/>
  <c r="I50" i="75"/>
  <c r="I52" i="75"/>
  <c r="F6" i="74"/>
  <c r="G6" i="74"/>
  <c r="H6" i="74" s="1"/>
  <c r="F7" i="74"/>
  <c r="G7" i="74"/>
  <c r="R40" i="70" s="1"/>
  <c r="F9" i="74"/>
  <c r="G9" i="74"/>
  <c r="H64" i="74"/>
  <c r="M59" i="74"/>
  <c r="M60" i="74" s="1"/>
  <c r="M61" i="74" s="1"/>
  <c r="I59" i="74"/>
  <c r="I57" i="74"/>
  <c r="M56" i="74"/>
  <c r="O56" i="74" s="1"/>
  <c r="O55" i="74"/>
  <c r="N55" i="74"/>
  <c r="O53" i="74"/>
  <c r="M51" i="74"/>
  <c r="O51" i="74" s="1"/>
  <c r="L51" i="74"/>
  <c r="Q50" i="74"/>
  <c r="O50" i="74"/>
  <c r="I48" i="74"/>
  <c r="L47" i="74"/>
  <c r="I47" i="74"/>
  <c r="I46" i="74"/>
  <c r="N44" i="74"/>
  <c r="M44" i="74"/>
  <c r="J44" i="74"/>
  <c r="I44" i="74"/>
  <c r="N43" i="74"/>
  <c r="M43" i="74"/>
  <c r="J43" i="74"/>
  <c r="I58" i="74"/>
  <c r="N42" i="74"/>
  <c r="N45" i="74" s="1"/>
  <c r="M42" i="74"/>
  <c r="M45" i="74" s="1"/>
  <c r="J42" i="74"/>
  <c r="I42" i="74"/>
  <c r="I40" i="74"/>
  <c r="L38" i="74"/>
  <c r="J38" i="74"/>
  <c r="I37" i="74"/>
  <c r="I36" i="74"/>
  <c r="H36" i="74"/>
  <c r="I33" i="74"/>
  <c r="I32" i="74"/>
  <c r="I31" i="74"/>
  <c r="U30" i="74"/>
  <c r="I30" i="74"/>
  <c r="I29" i="74"/>
  <c r="I28" i="74"/>
  <c r="I27" i="74"/>
  <c r="H27" i="74"/>
  <c r="I23" i="74"/>
  <c r="I22" i="74"/>
  <c r="I21" i="74"/>
  <c r="I20" i="74"/>
  <c r="I19" i="74"/>
  <c r="L18" i="74"/>
  <c r="J17" i="74"/>
  <c r="I17" i="74"/>
  <c r="P16" i="74"/>
  <c r="Q16" i="74" s="1"/>
  <c r="N16" i="74"/>
  <c r="M16" i="74"/>
  <c r="J16" i="74"/>
  <c r="I16" i="74"/>
  <c r="H16" i="74"/>
  <c r="N15" i="74"/>
  <c r="M15" i="74"/>
  <c r="J15" i="74"/>
  <c r="I15" i="74"/>
  <c r="H15" i="74"/>
  <c r="K14" i="74"/>
  <c r="N13" i="74"/>
  <c r="O13" i="74" s="1"/>
  <c r="K9" i="74"/>
  <c r="K10" i="74" s="1"/>
  <c r="E10" i="74"/>
  <c r="E4" i="74"/>
  <c r="N18" i="74" l="1"/>
  <c r="H9" i="74"/>
  <c r="T40" i="70"/>
  <c r="U40" i="70" s="1"/>
  <c r="M18" i="74"/>
  <c r="N51" i="74"/>
  <c r="M52" i="74"/>
  <c r="I6" i="74"/>
  <c r="I12" i="74"/>
  <c r="H8" i="74"/>
  <c r="M62" i="74"/>
  <c r="O61" i="74"/>
  <c r="N61" i="74"/>
  <c r="I8" i="74"/>
  <c r="I43" i="74"/>
  <c r="I9" i="74"/>
  <c r="H35" i="74"/>
  <c r="N56" i="74"/>
  <c r="M57" i="74"/>
  <c r="I35" i="74"/>
  <c r="E62" i="70"/>
  <c r="O52" i="74" l="1"/>
  <c r="N52" i="74"/>
  <c r="N62" i="74"/>
  <c r="N65" i="74" s="1"/>
  <c r="O62" i="74"/>
  <c r="M63" i="74"/>
  <c r="N57" i="74"/>
  <c r="O57" i="74"/>
  <c r="F10" i="74"/>
  <c r="H7" i="74"/>
  <c r="G10" i="74"/>
  <c r="I7" i="74"/>
  <c r="O63" i="74" l="1"/>
  <c r="N63" i="74"/>
  <c r="I10" i="74"/>
  <c r="H10" i="74"/>
  <c r="O23" i="71"/>
  <c r="O17" i="71"/>
  <c r="U24" i="71"/>
  <c r="V24" i="71" s="1"/>
  <c r="D23" i="71"/>
  <c r="Y15" i="71"/>
  <c r="Z15" i="71" s="1"/>
  <c r="AA15" i="71" s="1"/>
  <c r="R30" i="71"/>
  <c r="R24" i="71"/>
  <c r="O24" i="71"/>
  <c r="O25" i="71"/>
  <c r="O26" i="71"/>
  <c r="O27" i="71"/>
  <c r="O28" i="71"/>
  <c r="O29" i="71"/>
  <c r="O30" i="71"/>
  <c r="O21" i="71"/>
  <c r="R25" i="71"/>
  <c r="O16" i="71"/>
  <c r="P16" i="71" s="1"/>
  <c r="P17" i="71" l="1"/>
  <c r="R16" i="71"/>
  <c r="R29" i="71"/>
  <c r="R27" i="71"/>
  <c r="R26" i="71" l="1"/>
  <c r="R28" i="71" l="1"/>
  <c r="R17" i="71" l="1"/>
  <c r="O18" i="71"/>
  <c r="P18" i="71" s="1"/>
  <c r="O19" i="71"/>
  <c r="O20" i="71"/>
  <c r="Q22" i="71"/>
  <c r="Q31" i="71" s="1"/>
  <c r="N22" i="71"/>
  <c r="N31" i="71" s="1"/>
  <c r="N10" i="71"/>
  <c r="R9" i="71"/>
  <c r="O22" i="71" l="1"/>
  <c r="O31" i="71" s="1"/>
  <c r="R18" i="71"/>
  <c r="P19" i="71"/>
  <c r="P20" i="71" l="1"/>
  <c r="R19" i="71"/>
  <c r="G39" i="73"/>
  <c r="F39" i="73"/>
  <c r="N55" i="72"/>
  <c r="M51" i="72"/>
  <c r="O51" i="72" s="1"/>
  <c r="L51" i="72"/>
  <c r="G36" i="72"/>
  <c r="H36" i="72" s="1"/>
  <c r="E9" i="72"/>
  <c r="F37" i="72"/>
  <c r="N50" i="72"/>
  <c r="O50" i="72"/>
  <c r="I40" i="72"/>
  <c r="Q50" i="72"/>
  <c r="M59" i="72"/>
  <c r="M60" i="72" s="1"/>
  <c r="M61" i="72" s="1"/>
  <c r="E9" i="73"/>
  <c r="E10" i="75" s="1"/>
  <c r="O55" i="72"/>
  <c r="M56" i="72"/>
  <c r="M57" i="72" s="1"/>
  <c r="O53" i="72"/>
  <c r="O57" i="72" l="1"/>
  <c r="N57" i="72"/>
  <c r="M62" i="72"/>
  <c r="O61" i="72"/>
  <c r="N61" i="72"/>
  <c r="I39" i="73"/>
  <c r="O56" i="72"/>
  <c r="N56" i="72"/>
  <c r="P21" i="71"/>
  <c r="R20" i="71"/>
  <c r="M52" i="72"/>
  <c r="N51" i="72"/>
  <c r="H16" i="72"/>
  <c r="M63" i="72" l="1"/>
  <c r="O62" i="72"/>
  <c r="N62" i="72"/>
  <c r="N65" i="72" s="1"/>
  <c r="R21" i="71"/>
  <c r="P22" i="71"/>
  <c r="N52" i="72"/>
  <c r="O52" i="72"/>
  <c r="F57" i="72"/>
  <c r="H57" i="72" s="1"/>
  <c r="D58" i="72"/>
  <c r="F58" i="72" s="1"/>
  <c r="H58" i="72" s="1"/>
  <c r="D59" i="72"/>
  <c r="F59" i="72" s="1"/>
  <c r="H59" i="72" s="1"/>
  <c r="D57" i="72"/>
  <c r="K9" i="72"/>
  <c r="K10" i="72" s="1"/>
  <c r="N13" i="72"/>
  <c r="O13" i="72" s="1"/>
  <c r="N17" i="72"/>
  <c r="N15" i="72"/>
  <c r="N63" i="72" l="1"/>
  <c r="O63" i="72"/>
  <c r="P23" i="71"/>
  <c r="R23" i="71" s="1"/>
  <c r="R22" i="71"/>
  <c r="R31" i="71" l="1"/>
  <c r="P31" i="71"/>
  <c r="E10" i="73"/>
  <c r="G36" i="73"/>
  <c r="E54" i="72"/>
  <c r="G54" i="72" s="1"/>
  <c r="D54" i="72"/>
  <c r="F54" i="72" s="1"/>
  <c r="D53" i="72"/>
  <c r="F53" i="72" s="1"/>
  <c r="E51" i="72"/>
  <c r="G51" i="72" s="1"/>
  <c r="D52" i="72"/>
  <c r="F52" i="72" s="1"/>
  <c r="E53" i="72"/>
  <c r="G53" i="72" s="1"/>
  <c r="J22" i="24"/>
  <c r="K22" i="24"/>
  <c r="I36" i="73" l="1"/>
  <c r="H36" i="73"/>
  <c r="F12" i="73" l="1"/>
  <c r="K37" i="72" l="1"/>
  <c r="K38" i="72" s="1"/>
  <c r="F32" i="72"/>
  <c r="L37" i="72" l="1"/>
  <c r="L38" i="72" s="1"/>
  <c r="F36" i="72"/>
  <c r="L28" i="72"/>
  <c r="L29" i="72" s="1"/>
  <c r="G35" i="72"/>
  <c r="F35" i="72"/>
  <c r="G37" i="72"/>
  <c r="I35" i="72" l="1"/>
  <c r="D50" i="72"/>
  <c r="F50" i="72" s="1"/>
  <c r="F9" i="72"/>
  <c r="I36" i="72"/>
  <c r="D51" i="72"/>
  <c r="F51" i="72" s="1"/>
  <c r="I37" i="72"/>
  <c r="H37" i="72"/>
  <c r="E52" i="72"/>
  <c r="G52" i="72" s="1"/>
  <c r="G9" i="72"/>
  <c r="E50" i="72"/>
  <c r="G50" i="72" s="1"/>
  <c r="N34" i="72"/>
  <c r="N35" i="72" s="1"/>
  <c r="G27" i="72"/>
  <c r="T38" i="70" l="1"/>
  <c r="H9" i="72"/>
  <c r="H27" i="72"/>
  <c r="F24" i="73"/>
  <c r="G25" i="72"/>
  <c r="G25" i="75" s="1"/>
  <c r="G25" i="76" s="1"/>
  <c r="G24" i="72"/>
  <c r="G23" i="72"/>
  <c r="G22" i="72"/>
  <c r="G21" i="72"/>
  <c r="G20" i="72"/>
  <c r="G19" i="72"/>
  <c r="F25" i="72"/>
  <c r="F25" i="75" s="1"/>
  <c r="F25" i="76" s="1"/>
  <c r="F24" i="72"/>
  <c r="F23" i="72"/>
  <c r="F22" i="72"/>
  <c r="F21" i="72"/>
  <c r="F20" i="72"/>
  <c r="F19" i="72"/>
  <c r="G29" i="72"/>
  <c r="G28" i="72"/>
  <c r="G8" i="72" l="1"/>
  <c r="S38" i="70" s="1"/>
  <c r="G25" i="73"/>
  <c r="I25" i="76"/>
  <c r="I25" i="75"/>
  <c r="F25" i="73"/>
  <c r="G48" i="73"/>
  <c r="F48" i="73"/>
  <c r="I47" i="73"/>
  <c r="I46" i="73"/>
  <c r="L37" i="73"/>
  <c r="L38" i="73" s="1"/>
  <c r="K37" i="73"/>
  <c r="K38" i="73" s="1"/>
  <c r="K33" i="73"/>
  <c r="D10" i="73"/>
  <c r="E4" i="73"/>
  <c r="H15" i="72"/>
  <c r="P16" i="72"/>
  <c r="Q16" i="72" s="1"/>
  <c r="F12" i="72"/>
  <c r="J43" i="72"/>
  <c r="J42" i="72"/>
  <c r="G43" i="72"/>
  <c r="E58" i="72" s="1"/>
  <c r="G58" i="72" s="1"/>
  <c r="I58" i="72" s="1"/>
  <c r="G42" i="72"/>
  <c r="E57" i="72" s="1"/>
  <c r="G57" i="72" s="1"/>
  <c r="I57" i="72" s="1"/>
  <c r="L16" i="72"/>
  <c r="G44" i="72"/>
  <c r="E59" i="72" s="1"/>
  <c r="G59" i="72" s="1"/>
  <c r="I59" i="72" s="1"/>
  <c r="M44" i="72"/>
  <c r="N16" i="72" l="1"/>
  <c r="L18" i="72"/>
  <c r="I48" i="73"/>
  <c r="H35" i="72"/>
  <c r="P12" i="70"/>
  <c r="P13" i="70" s="1"/>
  <c r="Q11" i="70"/>
  <c r="R11" i="70" s="1"/>
  <c r="R12" i="70" s="1"/>
  <c r="F6" i="72"/>
  <c r="G7" i="72"/>
  <c r="R38" i="70" s="1"/>
  <c r="U38" i="70" s="1"/>
  <c r="F7" i="72"/>
  <c r="F7" i="73" s="1"/>
  <c r="F7" i="76" s="1"/>
  <c r="T34" i="70"/>
  <c r="T32" i="70"/>
  <c r="T30" i="70"/>
  <c r="T28" i="70"/>
  <c r="T26" i="70"/>
  <c r="T24" i="70"/>
  <c r="T22" i="70"/>
  <c r="T21" i="70"/>
  <c r="R36" i="70"/>
  <c r="S34" i="70"/>
  <c r="R34" i="70"/>
  <c r="U34" i="70" s="1"/>
  <c r="S32" i="70"/>
  <c r="R32" i="70"/>
  <c r="S30" i="70"/>
  <c r="R30" i="70"/>
  <c r="U30" i="70" s="1"/>
  <c r="S28" i="70"/>
  <c r="R28" i="70"/>
  <c r="S26" i="70"/>
  <c r="R26" i="70"/>
  <c r="U26" i="70" s="1"/>
  <c r="S24" i="70"/>
  <c r="R24" i="70"/>
  <c r="S22" i="70"/>
  <c r="R22" i="70"/>
  <c r="U22" i="70" s="1"/>
  <c r="S21" i="70"/>
  <c r="R21" i="70"/>
  <c r="E10" i="72"/>
  <c r="N12" i="70"/>
  <c r="O12" i="70" s="1"/>
  <c r="H64" i="72"/>
  <c r="H56" i="72"/>
  <c r="H55" i="72"/>
  <c r="I48" i="72"/>
  <c r="L47" i="72"/>
  <c r="I47" i="72"/>
  <c r="I46" i="72"/>
  <c r="N44" i="72"/>
  <c r="J44" i="72"/>
  <c r="I44" i="72"/>
  <c r="N43" i="72"/>
  <c r="M43" i="72"/>
  <c r="I43" i="72"/>
  <c r="N42" i="72"/>
  <c r="M42" i="72"/>
  <c r="I42" i="72"/>
  <c r="J38" i="72"/>
  <c r="I33" i="72"/>
  <c r="I32" i="72"/>
  <c r="I31" i="72"/>
  <c r="U30" i="72"/>
  <c r="I30" i="72"/>
  <c r="I29" i="72"/>
  <c r="R28" i="72"/>
  <c r="Q28" i="72"/>
  <c r="I28" i="72"/>
  <c r="P27" i="72"/>
  <c r="P28" i="72" s="1"/>
  <c r="O27" i="72"/>
  <c r="O28" i="72" s="1"/>
  <c r="I27" i="72"/>
  <c r="M24" i="72"/>
  <c r="M25" i="72" s="1"/>
  <c r="I23" i="72"/>
  <c r="I22" i="72"/>
  <c r="I21" i="72"/>
  <c r="I20" i="72"/>
  <c r="I19" i="72"/>
  <c r="M17" i="72"/>
  <c r="J17" i="72"/>
  <c r="I17" i="72"/>
  <c r="M16" i="72"/>
  <c r="J16" i="72"/>
  <c r="I16" i="72"/>
  <c r="M15" i="72"/>
  <c r="J15" i="72"/>
  <c r="I15" i="72"/>
  <c r="K14" i="72"/>
  <c r="G12" i="72"/>
  <c r="I9" i="72"/>
  <c r="H8" i="72"/>
  <c r="F8" i="72"/>
  <c r="G6" i="72"/>
  <c r="H6" i="72" s="1"/>
  <c r="E4" i="72"/>
  <c r="U21" i="70" l="1"/>
  <c r="U24" i="70"/>
  <c r="U32" i="70"/>
  <c r="S23" i="70"/>
  <c r="S25" i="70" s="1"/>
  <c r="S27" i="70" s="1"/>
  <c r="S29" i="70" s="1"/>
  <c r="S31" i="70" s="1"/>
  <c r="S33" i="70" s="1"/>
  <c r="S35" i="70" s="1"/>
  <c r="T23" i="70"/>
  <c r="T25" i="70" s="1"/>
  <c r="T27" i="70" s="1"/>
  <c r="T29" i="70" s="1"/>
  <c r="T31" i="70" s="1"/>
  <c r="T33" i="70" s="1"/>
  <c r="T35" i="70" s="1"/>
  <c r="U28" i="70"/>
  <c r="T46" i="70"/>
  <c r="F7" i="75"/>
  <c r="I7" i="72"/>
  <c r="H7" i="72"/>
  <c r="R23" i="70"/>
  <c r="R25" i="70" s="1"/>
  <c r="R27" i="70" s="1"/>
  <c r="R29" i="70" s="1"/>
  <c r="R31" i="70" s="1"/>
  <c r="R33" i="70" s="1"/>
  <c r="R35" i="70" s="1"/>
  <c r="R37" i="70" s="1"/>
  <c r="R39" i="70" s="1"/>
  <c r="R41" i="70" s="1"/>
  <c r="R43" i="70" s="1"/>
  <c r="P25" i="70"/>
  <c r="P27" i="70" s="1"/>
  <c r="P29" i="70" s="1"/>
  <c r="P31" i="70" s="1"/>
  <c r="P33" i="70" s="1"/>
  <c r="P35" i="70" s="1"/>
  <c r="P37" i="70" s="1"/>
  <c r="O23" i="70"/>
  <c r="O25" i="70" s="1"/>
  <c r="O27" i="70" s="1"/>
  <c r="O29" i="70" s="1"/>
  <c r="O31" i="70" s="1"/>
  <c r="O33" i="70" s="1"/>
  <c r="O35" i="70" s="1"/>
  <c r="O37" i="70" s="1"/>
  <c r="O39" i="70" s="1"/>
  <c r="O41" i="70" s="1"/>
  <c r="O43" i="70" s="1"/>
  <c r="N23" i="70"/>
  <c r="I8" i="72"/>
  <c r="F10" i="72"/>
  <c r="G10" i="72"/>
  <c r="H10" i="72" s="1"/>
  <c r="I6" i="72"/>
  <c r="I12" i="72"/>
  <c r="P10" i="71"/>
  <c r="Q10" i="71"/>
  <c r="O10" i="71"/>
  <c r="R10" i="71"/>
  <c r="J14" i="71"/>
  <c r="I14" i="71"/>
  <c r="N25" i="70" l="1"/>
  <c r="Q23" i="70"/>
  <c r="U23" i="70" s="1"/>
  <c r="P39" i="70"/>
  <c r="P41" i="70" s="1"/>
  <c r="P43" i="70" s="1"/>
  <c r="I10" i="72"/>
  <c r="O19" i="69"/>
  <c r="O17" i="69"/>
  <c r="N27" i="70" l="1"/>
  <c r="Q25" i="70"/>
  <c r="U25" i="70" s="1"/>
  <c r="N14" i="69"/>
  <c r="N29" i="70" l="1"/>
  <c r="Q27" i="70"/>
  <c r="U27" i="70" s="1"/>
  <c r="F23" i="70"/>
  <c r="F25" i="70" s="1"/>
  <c r="H23" i="70"/>
  <c r="H25" i="70" s="1"/>
  <c r="I23" i="70"/>
  <c r="E23" i="70"/>
  <c r="G22" i="70"/>
  <c r="J22" i="70" s="1"/>
  <c r="G24" i="70"/>
  <c r="J24" i="70" s="1"/>
  <c r="J26" i="70"/>
  <c r="G28" i="70"/>
  <c r="G30" i="70"/>
  <c r="J30" i="70" s="1"/>
  <c r="G32" i="70"/>
  <c r="J32" i="70" s="1"/>
  <c r="G34" i="70"/>
  <c r="J34" i="70" s="1"/>
  <c r="G36" i="70"/>
  <c r="J36" i="70" s="1"/>
  <c r="G38" i="70"/>
  <c r="J38" i="70" s="1"/>
  <c r="G40" i="70"/>
  <c r="J40" i="70" s="1"/>
  <c r="G42" i="70"/>
  <c r="G21" i="70"/>
  <c r="D10" i="69"/>
  <c r="E10" i="69"/>
  <c r="J28" i="70" l="1"/>
  <c r="G46" i="70"/>
  <c r="E25" i="70"/>
  <c r="E27" i="70" s="1"/>
  <c r="E29" i="70" s="1"/>
  <c r="E31" i="70" s="1"/>
  <c r="E33" i="70" s="1"/>
  <c r="E35" i="70" s="1"/>
  <c r="E37" i="70" s="1"/>
  <c r="E39" i="70" s="1"/>
  <c r="E41" i="70" s="1"/>
  <c r="G23" i="70"/>
  <c r="J42" i="70"/>
  <c r="F27" i="70"/>
  <c r="F29" i="70" s="1"/>
  <c r="F31" i="70" s="1"/>
  <c r="F33" i="70" s="1"/>
  <c r="F35" i="70" s="1"/>
  <c r="F37" i="70" s="1"/>
  <c r="F39" i="70" s="1"/>
  <c r="F41" i="70" s="1"/>
  <c r="F43" i="70" s="1"/>
  <c r="Q29" i="70"/>
  <c r="U29" i="70" s="1"/>
  <c r="N31" i="70"/>
  <c r="F48" i="70"/>
  <c r="H27" i="70"/>
  <c r="H29" i="70" s="1"/>
  <c r="H31" i="70" s="1"/>
  <c r="H33" i="70" s="1"/>
  <c r="H35" i="70" s="1"/>
  <c r="H37" i="70" s="1"/>
  <c r="H39" i="70" s="1"/>
  <c r="H41" i="70" s="1"/>
  <c r="I25" i="70"/>
  <c r="I27" i="70" s="1"/>
  <c r="I29" i="70" s="1"/>
  <c r="I31" i="70" s="1"/>
  <c r="I33" i="70" s="1"/>
  <c r="I35" i="70" s="1"/>
  <c r="I37" i="70" s="1"/>
  <c r="I39" i="70" s="1"/>
  <c r="I41" i="70" s="1"/>
  <c r="J21" i="70"/>
  <c r="K15" i="70"/>
  <c r="J13" i="70"/>
  <c r="J14" i="70"/>
  <c r="J12" i="70"/>
  <c r="K13" i="70"/>
  <c r="K14" i="70"/>
  <c r="K12" i="70"/>
  <c r="F15" i="70"/>
  <c r="I43" i="70" l="1"/>
  <c r="I48" i="70"/>
  <c r="H43" i="70"/>
  <c r="H48" i="70"/>
  <c r="N33" i="70"/>
  <c r="Q31" i="70"/>
  <c r="U31" i="70" s="1"/>
  <c r="E43" i="70"/>
  <c r="E48" i="70"/>
  <c r="G25" i="70"/>
  <c r="J23" i="70"/>
  <c r="F6" i="62"/>
  <c r="G27" i="70" l="1"/>
  <c r="G29" i="70" s="1"/>
  <c r="G31" i="70" s="1"/>
  <c r="G33" i="70" s="1"/>
  <c r="G35" i="70" s="1"/>
  <c r="G37" i="70" s="1"/>
  <c r="G39" i="70" s="1"/>
  <c r="G41" i="70" s="1"/>
  <c r="N35" i="70"/>
  <c r="Q33" i="70"/>
  <c r="U33" i="70" s="1"/>
  <c r="J25" i="70"/>
  <c r="G36" i="69"/>
  <c r="H36" i="69" s="1"/>
  <c r="S32" i="69"/>
  <c r="S33" i="69" s="1"/>
  <c r="T31" i="69"/>
  <c r="T32" i="69" s="1"/>
  <c r="T33" i="69" s="1"/>
  <c r="T34" i="69" s="1"/>
  <c r="G48" i="70" l="1"/>
  <c r="G43" i="70"/>
  <c r="N37" i="70"/>
  <c r="Q35" i="70"/>
  <c r="U35" i="70" s="1"/>
  <c r="J27" i="70"/>
  <c r="E35" i="69"/>
  <c r="R31" i="69"/>
  <c r="R32" i="69" s="1"/>
  <c r="R33" i="69" s="1"/>
  <c r="N39" i="70" l="1"/>
  <c r="Q37" i="70"/>
  <c r="J29" i="70"/>
  <c r="J31" i="70" s="1"/>
  <c r="J33" i="70" s="1"/>
  <c r="J35" i="70" s="1"/>
  <c r="J37" i="70" s="1"/>
  <c r="J39" i="70" s="1"/>
  <c r="J41" i="70" s="1"/>
  <c r="J43" i="70" s="1"/>
  <c r="Q39" i="70" l="1"/>
  <c r="N41" i="70"/>
  <c r="I40" i="68"/>
  <c r="Q41" i="70" l="1"/>
  <c r="N43" i="70"/>
  <c r="S14" i="69"/>
  <c r="Q43" i="70" l="1"/>
  <c r="P27" i="68"/>
  <c r="P28" i="68" s="1"/>
  <c r="O27" i="68"/>
  <c r="O28" i="68" s="1"/>
  <c r="I35" i="49" l="1"/>
  <c r="I40" i="49"/>
  <c r="O34" i="69" l="1"/>
  <c r="O33" i="69"/>
  <c r="B52" i="49"/>
  <c r="U9" i="49"/>
  <c r="U10" i="49" s="1"/>
  <c r="S20" i="69"/>
  <c r="Q41" i="69"/>
  <c r="P41" i="69"/>
  <c r="R40" i="69"/>
  <c r="I47" i="69" l="1"/>
  <c r="I46" i="69"/>
  <c r="F20" i="68" l="1"/>
  <c r="G24" i="68"/>
  <c r="G24" i="73" s="1"/>
  <c r="I24" i="73" s="1"/>
  <c r="F23" i="68"/>
  <c r="G22" i="68"/>
  <c r="F22" i="68"/>
  <c r="G21" i="68"/>
  <c r="F21" i="68"/>
  <c r="G20" i="68"/>
  <c r="N43" i="68" l="1"/>
  <c r="N44" i="68"/>
  <c r="N42" i="68"/>
  <c r="M42" i="68"/>
  <c r="G32" i="68"/>
  <c r="G8" i="68" l="1"/>
  <c r="K37" i="68"/>
  <c r="K38" i="68" s="1"/>
  <c r="J38" i="68" s="1"/>
  <c r="M39" i="68"/>
  <c r="L38" i="68" s="1"/>
  <c r="L37" i="68"/>
  <c r="G39" i="68"/>
  <c r="G36" i="68"/>
  <c r="S36" i="70" l="1"/>
  <c r="F35" i="68"/>
  <c r="G35" i="68"/>
  <c r="I35" i="68" l="1"/>
  <c r="G9" i="68"/>
  <c r="T36" i="70" s="1"/>
  <c r="T37" i="70" s="1"/>
  <c r="T39" i="70" s="1"/>
  <c r="S37" i="70"/>
  <c r="F25" i="69"/>
  <c r="G25" i="69"/>
  <c r="U36" i="70" l="1"/>
  <c r="S39" i="70"/>
  <c r="U37" i="70"/>
  <c r="L28" i="68"/>
  <c r="L29" i="68" s="1"/>
  <c r="M24" i="68"/>
  <c r="M25" i="68" s="1"/>
  <c r="F8" i="68"/>
  <c r="M43" i="68"/>
  <c r="M44" i="68"/>
  <c r="J43" i="68"/>
  <c r="J44" i="68"/>
  <c r="J42" i="68"/>
  <c r="F44" i="68"/>
  <c r="I44" i="68" s="1"/>
  <c r="F43" i="68"/>
  <c r="I43" i="68" s="1"/>
  <c r="F42" i="68"/>
  <c r="I42" i="68" s="1"/>
  <c r="G50" i="68"/>
  <c r="E50" i="68"/>
  <c r="K15" i="68"/>
  <c r="G6" i="68"/>
  <c r="G10" i="68" s="1"/>
  <c r="F6" i="68"/>
  <c r="J16" i="68"/>
  <c r="J17" i="68"/>
  <c r="J15" i="68"/>
  <c r="M16" i="68"/>
  <c r="M17" i="68"/>
  <c r="M15" i="68"/>
  <c r="K14" i="68"/>
  <c r="M12" i="69"/>
  <c r="K33" i="69"/>
  <c r="K37" i="69"/>
  <c r="K38" i="69" s="1"/>
  <c r="L37" i="69"/>
  <c r="L38" i="69" s="1"/>
  <c r="M53" i="69"/>
  <c r="H64" i="69"/>
  <c r="G48" i="69"/>
  <c r="F48" i="69"/>
  <c r="E59" i="69"/>
  <c r="E60" i="69" s="1"/>
  <c r="E4" i="69"/>
  <c r="H64" i="68"/>
  <c r="E58" i="68"/>
  <c r="F58" i="68" s="1"/>
  <c r="D58" i="68"/>
  <c r="G57" i="68"/>
  <c r="H57" i="68" s="1"/>
  <c r="E57" i="68"/>
  <c r="F57" i="68" s="1"/>
  <c r="D57" i="68"/>
  <c r="G56" i="68"/>
  <c r="H56" i="68" s="1"/>
  <c r="E56" i="68"/>
  <c r="F56" i="68" s="1"/>
  <c r="D56" i="68"/>
  <c r="D55" i="68"/>
  <c r="D54" i="68"/>
  <c r="C54" i="68"/>
  <c r="E53" i="68"/>
  <c r="F53" i="68" s="1"/>
  <c r="G52" i="68"/>
  <c r="E52" i="68"/>
  <c r="G51" i="68"/>
  <c r="I48" i="68"/>
  <c r="L47" i="68"/>
  <c r="I47" i="68"/>
  <c r="I46" i="68"/>
  <c r="E51" i="68"/>
  <c r="G55" i="68"/>
  <c r="H55" i="68" s="1"/>
  <c r="E55" i="68"/>
  <c r="F55" i="68" s="1"/>
  <c r="H35" i="68"/>
  <c r="D53" i="68"/>
  <c r="I33" i="68"/>
  <c r="I32" i="68"/>
  <c r="I31" i="68"/>
  <c r="U30" i="68"/>
  <c r="I30" i="68"/>
  <c r="I29" i="68"/>
  <c r="R28" i="68"/>
  <c r="Q28" i="68"/>
  <c r="I28" i="68"/>
  <c r="I27" i="68"/>
  <c r="I23" i="68"/>
  <c r="I22" i="68"/>
  <c r="I21" i="68"/>
  <c r="I20" i="68"/>
  <c r="I19" i="68"/>
  <c r="I17" i="68"/>
  <c r="I16" i="68"/>
  <c r="I15" i="68"/>
  <c r="I9" i="68"/>
  <c r="I7" i="68"/>
  <c r="E4" i="68"/>
  <c r="F12" i="68" l="1"/>
  <c r="F10" i="68"/>
  <c r="I48" i="69"/>
  <c r="S41" i="70"/>
  <c r="U39" i="70"/>
  <c r="I8" i="68"/>
  <c r="I10" i="68"/>
  <c r="E54" i="68"/>
  <c r="F54" i="68" s="1"/>
  <c r="I6" i="68"/>
  <c r="G12" i="68"/>
  <c r="I12" i="68" l="1"/>
  <c r="S43" i="70"/>
  <c r="U43" i="70" s="1"/>
  <c r="U41" i="70"/>
  <c r="G17" i="66" l="1"/>
  <c r="G17" i="64"/>
  <c r="G17" i="62"/>
  <c r="G17" i="60"/>
  <c r="G17" i="56"/>
  <c r="G17" i="54"/>
  <c r="G17" i="52"/>
  <c r="O28" i="66" l="1"/>
  <c r="E56" i="66"/>
  <c r="F56" i="66" s="1"/>
  <c r="E57" i="66"/>
  <c r="F57" i="66" s="1"/>
  <c r="D54" i="66"/>
  <c r="D55" i="66"/>
  <c r="D56" i="66"/>
  <c r="D57" i="66"/>
  <c r="D58" i="66"/>
  <c r="C54" i="66"/>
  <c r="G35" i="66"/>
  <c r="E53" i="66" s="1"/>
  <c r="F53" i="66" s="1"/>
  <c r="R28" i="66"/>
  <c r="Q28" i="66"/>
  <c r="L28" i="66"/>
  <c r="O29" i="66" l="1"/>
  <c r="O30" i="66"/>
  <c r="G29" i="66"/>
  <c r="G51" i="66" l="1"/>
  <c r="G52" i="66"/>
  <c r="G50" i="66"/>
  <c r="G16" i="66"/>
  <c r="G15" i="66"/>
  <c r="G42" i="66"/>
  <c r="E50" i="66" s="1"/>
  <c r="M15" i="66"/>
  <c r="E52" i="66"/>
  <c r="L17" i="66"/>
  <c r="M17" i="66" s="1"/>
  <c r="M16" i="66"/>
  <c r="G6" i="66" l="1"/>
  <c r="F6" i="66"/>
  <c r="F6" i="60"/>
  <c r="G6" i="58"/>
  <c r="F6" i="56"/>
  <c r="G6" i="54"/>
  <c r="K6" i="95" s="1"/>
  <c r="F6" i="54"/>
  <c r="F6" i="52"/>
  <c r="G6" i="52"/>
  <c r="K6" i="93" l="1"/>
  <c r="K6" i="91"/>
  <c r="K6" i="89"/>
  <c r="F12" i="66"/>
  <c r="F12" i="60"/>
  <c r="F12" i="58"/>
  <c r="F12" i="56"/>
  <c r="F12" i="54"/>
  <c r="F12" i="52"/>
  <c r="G43" i="66"/>
  <c r="E51" i="66" s="1"/>
  <c r="G12" i="66" l="1"/>
  <c r="F22" i="60" l="1"/>
  <c r="G24" i="67"/>
  <c r="F25" i="67"/>
  <c r="G25" i="67"/>
  <c r="F19" i="60"/>
  <c r="F19" i="54"/>
  <c r="E35" i="67"/>
  <c r="E59" i="67" s="1"/>
  <c r="E60" i="67" s="1"/>
  <c r="G37" i="66"/>
  <c r="E55" i="66" s="1"/>
  <c r="F55" i="66" s="1"/>
  <c r="G36" i="66"/>
  <c r="E54" i="66" s="1"/>
  <c r="F54" i="66" s="1"/>
  <c r="G32" i="66"/>
  <c r="F35" i="66" l="1"/>
  <c r="D53" i="66" s="1"/>
  <c r="U30" i="66"/>
  <c r="G28" i="66"/>
  <c r="F28" i="66"/>
  <c r="G40" i="66"/>
  <c r="E58" i="66" s="1"/>
  <c r="F58" i="66" s="1"/>
  <c r="L37" i="66"/>
  <c r="G27" i="66" l="1"/>
  <c r="G10" i="66" l="1"/>
  <c r="K17" i="66" l="1"/>
  <c r="K16" i="66"/>
  <c r="K15" i="66" l="1"/>
  <c r="I15" i="66"/>
  <c r="H64" i="67"/>
  <c r="M53" i="67"/>
  <c r="G48" i="67"/>
  <c r="F48" i="67"/>
  <c r="I47" i="67"/>
  <c r="I46" i="67"/>
  <c r="S39" i="67"/>
  <c r="L37" i="67"/>
  <c r="L38" i="67" s="1"/>
  <c r="K37" i="67"/>
  <c r="K38" i="67" s="1"/>
  <c r="S36" i="67"/>
  <c r="K33" i="67"/>
  <c r="N28" i="67"/>
  <c r="O27" i="67"/>
  <c r="T19" i="67"/>
  <c r="Q12" i="67"/>
  <c r="Q13" i="67" s="1"/>
  <c r="N12" i="67"/>
  <c r="M12" i="67"/>
  <c r="V10" i="67"/>
  <c r="V9" i="67"/>
  <c r="V8" i="67"/>
  <c r="V7" i="67"/>
  <c r="R7" i="67"/>
  <c r="E4" i="67"/>
  <c r="H64" i="66"/>
  <c r="G57" i="66"/>
  <c r="H57" i="66" s="1"/>
  <c r="G55" i="66"/>
  <c r="H55" i="66" s="1"/>
  <c r="I48" i="66"/>
  <c r="L47" i="66"/>
  <c r="I47" i="66"/>
  <c r="I46" i="66"/>
  <c r="I44" i="66"/>
  <c r="I37" i="66"/>
  <c r="I36" i="66"/>
  <c r="I35" i="66"/>
  <c r="H35" i="66"/>
  <c r="I33" i="66"/>
  <c r="I32" i="66"/>
  <c r="I31" i="66"/>
  <c r="I30" i="66"/>
  <c r="I29" i="66"/>
  <c r="I28" i="66"/>
  <c r="I27" i="66"/>
  <c r="I23" i="66"/>
  <c r="I22" i="66"/>
  <c r="I21" i="66"/>
  <c r="I20" i="66"/>
  <c r="I19" i="66"/>
  <c r="I17" i="66"/>
  <c r="I16" i="66"/>
  <c r="I12" i="66"/>
  <c r="F10" i="66"/>
  <c r="I9" i="66"/>
  <c r="I8" i="66"/>
  <c r="I7" i="66"/>
  <c r="I6" i="66"/>
  <c r="E4" i="66"/>
  <c r="V11" i="67" l="1"/>
  <c r="I48" i="67"/>
  <c r="I10" i="66"/>
  <c r="G56" i="66"/>
  <c r="H56" i="66" s="1"/>
  <c r="U21" i="41"/>
  <c r="V21" i="41" s="1"/>
  <c r="V22" i="41"/>
  <c r="O30" i="63"/>
  <c r="O31" i="63"/>
  <c r="Y12" i="41"/>
  <c r="Y13" i="41"/>
  <c r="Y11" i="41"/>
  <c r="Y14" i="41" l="1"/>
  <c r="N30" i="63" l="1"/>
  <c r="N31" i="63"/>
  <c r="N27" i="63"/>
  <c r="BA6" i="53"/>
  <c r="AY13" i="53"/>
  <c r="AW13" i="53"/>
  <c r="AT7" i="53"/>
  <c r="AT6" i="53"/>
  <c r="AX6" i="53"/>
  <c r="AT9" i="53"/>
  <c r="AS9" i="53"/>
  <c r="AT8" i="53"/>
  <c r="AS8" i="53"/>
  <c r="AS7" i="53"/>
  <c r="AS6" i="53"/>
  <c r="AS10" i="53" s="1"/>
  <c r="AH5" i="53"/>
  <c r="N12" i="65"/>
  <c r="M12" i="65"/>
  <c r="V8" i="65"/>
  <c r="V9" i="65"/>
  <c r="V10" i="65"/>
  <c r="V7" i="65"/>
  <c r="S36" i="65"/>
  <c r="R7" i="65"/>
  <c r="T19" i="65"/>
  <c r="W7" i="49"/>
  <c r="W6" i="49"/>
  <c r="W42" i="35"/>
  <c r="T47" i="35"/>
  <c r="V11" i="65" l="1"/>
  <c r="AT10" i="53"/>
  <c r="AA14" i="53"/>
  <c r="AD14" i="53"/>
  <c r="AF9" i="53"/>
  <c r="AE14" i="53"/>
  <c r="S39" i="65" l="1"/>
  <c r="Q12" i="65"/>
  <c r="Q13" i="65" s="1"/>
  <c r="AE9" i="53" l="1"/>
  <c r="AD5" i="53"/>
  <c r="AC9" i="53"/>
  <c r="AA9" i="53"/>
  <c r="AB5" i="53" s="1"/>
  <c r="K17" i="62"/>
  <c r="L17" i="62" s="1"/>
  <c r="K17" i="60"/>
  <c r="L17" i="60" s="1"/>
  <c r="L43" i="60"/>
  <c r="M43" i="60" s="1"/>
  <c r="L42" i="60"/>
  <c r="M42" i="60" s="1"/>
  <c r="F59" i="35"/>
  <c r="H59" i="35" s="1"/>
  <c r="N47" i="54"/>
  <c r="N46" i="54"/>
  <c r="M46" i="56"/>
  <c r="M47" i="56" s="1"/>
  <c r="M48" i="54"/>
  <c r="M49" i="54" s="1"/>
  <c r="P67" i="35"/>
  <c r="H67" i="35"/>
  <c r="P66" i="35"/>
  <c r="H66" i="35"/>
  <c r="P65" i="35"/>
  <c r="H65" i="35"/>
  <c r="P64" i="35"/>
  <c r="H64" i="35"/>
  <c r="P63" i="35"/>
  <c r="H63" i="35"/>
  <c r="P62" i="35"/>
  <c r="H62" i="35"/>
  <c r="P61" i="35"/>
  <c r="H61" i="35"/>
  <c r="P60" i="35"/>
  <c r="H60" i="35"/>
  <c r="P59" i="35"/>
  <c r="P58" i="35"/>
  <c r="H58" i="35"/>
  <c r="P57" i="35"/>
  <c r="H57" i="35"/>
  <c r="P56" i="35"/>
  <c r="Q56" i="35" s="1"/>
  <c r="O56" i="35"/>
  <c r="O57" i="35" s="1"/>
  <c r="O58" i="35" s="1"/>
  <c r="O59" i="35" s="1"/>
  <c r="O60" i="35" s="1"/>
  <c r="O61" i="35" s="1"/>
  <c r="O62" i="35" s="1"/>
  <c r="O63" i="35" s="1"/>
  <c r="O64" i="35" s="1"/>
  <c r="M56" i="35"/>
  <c r="M57" i="35" s="1"/>
  <c r="M58" i="35" s="1"/>
  <c r="M59" i="35" s="1"/>
  <c r="M60" i="35" s="1"/>
  <c r="M61" i="35" s="1"/>
  <c r="M62" i="35" s="1"/>
  <c r="M63" i="35" s="1"/>
  <c r="M64" i="35" s="1"/>
  <c r="H56" i="35"/>
  <c r="I56" i="35" s="1"/>
  <c r="G56" i="35"/>
  <c r="G57" i="35" s="1"/>
  <c r="G58" i="35" s="1"/>
  <c r="G59" i="35" s="1"/>
  <c r="G60" i="35" s="1"/>
  <c r="G61" i="35" s="1"/>
  <c r="G62" i="35" s="1"/>
  <c r="G63" i="35" s="1"/>
  <c r="G64" i="35" s="1"/>
  <c r="E56" i="35"/>
  <c r="E57" i="35" s="1"/>
  <c r="E58" i="35" s="1"/>
  <c r="E59" i="35" s="1"/>
  <c r="E60" i="35" s="1"/>
  <c r="E61" i="35" s="1"/>
  <c r="E62" i="35" s="1"/>
  <c r="E63" i="35" s="1"/>
  <c r="E64" i="35" s="1"/>
  <c r="AB6" i="53" l="1"/>
  <c r="AD6" i="53" s="1"/>
  <c r="AB7" i="53"/>
  <c r="AD7" i="53" s="1"/>
  <c r="AB8" i="53"/>
  <c r="AD8" i="53" s="1"/>
  <c r="Q57" i="35"/>
  <c r="Q58" i="35" s="1"/>
  <c r="Q59" i="35" s="1"/>
  <c r="Q60" i="35" s="1"/>
  <c r="Q61" i="35" s="1"/>
  <c r="Q62" i="35" s="1"/>
  <c r="I57" i="35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G65" i="35"/>
  <c r="G66" i="35" s="1"/>
  <c r="G67" i="35" s="1"/>
  <c r="M65" i="35"/>
  <c r="M66" i="35" s="1"/>
  <c r="M67" i="35" s="1"/>
  <c r="E65" i="35"/>
  <c r="E66" i="35" s="1"/>
  <c r="E67" i="35" s="1"/>
  <c r="O65" i="35"/>
  <c r="O66" i="35" s="1"/>
  <c r="O67" i="35" s="1"/>
  <c r="I47" i="65"/>
  <c r="I46" i="65"/>
  <c r="Q63" i="35" l="1"/>
  <c r="Q64" i="35" s="1"/>
  <c r="Q65" i="35" s="1"/>
  <c r="Q66" i="35" s="1"/>
  <c r="Q67" i="35" s="1"/>
  <c r="Q68" i="35" s="1"/>
  <c r="Q71" i="35"/>
  <c r="AB9" i="53"/>
  <c r="M53" i="65"/>
  <c r="E35" i="65" l="1"/>
  <c r="I36" i="64"/>
  <c r="F48" i="65" l="1"/>
  <c r="G48" i="65"/>
  <c r="I48" i="65" l="1"/>
  <c r="M16" i="64"/>
  <c r="P16" i="64" s="1"/>
  <c r="M15" i="64"/>
  <c r="P15" i="64" s="1"/>
  <c r="N17" i="64"/>
  <c r="O17" i="64" s="1"/>
  <c r="G29" i="64" l="1"/>
  <c r="G28" i="64"/>
  <c r="F48" i="64" l="1"/>
  <c r="G48" i="64"/>
  <c r="M47" i="64" l="1"/>
  <c r="L47" i="64"/>
  <c r="F44" i="64"/>
  <c r="F12" i="64" s="1"/>
  <c r="G33" i="64"/>
  <c r="G27" i="64"/>
  <c r="N37" i="64"/>
  <c r="L37" i="64" s="1"/>
  <c r="L38" i="64" s="1"/>
  <c r="G43" i="64"/>
  <c r="O53" i="64"/>
  <c r="O50" i="64"/>
  <c r="O51" i="64" s="1"/>
  <c r="O52" i="64" s="1"/>
  <c r="T44" i="64"/>
  <c r="Q45" i="64"/>
  <c r="Q46" i="64" s="1"/>
  <c r="Q47" i="64" s="1"/>
  <c r="L28" i="64"/>
  <c r="G22" i="64"/>
  <c r="G21" i="64"/>
  <c r="G20" i="64"/>
  <c r="G19" i="64"/>
  <c r="F23" i="64"/>
  <c r="F21" i="64"/>
  <c r="F22" i="64"/>
  <c r="F20" i="64"/>
  <c r="F19" i="64"/>
  <c r="F37" i="64"/>
  <c r="K43" i="64" l="1"/>
  <c r="L43" i="64" s="1"/>
  <c r="G56" i="64"/>
  <c r="H56" i="64" s="1"/>
  <c r="K42" i="64"/>
  <c r="L42" i="64" s="1"/>
  <c r="G55" i="64"/>
  <c r="H55" i="64" s="1"/>
  <c r="H35" i="64"/>
  <c r="G37" i="64"/>
  <c r="K16" i="64"/>
  <c r="F17" i="64"/>
  <c r="G15" i="64"/>
  <c r="G16" i="64"/>
  <c r="N16" i="64" s="1"/>
  <c r="O16" i="64" s="1"/>
  <c r="K17" i="64" l="1"/>
  <c r="F6" i="64"/>
  <c r="F10" i="64" s="1"/>
  <c r="M17" i="64"/>
  <c r="P17" i="64" s="1"/>
  <c r="G6" i="64"/>
  <c r="N15" i="64"/>
  <c r="O15" i="64" s="1"/>
  <c r="G32" i="64"/>
  <c r="G44" i="64"/>
  <c r="K44" i="64" l="1"/>
  <c r="L44" i="64" s="1"/>
  <c r="G57" i="64"/>
  <c r="H57" i="64" s="1"/>
  <c r="G12" i="64"/>
  <c r="Q111" i="35"/>
  <c r="I111" i="35"/>
  <c r="B48" i="7"/>
  <c r="P108" i="35"/>
  <c r="P107" i="35"/>
  <c r="P106" i="35"/>
  <c r="P105" i="35"/>
  <c r="P104" i="35"/>
  <c r="P103" i="35"/>
  <c r="P102" i="35"/>
  <c r="P101" i="35"/>
  <c r="P100" i="35"/>
  <c r="P99" i="35"/>
  <c r="P98" i="35"/>
  <c r="P97" i="35"/>
  <c r="Q97" i="35" s="1"/>
  <c r="O97" i="35"/>
  <c r="O98" i="35" s="1"/>
  <c r="O99" i="35" s="1"/>
  <c r="O100" i="35" s="1"/>
  <c r="O101" i="35" s="1"/>
  <c r="O102" i="35" s="1"/>
  <c r="O103" i="35" s="1"/>
  <c r="O104" i="35" s="1"/>
  <c r="O105" i="35" s="1"/>
  <c r="M97" i="35"/>
  <c r="M98" i="35" s="1"/>
  <c r="M99" i="35" s="1"/>
  <c r="M100" i="35" s="1"/>
  <c r="M101" i="35" s="1"/>
  <c r="M102" i="35" s="1"/>
  <c r="M103" i="35" s="1"/>
  <c r="M104" i="35" s="1"/>
  <c r="M105" i="35" s="1"/>
  <c r="H108" i="35"/>
  <c r="H107" i="35"/>
  <c r="H106" i="35"/>
  <c r="H105" i="35"/>
  <c r="H104" i="35"/>
  <c r="H103" i="35"/>
  <c r="H102" i="35"/>
  <c r="H101" i="35"/>
  <c r="H100" i="35"/>
  <c r="H99" i="35"/>
  <c r="H98" i="35"/>
  <c r="H97" i="35"/>
  <c r="I97" i="35" s="1"/>
  <c r="G97" i="35"/>
  <c r="G98" i="35" s="1"/>
  <c r="G99" i="35" s="1"/>
  <c r="G100" i="35" s="1"/>
  <c r="G101" i="35" s="1"/>
  <c r="G102" i="35" s="1"/>
  <c r="G103" i="35" s="1"/>
  <c r="G104" i="35" s="1"/>
  <c r="G105" i="35" s="1"/>
  <c r="E97" i="35"/>
  <c r="E98" i="35" s="1"/>
  <c r="E99" i="35" s="1"/>
  <c r="E100" i="35" s="1"/>
  <c r="E101" i="35" s="1"/>
  <c r="E102" i="35" s="1"/>
  <c r="E103" i="35" s="1"/>
  <c r="E104" i="35" s="1"/>
  <c r="E105" i="35" s="1"/>
  <c r="Q98" i="35" l="1"/>
  <c r="Q99" i="35" s="1"/>
  <c r="Q100" i="35" s="1"/>
  <c r="Q101" i="35" s="1"/>
  <c r="Q102" i="35" s="1"/>
  <c r="Q103" i="35" s="1"/>
  <c r="Q104" i="35" s="1"/>
  <c r="Q105" i="35" s="1"/>
  <c r="Q106" i="35" s="1"/>
  <c r="Q107" i="35" s="1"/>
  <c r="Q108" i="35" s="1"/>
  <c r="Q112" i="35" s="1"/>
  <c r="M106" i="35"/>
  <c r="M107" i="35" s="1"/>
  <c r="M108" i="35" s="1"/>
  <c r="M112" i="35" s="1"/>
  <c r="O106" i="35"/>
  <c r="O107" i="35" s="1"/>
  <c r="O108" i="35" s="1"/>
  <c r="O112" i="35" s="1"/>
  <c r="I98" i="35"/>
  <c r="I99" i="35" s="1"/>
  <c r="I100" i="35" s="1"/>
  <c r="I101" i="35" s="1"/>
  <c r="I102" i="35" s="1"/>
  <c r="I103" i="35" s="1"/>
  <c r="I104" i="35" s="1"/>
  <c r="I105" i="35" s="1"/>
  <c r="E106" i="35"/>
  <c r="E107" i="35" s="1"/>
  <c r="E108" i="35" s="1"/>
  <c r="E112" i="35" s="1"/>
  <c r="G106" i="35"/>
  <c r="G107" i="35" s="1"/>
  <c r="G108" i="35" s="1"/>
  <c r="G112" i="35" s="1"/>
  <c r="H64" i="65"/>
  <c r="L37" i="65"/>
  <c r="L38" i="65" s="1"/>
  <c r="K37" i="65"/>
  <c r="K38" i="65" s="1"/>
  <c r="K33" i="65"/>
  <c r="N28" i="65"/>
  <c r="O27" i="65"/>
  <c r="E4" i="65"/>
  <c r="H64" i="64"/>
  <c r="F52" i="64"/>
  <c r="G52" i="64" s="1"/>
  <c r="F51" i="64"/>
  <c r="G51" i="64" s="1"/>
  <c r="E50" i="64"/>
  <c r="F50" i="64" s="1"/>
  <c r="G50" i="64" s="1"/>
  <c r="I48" i="64"/>
  <c r="I47" i="64"/>
  <c r="I46" i="64"/>
  <c r="I44" i="64"/>
  <c r="M43" i="64"/>
  <c r="K37" i="64"/>
  <c r="K38" i="64" s="1"/>
  <c r="I37" i="64"/>
  <c r="I35" i="64"/>
  <c r="K33" i="64"/>
  <c r="I33" i="64"/>
  <c r="I32" i="64"/>
  <c r="I31" i="64"/>
  <c r="I30" i="64"/>
  <c r="I29" i="64"/>
  <c r="N28" i="64"/>
  <c r="I28" i="64"/>
  <c r="O27" i="64"/>
  <c r="I27" i="64"/>
  <c r="I23" i="64"/>
  <c r="I22" i="64"/>
  <c r="I21" i="64"/>
  <c r="I20" i="64"/>
  <c r="I19" i="64"/>
  <c r="I17" i="64"/>
  <c r="I16" i="64"/>
  <c r="I15" i="64"/>
  <c r="I12" i="64"/>
  <c r="G10" i="64"/>
  <c r="I9" i="64"/>
  <c r="L8" i="64"/>
  <c r="L9" i="64" s="1"/>
  <c r="I8" i="64"/>
  <c r="I7" i="64"/>
  <c r="I6" i="64"/>
  <c r="E4" i="64"/>
  <c r="I10" i="64" l="1"/>
  <c r="N43" i="64"/>
  <c r="I106" i="35"/>
  <c r="I107" i="35" s="1"/>
  <c r="I108" i="35" s="1"/>
  <c r="I112" i="35" s="1"/>
  <c r="L23" i="63"/>
  <c r="M23" i="63" s="1"/>
  <c r="N28" i="62" l="1"/>
  <c r="L8" i="62"/>
  <c r="L9" i="62" s="1"/>
  <c r="G44" i="58" l="1"/>
  <c r="G12" i="58" s="1"/>
  <c r="C58" i="63"/>
  <c r="D58" i="63"/>
  <c r="E58" i="63"/>
  <c r="F58" i="63"/>
  <c r="G58" i="63"/>
  <c r="H58" i="63"/>
  <c r="I58" i="63"/>
  <c r="J56" i="63"/>
  <c r="J57" i="63"/>
  <c r="J55" i="63"/>
  <c r="J58" i="63" s="1"/>
  <c r="G44" i="60"/>
  <c r="F43" i="63"/>
  <c r="F42" i="63"/>
  <c r="G12" i="60" l="1"/>
  <c r="L44" i="60"/>
  <c r="M44" i="60" s="1"/>
  <c r="F42" i="69"/>
  <c r="F42" i="67"/>
  <c r="F42" i="65"/>
  <c r="F43" i="69"/>
  <c r="F43" i="67"/>
  <c r="F43" i="65"/>
  <c r="E51" i="63" l="1"/>
  <c r="F51" i="63" s="1"/>
  <c r="E52" i="63"/>
  <c r="F52" i="63" s="1"/>
  <c r="E50" i="63"/>
  <c r="G50" i="63" s="1"/>
  <c r="F50" i="63" l="1"/>
  <c r="G27" i="62"/>
  <c r="G29" i="62"/>
  <c r="G28" i="62"/>
  <c r="G35" i="62" l="1"/>
  <c r="O27" i="62"/>
  <c r="F35" i="62"/>
  <c r="K37" i="62"/>
  <c r="K38" i="62" s="1"/>
  <c r="F52" i="62"/>
  <c r="G52" i="62" s="1"/>
  <c r="F51" i="62"/>
  <c r="G51" i="62" s="1"/>
  <c r="E50" i="62"/>
  <c r="F50" i="62" s="1"/>
  <c r="G50" i="62" s="1"/>
  <c r="G33" i="62" l="1"/>
  <c r="L37" i="62"/>
  <c r="L38" i="62" s="1"/>
  <c r="G43" i="62"/>
  <c r="L43" i="62" s="1"/>
  <c r="M43" i="62" s="1"/>
  <c r="G42" i="62"/>
  <c r="G16" i="62"/>
  <c r="K16" i="62" s="1"/>
  <c r="L16" i="62" s="1"/>
  <c r="G15" i="62"/>
  <c r="G32" i="62"/>
  <c r="G44" i="62"/>
  <c r="L44" i="62" s="1"/>
  <c r="M44" i="62" s="1"/>
  <c r="F32" i="62"/>
  <c r="N32" i="63" s="1"/>
  <c r="F44" i="62"/>
  <c r="G12" i="62" l="1"/>
  <c r="L42" i="62"/>
  <c r="M42" i="62" s="1"/>
  <c r="G42" i="63"/>
  <c r="I16" i="62"/>
  <c r="F12" i="62"/>
  <c r="F44" i="63"/>
  <c r="G6" i="62"/>
  <c r="K15" i="62"/>
  <c r="L15" i="62" s="1"/>
  <c r="I15" i="62"/>
  <c r="G23" i="62"/>
  <c r="F23" i="62"/>
  <c r="G22" i="62"/>
  <c r="F22" i="62"/>
  <c r="G21" i="62"/>
  <c r="F21" i="62"/>
  <c r="G20" i="62"/>
  <c r="F20" i="62"/>
  <c r="G19" i="62"/>
  <c r="F19" i="62"/>
  <c r="I21" i="62" l="1"/>
  <c r="G42" i="73"/>
  <c r="G42" i="69"/>
  <c r="G42" i="67"/>
  <c r="G42" i="65"/>
  <c r="G23" i="75"/>
  <c r="G23" i="76" s="1"/>
  <c r="G23" i="73"/>
  <c r="G23" i="69"/>
  <c r="G23" i="67"/>
  <c r="F44" i="69"/>
  <c r="F12" i="69" s="1"/>
  <c r="F44" i="67"/>
  <c r="F12" i="67" s="1"/>
  <c r="F44" i="65"/>
  <c r="L43" i="65" s="1"/>
  <c r="F19" i="67"/>
  <c r="F19" i="75"/>
  <c r="F19" i="76" s="1"/>
  <c r="F19" i="69"/>
  <c r="I19" i="69" s="1"/>
  <c r="F19" i="73"/>
  <c r="F22" i="69"/>
  <c r="I22" i="69" s="1"/>
  <c r="F22" i="73"/>
  <c r="F22" i="67"/>
  <c r="F22" i="75"/>
  <c r="F22" i="76" s="1"/>
  <c r="F12" i="65"/>
  <c r="F12" i="63"/>
  <c r="I22" i="76" l="1"/>
  <c r="I22" i="75"/>
  <c r="K42" i="67"/>
  <c r="L42" i="67" s="1"/>
  <c r="E50" i="67"/>
  <c r="F50" i="67" s="1"/>
  <c r="G50" i="67" s="1"/>
  <c r="I42" i="67"/>
  <c r="I42" i="65"/>
  <c r="E50" i="65"/>
  <c r="F50" i="65" s="1"/>
  <c r="G50" i="65" s="1"/>
  <c r="K42" i="69"/>
  <c r="L42" i="69" s="1"/>
  <c r="M42" i="69"/>
  <c r="N42" i="69" s="1"/>
  <c r="E50" i="69"/>
  <c r="F50" i="69" s="1"/>
  <c r="G50" i="69" s="1"/>
  <c r="I42" i="69"/>
  <c r="I19" i="76"/>
  <c r="I19" i="75"/>
  <c r="I42" i="73"/>
  <c r="G42" i="75"/>
  <c r="G42" i="76" s="1"/>
  <c r="K42" i="73"/>
  <c r="L42" i="73" s="1"/>
  <c r="M42" i="73"/>
  <c r="N42" i="73" s="1"/>
  <c r="K33" i="62"/>
  <c r="H64" i="63"/>
  <c r="G48" i="63"/>
  <c r="F48" i="63"/>
  <c r="P47" i="63"/>
  <c r="I47" i="63"/>
  <c r="I46" i="63"/>
  <c r="Q43" i="63"/>
  <c r="Q44" i="63" s="1"/>
  <c r="Q45" i="63" s="1"/>
  <c r="Q47" i="63" s="1"/>
  <c r="N42" i="63"/>
  <c r="O42" i="63" s="1"/>
  <c r="T22" i="63"/>
  <c r="S22" i="63"/>
  <c r="R22" i="63"/>
  <c r="Q22" i="63"/>
  <c r="L17" i="63"/>
  <c r="K17" i="63"/>
  <c r="K16" i="63"/>
  <c r="L15" i="63"/>
  <c r="K15" i="63"/>
  <c r="E4" i="63"/>
  <c r="H64" i="62"/>
  <c r="I48" i="62"/>
  <c r="I47" i="62"/>
  <c r="I46" i="62"/>
  <c r="I44" i="62"/>
  <c r="I37" i="62"/>
  <c r="I36" i="62"/>
  <c r="I35" i="62"/>
  <c r="I33" i="62"/>
  <c r="I32" i="62"/>
  <c r="I31" i="62"/>
  <c r="I30" i="62"/>
  <c r="I29" i="62"/>
  <c r="I28" i="62"/>
  <c r="I27" i="62"/>
  <c r="I23" i="62"/>
  <c r="I22" i="62"/>
  <c r="I20" i="62"/>
  <c r="I19" i="62"/>
  <c r="I17" i="62"/>
  <c r="I12" i="62"/>
  <c r="G10" i="62"/>
  <c r="F10" i="62"/>
  <c r="I9" i="62"/>
  <c r="I8" i="62"/>
  <c r="I7" i="62"/>
  <c r="I6" i="62"/>
  <c r="E4" i="62"/>
  <c r="C51" i="76" l="1"/>
  <c r="I48" i="63"/>
  <c r="E51" i="75"/>
  <c r="F51" i="75" s="1"/>
  <c r="I42" i="75"/>
  <c r="E51" i="76"/>
  <c r="F51" i="76" s="1"/>
  <c r="I42" i="76"/>
  <c r="I10" i="62"/>
  <c r="N43" i="62"/>
  <c r="T22" i="61"/>
  <c r="S22" i="61"/>
  <c r="R22" i="61"/>
  <c r="Q22" i="61"/>
  <c r="P47" i="61"/>
  <c r="N43" i="60"/>
  <c r="G44" i="56" l="1"/>
  <c r="G44" i="54"/>
  <c r="G44" i="52"/>
  <c r="G42" i="61"/>
  <c r="N42" i="61" s="1"/>
  <c r="O42" i="61" s="1"/>
  <c r="F43" i="61"/>
  <c r="F44" i="61"/>
  <c r="F42" i="61"/>
  <c r="G12" i="52" l="1"/>
  <c r="G44" i="63"/>
  <c r="Q43" i="61"/>
  <c r="Q44" i="61" s="1"/>
  <c r="Q45" i="61" s="1"/>
  <c r="Q47" i="61" s="1"/>
  <c r="G44" i="61"/>
  <c r="N44" i="61" s="1"/>
  <c r="O44" i="61" s="1"/>
  <c r="G48" i="61"/>
  <c r="F48" i="61"/>
  <c r="G37" i="60"/>
  <c r="I37" i="60" s="1"/>
  <c r="G44" i="73" l="1"/>
  <c r="G44" i="69"/>
  <c r="G44" i="67"/>
  <c r="G44" i="65"/>
  <c r="N44" i="63"/>
  <c r="O44" i="63" s="1"/>
  <c r="I44" i="63"/>
  <c r="G22" i="60"/>
  <c r="G21" i="60"/>
  <c r="G20" i="60"/>
  <c r="G19" i="60"/>
  <c r="F24" i="60"/>
  <c r="F23" i="60"/>
  <c r="F21" i="60"/>
  <c r="F20" i="60"/>
  <c r="I46" i="60"/>
  <c r="F48" i="60"/>
  <c r="G48" i="60"/>
  <c r="N25" i="60"/>
  <c r="F40" i="60"/>
  <c r="K36" i="60"/>
  <c r="F36" i="60"/>
  <c r="G16" i="60"/>
  <c r="G15" i="60"/>
  <c r="G27" i="60"/>
  <c r="O27" i="63" s="1"/>
  <c r="Q27" i="63" s="1"/>
  <c r="K16" i="60" l="1"/>
  <c r="L16" i="60" s="1"/>
  <c r="M16" i="60"/>
  <c r="N16" i="60" s="1"/>
  <c r="F20" i="75"/>
  <c r="F20" i="76" s="1"/>
  <c r="F20" i="69"/>
  <c r="F20" i="67"/>
  <c r="G19" i="73"/>
  <c r="I19" i="73" s="1"/>
  <c r="G19" i="67"/>
  <c r="K44" i="67"/>
  <c r="L44" i="67" s="1"/>
  <c r="E52" i="67"/>
  <c r="F52" i="67" s="1"/>
  <c r="G52" i="67" s="1"/>
  <c r="I44" i="67"/>
  <c r="F21" i="75"/>
  <c r="F21" i="76" s="1"/>
  <c r="F21" i="73"/>
  <c r="F21" i="69"/>
  <c r="F21" i="67"/>
  <c r="G20" i="75"/>
  <c r="G20" i="76" s="1"/>
  <c r="G20" i="73"/>
  <c r="I20" i="73" s="1"/>
  <c r="G20" i="69"/>
  <c r="G20" i="67"/>
  <c r="I20" i="67" s="1"/>
  <c r="M44" i="69"/>
  <c r="N44" i="69" s="1"/>
  <c r="E52" i="69"/>
  <c r="F52" i="69" s="1"/>
  <c r="G52" i="69" s="1"/>
  <c r="I44" i="69"/>
  <c r="K44" i="69"/>
  <c r="L44" i="69" s="1"/>
  <c r="F23" i="75"/>
  <c r="F23" i="76" s="1"/>
  <c r="F23" i="73"/>
  <c r="I23" i="73" s="1"/>
  <c r="F23" i="69"/>
  <c r="I23" i="69" s="1"/>
  <c r="F23" i="67"/>
  <c r="I23" i="67" s="1"/>
  <c r="G21" i="75"/>
  <c r="G21" i="76" s="1"/>
  <c r="G21" i="73"/>
  <c r="I21" i="73" s="1"/>
  <c r="G21" i="69"/>
  <c r="I21" i="69" s="1"/>
  <c r="G21" i="67"/>
  <c r="I21" i="67" s="1"/>
  <c r="G44" i="75"/>
  <c r="G44" i="76" s="1"/>
  <c r="I44" i="73"/>
  <c r="M44" i="73"/>
  <c r="N44" i="73" s="1"/>
  <c r="K44" i="73"/>
  <c r="L44" i="73" s="1"/>
  <c r="G6" i="60"/>
  <c r="K15" i="60"/>
  <c r="L15" i="60" s="1"/>
  <c r="F24" i="75"/>
  <c r="F24" i="76" s="1"/>
  <c r="F24" i="69"/>
  <c r="I24" i="69" s="1"/>
  <c r="F24" i="67"/>
  <c r="G22" i="73"/>
  <c r="I22" i="73" s="1"/>
  <c r="G22" i="67"/>
  <c r="I22" i="67" s="1"/>
  <c r="E52" i="65"/>
  <c r="F52" i="65" s="1"/>
  <c r="G52" i="65" s="1"/>
  <c r="I44" i="65"/>
  <c r="G29" i="60"/>
  <c r="F29" i="60"/>
  <c r="G28" i="60"/>
  <c r="F28" i="60"/>
  <c r="G40" i="60"/>
  <c r="L36" i="60"/>
  <c r="G32" i="60"/>
  <c r="O32" i="63" s="1"/>
  <c r="I21" i="76" l="1"/>
  <c r="I21" i="75"/>
  <c r="I20" i="76"/>
  <c r="I20" i="75"/>
  <c r="I24" i="75"/>
  <c r="I24" i="76"/>
  <c r="E53" i="75"/>
  <c r="F53" i="75" s="1"/>
  <c r="I44" i="75"/>
  <c r="E53" i="76"/>
  <c r="F53" i="76" s="1"/>
  <c r="I44" i="76"/>
  <c r="I23" i="76"/>
  <c r="I23" i="75"/>
  <c r="I20" i="69"/>
  <c r="T22" i="33"/>
  <c r="S22" i="33"/>
  <c r="U22" i="33" s="1"/>
  <c r="Q24" i="33"/>
  <c r="Q25" i="33" s="1"/>
  <c r="P28" i="33"/>
  <c r="P32" i="33"/>
  <c r="P33" i="33" s="1"/>
  <c r="P34" i="33" s="1"/>
  <c r="T23" i="33"/>
  <c r="S23" i="33"/>
  <c r="U23" i="33" s="1"/>
  <c r="V23" i="33" l="1"/>
  <c r="Q26" i="33"/>
  <c r="V22" i="33"/>
  <c r="L13" i="59" l="1"/>
  <c r="K13" i="59"/>
  <c r="N10" i="59"/>
  <c r="U21" i="59"/>
  <c r="G9" i="49"/>
  <c r="V9" i="49" s="1"/>
  <c r="V10" i="49" s="1"/>
  <c r="L32" i="59" l="1"/>
  <c r="K32" i="59"/>
  <c r="K27" i="59"/>
  <c r="K33" i="59"/>
  <c r="P33" i="59"/>
  <c r="L27" i="59"/>
  <c r="H64" i="61"/>
  <c r="I48" i="61"/>
  <c r="I47" i="61"/>
  <c r="I46" i="61"/>
  <c r="I44" i="61"/>
  <c r="N27" i="61"/>
  <c r="L17" i="61"/>
  <c r="K17" i="61"/>
  <c r="K16" i="61"/>
  <c r="L15" i="61"/>
  <c r="K15" i="61"/>
  <c r="E4" i="61"/>
  <c r="H64" i="60"/>
  <c r="E54" i="60"/>
  <c r="G54" i="60" s="1"/>
  <c r="I48" i="60"/>
  <c r="I47" i="60"/>
  <c r="I44" i="60"/>
  <c r="I36" i="60"/>
  <c r="I35" i="60"/>
  <c r="I33" i="60"/>
  <c r="I32" i="60"/>
  <c r="I31" i="60"/>
  <c r="I30" i="60"/>
  <c r="I29" i="60"/>
  <c r="I28" i="60"/>
  <c r="I27" i="60"/>
  <c r="I23" i="60"/>
  <c r="I22" i="60"/>
  <c r="I20" i="60"/>
  <c r="I19" i="60"/>
  <c r="I17" i="60"/>
  <c r="I12" i="60"/>
  <c r="G10" i="60"/>
  <c r="F10" i="60"/>
  <c r="I9" i="60"/>
  <c r="I8" i="60"/>
  <c r="I7" i="60"/>
  <c r="I6" i="60"/>
  <c r="E4" i="60"/>
  <c r="L15" i="59"/>
  <c r="L17" i="59"/>
  <c r="K17" i="59"/>
  <c r="K16" i="59"/>
  <c r="K15" i="59"/>
  <c r="I10" i="60" l="1"/>
  <c r="M40" i="49"/>
  <c r="S32" i="49"/>
  <c r="K38" i="49"/>
  <c r="K39" i="49" s="1"/>
  <c r="L35" i="49"/>
  <c r="I33" i="49"/>
  <c r="K30" i="49"/>
  <c r="E54" i="58" l="1"/>
  <c r="G54" i="58" s="1"/>
  <c r="F29" i="58" l="1"/>
  <c r="N29" i="63" s="1"/>
  <c r="F28" i="58"/>
  <c r="N28" i="63" s="1"/>
  <c r="G29" i="58"/>
  <c r="O29" i="63" s="1"/>
  <c r="G28" i="58"/>
  <c r="O28" i="63" l="1"/>
  <c r="V25" i="58"/>
  <c r="U22" i="58" s="1"/>
  <c r="U23" i="58" s="1"/>
  <c r="M19" i="58"/>
  <c r="K35" i="58"/>
  <c r="S27" i="58" l="1"/>
  <c r="S28" i="58" s="1"/>
  <c r="T28" i="58" s="1"/>
  <c r="H64" i="59" l="1"/>
  <c r="I48" i="59"/>
  <c r="I47" i="59"/>
  <c r="I46" i="59"/>
  <c r="E4" i="59"/>
  <c r="I44" i="58"/>
  <c r="L39" i="58" l="1"/>
  <c r="N35" i="58"/>
  <c r="H64" i="58"/>
  <c r="I48" i="58"/>
  <c r="I47" i="58"/>
  <c r="I46" i="58"/>
  <c r="I37" i="58"/>
  <c r="I36" i="58"/>
  <c r="I35" i="58"/>
  <c r="M34" i="58"/>
  <c r="L28" i="58" s="1"/>
  <c r="I33" i="58"/>
  <c r="P32" i="58"/>
  <c r="I32" i="58"/>
  <c r="I31" i="58"/>
  <c r="I30" i="58"/>
  <c r="I29" i="58"/>
  <c r="I28" i="58"/>
  <c r="I27" i="58"/>
  <c r="I23" i="58"/>
  <c r="I22" i="58"/>
  <c r="I20" i="58"/>
  <c r="I19" i="58"/>
  <c r="I17" i="58"/>
  <c r="M13" i="58"/>
  <c r="O12" i="58"/>
  <c r="P12" i="58" s="1"/>
  <c r="I12" i="58"/>
  <c r="G10" i="58"/>
  <c r="F10" i="58"/>
  <c r="I9" i="58"/>
  <c r="M8" i="58"/>
  <c r="O8" i="58" s="1"/>
  <c r="P8" i="58" s="1"/>
  <c r="I8" i="58"/>
  <c r="M7" i="58"/>
  <c r="I7" i="58"/>
  <c r="K6" i="58"/>
  <c r="I6" i="58"/>
  <c r="O5" i="58"/>
  <c r="E4" i="58"/>
  <c r="I10" i="58" l="1"/>
  <c r="P50" i="35" l="1"/>
  <c r="H64" i="56" l="1"/>
  <c r="H53" i="57" l="1"/>
  <c r="H54" i="57" s="1"/>
  <c r="M13" i="56"/>
  <c r="F36" i="57" l="1"/>
  <c r="G36" i="57"/>
  <c r="F37" i="57"/>
  <c r="F38" i="57"/>
  <c r="G38" i="57"/>
  <c r="G39" i="57"/>
  <c r="F35" i="57"/>
  <c r="F37" i="63" l="1"/>
  <c r="F37" i="61"/>
  <c r="F37" i="59"/>
  <c r="G38" i="63"/>
  <c r="G38" i="61"/>
  <c r="G38" i="59"/>
  <c r="F35" i="63"/>
  <c r="F35" i="61"/>
  <c r="F35" i="59"/>
  <c r="G39" i="63"/>
  <c r="G39" i="61"/>
  <c r="G39" i="59"/>
  <c r="G36" i="63"/>
  <c r="G36" i="61"/>
  <c r="G36" i="59"/>
  <c r="F38" i="63"/>
  <c r="F38" i="61"/>
  <c r="F38" i="59"/>
  <c r="F36" i="63"/>
  <c r="F36" i="61"/>
  <c r="F36" i="59"/>
  <c r="F33" i="56"/>
  <c r="I33" i="56" s="1"/>
  <c r="M34" i="56"/>
  <c r="L28" i="56" s="1"/>
  <c r="F40" i="56"/>
  <c r="F40" i="57" s="1"/>
  <c r="M39" i="56"/>
  <c r="N35" i="56" s="1"/>
  <c r="G40" i="56"/>
  <c r="F43" i="57"/>
  <c r="F43" i="59" s="1"/>
  <c r="F44" i="57"/>
  <c r="F44" i="59" s="1"/>
  <c r="G42" i="57"/>
  <c r="G42" i="59" s="1"/>
  <c r="F42" i="57"/>
  <c r="F42" i="59" s="1"/>
  <c r="G30" i="57"/>
  <c r="G31" i="57"/>
  <c r="F32" i="57"/>
  <c r="G27" i="57"/>
  <c r="F20" i="57"/>
  <c r="G20" i="57"/>
  <c r="F21" i="57"/>
  <c r="G21" i="57"/>
  <c r="F22" i="57"/>
  <c r="G22" i="57"/>
  <c r="F23" i="57"/>
  <c r="G23" i="57"/>
  <c r="F24" i="57"/>
  <c r="G24" i="57"/>
  <c r="F25" i="57"/>
  <c r="G25" i="57"/>
  <c r="G19" i="57"/>
  <c r="F19" i="57"/>
  <c r="F16" i="57"/>
  <c r="F17" i="57"/>
  <c r="G15" i="57"/>
  <c r="F15" i="57"/>
  <c r="F12" i="57"/>
  <c r="G16" i="56"/>
  <c r="G17" i="57"/>
  <c r="F7" i="57"/>
  <c r="G7" i="57"/>
  <c r="F8" i="57"/>
  <c r="G8" i="57"/>
  <c r="F9" i="57"/>
  <c r="G9" i="57"/>
  <c r="G48" i="57"/>
  <c r="F48" i="57"/>
  <c r="I47" i="57"/>
  <c r="I46" i="57"/>
  <c r="E4" i="57"/>
  <c r="G37" i="56"/>
  <c r="G37" i="57" s="1"/>
  <c r="G29" i="56"/>
  <c r="G28" i="56"/>
  <c r="G23" i="63" l="1"/>
  <c r="G23" i="61"/>
  <c r="G23" i="59"/>
  <c r="F16" i="63"/>
  <c r="F16" i="61"/>
  <c r="F16" i="59"/>
  <c r="N16" i="59" s="1"/>
  <c r="F25" i="63"/>
  <c r="F25" i="65" s="1"/>
  <c r="F25" i="61"/>
  <c r="F25" i="59"/>
  <c r="F21" i="63"/>
  <c r="F21" i="65" s="1"/>
  <c r="F21" i="61"/>
  <c r="F21" i="59"/>
  <c r="G30" i="63"/>
  <c r="G30" i="61"/>
  <c r="G30" i="59"/>
  <c r="O30" i="59" s="1"/>
  <c r="F8" i="63"/>
  <c r="F8" i="61"/>
  <c r="F8" i="59"/>
  <c r="G37" i="63"/>
  <c r="G37" i="61"/>
  <c r="G37" i="59"/>
  <c r="I48" i="57"/>
  <c r="G9" i="63"/>
  <c r="G9" i="61"/>
  <c r="G9" i="59"/>
  <c r="G7" i="63"/>
  <c r="G7" i="61"/>
  <c r="G7" i="59"/>
  <c r="G16" i="57"/>
  <c r="I16" i="57" s="1"/>
  <c r="G6" i="56"/>
  <c r="G15" i="63"/>
  <c r="G15" i="61"/>
  <c r="G15" i="59"/>
  <c r="O15" i="59" s="1"/>
  <c r="G19" i="63"/>
  <c r="G19" i="65" s="1"/>
  <c r="G19" i="61"/>
  <c r="G19" i="59"/>
  <c r="F24" i="63"/>
  <c r="F24" i="65" s="1"/>
  <c r="F24" i="61"/>
  <c r="F24" i="59"/>
  <c r="F20" i="63"/>
  <c r="F20" i="65" s="1"/>
  <c r="F20" i="61"/>
  <c r="F20" i="59"/>
  <c r="G31" i="63"/>
  <c r="G31" i="61"/>
  <c r="G31" i="59"/>
  <c r="F33" i="57"/>
  <c r="F38" i="75"/>
  <c r="F38" i="76" s="1"/>
  <c r="L38" i="76" s="1"/>
  <c r="F38" i="73"/>
  <c r="F38" i="69"/>
  <c r="F38" i="67"/>
  <c r="F38" i="65"/>
  <c r="G38" i="75"/>
  <c r="G38" i="73"/>
  <c r="G38" i="69"/>
  <c r="G38" i="67"/>
  <c r="T38" i="67" s="1"/>
  <c r="G38" i="65"/>
  <c r="T38" i="65" s="1"/>
  <c r="F9" i="63"/>
  <c r="F9" i="61"/>
  <c r="F9" i="59"/>
  <c r="F7" i="63"/>
  <c r="F7" i="61"/>
  <c r="F7" i="59"/>
  <c r="F17" i="63"/>
  <c r="F17" i="61"/>
  <c r="N17" i="61" s="1"/>
  <c r="F17" i="59"/>
  <c r="N17" i="59" s="1"/>
  <c r="G25" i="63"/>
  <c r="G25" i="65" s="1"/>
  <c r="G25" i="61"/>
  <c r="G25" i="59"/>
  <c r="G21" i="63"/>
  <c r="G21" i="61"/>
  <c r="G21" i="59"/>
  <c r="F36" i="75"/>
  <c r="F36" i="69"/>
  <c r="I36" i="69" s="1"/>
  <c r="F36" i="67"/>
  <c r="F36" i="65"/>
  <c r="H36" i="59"/>
  <c r="I36" i="59"/>
  <c r="F35" i="75"/>
  <c r="F35" i="76" s="1"/>
  <c r="L35" i="76" s="1"/>
  <c r="F35" i="73"/>
  <c r="F35" i="69"/>
  <c r="F35" i="67"/>
  <c r="F35" i="65"/>
  <c r="G8" i="63"/>
  <c r="G8" i="61"/>
  <c r="G8" i="59"/>
  <c r="F23" i="63"/>
  <c r="F23" i="65" s="1"/>
  <c r="F23" i="61"/>
  <c r="F23" i="59"/>
  <c r="G27" i="63"/>
  <c r="G27" i="61"/>
  <c r="G27" i="59"/>
  <c r="H36" i="61"/>
  <c r="I36" i="61"/>
  <c r="G39" i="75"/>
  <c r="G39" i="76" s="1"/>
  <c r="M39" i="76" s="1"/>
  <c r="G39" i="69"/>
  <c r="G39" i="67"/>
  <c r="T39" i="67" s="1"/>
  <c r="G39" i="65"/>
  <c r="T39" i="65" s="1"/>
  <c r="F15" i="63"/>
  <c r="F15" i="61"/>
  <c r="F15" i="59"/>
  <c r="N15" i="59" s="1"/>
  <c r="G24" i="63"/>
  <c r="G24" i="65" s="1"/>
  <c r="G24" i="61"/>
  <c r="G24" i="59"/>
  <c r="G22" i="63"/>
  <c r="G22" i="65" s="1"/>
  <c r="G22" i="61"/>
  <c r="G22" i="59"/>
  <c r="G20" i="63"/>
  <c r="G20" i="61"/>
  <c r="G20" i="59"/>
  <c r="I20" i="59" s="1"/>
  <c r="F32" i="63"/>
  <c r="F32" i="61"/>
  <c r="F32" i="59"/>
  <c r="N32" i="59" s="1"/>
  <c r="F40" i="63"/>
  <c r="F40" i="61"/>
  <c r="F40" i="59"/>
  <c r="G36" i="67"/>
  <c r="G36" i="65"/>
  <c r="I36" i="63"/>
  <c r="F37" i="75"/>
  <c r="F37" i="76" s="1"/>
  <c r="F37" i="73"/>
  <c r="F37" i="69"/>
  <c r="F37" i="67"/>
  <c r="F37" i="65"/>
  <c r="F12" i="61"/>
  <c r="I12" i="61" s="1"/>
  <c r="F12" i="59"/>
  <c r="F22" i="63"/>
  <c r="F22" i="61"/>
  <c r="F22" i="59"/>
  <c r="F19" i="63"/>
  <c r="F19" i="61"/>
  <c r="F19" i="59"/>
  <c r="G17" i="63"/>
  <c r="G17" i="61"/>
  <c r="G17" i="59"/>
  <c r="I36" i="57"/>
  <c r="I9" i="57"/>
  <c r="I22" i="57"/>
  <c r="I8" i="57"/>
  <c r="I37" i="57"/>
  <c r="I17" i="57"/>
  <c r="I19" i="57"/>
  <c r="I20" i="57"/>
  <c r="I15" i="57"/>
  <c r="I23" i="57"/>
  <c r="I7" i="57"/>
  <c r="G35" i="56"/>
  <c r="G35" i="57" s="1"/>
  <c r="I35" i="57" s="1"/>
  <c r="G32" i="56"/>
  <c r="G32" i="57" s="1"/>
  <c r="G44" i="57"/>
  <c r="G44" i="59" s="1"/>
  <c r="I44" i="59" s="1"/>
  <c r="I20" i="61" l="1"/>
  <c r="I22" i="61"/>
  <c r="I19" i="59"/>
  <c r="I19" i="61"/>
  <c r="I36" i="75"/>
  <c r="F36" i="76"/>
  <c r="I53" i="75"/>
  <c r="G38" i="76"/>
  <c r="M38" i="76" s="1"/>
  <c r="G21" i="65"/>
  <c r="I21" i="65" s="1"/>
  <c r="I21" i="63"/>
  <c r="H7" i="61"/>
  <c r="I7" i="61"/>
  <c r="G8" i="69"/>
  <c r="G8" i="65"/>
  <c r="I8" i="65" s="1"/>
  <c r="I8" i="63"/>
  <c r="F7" i="67"/>
  <c r="F7" i="65"/>
  <c r="F33" i="63"/>
  <c r="F33" i="61"/>
  <c r="F33" i="59"/>
  <c r="N33" i="59" s="1"/>
  <c r="K6" i="56"/>
  <c r="G6" i="57"/>
  <c r="G10" i="56"/>
  <c r="G7" i="69"/>
  <c r="G7" i="67"/>
  <c r="G7" i="65"/>
  <c r="I7" i="63"/>
  <c r="I23" i="59"/>
  <c r="H8" i="61"/>
  <c r="I8" i="61"/>
  <c r="G9" i="67"/>
  <c r="G9" i="65"/>
  <c r="I9" i="63"/>
  <c r="F32" i="73"/>
  <c r="F32" i="69"/>
  <c r="F32" i="67"/>
  <c r="F32" i="65"/>
  <c r="O27" i="59"/>
  <c r="I32" i="57"/>
  <c r="G32" i="63"/>
  <c r="G32" i="61"/>
  <c r="I32" i="61" s="1"/>
  <c r="G32" i="59"/>
  <c r="G17" i="75"/>
  <c r="G17" i="73"/>
  <c r="G17" i="69"/>
  <c r="I22" i="59"/>
  <c r="I36" i="65"/>
  <c r="T36" i="65"/>
  <c r="F40" i="73"/>
  <c r="F40" i="69"/>
  <c r="F40" i="65"/>
  <c r="F40" i="75"/>
  <c r="F40" i="76" s="1"/>
  <c r="L40" i="76" s="1"/>
  <c r="F9" i="73"/>
  <c r="F17" i="75"/>
  <c r="F17" i="73"/>
  <c r="F17" i="69"/>
  <c r="F17" i="67"/>
  <c r="F17" i="65"/>
  <c r="N17" i="63"/>
  <c r="O31" i="59"/>
  <c r="G16" i="63"/>
  <c r="G16" i="61"/>
  <c r="O16" i="61" s="1"/>
  <c r="G16" i="59"/>
  <c r="H9" i="59"/>
  <c r="I9" i="59"/>
  <c r="H37" i="59"/>
  <c r="I37" i="59"/>
  <c r="I23" i="61"/>
  <c r="G20" i="65"/>
  <c r="I20" i="65" s="1"/>
  <c r="I20" i="63"/>
  <c r="Q15" i="61"/>
  <c r="N15" i="61"/>
  <c r="F9" i="67"/>
  <c r="F9" i="65"/>
  <c r="G31" i="75"/>
  <c r="G31" i="76" s="1"/>
  <c r="G31" i="73"/>
  <c r="G31" i="69"/>
  <c r="G31" i="67"/>
  <c r="G31" i="65"/>
  <c r="G15" i="75"/>
  <c r="G15" i="73"/>
  <c r="G15" i="69"/>
  <c r="G15" i="67"/>
  <c r="G15" i="65"/>
  <c r="O15" i="63"/>
  <c r="R15" i="63"/>
  <c r="G37" i="75"/>
  <c r="G37" i="76" s="1"/>
  <c r="G37" i="73"/>
  <c r="G37" i="69"/>
  <c r="I37" i="69" s="1"/>
  <c r="G37" i="67"/>
  <c r="G37" i="65"/>
  <c r="I37" i="63"/>
  <c r="F16" i="75"/>
  <c r="F16" i="73"/>
  <c r="F16" i="67"/>
  <c r="N16" i="63"/>
  <c r="F16" i="65"/>
  <c r="Q16" i="63"/>
  <c r="F16" i="69"/>
  <c r="F15" i="75"/>
  <c r="F15" i="73"/>
  <c r="F15" i="69"/>
  <c r="F15" i="67"/>
  <c r="F15" i="65"/>
  <c r="Q15" i="63"/>
  <c r="N15" i="63"/>
  <c r="G35" i="63"/>
  <c r="G35" i="61"/>
  <c r="G35" i="59"/>
  <c r="T36" i="67"/>
  <c r="I36" i="67"/>
  <c r="G27" i="75"/>
  <c r="G27" i="76" s="1"/>
  <c r="G27" i="73"/>
  <c r="G27" i="69"/>
  <c r="G27" i="67"/>
  <c r="T27" i="67" s="1"/>
  <c r="G27" i="65"/>
  <c r="T27" i="65" s="1"/>
  <c r="H8" i="59"/>
  <c r="I8" i="59"/>
  <c r="R15" i="61"/>
  <c r="S15" i="61" s="1"/>
  <c r="O15" i="61"/>
  <c r="H7" i="59"/>
  <c r="I7" i="59"/>
  <c r="H9" i="61"/>
  <c r="I9" i="61"/>
  <c r="H37" i="61"/>
  <c r="I37" i="61"/>
  <c r="F8" i="69"/>
  <c r="F8" i="73" s="1"/>
  <c r="F8" i="76" s="1"/>
  <c r="F8" i="67"/>
  <c r="I8" i="67" s="1"/>
  <c r="G30" i="75"/>
  <c r="G30" i="76" s="1"/>
  <c r="G30" i="73"/>
  <c r="G30" i="69"/>
  <c r="G30" i="67"/>
  <c r="T30" i="67" s="1"/>
  <c r="G30" i="65"/>
  <c r="T30" i="65" s="1"/>
  <c r="Q16" i="61"/>
  <c r="Q17" i="61" s="1"/>
  <c r="N16" i="61"/>
  <c r="G23" i="65"/>
  <c r="I23" i="65" s="1"/>
  <c r="I23" i="63"/>
  <c r="F22" i="65"/>
  <c r="I22" i="65" s="1"/>
  <c r="I22" i="63"/>
  <c r="I19" i="67"/>
  <c r="F19" i="65"/>
  <c r="I19" i="65" s="1"/>
  <c r="I19" i="63"/>
  <c r="O17" i="59"/>
  <c r="I17" i="59"/>
  <c r="O17" i="61"/>
  <c r="I17" i="61"/>
  <c r="G17" i="67"/>
  <c r="G17" i="65"/>
  <c r="O17" i="63"/>
  <c r="I17" i="63"/>
  <c r="M7" i="56"/>
  <c r="M8" i="56"/>
  <c r="O8" i="56" s="1"/>
  <c r="P8" i="56" s="1"/>
  <c r="O12" i="56"/>
  <c r="P12" i="56" s="1"/>
  <c r="R16" i="61" l="1"/>
  <c r="M16" i="67"/>
  <c r="I36" i="76"/>
  <c r="L36" i="76"/>
  <c r="H37" i="76"/>
  <c r="I37" i="76"/>
  <c r="F9" i="75"/>
  <c r="F9" i="76"/>
  <c r="H27" i="76"/>
  <c r="I27" i="76"/>
  <c r="M16" i="69"/>
  <c r="I17" i="75"/>
  <c r="Q17" i="63"/>
  <c r="F6" i="73"/>
  <c r="H35" i="61"/>
  <c r="I35" i="61"/>
  <c r="G15" i="76"/>
  <c r="H15" i="75"/>
  <c r="I15" i="75"/>
  <c r="T37" i="65"/>
  <c r="I37" i="65"/>
  <c r="H37" i="75"/>
  <c r="I37" i="75"/>
  <c r="K15" i="67"/>
  <c r="L15" i="67" s="1"/>
  <c r="I15" i="67"/>
  <c r="I32" i="59"/>
  <c r="O32" i="59"/>
  <c r="I9" i="65"/>
  <c r="L8" i="67"/>
  <c r="L9" i="67" s="1"/>
  <c r="I7" i="67"/>
  <c r="I27" i="75"/>
  <c r="H27" i="75"/>
  <c r="I15" i="65"/>
  <c r="K15" i="65"/>
  <c r="L15" i="65" s="1"/>
  <c r="G6" i="63"/>
  <c r="G10" i="57"/>
  <c r="G6" i="59"/>
  <c r="G6" i="61"/>
  <c r="T37" i="67"/>
  <c r="I37" i="67"/>
  <c r="S15" i="63"/>
  <c r="O14" i="69"/>
  <c r="O15" i="69" s="1"/>
  <c r="I15" i="69"/>
  <c r="K15" i="69"/>
  <c r="L15" i="69" s="1"/>
  <c r="T31" i="65"/>
  <c r="I31" i="76"/>
  <c r="I31" i="75"/>
  <c r="Q16" i="59"/>
  <c r="O16" i="59"/>
  <c r="K17" i="69"/>
  <c r="L17" i="69" s="1"/>
  <c r="I17" i="69"/>
  <c r="I9" i="67"/>
  <c r="L8" i="69"/>
  <c r="L9" i="69" s="1"/>
  <c r="G7" i="73"/>
  <c r="G7" i="76" s="1"/>
  <c r="H7" i="69"/>
  <c r="I7" i="69"/>
  <c r="G8" i="73"/>
  <c r="G8" i="76" s="1"/>
  <c r="H8" i="69"/>
  <c r="I8" i="69"/>
  <c r="H37" i="73"/>
  <c r="I37" i="73"/>
  <c r="G16" i="75"/>
  <c r="G16" i="73"/>
  <c r="G16" i="69"/>
  <c r="G16" i="67"/>
  <c r="N16" i="67" s="1"/>
  <c r="O16" i="67" s="1"/>
  <c r="G16" i="65"/>
  <c r="K16" i="65" s="1"/>
  <c r="L16" i="65" s="1"/>
  <c r="O16" i="63"/>
  <c r="I16" i="63"/>
  <c r="L8" i="65"/>
  <c r="L9" i="65" s="1"/>
  <c r="I7" i="65"/>
  <c r="F33" i="75"/>
  <c r="F33" i="76" s="1"/>
  <c r="F33" i="73"/>
  <c r="F33" i="69"/>
  <c r="F33" i="67"/>
  <c r="I33" i="67" s="1"/>
  <c r="F33" i="65"/>
  <c r="G35" i="75"/>
  <c r="G35" i="76" s="1"/>
  <c r="M35" i="76" s="1"/>
  <c r="G35" i="73"/>
  <c r="G35" i="69"/>
  <c r="G35" i="67"/>
  <c r="G35" i="65"/>
  <c r="H35" i="63"/>
  <c r="I35" i="63"/>
  <c r="R16" i="63"/>
  <c r="R17" i="63" s="1"/>
  <c r="S17" i="63" s="1"/>
  <c r="H27" i="73"/>
  <c r="I35" i="59"/>
  <c r="H35" i="59"/>
  <c r="I16" i="65"/>
  <c r="H15" i="73"/>
  <c r="I15" i="73"/>
  <c r="T31" i="67"/>
  <c r="I17" i="73"/>
  <c r="G32" i="75"/>
  <c r="G32" i="73"/>
  <c r="I32" i="73" s="1"/>
  <c r="G32" i="69"/>
  <c r="I32" i="69" s="1"/>
  <c r="G32" i="67"/>
  <c r="I32" i="67" s="1"/>
  <c r="G32" i="65"/>
  <c r="I32" i="65" s="1"/>
  <c r="I32" i="63"/>
  <c r="I17" i="67"/>
  <c r="K17" i="67"/>
  <c r="L17" i="67" s="1"/>
  <c r="I17" i="65"/>
  <c r="K17" i="65"/>
  <c r="L17" i="65" s="1"/>
  <c r="R17" i="61"/>
  <c r="S17" i="61" s="1"/>
  <c r="S16" i="61"/>
  <c r="G43" i="56"/>
  <c r="I48" i="56"/>
  <c r="I47" i="56"/>
  <c r="I46" i="56"/>
  <c r="I37" i="56"/>
  <c r="I36" i="56"/>
  <c r="I35" i="56"/>
  <c r="P32" i="56"/>
  <c r="I32" i="56"/>
  <c r="I31" i="56"/>
  <c r="I30" i="56"/>
  <c r="I29" i="56"/>
  <c r="I28" i="56"/>
  <c r="I27" i="56"/>
  <c r="I23" i="56"/>
  <c r="I22" i="56"/>
  <c r="I20" i="56"/>
  <c r="I19" i="56"/>
  <c r="I17" i="56"/>
  <c r="F10" i="56"/>
  <c r="I9" i="56"/>
  <c r="I8" i="56"/>
  <c r="I7" i="56"/>
  <c r="I6" i="56"/>
  <c r="O5" i="56"/>
  <c r="E4" i="56"/>
  <c r="S16" i="63" l="1"/>
  <c r="I32" i="75"/>
  <c r="G32" i="76"/>
  <c r="I32" i="76" s="1"/>
  <c r="F6" i="75"/>
  <c r="F10" i="75" s="1"/>
  <c r="F10" i="73"/>
  <c r="G12" i="56"/>
  <c r="I12" i="56" s="1"/>
  <c r="H35" i="69"/>
  <c r="F56" i="69"/>
  <c r="F57" i="69" s="1"/>
  <c r="I35" i="69"/>
  <c r="H16" i="73"/>
  <c r="I16" i="73"/>
  <c r="H35" i="73"/>
  <c r="I35" i="73"/>
  <c r="H16" i="75"/>
  <c r="G16" i="76"/>
  <c r="I16" i="75"/>
  <c r="G6" i="67"/>
  <c r="G10" i="67" s="1"/>
  <c r="G6" i="69"/>
  <c r="G10" i="63"/>
  <c r="G6" i="65"/>
  <c r="G10" i="65" s="1"/>
  <c r="H15" i="76"/>
  <c r="I15" i="76"/>
  <c r="T35" i="65"/>
  <c r="T40" i="65" s="1"/>
  <c r="I35" i="65"/>
  <c r="F56" i="65"/>
  <c r="F57" i="65" s="1"/>
  <c r="H35" i="65"/>
  <c r="K16" i="67"/>
  <c r="L16" i="67" s="1"/>
  <c r="I16" i="67"/>
  <c r="G7" i="75"/>
  <c r="I7" i="73"/>
  <c r="H7" i="73"/>
  <c r="H6" i="61"/>
  <c r="G10" i="61"/>
  <c r="H10" i="61" s="1"/>
  <c r="H35" i="75"/>
  <c r="I35" i="75"/>
  <c r="T35" i="67"/>
  <c r="T40" i="67" s="1"/>
  <c r="I35" i="67"/>
  <c r="F56" i="67"/>
  <c r="F57" i="67" s="1"/>
  <c r="H35" i="67"/>
  <c r="H35" i="76"/>
  <c r="I35" i="76"/>
  <c r="K16" i="69"/>
  <c r="L16" i="69" s="1"/>
  <c r="I16" i="69"/>
  <c r="G8" i="75"/>
  <c r="H8" i="73"/>
  <c r="I8" i="73"/>
  <c r="H6" i="59"/>
  <c r="G10" i="59"/>
  <c r="H10" i="59" s="1"/>
  <c r="I10" i="56"/>
  <c r="G10" i="54"/>
  <c r="I6" i="76" l="1"/>
  <c r="F10" i="76"/>
  <c r="H16" i="76"/>
  <c r="K16" i="76"/>
  <c r="L16" i="76" s="1"/>
  <c r="H7" i="76"/>
  <c r="I7" i="76"/>
  <c r="I16" i="76"/>
  <c r="I8" i="75"/>
  <c r="H8" i="75"/>
  <c r="I7" i="75"/>
  <c r="H7" i="75"/>
  <c r="G6" i="73"/>
  <c r="H6" i="69"/>
  <c r="F43" i="55"/>
  <c r="F44" i="55"/>
  <c r="G44" i="55"/>
  <c r="G42" i="55"/>
  <c r="F42" i="55"/>
  <c r="L13" i="54"/>
  <c r="G6" i="75" l="1"/>
  <c r="H6" i="73"/>
  <c r="I6" i="73"/>
  <c r="F12" i="55"/>
  <c r="F36" i="55"/>
  <c r="G36" i="55"/>
  <c r="F37" i="55"/>
  <c r="G37" i="55"/>
  <c r="F38" i="55"/>
  <c r="G38" i="55"/>
  <c r="G39" i="55"/>
  <c r="G35" i="55"/>
  <c r="F35" i="55"/>
  <c r="G30" i="55"/>
  <c r="G31" i="55"/>
  <c r="F32" i="55"/>
  <c r="G32" i="55"/>
  <c r="G27" i="55"/>
  <c r="F20" i="55"/>
  <c r="G20" i="55"/>
  <c r="F21" i="55"/>
  <c r="G21" i="55"/>
  <c r="F22" i="55"/>
  <c r="G22" i="55"/>
  <c r="F23" i="55"/>
  <c r="G23" i="55"/>
  <c r="F24" i="55"/>
  <c r="G24" i="55"/>
  <c r="F25" i="55"/>
  <c r="G25" i="55"/>
  <c r="G19" i="55"/>
  <c r="F19" i="55"/>
  <c r="F16" i="55"/>
  <c r="G16" i="55"/>
  <c r="F17" i="55"/>
  <c r="G17" i="55"/>
  <c r="G15" i="55"/>
  <c r="F15" i="55"/>
  <c r="G6" i="55"/>
  <c r="G7" i="55"/>
  <c r="G8" i="55"/>
  <c r="G9" i="55"/>
  <c r="F7" i="55"/>
  <c r="F8" i="55"/>
  <c r="F9" i="55"/>
  <c r="F6" i="55"/>
  <c r="F6" i="57" s="1"/>
  <c r="G48" i="55"/>
  <c r="F48" i="55"/>
  <c r="I47" i="55"/>
  <c r="I46" i="55"/>
  <c r="G40" i="55"/>
  <c r="G33" i="55"/>
  <c r="I33" i="55" s="1"/>
  <c r="E4" i="55"/>
  <c r="I37" i="55" l="1"/>
  <c r="I6" i="55"/>
  <c r="I9" i="55"/>
  <c r="I16" i="55"/>
  <c r="I35" i="55"/>
  <c r="I36" i="55"/>
  <c r="I7" i="55"/>
  <c r="I22" i="55"/>
  <c r="I20" i="55"/>
  <c r="I32" i="55"/>
  <c r="H6" i="75"/>
  <c r="I6" i="75"/>
  <c r="F6" i="59"/>
  <c r="F6" i="63"/>
  <c r="F6" i="69" s="1"/>
  <c r="F6" i="61"/>
  <c r="F10" i="57"/>
  <c r="I10" i="57" s="1"/>
  <c r="I6" i="57"/>
  <c r="G10" i="55"/>
  <c r="I15" i="55"/>
  <c r="I23" i="55"/>
  <c r="I48" i="55"/>
  <c r="F10" i="55"/>
  <c r="I17" i="55"/>
  <c r="I19" i="55"/>
  <c r="I8" i="55"/>
  <c r="I10" i="55" l="1"/>
  <c r="I6" i="69"/>
  <c r="F6" i="67"/>
  <c r="F6" i="65"/>
  <c r="F10" i="63"/>
  <c r="I10" i="63" s="1"/>
  <c r="I6" i="63"/>
  <c r="F10" i="61"/>
  <c r="I10" i="61" s="1"/>
  <c r="I6" i="61"/>
  <c r="F10" i="59"/>
  <c r="I10" i="59" s="1"/>
  <c r="I6" i="59"/>
  <c r="K38" i="54"/>
  <c r="K39" i="54" s="1"/>
  <c r="M36" i="54"/>
  <c r="M41" i="54" s="1"/>
  <c r="N35" i="54" s="1"/>
  <c r="N36" i="54" s="1"/>
  <c r="O40" i="54"/>
  <c r="O35" i="54"/>
  <c r="G33" i="54"/>
  <c r="G33" i="57" s="1"/>
  <c r="G40" i="54"/>
  <c r="G40" i="57" s="1"/>
  <c r="G43" i="54"/>
  <c r="J47" i="54"/>
  <c r="J48" i="54" s="1"/>
  <c r="F39" i="54"/>
  <c r="K32" i="54"/>
  <c r="G29" i="54"/>
  <c r="G28" i="54"/>
  <c r="F29" i="54"/>
  <c r="F28" i="54"/>
  <c r="M12" i="54"/>
  <c r="N12" i="54" s="1"/>
  <c r="I15" i="54"/>
  <c r="I17" i="54"/>
  <c r="P14" i="54"/>
  <c r="Q14" i="54" s="1"/>
  <c r="J17" i="54"/>
  <c r="M17" i="54"/>
  <c r="M18" i="54" s="1"/>
  <c r="I16" i="54"/>
  <c r="P35" i="54" l="1"/>
  <c r="P36" i="54" s="1"/>
  <c r="F39" i="57"/>
  <c r="F39" i="55"/>
  <c r="G33" i="63"/>
  <c r="G33" i="61"/>
  <c r="I33" i="61" s="1"/>
  <c r="G33" i="59"/>
  <c r="I33" i="57"/>
  <c r="F28" i="57"/>
  <c r="F28" i="55"/>
  <c r="F29" i="57"/>
  <c r="F29" i="55"/>
  <c r="G40" i="63"/>
  <c r="G40" i="59"/>
  <c r="I40" i="59" s="1"/>
  <c r="G40" i="61"/>
  <c r="I40" i="61" s="1"/>
  <c r="G29" i="57"/>
  <c r="G29" i="55"/>
  <c r="G12" i="54"/>
  <c r="G12" i="76" s="1"/>
  <c r="I12" i="76" s="1"/>
  <c r="G43" i="63"/>
  <c r="G43" i="61"/>
  <c r="G43" i="57"/>
  <c r="G43" i="59" s="1"/>
  <c r="G43" i="55"/>
  <c r="F10" i="65"/>
  <c r="I10" i="65" s="1"/>
  <c r="I6" i="65"/>
  <c r="F10" i="67"/>
  <c r="I10" i="67" s="1"/>
  <c r="I6" i="67"/>
  <c r="I33" i="54"/>
  <c r="G48" i="54"/>
  <c r="F48" i="54"/>
  <c r="I47" i="54"/>
  <c r="I46" i="54"/>
  <c r="I37" i="54"/>
  <c r="I36" i="54"/>
  <c r="I35" i="54"/>
  <c r="P32" i="54"/>
  <c r="I32" i="54"/>
  <c r="I31" i="54"/>
  <c r="I30" i="54"/>
  <c r="I29" i="54"/>
  <c r="I28" i="54"/>
  <c r="I27" i="54"/>
  <c r="I23" i="54"/>
  <c r="I22" i="54"/>
  <c r="I20" i="54"/>
  <c r="I19" i="54"/>
  <c r="P12" i="54"/>
  <c r="F10" i="54"/>
  <c r="I9" i="54"/>
  <c r="I8" i="54"/>
  <c r="I7" i="54"/>
  <c r="I6" i="54"/>
  <c r="O5" i="54"/>
  <c r="E4" i="54"/>
  <c r="I12" i="54" l="1"/>
  <c r="G40" i="75"/>
  <c r="G40" i="73"/>
  <c r="G40" i="69"/>
  <c r="G40" i="67"/>
  <c r="G40" i="65"/>
  <c r="F28" i="63"/>
  <c r="F28" i="61"/>
  <c r="F28" i="59"/>
  <c r="N28" i="59" s="1"/>
  <c r="G33" i="75"/>
  <c r="G33" i="76" s="1"/>
  <c r="G33" i="73"/>
  <c r="I33" i="73" s="1"/>
  <c r="G33" i="69"/>
  <c r="I33" i="69" s="1"/>
  <c r="G33" i="65"/>
  <c r="I33" i="65" s="1"/>
  <c r="I33" i="63"/>
  <c r="G12" i="63"/>
  <c r="I12" i="63" s="1"/>
  <c r="M8" i="59"/>
  <c r="G12" i="65"/>
  <c r="I12" i="65" s="1"/>
  <c r="G12" i="57"/>
  <c r="G12" i="55"/>
  <c r="I12" i="55" s="1"/>
  <c r="N43" i="61"/>
  <c r="O43" i="61" s="1"/>
  <c r="R43" i="61"/>
  <c r="G29" i="63"/>
  <c r="G29" i="61"/>
  <c r="G29" i="59"/>
  <c r="I29" i="57"/>
  <c r="I29" i="55"/>
  <c r="G43" i="73"/>
  <c r="G43" i="69"/>
  <c r="G43" i="67"/>
  <c r="G43" i="65"/>
  <c r="R43" i="63"/>
  <c r="N43" i="63"/>
  <c r="O43" i="63" s="1"/>
  <c r="F29" i="63"/>
  <c r="F29" i="61"/>
  <c r="F29" i="59"/>
  <c r="N29" i="59" s="1"/>
  <c r="I33" i="59"/>
  <c r="O33" i="59"/>
  <c r="F39" i="63"/>
  <c r="F39" i="61"/>
  <c r="F39" i="59"/>
  <c r="I48" i="54"/>
  <c r="I10" i="54"/>
  <c r="AJ18" i="53"/>
  <c r="I40" i="75" l="1"/>
  <c r="G40" i="76"/>
  <c r="M40" i="76" s="1"/>
  <c r="M41" i="76" s="1"/>
  <c r="I29" i="59"/>
  <c r="O29" i="59"/>
  <c r="R44" i="63"/>
  <c r="R45" i="63" s="1"/>
  <c r="R47" i="63" s="1"/>
  <c r="S43" i="63"/>
  <c r="I43" i="73"/>
  <c r="K43" i="73"/>
  <c r="L43" i="73" s="1"/>
  <c r="L45" i="73" s="1"/>
  <c r="G43" i="75"/>
  <c r="G43" i="76" s="1"/>
  <c r="M43" i="73"/>
  <c r="N43" i="73" s="1"/>
  <c r="G12" i="73"/>
  <c r="I12" i="73" s="1"/>
  <c r="I29" i="61"/>
  <c r="F28" i="75"/>
  <c r="F28" i="76" s="1"/>
  <c r="F28" i="69"/>
  <c r="F28" i="67"/>
  <c r="F28" i="65"/>
  <c r="I40" i="73"/>
  <c r="G9" i="73"/>
  <c r="G9" i="76" s="1"/>
  <c r="I9" i="76" s="1"/>
  <c r="F39" i="75"/>
  <c r="F39" i="69"/>
  <c r="F39" i="67"/>
  <c r="F39" i="65"/>
  <c r="M43" i="65"/>
  <c r="N43" i="65" s="1"/>
  <c r="I43" i="65"/>
  <c r="E51" i="65"/>
  <c r="F51" i="65" s="1"/>
  <c r="G51" i="65" s="1"/>
  <c r="G29" i="75"/>
  <c r="G29" i="76" s="1"/>
  <c r="G29" i="73"/>
  <c r="G29" i="69"/>
  <c r="G29" i="67"/>
  <c r="G29" i="65"/>
  <c r="I29" i="63"/>
  <c r="I12" i="57"/>
  <c r="G12" i="59"/>
  <c r="I12" i="59" s="1"/>
  <c r="I33" i="75"/>
  <c r="M43" i="69"/>
  <c r="N43" i="69" s="1"/>
  <c r="K43" i="69"/>
  <c r="L43" i="69" s="1"/>
  <c r="L45" i="69" s="1"/>
  <c r="I43" i="69"/>
  <c r="E51" i="69"/>
  <c r="F51" i="69" s="1"/>
  <c r="G51" i="69" s="1"/>
  <c r="G12" i="69"/>
  <c r="I12" i="69" s="1"/>
  <c r="I40" i="69"/>
  <c r="G9" i="69"/>
  <c r="F29" i="75"/>
  <c r="F29" i="76" s="1"/>
  <c r="F29" i="73"/>
  <c r="F29" i="69"/>
  <c r="F29" i="67"/>
  <c r="F29" i="65"/>
  <c r="M43" i="67"/>
  <c r="I43" i="67"/>
  <c r="N42" i="67"/>
  <c r="O42" i="67" s="1"/>
  <c r="O43" i="67" s="1"/>
  <c r="K43" i="67"/>
  <c r="L43" i="67" s="1"/>
  <c r="L45" i="67" s="1"/>
  <c r="E51" i="67"/>
  <c r="F51" i="67" s="1"/>
  <c r="G51" i="67" s="1"/>
  <c r="G12" i="67"/>
  <c r="I12" i="67" s="1"/>
  <c r="S43" i="61"/>
  <c r="R44" i="61"/>
  <c r="R45" i="61" s="1"/>
  <c r="R47" i="61" s="1"/>
  <c r="I40" i="76"/>
  <c r="E4" i="52"/>
  <c r="I47" i="52"/>
  <c r="I46" i="52"/>
  <c r="G28" i="52"/>
  <c r="I17" i="52"/>
  <c r="F31" i="52"/>
  <c r="F30" i="52"/>
  <c r="F30" i="57" s="1"/>
  <c r="F27" i="52"/>
  <c r="P32" i="52"/>
  <c r="P12" i="52"/>
  <c r="O5" i="52"/>
  <c r="N43" i="67" l="1"/>
  <c r="I39" i="75"/>
  <c r="F39" i="76"/>
  <c r="I29" i="76"/>
  <c r="C52" i="76"/>
  <c r="C53" i="76" s="1"/>
  <c r="C54" i="76" s="1"/>
  <c r="H9" i="76"/>
  <c r="E52" i="75"/>
  <c r="F52" i="75" s="1"/>
  <c r="I43" i="75"/>
  <c r="G12" i="75"/>
  <c r="I12" i="75" s="1"/>
  <c r="I29" i="69"/>
  <c r="I39" i="69"/>
  <c r="F9" i="69"/>
  <c r="F27" i="57"/>
  <c r="F27" i="55"/>
  <c r="I27" i="55" s="1"/>
  <c r="G28" i="57"/>
  <c r="G28" i="55"/>
  <c r="I28" i="55" s="1"/>
  <c r="F31" i="57"/>
  <c r="F31" i="55"/>
  <c r="I31" i="55" s="1"/>
  <c r="I29" i="73"/>
  <c r="T29" i="67"/>
  <c r="I29" i="67"/>
  <c r="H9" i="69"/>
  <c r="P8" i="69"/>
  <c r="P9" i="69" s="1"/>
  <c r="I9" i="69"/>
  <c r="G10" i="69"/>
  <c r="H10" i="69" s="1"/>
  <c r="I33" i="76"/>
  <c r="T29" i="65"/>
  <c r="I29" i="65"/>
  <c r="I29" i="75"/>
  <c r="G9" i="75"/>
  <c r="G10" i="75" s="1"/>
  <c r="H9" i="73"/>
  <c r="I9" i="73"/>
  <c r="G10" i="73"/>
  <c r="I43" i="76"/>
  <c r="E52" i="76"/>
  <c r="F52" i="76" s="1"/>
  <c r="F30" i="61"/>
  <c r="I30" i="61" s="1"/>
  <c r="F30" i="63"/>
  <c r="F30" i="59"/>
  <c r="I30" i="59" s="1"/>
  <c r="F30" i="55"/>
  <c r="I30" i="55" s="1"/>
  <c r="I30" i="57"/>
  <c r="G48" i="52"/>
  <c r="F48" i="52"/>
  <c r="I37" i="52"/>
  <c r="I36" i="52"/>
  <c r="I35" i="52"/>
  <c r="I32" i="52"/>
  <c r="I31" i="52"/>
  <c r="I30" i="52"/>
  <c r="I29" i="52"/>
  <c r="I28" i="52"/>
  <c r="I27" i="52"/>
  <c r="I23" i="52"/>
  <c r="I22" i="52"/>
  <c r="I20" i="52"/>
  <c r="I19" i="52"/>
  <c r="I12" i="52"/>
  <c r="G10" i="52"/>
  <c r="F10" i="52"/>
  <c r="I9" i="52"/>
  <c r="I8" i="52"/>
  <c r="I7" i="52"/>
  <c r="I6" i="52"/>
  <c r="K9" i="22"/>
  <c r="J9" i="22"/>
  <c r="I39" i="76" l="1"/>
  <c r="L39" i="76"/>
  <c r="L41" i="76" s="1"/>
  <c r="O8" i="69"/>
  <c r="O9" i="69" s="1"/>
  <c r="F10" i="69"/>
  <c r="I10" i="69" s="1"/>
  <c r="H9" i="75"/>
  <c r="I9" i="75"/>
  <c r="I8" i="76"/>
  <c r="H8" i="76"/>
  <c r="G10" i="76"/>
  <c r="I10" i="76" s="1"/>
  <c r="I28" i="57"/>
  <c r="G28" i="63"/>
  <c r="G28" i="61"/>
  <c r="I28" i="61" s="1"/>
  <c r="G28" i="59"/>
  <c r="H10" i="73"/>
  <c r="I10" i="73"/>
  <c r="F31" i="63"/>
  <c r="F31" i="61"/>
  <c r="I31" i="61" s="1"/>
  <c r="F31" i="59"/>
  <c r="I31" i="57"/>
  <c r="F27" i="63"/>
  <c r="F27" i="61"/>
  <c r="I27" i="61" s="1"/>
  <c r="F27" i="59"/>
  <c r="I27" i="57"/>
  <c r="F30" i="67"/>
  <c r="I30" i="67" s="1"/>
  <c r="F30" i="75"/>
  <c r="F30" i="73"/>
  <c r="I30" i="73" s="1"/>
  <c r="F30" i="69"/>
  <c r="I30" i="69" s="1"/>
  <c r="F30" i="65"/>
  <c r="I30" i="65" s="1"/>
  <c r="I30" i="63"/>
  <c r="N30" i="59"/>
  <c r="I48" i="52"/>
  <c r="I10" i="52"/>
  <c r="G47" i="49"/>
  <c r="I47" i="49" s="1"/>
  <c r="G46" i="49"/>
  <c r="I30" i="75" l="1"/>
  <c r="F30" i="76"/>
  <c r="I30" i="76" s="1"/>
  <c r="F27" i="69"/>
  <c r="F27" i="67"/>
  <c r="I27" i="67" s="1"/>
  <c r="F27" i="65"/>
  <c r="I27" i="65" s="1"/>
  <c r="F27" i="73"/>
  <c r="I27" i="63"/>
  <c r="F31" i="73"/>
  <c r="I31" i="73" s="1"/>
  <c r="F31" i="69"/>
  <c r="I31" i="69" s="1"/>
  <c r="F31" i="67"/>
  <c r="I31" i="67" s="1"/>
  <c r="F31" i="65"/>
  <c r="I31" i="65" s="1"/>
  <c r="I31" i="63"/>
  <c r="H10" i="75"/>
  <c r="I10" i="75"/>
  <c r="I28" i="59"/>
  <c r="O28" i="59"/>
  <c r="G28" i="75"/>
  <c r="G28" i="73"/>
  <c r="I28" i="73" s="1"/>
  <c r="G28" i="69"/>
  <c r="I28" i="69" s="1"/>
  <c r="G28" i="67"/>
  <c r="G28" i="65"/>
  <c r="I28" i="63"/>
  <c r="H10" i="76"/>
  <c r="N27" i="59"/>
  <c r="I27" i="59"/>
  <c r="N31" i="59"/>
  <c r="I31" i="59"/>
  <c r="F29" i="22"/>
  <c r="L29" i="22"/>
  <c r="J29" i="22"/>
  <c r="I28" i="75" l="1"/>
  <c r="G28" i="76"/>
  <c r="I28" i="76" s="1"/>
  <c r="T28" i="67"/>
  <c r="T33" i="67" s="1"/>
  <c r="V31" i="67" s="1"/>
  <c r="I28" i="67"/>
  <c r="M27" i="73"/>
  <c r="M28" i="73" s="1"/>
  <c r="I27" i="73"/>
  <c r="T28" i="65"/>
  <c r="T33" i="65" s="1"/>
  <c r="V31" i="65" s="1"/>
  <c r="I28" i="65"/>
  <c r="M27" i="69"/>
  <c r="M28" i="69" s="1"/>
  <c r="I27" i="69"/>
  <c r="H42" i="15"/>
  <c r="I46" i="49"/>
  <c r="M30" i="49"/>
  <c r="G16" i="49" l="1"/>
  <c r="E9" i="22"/>
  <c r="I44" i="49" l="1"/>
  <c r="Q54" i="22"/>
  <c r="R54" i="22"/>
  <c r="S54" i="22"/>
  <c r="T54" i="22"/>
  <c r="U54" i="22"/>
  <c r="V54" i="22"/>
  <c r="W54" i="22"/>
  <c r="X54" i="22"/>
  <c r="O44" i="22"/>
  <c r="O55" i="22" s="1"/>
  <c r="O45" i="22"/>
  <c r="O56" i="22" s="1"/>
  <c r="O43" i="22"/>
  <c r="O54" i="22" s="1"/>
  <c r="M40" i="22"/>
  <c r="O40" i="22" s="1"/>
  <c r="M39" i="22"/>
  <c r="O39" i="22" s="1"/>
  <c r="O38" i="22"/>
  <c r="O46" i="22" l="1"/>
  <c r="O41" i="22"/>
  <c r="Q41" i="22" s="1"/>
  <c r="P43" i="22"/>
  <c r="P54" i="22" s="1"/>
  <c r="P45" i="22"/>
  <c r="P56" i="22" s="1"/>
  <c r="P44" i="22"/>
  <c r="P55" i="22" s="1"/>
  <c r="P39" i="22"/>
  <c r="P40" i="22"/>
  <c r="P38" i="22"/>
  <c r="L36" i="22"/>
  <c r="P41" i="22" l="1"/>
  <c r="P46" i="22"/>
  <c r="P52" i="22" s="1"/>
  <c r="E35" i="50"/>
  <c r="E36" i="50" s="1"/>
  <c r="F35" i="50"/>
  <c r="F34" i="50"/>
  <c r="E34" i="50"/>
  <c r="D34" i="50"/>
  <c r="G34" i="50" s="1"/>
  <c r="F69" i="50"/>
  <c r="E69" i="50"/>
  <c r="C53" i="50"/>
  <c r="F50" i="50"/>
  <c r="E50" i="50"/>
  <c r="H49" i="50"/>
  <c r="H48" i="50"/>
  <c r="F46" i="50"/>
  <c r="E46" i="50"/>
  <c r="H45" i="50"/>
  <c r="H44" i="50"/>
  <c r="H42" i="50"/>
  <c r="D42" i="50"/>
  <c r="G42" i="50" s="1"/>
  <c r="H40" i="50"/>
  <c r="H39" i="50"/>
  <c r="H38" i="50"/>
  <c r="K36" i="50"/>
  <c r="C36" i="50"/>
  <c r="K35" i="50"/>
  <c r="K34" i="50"/>
  <c r="C31" i="50"/>
  <c r="U21" i="50"/>
  <c r="U22" i="50" s="1"/>
  <c r="T21" i="50"/>
  <c r="T22" i="50" s="1"/>
  <c r="S14" i="50"/>
  <c r="S15" i="50" s="1"/>
  <c r="Q14" i="50"/>
  <c r="Q15" i="50" s="1"/>
  <c r="P14" i="50"/>
  <c r="P15" i="50" s="1"/>
  <c r="O14" i="50"/>
  <c r="O15" i="50" s="1"/>
  <c r="N14" i="50"/>
  <c r="N15" i="50" s="1"/>
  <c r="Y11" i="50"/>
  <c r="Z11" i="50" s="1"/>
  <c r="Y10" i="50"/>
  <c r="V10" i="50"/>
  <c r="W10" i="50" s="1"/>
  <c r="K10" i="50"/>
  <c r="C10" i="50"/>
  <c r="Y9" i="50"/>
  <c r="V9" i="50"/>
  <c r="K9" i="50"/>
  <c r="V8" i="50"/>
  <c r="K8" i="50"/>
  <c r="F4" i="50"/>
  <c r="E4" i="50"/>
  <c r="F22" i="22"/>
  <c r="G30" i="49"/>
  <c r="F30" i="49"/>
  <c r="F29" i="49"/>
  <c r="F28" i="49"/>
  <c r="O35" i="15"/>
  <c r="N35" i="15"/>
  <c r="N34" i="15"/>
  <c r="O25" i="15"/>
  <c r="O34" i="15" s="1"/>
  <c r="M22" i="22"/>
  <c r="N22" i="22" s="1"/>
  <c r="L20" i="7"/>
  <c r="J30" i="15"/>
  <c r="G26" i="22"/>
  <c r="H26" i="22"/>
  <c r="G27" i="22"/>
  <c r="H27" i="22"/>
  <c r="G28" i="22"/>
  <c r="H28" i="22"/>
  <c r="D50" i="35"/>
  <c r="P9" i="22"/>
  <c r="R9" i="22"/>
  <c r="H34" i="50" l="1"/>
  <c r="K37" i="50"/>
  <c r="L28" i="49"/>
  <c r="S9" i="22"/>
  <c r="T8" i="22" s="1"/>
  <c r="K11" i="50"/>
  <c r="H50" i="50"/>
  <c r="F36" i="50"/>
  <c r="H36" i="50" s="1"/>
  <c r="C32" i="50"/>
  <c r="W8" i="50"/>
  <c r="H35" i="50"/>
  <c r="W9" i="50"/>
  <c r="Z10" i="50"/>
  <c r="AA10" i="50" s="1"/>
  <c r="H46" i="50"/>
  <c r="Z9" i="50"/>
  <c r="O21" i="50"/>
  <c r="W11" i="50" l="1"/>
  <c r="Z12" i="50"/>
  <c r="M8" i="22"/>
  <c r="M7" i="22"/>
  <c r="F8" i="22"/>
  <c r="M9" i="22" l="1"/>
  <c r="E29" i="22"/>
  <c r="G29" i="22" s="1"/>
  <c r="M31" i="15"/>
  <c r="H29" i="22"/>
  <c r="F24" i="22"/>
  <c r="E24" i="22"/>
  <c r="F25" i="22"/>
  <c r="O20" i="15"/>
  <c r="O21" i="15" s="1"/>
  <c r="J25" i="15"/>
  <c r="E25" i="22"/>
  <c r="F25" i="23"/>
  <c r="F31" i="22" l="1"/>
  <c r="E31" i="22"/>
  <c r="N16" i="22"/>
  <c r="AC11" i="7"/>
  <c r="X10" i="7"/>
  <c r="X11" i="7" s="1"/>
  <c r="G73" i="49" l="1"/>
  <c r="G72" i="49"/>
  <c r="F72" i="49"/>
  <c r="F73" i="49"/>
  <c r="G57" i="49"/>
  <c r="G56" i="49"/>
  <c r="F57" i="49"/>
  <c r="F56" i="49"/>
  <c r="F53" i="49" l="1"/>
  <c r="F59" i="49" s="1"/>
  <c r="F69" i="49"/>
  <c r="F65" i="49" s="1"/>
  <c r="F54" i="49" l="1"/>
  <c r="E21" i="22"/>
  <c r="E10" i="22"/>
  <c r="H19" i="22" l="1"/>
  <c r="X19" i="22"/>
  <c r="W19" i="22"/>
  <c r="O16" i="22"/>
  <c r="G70" i="49"/>
  <c r="G66" i="49" s="1"/>
  <c r="G69" i="49"/>
  <c r="G65" i="49" s="1"/>
  <c r="F70" i="49"/>
  <c r="F66" i="49" s="1"/>
  <c r="C68" i="49"/>
  <c r="C59" i="49"/>
  <c r="F60" i="49"/>
  <c r="G60" i="49"/>
  <c r="G59" i="49"/>
  <c r="B30" i="7"/>
  <c r="B31" i="7" s="1"/>
  <c r="B10" i="7"/>
  <c r="B11" i="7" s="1"/>
  <c r="D9" i="22" s="1"/>
  <c r="U17" i="22" l="1"/>
  <c r="U18" i="22" s="1"/>
  <c r="U19" i="22" s="1"/>
  <c r="D69" i="49"/>
  <c r="D68" i="49" s="1"/>
  <c r="I43" i="49"/>
  <c r="I24" i="49"/>
  <c r="I20" i="49" l="1"/>
  <c r="I21" i="49"/>
  <c r="I22" i="49"/>
  <c r="I23" i="49"/>
  <c r="I25" i="49"/>
  <c r="I19" i="49"/>
  <c r="N45" i="49" l="1"/>
  <c r="O45" i="49"/>
  <c r="O46" i="49"/>
  <c r="N46" i="49"/>
  <c r="N18" i="49"/>
  <c r="N26" i="49" s="1"/>
  <c r="I17" i="49"/>
  <c r="N17" i="49"/>
  <c r="O18" i="49"/>
  <c r="O17" i="49"/>
  <c r="O19" i="49" l="1"/>
  <c r="O47" i="49"/>
  <c r="Q47" i="49" s="1"/>
  <c r="N19" i="49"/>
  <c r="N47" i="49"/>
  <c r="O49" i="49" s="1"/>
  <c r="T17" i="49" l="1"/>
  <c r="D9" i="15" l="1"/>
  <c r="D8" i="49"/>
  <c r="I16" i="49"/>
  <c r="E16" i="49" l="1"/>
  <c r="K9" i="15"/>
  <c r="G48" i="49"/>
  <c r="F48" i="49"/>
  <c r="E37" i="49"/>
  <c r="E38" i="49"/>
  <c r="E39" i="49"/>
  <c r="E35" i="49"/>
  <c r="Q9" i="49"/>
  <c r="P9" i="49"/>
  <c r="O9" i="49"/>
  <c r="Q8" i="49"/>
  <c r="E4" i="49"/>
  <c r="I48" i="49" l="1"/>
  <c r="I27" i="49"/>
  <c r="R9" i="49"/>
  <c r="S9" i="49"/>
  <c r="B28" i="7" l="1"/>
  <c r="B29" i="7" s="1"/>
  <c r="Y12" i="7"/>
  <c r="Y13" i="7" s="1"/>
  <c r="N8" i="7"/>
  <c r="J8" i="7"/>
  <c r="B8" i="7"/>
  <c r="J32" i="7"/>
  <c r="G26" i="23" l="1"/>
  <c r="G27" i="23"/>
  <c r="G28" i="23"/>
  <c r="G29" i="23"/>
  <c r="K17" i="23"/>
  <c r="J17" i="23"/>
  <c r="I17" i="23"/>
  <c r="F16" i="23"/>
  <c r="E27" i="15"/>
  <c r="F27" i="15"/>
  <c r="L17" i="23" l="1"/>
  <c r="E31" i="48"/>
  <c r="D31" i="48"/>
  <c r="F26" i="48"/>
  <c r="I35" i="48"/>
  <c r="K26" i="48"/>
  <c r="O26" i="48" s="1"/>
  <c r="D42" i="23" l="1"/>
  <c r="E20" i="24"/>
  <c r="N21" i="24"/>
  <c r="V52" i="35" l="1"/>
  <c r="P49" i="35"/>
  <c r="T21" i="23"/>
  <c r="T22" i="23" s="1"/>
  <c r="U21" i="23"/>
  <c r="U22" i="23" s="1"/>
  <c r="E24" i="23"/>
  <c r="E25" i="23"/>
  <c r="E26" i="28"/>
  <c r="E31" i="23" l="1"/>
  <c r="F24" i="23"/>
  <c r="F31" i="23" s="1"/>
  <c r="K36" i="23"/>
  <c r="K35" i="23"/>
  <c r="K37" i="23" s="1"/>
  <c r="K34" i="23"/>
  <c r="K10" i="23"/>
  <c r="K9" i="23"/>
  <c r="H8" i="23"/>
  <c r="K8" i="23"/>
  <c r="D10" i="23"/>
  <c r="K11" i="23" l="1"/>
  <c r="F29" i="48"/>
  <c r="F31" i="48" s="1"/>
  <c r="F7" i="48"/>
  <c r="E9" i="48"/>
  <c r="E11" i="48" s="1"/>
  <c r="E13" i="48" s="1"/>
  <c r="E15" i="48" s="1"/>
  <c r="E17" i="48" s="1"/>
  <c r="E19" i="48" s="1"/>
  <c r="E21" i="48" s="1"/>
  <c r="E23" i="48" s="1"/>
  <c r="E25" i="48" s="1"/>
  <c r="E27" i="48" s="1"/>
  <c r="E30" i="48" s="1"/>
  <c r="D9" i="48"/>
  <c r="D11" i="48" s="1"/>
  <c r="D13" i="48" s="1"/>
  <c r="D15" i="48" s="1"/>
  <c r="D17" i="48" s="1"/>
  <c r="D19" i="48" s="1"/>
  <c r="D21" i="48" s="1"/>
  <c r="D23" i="48" s="1"/>
  <c r="D25" i="48" s="1"/>
  <c r="D27" i="48" s="1"/>
  <c r="D30" i="48" s="1"/>
  <c r="C31" i="15"/>
  <c r="D9" i="49" s="1"/>
  <c r="K30" i="48"/>
  <c r="O30" i="48" s="1"/>
  <c r="J9" i="48"/>
  <c r="J11" i="48" s="1"/>
  <c r="J13" i="48" s="1"/>
  <c r="J15" i="48" s="1"/>
  <c r="J17" i="48" s="1"/>
  <c r="J19" i="48" s="1"/>
  <c r="J21" i="48" s="1"/>
  <c r="J23" i="48" s="1"/>
  <c r="J25" i="48" s="1"/>
  <c r="L9" i="48"/>
  <c r="L11" i="48" s="1"/>
  <c r="L13" i="48" s="1"/>
  <c r="L15" i="48" s="1"/>
  <c r="L17" i="48" s="1"/>
  <c r="L19" i="48" s="1"/>
  <c r="L21" i="48" s="1"/>
  <c r="L23" i="48" s="1"/>
  <c r="L25" i="48" s="1"/>
  <c r="L32" i="48" s="1"/>
  <c r="M9" i="48"/>
  <c r="M11" i="48" s="1"/>
  <c r="M13" i="48" s="1"/>
  <c r="M15" i="48" s="1"/>
  <c r="M17" i="48" s="1"/>
  <c r="M19" i="48" s="1"/>
  <c r="M21" i="48" s="1"/>
  <c r="M23" i="48" s="1"/>
  <c r="M25" i="48" s="1"/>
  <c r="N9" i="48"/>
  <c r="N11" i="48" s="1"/>
  <c r="N13" i="48" s="1"/>
  <c r="N15" i="48" s="1"/>
  <c r="N17" i="48" s="1"/>
  <c r="N19" i="48" s="1"/>
  <c r="N21" i="48" s="1"/>
  <c r="N23" i="48" s="1"/>
  <c r="N25" i="48" s="1"/>
  <c r="I9" i="48"/>
  <c r="I11" i="48" s="1"/>
  <c r="I13" i="48" s="1"/>
  <c r="I15" i="48" s="1"/>
  <c r="I17" i="48" s="1"/>
  <c r="I19" i="48" s="1"/>
  <c r="I21" i="48" s="1"/>
  <c r="I23" i="48" s="1"/>
  <c r="I25" i="48" s="1"/>
  <c r="K24" i="48"/>
  <c r="O24" i="48" s="1"/>
  <c r="F24" i="48"/>
  <c r="K22" i="48"/>
  <c r="O22" i="48" s="1"/>
  <c r="F22" i="48"/>
  <c r="K20" i="48"/>
  <c r="O20" i="48" s="1"/>
  <c r="F20" i="48"/>
  <c r="K18" i="48"/>
  <c r="O18" i="48" s="1"/>
  <c r="F18" i="48"/>
  <c r="K16" i="48"/>
  <c r="O16" i="48" s="1"/>
  <c r="F16" i="48"/>
  <c r="K14" i="48"/>
  <c r="O14" i="48" s="1"/>
  <c r="F14" i="48"/>
  <c r="K12" i="48"/>
  <c r="O12" i="48" s="1"/>
  <c r="F12" i="48"/>
  <c r="K10" i="48"/>
  <c r="O10" i="48" s="1"/>
  <c r="F10" i="48"/>
  <c r="K8" i="48"/>
  <c r="O8" i="48" s="1"/>
  <c r="F8" i="48"/>
  <c r="K7" i="48"/>
  <c r="O7" i="48" s="1"/>
  <c r="F9" i="48" l="1"/>
  <c r="I32" i="48"/>
  <c r="I27" i="48"/>
  <c r="I31" i="48" s="1"/>
  <c r="J27" i="48"/>
  <c r="J31" i="48" s="1"/>
  <c r="J32" i="48"/>
  <c r="N27" i="48"/>
  <c r="N31" i="48" s="1"/>
  <c r="N32" i="48"/>
  <c r="M32" i="48"/>
  <c r="M27" i="48"/>
  <c r="M31" i="48" s="1"/>
  <c r="L27" i="48"/>
  <c r="L31" i="48" s="1"/>
  <c r="F11" i="48"/>
  <c r="F13" i="48" s="1"/>
  <c r="F15" i="48" s="1"/>
  <c r="F17" i="48" s="1"/>
  <c r="F19" i="48" s="1"/>
  <c r="F21" i="48" s="1"/>
  <c r="F23" i="48" s="1"/>
  <c r="F25" i="48" s="1"/>
  <c r="F27" i="48" s="1"/>
  <c r="F30" i="48" s="1"/>
  <c r="O9" i="48"/>
  <c r="O11" i="48" s="1"/>
  <c r="O13" i="48" s="1"/>
  <c r="O15" i="48" s="1"/>
  <c r="O17" i="48" s="1"/>
  <c r="O19" i="48" s="1"/>
  <c r="O21" i="48" s="1"/>
  <c r="O23" i="48" s="1"/>
  <c r="O25" i="48" s="1"/>
  <c r="K9" i="48"/>
  <c r="K11" i="48" s="1"/>
  <c r="K13" i="48" s="1"/>
  <c r="K15" i="48" s="1"/>
  <c r="K17" i="48" s="1"/>
  <c r="K19" i="48" s="1"/>
  <c r="K21" i="48" s="1"/>
  <c r="K23" i="48" s="1"/>
  <c r="K25" i="48" s="1"/>
  <c r="H17" i="23"/>
  <c r="E14" i="23"/>
  <c r="F14" i="23"/>
  <c r="S14" i="23"/>
  <c r="S15" i="23" s="1"/>
  <c r="S16" i="23" s="1"/>
  <c r="N9" i="7"/>
  <c r="D12" i="22" s="1"/>
  <c r="V10" i="23"/>
  <c r="W10" i="23" s="1"/>
  <c r="V9" i="23"/>
  <c r="V8" i="23"/>
  <c r="Y11" i="23"/>
  <c r="Z11" i="23" s="1"/>
  <c r="Y10" i="23"/>
  <c r="Y9" i="23"/>
  <c r="P14" i="23"/>
  <c r="P15" i="23" s="1"/>
  <c r="Q14" i="23"/>
  <c r="Q15" i="23" s="1"/>
  <c r="O14" i="23"/>
  <c r="O15" i="23" s="1"/>
  <c r="O21" i="23" s="1"/>
  <c r="N14" i="23"/>
  <c r="N15" i="23" s="1"/>
  <c r="W9" i="23" l="1"/>
  <c r="Z10" i="23"/>
  <c r="AA10" i="23" s="1"/>
  <c r="W8" i="23"/>
  <c r="W11" i="23"/>
  <c r="Z9" i="23"/>
  <c r="Z12" i="23" s="1"/>
  <c r="O27" i="48"/>
  <c r="O31" i="48" s="1"/>
  <c r="O32" i="48"/>
  <c r="K32" i="48"/>
  <c r="K27" i="48"/>
  <c r="K31" i="48" s="1"/>
  <c r="J9" i="7"/>
  <c r="D22" i="22" s="1"/>
  <c r="J33" i="7"/>
  <c r="D34" i="22"/>
  <c r="D18" i="22"/>
  <c r="E29" i="49" s="1"/>
  <c r="D17" i="22"/>
  <c r="E28" i="49" s="1"/>
  <c r="H45" i="15" l="1"/>
  <c r="H44" i="15"/>
  <c r="G26" i="24" l="1"/>
  <c r="G27" i="24"/>
  <c r="G28" i="24"/>
  <c r="G29" i="24"/>
  <c r="G30" i="24"/>
  <c r="J34" i="7" l="1"/>
  <c r="J35" i="7" s="1"/>
  <c r="E27" i="49" s="1"/>
  <c r="H27" i="49" s="1"/>
  <c r="B9" i="7"/>
  <c r="D8" i="22" s="1"/>
  <c r="D8" i="15" l="1"/>
  <c r="O8" i="49"/>
  <c r="R8" i="49" s="1"/>
  <c r="O17" i="24"/>
  <c r="O18" i="24" s="1"/>
  <c r="K8" i="15" l="1"/>
  <c r="K10" i="15" s="1"/>
  <c r="E15" i="49"/>
  <c r="P17" i="24"/>
  <c r="P18" i="24" s="1"/>
  <c r="E26" i="24" l="1"/>
  <c r="F25" i="24"/>
  <c r="E25" i="24"/>
  <c r="E24" i="24"/>
  <c r="M24" i="24"/>
  <c r="M25" i="24" s="1"/>
  <c r="F31" i="24" l="1"/>
  <c r="G25" i="24"/>
  <c r="E31" i="24"/>
  <c r="D26" i="15"/>
  <c r="D27" i="15"/>
  <c r="D28" i="15"/>
  <c r="D29" i="15"/>
  <c r="D30" i="15"/>
  <c r="E30" i="15"/>
  <c r="F30" i="15"/>
  <c r="D25" i="15"/>
  <c r="D24" i="15"/>
  <c r="E18" i="24"/>
  <c r="E17" i="24"/>
  <c r="F18" i="24"/>
  <c r="F17" i="24"/>
  <c r="F16" i="24"/>
  <c r="E16" i="24"/>
  <c r="AG22" i="35" l="1"/>
  <c r="AG23" i="35"/>
  <c r="AG24" i="35"/>
  <c r="AG25" i="35"/>
  <c r="AG26" i="35"/>
  <c r="AG27" i="35"/>
  <c r="AG28" i="35"/>
  <c r="AG29" i="35"/>
  <c r="AG30" i="35"/>
  <c r="AG21" i="35"/>
  <c r="AF22" i="35"/>
  <c r="AF23" i="35"/>
  <c r="AF24" i="35"/>
  <c r="AF25" i="35"/>
  <c r="AF26" i="35"/>
  <c r="AF27" i="35"/>
  <c r="AF28" i="35"/>
  <c r="AF29" i="35"/>
  <c r="AF30" i="35"/>
  <c r="AF21" i="35"/>
  <c r="AC33" i="35" l="1"/>
  <c r="E12" i="24"/>
  <c r="P48" i="35"/>
  <c r="G9" i="24"/>
  <c r="E10" i="24"/>
  <c r="F10" i="24"/>
  <c r="F12" i="24"/>
  <c r="F19" i="24" l="1"/>
  <c r="E19" i="24"/>
  <c r="G18" i="23"/>
  <c r="G17" i="23"/>
  <c r="P37" i="7"/>
  <c r="O43" i="7" s="1"/>
  <c r="O44" i="7" s="1"/>
  <c r="O45" i="7" s="1"/>
  <c r="R42" i="7" l="1"/>
  <c r="R43" i="7" s="1"/>
  <c r="D35" i="22"/>
  <c r="D19" i="47" l="1"/>
  <c r="D20" i="47"/>
  <c r="D21" i="47"/>
  <c r="E16" i="26" l="1"/>
  <c r="F16" i="26"/>
  <c r="F69" i="47" l="1"/>
  <c r="E69" i="47"/>
  <c r="F50" i="47"/>
  <c r="E50" i="47"/>
  <c r="H50" i="47" s="1"/>
  <c r="H49" i="47"/>
  <c r="H48" i="47"/>
  <c r="F46" i="47"/>
  <c r="E46" i="47"/>
  <c r="H46" i="47" s="1"/>
  <c r="H45" i="47"/>
  <c r="H44" i="47"/>
  <c r="F40" i="47"/>
  <c r="E40" i="47"/>
  <c r="H39" i="47"/>
  <c r="H38" i="47"/>
  <c r="F36" i="47"/>
  <c r="G36" i="47" s="1"/>
  <c r="E36" i="47"/>
  <c r="C36" i="47"/>
  <c r="H35" i="47"/>
  <c r="D35" i="47"/>
  <c r="D35" i="50" s="1"/>
  <c r="H34" i="47"/>
  <c r="G34" i="47"/>
  <c r="K26" i="47"/>
  <c r="K27" i="47" s="1"/>
  <c r="J26" i="47"/>
  <c r="J27" i="47" s="1"/>
  <c r="P25" i="47"/>
  <c r="P24" i="47"/>
  <c r="M24" i="47"/>
  <c r="M25" i="47" s="1"/>
  <c r="K20" i="47"/>
  <c r="K21" i="47" s="1"/>
  <c r="N17" i="47"/>
  <c r="K18" i="47" s="1"/>
  <c r="M17" i="47"/>
  <c r="J18" i="47" s="1"/>
  <c r="P16" i="47"/>
  <c r="P17" i="47" s="1"/>
  <c r="C10" i="47"/>
  <c r="C32" i="47" s="1"/>
  <c r="O7" i="47"/>
  <c r="N7" i="47"/>
  <c r="F4" i="47"/>
  <c r="E4" i="47"/>
  <c r="P7" i="47" l="1"/>
  <c r="D36" i="50"/>
  <c r="G36" i="50" s="1"/>
  <c r="G35" i="50"/>
  <c r="P26" i="47"/>
  <c r="G35" i="47"/>
  <c r="H36" i="47"/>
  <c r="H40" i="47"/>
  <c r="G22" i="47"/>
  <c r="H22" i="47"/>
  <c r="J9" i="27" l="1"/>
  <c r="F19" i="26"/>
  <c r="E14" i="24"/>
  <c r="F14" i="24"/>
  <c r="F32" i="24" s="1"/>
  <c r="G18" i="24" l="1"/>
  <c r="G17" i="24"/>
  <c r="K20" i="26" l="1"/>
  <c r="K21" i="26" s="1"/>
  <c r="F20" i="26"/>
  <c r="G26" i="26" l="1"/>
  <c r="G27" i="26"/>
  <c r="G28" i="26"/>
  <c r="G29" i="26"/>
  <c r="G30" i="26"/>
  <c r="H26" i="26"/>
  <c r="H27" i="26"/>
  <c r="H28" i="26"/>
  <c r="H29" i="26"/>
  <c r="H30" i="26"/>
  <c r="E18" i="26"/>
  <c r="E17" i="26"/>
  <c r="F18" i="26"/>
  <c r="F17" i="26"/>
  <c r="D35" i="26"/>
  <c r="P47" i="35"/>
  <c r="F22" i="26" l="1"/>
  <c r="J26" i="26"/>
  <c r="F25" i="26"/>
  <c r="E25" i="26"/>
  <c r="F24" i="26"/>
  <c r="E24" i="26"/>
  <c r="D31" i="26"/>
  <c r="F31" i="26" l="1"/>
  <c r="E31" i="26"/>
  <c r="G31" i="26" s="1"/>
  <c r="O7" i="26"/>
  <c r="N7" i="26" l="1"/>
  <c r="P7" i="26" s="1"/>
  <c r="M33" i="44" l="1"/>
  <c r="P22" i="44"/>
  <c r="N22" i="44" s="1"/>
  <c r="N24" i="44" s="1"/>
  <c r="R47" i="7"/>
  <c r="R48" i="7" s="1"/>
  <c r="R49" i="7" s="1"/>
  <c r="D14" i="24"/>
  <c r="D22" i="24"/>
  <c r="N25" i="44" l="1"/>
  <c r="P16" i="26"/>
  <c r="P17" i="26" s="1"/>
  <c r="M16" i="26" l="1"/>
  <c r="L16" i="26"/>
  <c r="G42" i="15"/>
  <c r="N17" i="26"/>
  <c r="K18" i="26" s="1"/>
  <c r="M17" i="26"/>
  <c r="J18" i="26" s="1"/>
  <c r="G12" i="26"/>
  <c r="G17" i="26"/>
  <c r="M42" i="7"/>
  <c r="M43" i="7" s="1"/>
  <c r="M44" i="7" s="1"/>
  <c r="D34" i="15"/>
  <c r="K34" i="15" s="1"/>
  <c r="E42" i="49" s="1"/>
  <c r="H42" i="49" s="1"/>
  <c r="G18" i="26"/>
  <c r="D36" i="24" l="1"/>
  <c r="D31" i="27"/>
  <c r="G27" i="27"/>
  <c r="G28" i="27"/>
  <c r="D35" i="15" l="1"/>
  <c r="K35" i="15" s="1"/>
  <c r="E43" i="49" s="1"/>
  <c r="F13" i="15" l="1"/>
  <c r="E13" i="15"/>
  <c r="D13" i="15"/>
  <c r="F12" i="15"/>
  <c r="E12" i="15"/>
  <c r="D12" i="15"/>
  <c r="N22" i="27" l="1"/>
  <c r="F20" i="27"/>
  <c r="E20" i="27"/>
  <c r="P46" i="35" l="1"/>
  <c r="F29" i="27" l="1"/>
  <c r="G29" i="27" s="1"/>
  <c r="E29" i="27"/>
  <c r="E28" i="27"/>
  <c r="F26" i="27"/>
  <c r="G26" i="27" s="1"/>
  <c r="E26" i="27"/>
  <c r="E25" i="27"/>
  <c r="F25" i="27" l="1"/>
  <c r="G25" i="27" s="1"/>
  <c r="F24" i="27"/>
  <c r="E24" i="27"/>
  <c r="H24" i="27" l="1"/>
  <c r="G24" i="27"/>
  <c r="P34" i="7"/>
  <c r="E16" i="34"/>
  <c r="H16" i="15"/>
  <c r="P45" i="35"/>
  <c r="P44" i="35"/>
  <c r="M22" i="27"/>
  <c r="D10" i="24" l="1"/>
  <c r="M17" i="27" l="1"/>
  <c r="L17" i="27"/>
  <c r="AI9" i="7" l="1"/>
  <c r="AJ9" i="7" s="1"/>
  <c r="AI10" i="7"/>
  <c r="AJ10" i="7" s="1"/>
  <c r="AI11" i="7"/>
  <c r="AJ11" i="7" s="1"/>
  <c r="AI12" i="7"/>
  <c r="AJ12" i="7" s="1"/>
  <c r="AI13" i="7"/>
  <c r="AJ13" i="7" s="1"/>
  <c r="AI14" i="7"/>
  <c r="AJ14" i="7" s="1"/>
  <c r="AI15" i="7"/>
  <c r="AJ15" i="7" s="1"/>
  <c r="AI16" i="7"/>
  <c r="AJ16" i="7" s="1"/>
  <c r="AI17" i="7"/>
  <c r="AJ17" i="7" s="1"/>
  <c r="AI18" i="7"/>
  <c r="AJ18" i="7" s="1"/>
  <c r="AI19" i="7"/>
  <c r="AJ19" i="7" s="1"/>
  <c r="AI8" i="7"/>
  <c r="AJ8" i="7" s="1"/>
  <c r="J17" i="27" l="1"/>
  <c r="J18" i="27" l="1"/>
  <c r="F50" i="46" l="1"/>
  <c r="E50" i="46"/>
  <c r="H49" i="46"/>
  <c r="H48" i="46"/>
  <c r="H46" i="46"/>
  <c r="H45" i="46"/>
  <c r="H44" i="46"/>
  <c r="H42" i="46"/>
  <c r="G42" i="46"/>
  <c r="F40" i="46"/>
  <c r="E40" i="46"/>
  <c r="H39" i="46"/>
  <c r="H38" i="46"/>
  <c r="F36" i="46"/>
  <c r="E36" i="46"/>
  <c r="D36" i="46"/>
  <c r="C36" i="46"/>
  <c r="H35" i="46"/>
  <c r="G35" i="46"/>
  <c r="H34" i="46"/>
  <c r="G34" i="46"/>
  <c r="H20" i="46"/>
  <c r="H13" i="46"/>
  <c r="C10" i="46"/>
  <c r="C32" i="46" s="1"/>
  <c r="F4" i="46"/>
  <c r="E4" i="46"/>
  <c r="G36" i="46" l="1"/>
  <c r="H50" i="46"/>
  <c r="H36" i="46"/>
  <c r="H40" i="46"/>
  <c r="E17" i="34" l="1"/>
  <c r="G12" i="27" l="1"/>
  <c r="G18" i="27"/>
  <c r="D17" i="15" l="1"/>
  <c r="G17" i="27"/>
  <c r="J29" i="28" l="1"/>
  <c r="J25" i="28"/>
  <c r="J26" i="28"/>
  <c r="J27" i="28"/>
  <c r="J28" i="28"/>
  <c r="J24" i="28"/>
  <c r="J30" i="28" l="1"/>
  <c r="D4" i="15"/>
  <c r="E18" i="28" l="1"/>
  <c r="U34" i="28"/>
  <c r="E19" i="28"/>
  <c r="O22" i="28"/>
  <c r="F19" i="28"/>
  <c r="N19" i="28"/>
  <c r="N22" i="28" s="1"/>
  <c r="F18" i="28"/>
  <c r="F17" i="28"/>
  <c r="G24" i="28"/>
  <c r="F25" i="28"/>
  <c r="G25" i="28" s="1"/>
  <c r="E25" i="28"/>
  <c r="D31" i="28"/>
  <c r="G29" i="28"/>
  <c r="H29" i="28"/>
  <c r="G26" i="28"/>
  <c r="G27" i="28"/>
  <c r="G28" i="28"/>
  <c r="H27" i="28"/>
  <c r="H28" i="28"/>
  <c r="H30" i="28"/>
  <c r="F31" i="28" l="1"/>
  <c r="F17" i="47"/>
  <c r="K17" i="24" s="1"/>
  <c r="F17" i="46"/>
  <c r="E24" i="28"/>
  <c r="E31" i="28" s="1"/>
  <c r="F17" i="50" l="1"/>
  <c r="Q48" i="28"/>
  <c r="E17" i="42" l="1"/>
  <c r="E29" i="29" l="1"/>
  <c r="L29" i="29"/>
  <c r="M29" i="29"/>
  <c r="F37" i="49" l="1"/>
  <c r="I37" i="49" s="1"/>
  <c r="E29" i="15"/>
  <c r="G29" i="29"/>
  <c r="D30" i="45"/>
  <c r="F12" i="45"/>
  <c r="E12" i="45"/>
  <c r="F50" i="45"/>
  <c r="E50" i="45"/>
  <c r="H50" i="45" s="1"/>
  <c r="H49" i="45"/>
  <c r="H48" i="45"/>
  <c r="H46" i="45"/>
  <c r="H45" i="45"/>
  <c r="H44" i="45"/>
  <c r="F42" i="45"/>
  <c r="E42" i="45"/>
  <c r="E42" i="47" s="1"/>
  <c r="D42" i="45"/>
  <c r="D40" i="45"/>
  <c r="F39" i="45"/>
  <c r="E39" i="45"/>
  <c r="F38" i="45"/>
  <c r="E38" i="45"/>
  <c r="C36" i="45"/>
  <c r="H13" i="45"/>
  <c r="C10" i="45"/>
  <c r="C32" i="45" s="1"/>
  <c r="D30" i="47" l="1"/>
  <c r="D30" i="46"/>
  <c r="H39" i="45"/>
  <c r="E12" i="46"/>
  <c r="E14" i="46" s="1"/>
  <c r="E12" i="47"/>
  <c r="J12" i="24" s="1"/>
  <c r="H42" i="45"/>
  <c r="F42" i="47"/>
  <c r="H38" i="45"/>
  <c r="F12" i="46"/>
  <c r="F14" i="46" s="1"/>
  <c r="F12" i="47"/>
  <c r="K12" i="24" s="1"/>
  <c r="H12" i="45"/>
  <c r="F14" i="45"/>
  <c r="E14" i="45"/>
  <c r="E40" i="45"/>
  <c r="F40" i="45"/>
  <c r="G42" i="45"/>
  <c r="J42" i="7"/>
  <c r="K42" i="7" s="1"/>
  <c r="H14" i="46" l="1"/>
  <c r="G42" i="47"/>
  <c r="H42" i="47"/>
  <c r="H12" i="46"/>
  <c r="F12" i="50"/>
  <c r="M6" i="44"/>
  <c r="F14" i="47"/>
  <c r="H12" i="47"/>
  <c r="H40" i="45"/>
  <c r="L6" i="44"/>
  <c r="N6" i="44" s="1"/>
  <c r="E12" i="50"/>
  <c r="E14" i="50" s="1"/>
  <c r="E14" i="47"/>
  <c r="H14" i="45"/>
  <c r="P13" i="28"/>
  <c r="P14" i="28"/>
  <c r="P15" i="28"/>
  <c r="P16" i="28"/>
  <c r="O12" i="28"/>
  <c r="P12" i="28" s="1"/>
  <c r="H14" i="47" l="1"/>
  <c r="F14" i="50"/>
  <c r="H12" i="50"/>
  <c r="G17" i="29"/>
  <c r="E18" i="29"/>
  <c r="F17" i="29"/>
  <c r="F17" i="15" s="1"/>
  <c r="H14" i="50" l="1"/>
  <c r="G28" i="49"/>
  <c r="H17" i="15"/>
  <c r="F18" i="29"/>
  <c r="G18" i="29" s="1"/>
  <c r="I28" i="49" l="1"/>
  <c r="H28" i="49"/>
  <c r="F16" i="29"/>
  <c r="F29" i="29"/>
  <c r="E28" i="29"/>
  <c r="F26" i="29"/>
  <c r="E26" i="29"/>
  <c r="F25" i="29"/>
  <c r="E25" i="29"/>
  <c r="F24" i="29"/>
  <c r="E24" i="29"/>
  <c r="E31" i="29" s="1"/>
  <c r="D31" i="29"/>
  <c r="F31" i="29" l="1"/>
  <c r="H24" i="29"/>
  <c r="F2" i="44"/>
  <c r="F4" i="44"/>
  <c r="F1" i="44"/>
  <c r="D5" i="44"/>
  <c r="D6" i="44" s="1"/>
  <c r="C5" i="44"/>
  <c r="C6" i="44" s="1"/>
  <c r="D3" i="44"/>
  <c r="F3" i="44" s="1"/>
  <c r="C3" i="44"/>
  <c r="F6" i="44" l="1"/>
  <c r="F5" i="44"/>
  <c r="F21" i="29"/>
  <c r="E21" i="29"/>
  <c r="R40" i="7" l="1"/>
  <c r="P28" i="7" l="1"/>
  <c r="Q28" i="7" s="1"/>
  <c r="AA54" i="7"/>
  <c r="AB54" i="7" s="1"/>
  <c r="AA53" i="7"/>
  <c r="AB53" i="7" s="1"/>
  <c r="AA52" i="7"/>
  <c r="AB52" i="7" s="1"/>
  <c r="AA51" i="7"/>
  <c r="AB51" i="7" s="1"/>
  <c r="AA50" i="7"/>
  <c r="AB50" i="7" s="1"/>
  <c r="AA49" i="7"/>
  <c r="AB49" i="7" s="1"/>
  <c r="AA48" i="7"/>
  <c r="AB48" i="7" s="1"/>
  <c r="AA47" i="7"/>
  <c r="AB47" i="7" s="1"/>
  <c r="AA46" i="7"/>
  <c r="AB46" i="7" s="1"/>
  <c r="AA45" i="7"/>
  <c r="AB45" i="7" s="1"/>
  <c r="AA44" i="7"/>
  <c r="AB44" i="7" s="1"/>
  <c r="AA43" i="7"/>
  <c r="AB43" i="7" s="1"/>
  <c r="AC43" i="7" s="1"/>
  <c r="AC29" i="7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B41" i="7"/>
  <c r="AE29" i="7"/>
  <c r="AE30" i="7" s="1"/>
  <c r="AE31" i="7" s="1"/>
  <c r="X43" i="7"/>
  <c r="Y43" i="7" s="1"/>
  <c r="Z43" i="7" s="1"/>
  <c r="X54" i="7"/>
  <c r="Y54" i="7" s="1"/>
  <c r="X53" i="7"/>
  <c r="Y53" i="7" s="1"/>
  <c r="X52" i="7"/>
  <c r="Y52" i="7" s="1"/>
  <c r="X51" i="7"/>
  <c r="Y51" i="7" s="1"/>
  <c r="X50" i="7"/>
  <c r="Y50" i="7" s="1"/>
  <c r="X49" i="7"/>
  <c r="Y49" i="7" s="1"/>
  <c r="X48" i="7"/>
  <c r="Y48" i="7" s="1"/>
  <c r="X47" i="7"/>
  <c r="Y47" i="7" s="1"/>
  <c r="X46" i="7"/>
  <c r="Y46" i="7" s="1"/>
  <c r="X45" i="7"/>
  <c r="Y45" i="7" s="1"/>
  <c r="X44" i="7"/>
  <c r="Y44" i="7" s="1"/>
  <c r="U44" i="7"/>
  <c r="V44" i="7" s="1"/>
  <c r="U45" i="7"/>
  <c r="V45" i="7" s="1"/>
  <c r="U46" i="7"/>
  <c r="V46" i="7" s="1"/>
  <c r="U47" i="7"/>
  <c r="V47" i="7" s="1"/>
  <c r="U48" i="7"/>
  <c r="V48" i="7" s="1"/>
  <c r="U49" i="7"/>
  <c r="V49" i="7" s="1"/>
  <c r="U50" i="7"/>
  <c r="V50" i="7" s="1"/>
  <c r="U51" i="7"/>
  <c r="V51" i="7" s="1"/>
  <c r="U52" i="7"/>
  <c r="V52" i="7" s="1"/>
  <c r="U53" i="7"/>
  <c r="V53" i="7" s="1"/>
  <c r="U54" i="7"/>
  <c r="V54" i="7" s="1"/>
  <c r="U43" i="7"/>
  <c r="V43" i="7" s="1"/>
  <c r="W43" i="7" s="1"/>
  <c r="W44" i="7" l="1"/>
  <c r="W45" i="7"/>
  <c r="W46" i="7" s="1"/>
  <c r="W47" i="7" s="1"/>
  <c r="W48" i="7" s="1"/>
  <c r="W49" i="7" s="1"/>
  <c r="W50" i="7" s="1"/>
  <c r="W51" i="7" s="1"/>
  <c r="W52" i="7" s="1"/>
  <c r="W53" i="7" s="1"/>
  <c r="W54" i="7" s="1"/>
  <c r="AC44" i="7"/>
  <c r="AC45" i="7" s="1"/>
  <c r="AC46" i="7" s="1"/>
  <c r="AC47" i="7" s="1"/>
  <c r="AC48" i="7" s="1"/>
  <c r="AC49" i="7" s="1"/>
  <c r="AC50" i="7" s="1"/>
  <c r="AC51" i="7" s="1"/>
  <c r="AC52" i="7" s="1"/>
  <c r="AC53" i="7" s="1"/>
  <c r="AC54" i="7" s="1"/>
  <c r="Z44" i="7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G29" i="30" l="1"/>
  <c r="H50" i="35" l="1"/>
  <c r="H49" i="35"/>
  <c r="H48" i="35"/>
  <c r="H47" i="35"/>
  <c r="H46" i="35"/>
  <c r="H45" i="35"/>
  <c r="H44" i="35"/>
  <c r="H43" i="35"/>
  <c r="H42" i="35"/>
  <c r="H41" i="35"/>
  <c r="H40" i="35"/>
  <c r="H39" i="35"/>
  <c r="P43" i="35" l="1"/>
  <c r="P42" i="35"/>
  <c r="P41" i="35"/>
  <c r="P40" i="35"/>
  <c r="P39" i="35"/>
  <c r="Q39" i="35" s="1"/>
  <c r="O39" i="35"/>
  <c r="O40" i="35" s="1"/>
  <c r="O41" i="35" s="1"/>
  <c r="O42" i="35" s="1"/>
  <c r="O43" i="35" s="1"/>
  <c r="O44" i="35" s="1"/>
  <c r="O45" i="35" s="1"/>
  <c r="O46" i="35" s="1"/>
  <c r="O47" i="35" s="1"/>
  <c r="O51" i="35" s="1"/>
  <c r="M39" i="35"/>
  <c r="M40" i="35" s="1"/>
  <c r="M41" i="35" s="1"/>
  <c r="M42" i="35" s="1"/>
  <c r="M43" i="35" s="1"/>
  <c r="M44" i="35" s="1"/>
  <c r="M45" i="35" s="1"/>
  <c r="M46" i="35" s="1"/>
  <c r="M47" i="35" s="1"/>
  <c r="M51" i="35" s="1"/>
  <c r="I39" i="35"/>
  <c r="I40" i="35" s="1"/>
  <c r="I41" i="35" s="1"/>
  <c r="I42" i="35" s="1"/>
  <c r="I43" i="35" s="1"/>
  <c r="I44" i="35" s="1"/>
  <c r="I45" i="35" s="1"/>
  <c r="I46" i="35" s="1"/>
  <c r="G39" i="35"/>
  <c r="G40" i="35" s="1"/>
  <c r="G41" i="35" s="1"/>
  <c r="G42" i="35" s="1"/>
  <c r="G43" i="35" s="1"/>
  <c r="G44" i="35" s="1"/>
  <c r="G45" i="35" s="1"/>
  <c r="E39" i="35"/>
  <c r="E40" i="35" s="1"/>
  <c r="E41" i="35" s="1"/>
  <c r="E42" i="35" s="1"/>
  <c r="E43" i="35" s="1"/>
  <c r="E44" i="35" s="1"/>
  <c r="E45" i="35" s="1"/>
  <c r="E46" i="35" s="1"/>
  <c r="E47" i="35" s="1"/>
  <c r="E51" i="35" s="1"/>
  <c r="Q40" i="35" l="1"/>
  <c r="Q41" i="35" s="1"/>
  <c r="Q42" i="35" s="1"/>
  <c r="Q43" i="35" s="1"/>
  <c r="Q44" i="35" s="1"/>
  <c r="Q45" i="35" s="1"/>
  <c r="Q46" i="35" s="1"/>
  <c r="Q47" i="35" s="1"/>
  <c r="Q51" i="35" s="1"/>
  <c r="G46" i="35"/>
  <c r="G47" i="35" s="1"/>
  <c r="I47" i="35"/>
  <c r="I51" i="35" s="1"/>
  <c r="M48" i="35"/>
  <c r="M49" i="35" s="1"/>
  <c r="E48" i="35"/>
  <c r="E49" i="35" s="1"/>
  <c r="O48" i="35"/>
  <c r="O49" i="35" s="1"/>
  <c r="F42" i="42"/>
  <c r="E42" i="42"/>
  <c r="D42" i="42"/>
  <c r="E39" i="42"/>
  <c r="F39" i="42"/>
  <c r="F38" i="42"/>
  <c r="E38" i="42"/>
  <c r="D30" i="42"/>
  <c r="H17" i="42"/>
  <c r="E22" i="42"/>
  <c r="F12" i="42"/>
  <c r="F14" i="42" s="1"/>
  <c r="E12" i="42"/>
  <c r="E14" i="42" s="1"/>
  <c r="F50" i="42"/>
  <c r="E50" i="42"/>
  <c r="H49" i="42"/>
  <c r="H48" i="42"/>
  <c r="H46" i="42"/>
  <c r="H45" i="42"/>
  <c r="H44" i="42"/>
  <c r="D40" i="42"/>
  <c r="C36" i="42"/>
  <c r="H13" i="42"/>
  <c r="C10" i="42"/>
  <c r="C32" i="42" s="1"/>
  <c r="G42" i="42" l="1"/>
  <c r="H38" i="42"/>
  <c r="H12" i="42"/>
  <c r="F40" i="42"/>
  <c r="H42" i="42"/>
  <c r="H39" i="42"/>
  <c r="I48" i="35"/>
  <c r="I49" i="35" s="1"/>
  <c r="I50" i="35" s="1"/>
  <c r="O50" i="35"/>
  <c r="O52" i="35" s="1"/>
  <c r="O53" i="35"/>
  <c r="E40" i="42"/>
  <c r="E50" i="35"/>
  <c r="G48" i="35"/>
  <c r="G49" i="35" s="1"/>
  <c r="G51" i="35"/>
  <c r="H14" i="42"/>
  <c r="M50" i="35"/>
  <c r="M52" i="35" s="1"/>
  <c r="M53" i="35"/>
  <c r="Q48" i="35"/>
  <c r="Q49" i="35" s="1"/>
  <c r="H50" i="42"/>
  <c r="D31" i="15"/>
  <c r="E9" i="49" s="1"/>
  <c r="H9" i="49" s="1"/>
  <c r="E52" i="35" l="1"/>
  <c r="E53" i="35"/>
  <c r="I52" i="35"/>
  <c r="I53" i="35"/>
  <c r="H40" i="42"/>
  <c r="Q50" i="35"/>
  <c r="Q52" i="35" s="1"/>
  <c r="Q53" i="35"/>
  <c r="G50" i="35"/>
  <c r="F28" i="30"/>
  <c r="E28" i="30"/>
  <c r="E26" i="30"/>
  <c r="F25" i="30"/>
  <c r="E25" i="30"/>
  <c r="F24" i="30"/>
  <c r="E24" i="30"/>
  <c r="D31" i="30"/>
  <c r="G52" i="35" l="1"/>
  <c r="G53" i="35"/>
  <c r="F31" i="30"/>
  <c r="G38" i="49"/>
  <c r="F28" i="15"/>
  <c r="E31" i="30"/>
  <c r="J15" i="41" l="1"/>
  <c r="J17" i="41" s="1"/>
  <c r="K15" i="41"/>
  <c r="K17" i="41" s="1"/>
  <c r="M15" i="41"/>
  <c r="M17" i="41" s="1"/>
  <c r="N15" i="41"/>
  <c r="N16" i="41" s="1"/>
  <c r="O11" i="41"/>
  <c r="O10" i="41"/>
  <c r="O9" i="41"/>
  <c r="O8" i="41"/>
  <c r="O7" i="41"/>
  <c r="L11" i="41"/>
  <c r="L10" i="41"/>
  <c r="L9" i="41"/>
  <c r="L8" i="41"/>
  <c r="L7" i="41"/>
  <c r="P8" i="41"/>
  <c r="Q8" i="41"/>
  <c r="P9" i="41"/>
  <c r="Q9" i="41"/>
  <c r="P10" i="41"/>
  <c r="Q10" i="41"/>
  <c r="P11" i="41"/>
  <c r="Q11" i="41"/>
  <c r="Q7" i="41"/>
  <c r="P7" i="41"/>
  <c r="H15" i="41"/>
  <c r="H16" i="41" s="1"/>
  <c r="G15" i="41"/>
  <c r="G16" i="41" s="1"/>
  <c r="I8" i="41"/>
  <c r="I9" i="41"/>
  <c r="I10" i="41"/>
  <c r="I11" i="41"/>
  <c r="R11" i="41" s="1"/>
  <c r="T11" i="41" s="1"/>
  <c r="I7" i="41"/>
  <c r="R10" i="41" l="1"/>
  <c r="G17" i="41"/>
  <c r="H17" i="41"/>
  <c r="K16" i="41"/>
  <c r="Q16" i="41" s="1"/>
  <c r="J16" i="41"/>
  <c r="I15" i="41"/>
  <c r="R7" i="41"/>
  <c r="M16" i="41"/>
  <c r="P16" i="41" s="1"/>
  <c r="R8" i="41"/>
  <c r="N17" i="41"/>
  <c r="O15" i="41"/>
  <c r="O16" i="41" s="1"/>
  <c r="P15" i="41"/>
  <c r="P17" i="41" s="1"/>
  <c r="R9" i="41"/>
  <c r="L15" i="41"/>
  <c r="Q15" i="41"/>
  <c r="Q17" i="41" s="1"/>
  <c r="L16" i="41" l="1"/>
  <c r="L17" i="41"/>
  <c r="I17" i="41"/>
  <c r="I16" i="41"/>
  <c r="O17" i="41"/>
  <c r="R15" i="41"/>
  <c r="R16" i="41" l="1"/>
  <c r="R17" i="41"/>
  <c r="T12" i="41"/>
  <c r="E10" i="30"/>
  <c r="H39" i="40" l="1"/>
  <c r="H38" i="40"/>
  <c r="J39" i="40"/>
  <c r="H45" i="40"/>
  <c r="H44" i="40"/>
  <c r="G42" i="40"/>
  <c r="F14" i="40"/>
  <c r="E14" i="40"/>
  <c r="D26" i="40"/>
  <c r="D27" i="40"/>
  <c r="D29" i="40"/>
  <c r="I21" i="40"/>
  <c r="D26" i="45" l="1"/>
  <c r="D26" i="42"/>
  <c r="D27" i="45"/>
  <c r="D27" i="42"/>
  <c r="D29" i="45"/>
  <c r="D29" i="42"/>
  <c r="E19" i="30"/>
  <c r="D27" i="47" l="1"/>
  <c r="D27" i="50" s="1"/>
  <c r="D27" i="46"/>
  <c r="D26" i="47"/>
  <c r="D26" i="50" s="1"/>
  <c r="D26" i="46"/>
  <c r="D29" i="47"/>
  <c r="D29" i="46"/>
  <c r="F21" i="30"/>
  <c r="E21" i="30"/>
  <c r="D29" i="50" l="1"/>
  <c r="J17" i="31"/>
  <c r="M18" i="31"/>
  <c r="M19" i="31" s="1"/>
  <c r="I20" i="31"/>
  <c r="J22" i="31"/>
  <c r="I25" i="31"/>
  <c r="I28" i="31" s="1"/>
  <c r="J25" i="31"/>
  <c r="K25" i="31"/>
  <c r="J27" i="31"/>
  <c r="K27" i="31"/>
  <c r="K34" i="31"/>
  <c r="K35" i="31" s="1"/>
  <c r="I26" i="31" l="1"/>
  <c r="I29" i="31" s="1"/>
  <c r="AD23" i="7"/>
  <c r="D36" i="31" l="1"/>
  <c r="N10" i="30"/>
  <c r="M10" i="30"/>
  <c r="L9" i="30"/>
  <c r="L11" i="30" s="1"/>
  <c r="L12" i="30" s="1"/>
  <c r="L8" i="30"/>
  <c r="N8" i="30" s="1"/>
  <c r="K9" i="30"/>
  <c r="M9" i="30" s="1"/>
  <c r="K8" i="30"/>
  <c r="M8" i="30" s="1"/>
  <c r="G18" i="30"/>
  <c r="G17" i="30"/>
  <c r="D14" i="30"/>
  <c r="N9" i="30" l="1"/>
  <c r="M11" i="30"/>
  <c r="M12" i="30" s="1"/>
  <c r="K11" i="30"/>
  <c r="K12" i="30" s="1"/>
  <c r="N11" i="30"/>
  <c r="N12" i="30" s="1"/>
  <c r="D18" i="15"/>
  <c r="J24" i="34"/>
  <c r="E24" i="31" l="1"/>
  <c r="E31" i="31" s="1"/>
  <c r="F24" i="31"/>
  <c r="F31" i="31" s="1"/>
  <c r="D31" i="31"/>
  <c r="F16" i="31" l="1"/>
  <c r="E16" i="31"/>
  <c r="D17" i="38"/>
  <c r="D17" i="39" s="1"/>
  <c r="D18" i="38"/>
  <c r="D18" i="39" s="1"/>
  <c r="G17" i="32"/>
  <c r="G18" i="32"/>
  <c r="G17" i="34"/>
  <c r="G18" i="34"/>
  <c r="G17" i="33"/>
  <c r="G17" i="31"/>
  <c r="F18" i="31"/>
  <c r="I17" i="31" s="1"/>
  <c r="AA20" i="7"/>
  <c r="AI20" i="7" s="1"/>
  <c r="AB8" i="7"/>
  <c r="AB9" i="7" s="1"/>
  <c r="AB10" i="7" s="1"/>
  <c r="AB11" i="7" s="1"/>
  <c r="H18" i="31" l="1"/>
  <c r="AB12" i="7"/>
  <c r="AB13" i="7" s="1"/>
  <c r="AB14" i="7" s="1"/>
  <c r="AB15" i="7" s="1"/>
  <c r="AB16" i="7" s="1"/>
  <c r="AB17" i="7" s="1"/>
  <c r="AB18" i="7" s="1"/>
  <c r="AB19" i="7" s="1"/>
  <c r="W22" i="7"/>
  <c r="W23" i="7" s="1"/>
  <c r="D18" i="40"/>
  <c r="G18" i="31"/>
  <c r="D17" i="40"/>
  <c r="D17" i="45" s="1"/>
  <c r="D17" i="47" l="1"/>
  <c r="D17" i="46"/>
  <c r="G17" i="46" s="1"/>
  <c r="G17" i="45"/>
  <c r="D18" i="45"/>
  <c r="D18" i="42"/>
  <c r="D17" i="42"/>
  <c r="G17" i="42" s="1"/>
  <c r="J25" i="32"/>
  <c r="J26" i="32" s="1"/>
  <c r="K26" i="32" s="1"/>
  <c r="G29" i="32"/>
  <c r="J27" i="32"/>
  <c r="J28" i="32" s="1"/>
  <c r="J29" i="32" s="1"/>
  <c r="D18" i="47" l="1"/>
  <c r="D18" i="50" s="1"/>
  <c r="D18" i="46"/>
  <c r="D17" i="50"/>
  <c r="G17" i="47"/>
  <c r="D12" i="38"/>
  <c r="D12" i="39" s="1"/>
  <c r="G17" i="50" l="1"/>
  <c r="I17" i="50"/>
  <c r="F46" i="32" l="1"/>
  <c r="E46" i="32"/>
  <c r="J19" i="32" l="1"/>
  <c r="J20" i="32" s="1"/>
  <c r="F29" i="34" l="1"/>
  <c r="K35" i="34"/>
  <c r="N32" i="34"/>
  <c r="E26" i="32"/>
  <c r="F25" i="32"/>
  <c r="E25" i="32"/>
  <c r="D31" i="32"/>
  <c r="F24" i="32"/>
  <c r="E24" i="32"/>
  <c r="K31" i="34"/>
  <c r="M30" i="32"/>
  <c r="O30" i="32" s="1"/>
  <c r="N35" i="32"/>
  <c r="N34" i="32"/>
  <c r="E28" i="32"/>
  <c r="L30" i="32"/>
  <c r="L31" i="32" s="1"/>
  <c r="N36" i="32" l="1"/>
  <c r="F31" i="32"/>
  <c r="M31" i="32"/>
  <c r="E31" i="32"/>
  <c r="N37" i="32"/>
  <c r="G31" i="32"/>
  <c r="F29" i="15"/>
  <c r="E38" i="32"/>
  <c r="E38" i="15" s="1"/>
  <c r="H29" i="15" l="1"/>
  <c r="G29" i="15"/>
  <c r="H37" i="49"/>
  <c r="M21" i="32"/>
  <c r="M22" i="32" s="1"/>
  <c r="L21" i="32"/>
  <c r="L22" i="32" s="1"/>
  <c r="F39" i="33" l="1"/>
  <c r="F40" i="33" s="1"/>
  <c r="F20" i="33" l="1"/>
  <c r="F21" i="32" l="1"/>
  <c r="F22" i="32" s="1"/>
  <c r="E21" i="32"/>
  <c r="F19" i="33" l="1"/>
  <c r="E19" i="33"/>
  <c r="D14" i="32"/>
  <c r="F24" i="33" l="1"/>
  <c r="E24" i="33"/>
  <c r="M31" i="33"/>
  <c r="M32" i="33" s="1"/>
  <c r="N26" i="33"/>
  <c r="N31" i="33" s="1"/>
  <c r="N32" i="33" s="1"/>
  <c r="E28" i="33"/>
  <c r="F26" i="33"/>
  <c r="E26" i="33"/>
  <c r="F25" i="33"/>
  <c r="E25" i="33"/>
  <c r="E25" i="15" s="1"/>
  <c r="F39" i="49" l="1"/>
  <c r="I39" i="49" s="1"/>
  <c r="E26" i="15"/>
  <c r="F25" i="15"/>
  <c r="G36" i="49"/>
  <c r="I36" i="49" s="1"/>
  <c r="E24" i="15"/>
  <c r="F24" i="15"/>
  <c r="F26" i="15"/>
  <c r="H26" i="15" s="1"/>
  <c r="G24" i="33"/>
  <c r="F38" i="49"/>
  <c r="I38" i="49" s="1"/>
  <c r="E28" i="15"/>
  <c r="E31" i="33"/>
  <c r="F31" i="33"/>
  <c r="D31" i="33"/>
  <c r="D31" i="34"/>
  <c r="E31" i="34"/>
  <c r="H36" i="49" l="1"/>
  <c r="H35" i="49"/>
  <c r="K25" i="15"/>
  <c r="G25" i="15"/>
  <c r="F31" i="15"/>
  <c r="G24" i="15"/>
  <c r="H24" i="15"/>
  <c r="E31" i="15"/>
  <c r="I9" i="49" s="1"/>
  <c r="K20" i="33"/>
  <c r="Q12" i="33"/>
  <c r="P19" i="33"/>
  <c r="P20" i="33" s="1"/>
  <c r="J20" i="33"/>
  <c r="F16" i="33"/>
  <c r="E16" i="33"/>
  <c r="G30" i="15" l="1"/>
  <c r="M34" i="34"/>
  <c r="L44" i="33" l="1"/>
  <c r="L45" i="33" s="1"/>
  <c r="G42" i="34"/>
  <c r="C42" i="15"/>
  <c r="J42" i="33"/>
  <c r="K42" i="33"/>
  <c r="L42" i="33"/>
  <c r="G16" i="33" l="1"/>
  <c r="O28" i="7" l="1"/>
  <c r="O20" i="33"/>
  <c r="N20" i="33"/>
  <c r="J22" i="33"/>
  <c r="J21" i="33"/>
  <c r="D14" i="33" l="1"/>
  <c r="Q27" i="34" l="1"/>
  <c r="N29" i="34"/>
  <c r="O27" i="34"/>
  <c r="H39" i="34" l="1"/>
  <c r="H38" i="34"/>
  <c r="H30" i="34" l="1"/>
  <c r="F31" i="34"/>
  <c r="H31" i="34" s="1"/>
  <c r="G25" i="34" l="1"/>
  <c r="H30" i="15"/>
  <c r="G31" i="15" l="1"/>
  <c r="H25" i="15"/>
  <c r="H27" i="15"/>
  <c r="H28" i="15"/>
  <c r="H45" i="34"/>
  <c r="H44" i="34"/>
  <c r="H31" i="15" l="1"/>
  <c r="P33" i="35"/>
  <c r="H33" i="35"/>
  <c r="P32" i="35"/>
  <c r="H32" i="35"/>
  <c r="P31" i="35"/>
  <c r="H31" i="35"/>
  <c r="P30" i="35"/>
  <c r="H30" i="35"/>
  <c r="P29" i="35"/>
  <c r="H29" i="35"/>
  <c r="P28" i="35"/>
  <c r="H28" i="35"/>
  <c r="P27" i="35"/>
  <c r="H27" i="35"/>
  <c r="P26" i="35"/>
  <c r="H26" i="35"/>
  <c r="P25" i="35"/>
  <c r="H25" i="35"/>
  <c r="P24" i="35"/>
  <c r="H24" i="35"/>
  <c r="P23" i="35"/>
  <c r="H23" i="35"/>
  <c r="P22" i="35"/>
  <c r="Q22" i="35" s="1"/>
  <c r="O22" i="35"/>
  <c r="O23" i="35" s="1"/>
  <c r="O24" i="35" s="1"/>
  <c r="O25" i="35" s="1"/>
  <c r="O26" i="35" s="1"/>
  <c r="O27" i="35" s="1"/>
  <c r="O28" i="35" s="1"/>
  <c r="O29" i="35" s="1"/>
  <c r="O30" i="35" s="1"/>
  <c r="M22" i="35"/>
  <c r="M23" i="35" s="1"/>
  <c r="M24" i="35" s="1"/>
  <c r="M25" i="35" s="1"/>
  <c r="M26" i="35" s="1"/>
  <c r="M27" i="35" s="1"/>
  <c r="M28" i="35" s="1"/>
  <c r="M29" i="35" s="1"/>
  <c r="M30" i="35" s="1"/>
  <c r="H22" i="35"/>
  <c r="I22" i="35" s="1"/>
  <c r="I23" i="35" s="1"/>
  <c r="G22" i="35"/>
  <c r="G23" i="35" s="1"/>
  <c r="G24" i="35" s="1"/>
  <c r="G25" i="35" s="1"/>
  <c r="G26" i="35" s="1"/>
  <c r="G27" i="35" s="1"/>
  <c r="G28" i="35" s="1"/>
  <c r="G29" i="35" s="1"/>
  <c r="G30" i="35" s="1"/>
  <c r="E22" i="35"/>
  <c r="E23" i="35" s="1"/>
  <c r="E24" i="35" s="1"/>
  <c r="E25" i="35" s="1"/>
  <c r="E26" i="35" s="1"/>
  <c r="E27" i="35" s="1"/>
  <c r="E28" i="35" s="1"/>
  <c r="E29" i="35" s="1"/>
  <c r="E30" i="35" s="1"/>
  <c r="P17" i="35"/>
  <c r="H17" i="35"/>
  <c r="P16" i="35"/>
  <c r="H16" i="35"/>
  <c r="P15" i="35"/>
  <c r="H15" i="35"/>
  <c r="P14" i="35"/>
  <c r="H14" i="35"/>
  <c r="P13" i="35"/>
  <c r="H13" i="35"/>
  <c r="P12" i="35"/>
  <c r="H12" i="35"/>
  <c r="P11" i="35"/>
  <c r="H11" i="35"/>
  <c r="P10" i="35"/>
  <c r="H10" i="35"/>
  <c r="P9" i="35"/>
  <c r="H9" i="35"/>
  <c r="P8" i="35"/>
  <c r="H8" i="35"/>
  <c r="P7" i="35"/>
  <c r="H7" i="35"/>
  <c r="P6" i="35"/>
  <c r="Q6" i="35" s="1"/>
  <c r="O6" i="35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M6" i="35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H6" i="35"/>
  <c r="I6" i="35" s="1"/>
  <c r="I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G17" i="35" s="1"/>
  <c r="E6" i="35"/>
  <c r="E7" i="35" s="1"/>
  <c r="E8" i="35" s="1"/>
  <c r="E9" i="35" s="1"/>
  <c r="E10" i="35" s="1"/>
  <c r="E11" i="35" s="1"/>
  <c r="E12" i="35" s="1"/>
  <c r="E13" i="35" s="1"/>
  <c r="E14" i="35" s="1"/>
  <c r="E15" i="35" s="1"/>
  <c r="E16" i="35" s="1"/>
  <c r="E17" i="35" s="1"/>
  <c r="G31" i="35" l="1"/>
  <c r="G32" i="35" s="1"/>
  <c r="G33" i="35" s="1"/>
  <c r="G36" i="35"/>
  <c r="M31" i="35"/>
  <c r="M32" i="35" s="1"/>
  <c r="M33" i="35" s="1"/>
  <c r="M36" i="35"/>
  <c r="E31" i="35"/>
  <c r="E32" i="35" s="1"/>
  <c r="E33" i="35" s="1"/>
  <c r="E36" i="35"/>
  <c r="O31" i="35"/>
  <c r="O32" i="35" s="1"/>
  <c r="O33" i="35" s="1"/>
  <c r="O36" i="35"/>
  <c r="I8" i="35"/>
  <c r="I9" i="35" s="1"/>
  <c r="I10" i="35" s="1"/>
  <c r="I11" i="35" s="1"/>
  <c r="I12" i="35" s="1"/>
  <c r="I13" i="35" s="1"/>
  <c r="I14" i="35" s="1"/>
  <c r="I15" i="35" s="1"/>
  <c r="I16" i="35" s="1"/>
  <c r="I17" i="35" s="1"/>
  <c r="I24" i="35"/>
  <c r="I25" i="35" s="1"/>
  <c r="I26" i="35" s="1"/>
  <c r="I27" i="35" s="1"/>
  <c r="I28" i="35" s="1"/>
  <c r="I29" i="35" s="1"/>
  <c r="I30" i="35" s="1"/>
  <c r="Q7" i="35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23" i="35"/>
  <c r="Q24" i="35" s="1"/>
  <c r="O35" i="35" l="1"/>
  <c r="O34" i="35"/>
  <c r="M35" i="35"/>
  <c r="M34" i="35"/>
  <c r="I31" i="35"/>
  <c r="I32" i="35" s="1"/>
  <c r="I33" i="35" s="1"/>
  <c r="I36" i="35"/>
  <c r="E34" i="35"/>
  <c r="E35" i="35"/>
  <c r="G35" i="35"/>
  <c r="G34" i="35"/>
  <c r="Q25" i="35"/>
  <c r="Q26" i="35" s="1"/>
  <c r="Q27" i="35" s="1"/>
  <c r="Q28" i="35" s="1"/>
  <c r="Q29" i="35" s="1"/>
  <c r="Q30" i="35" s="1"/>
  <c r="O24" i="34"/>
  <c r="O25" i="34" s="1"/>
  <c r="N24" i="34"/>
  <c r="N25" i="34" s="1"/>
  <c r="F19" i="34"/>
  <c r="E19" i="34"/>
  <c r="P19" i="34"/>
  <c r="E18" i="34" s="1"/>
  <c r="Q19" i="34"/>
  <c r="Q18" i="34"/>
  <c r="P18" i="34"/>
  <c r="F16" i="34"/>
  <c r="G16" i="34" s="1"/>
  <c r="E22" i="34" l="1"/>
  <c r="Q31" i="35"/>
  <c r="Q32" i="35" s="1"/>
  <c r="Q33" i="35" s="1"/>
  <c r="Q36" i="35"/>
  <c r="I34" i="35"/>
  <c r="I35" i="35"/>
  <c r="K28" i="34"/>
  <c r="Q35" i="35" l="1"/>
  <c r="Q34" i="35"/>
  <c r="H25" i="34"/>
  <c r="H26" i="34"/>
  <c r="H27" i="34"/>
  <c r="H28" i="34"/>
  <c r="H29" i="34"/>
  <c r="H24" i="34"/>
  <c r="G24" i="34"/>
  <c r="C36" i="34" l="1"/>
  <c r="E8" i="34"/>
  <c r="F4" i="34"/>
  <c r="D4" i="34"/>
  <c r="F20" i="34" l="1"/>
  <c r="G31" i="49" s="1"/>
  <c r="I31" i="49" s="1"/>
  <c r="O22" i="34"/>
  <c r="R22" i="34" s="1"/>
  <c r="L23" i="34"/>
  <c r="K23" i="34" l="1"/>
  <c r="D14" i="34" l="1"/>
  <c r="K24" i="34" l="1"/>
  <c r="L24" i="34"/>
  <c r="F50" i="40" l="1"/>
  <c r="H50" i="40" s="1"/>
  <c r="H49" i="40"/>
  <c r="H48" i="40"/>
  <c r="F46" i="40"/>
  <c r="E46" i="40"/>
  <c r="H42" i="40"/>
  <c r="F40" i="40"/>
  <c r="E40" i="40"/>
  <c r="H13" i="40"/>
  <c r="G13" i="40"/>
  <c r="F4" i="40"/>
  <c r="D4" i="40"/>
  <c r="F42" i="38"/>
  <c r="F42" i="39" s="1"/>
  <c r="E42" i="38"/>
  <c r="E42" i="39" s="1"/>
  <c r="D42" i="38"/>
  <c r="D42" i="39" s="1"/>
  <c r="C42" i="38"/>
  <c r="C42" i="39" s="1"/>
  <c r="D28" i="38"/>
  <c r="D28" i="40" s="1"/>
  <c r="D25" i="38"/>
  <c r="E25" i="38"/>
  <c r="E25" i="39" s="1"/>
  <c r="E25" i="40" s="1"/>
  <c r="F25" i="38"/>
  <c r="D24" i="38"/>
  <c r="E24" i="38"/>
  <c r="F24" i="38"/>
  <c r="F16" i="38"/>
  <c r="E16" i="38"/>
  <c r="E16" i="40" s="1"/>
  <c r="D16" i="38"/>
  <c r="D16" i="40" s="1"/>
  <c r="C16" i="38"/>
  <c r="C16" i="39" s="1"/>
  <c r="E39" i="38"/>
  <c r="E39" i="39" s="1"/>
  <c r="F39" i="38"/>
  <c r="F39" i="39" s="1"/>
  <c r="F38" i="38"/>
  <c r="F38" i="39" s="1"/>
  <c r="E38" i="38"/>
  <c r="E38" i="39" s="1"/>
  <c r="C35" i="38"/>
  <c r="C35" i="39" s="1"/>
  <c r="D35" i="38"/>
  <c r="D34" i="38"/>
  <c r="C34" i="38"/>
  <c r="E26" i="38"/>
  <c r="F26" i="38"/>
  <c r="E27" i="38"/>
  <c r="E27" i="39" s="1"/>
  <c r="E27" i="40" s="1"/>
  <c r="F27" i="38"/>
  <c r="E28" i="38"/>
  <c r="F28" i="38"/>
  <c r="E29" i="38"/>
  <c r="F29" i="38"/>
  <c r="E30" i="38"/>
  <c r="E30" i="39" s="1"/>
  <c r="E30" i="40" s="1"/>
  <c r="F30" i="38"/>
  <c r="E20" i="38"/>
  <c r="E20" i="40" s="1"/>
  <c r="F20" i="38"/>
  <c r="F20" i="40" s="1"/>
  <c r="E13" i="38"/>
  <c r="F13" i="38"/>
  <c r="F50" i="39"/>
  <c r="H50" i="39" s="1"/>
  <c r="H49" i="39"/>
  <c r="H48" i="39"/>
  <c r="F46" i="39"/>
  <c r="E46" i="39"/>
  <c r="H13" i="39"/>
  <c r="G13" i="39"/>
  <c r="F4" i="39"/>
  <c r="D4" i="39"/>
  <c r="C28" i="38"/>
  <c r="C25" i="38"/>
  <c r="C25" i="39" s="1"/>
  <c r="C24" i="38"/>
  <c r="Z29" i="7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Y41" i="7"/>
  <c r="C31" i="33"/>
  <c r="C22" i="33"/>
  <c r="C12" i="33"/>
  <c r="C31" i="34"/>
  <c r="C12" i="34"/>
  <c r="C22" i="34"/>
  <c r="D10" i="34"/>
  <c r="D32" i="34" s="1"/>
  <c r="H30" i="38" l="1"/>
  <c r="H28" i="38"/>
  <c r="H40" i="40"/>
  <c r="E20" i="45"/>
  <c r="E20" i="42"/>
  <c r="D35" i="39"/>
  <c r="D35" i="40"/>
  <c r="D28" i="45"/>
  <c r="D28" i="42"/>
  <c r="D16" i="45"/>
  <c r="D16" i="42"/>
  <c r="E30" i="45"/>
  <c r="E30" i="42"/>
  <c r="F16" i="39"/>
  <c r="F16" i="40"/>
  <c r="F25" i="39"/>
  <c r="F25" i="40" s="1"/>
  <c r="H25" i="38"/>
  <c r="E27" i="45"/>
  <c r="E27" i="42"/>
  <c r="D34" i="39"/>
  <c r="D34" i="40"/>
  <c r="F20" i="42"/>
  <c r="H20" i="42" s="1"/>
  <c r="F20" i="45"/>
  <c r="F20" i="47" s="1"/>
  <c r="K20" i="24" s="1"/>
  <c r="H27" i="38"/>
  <c r="E25" i="45"/>
  <c r="E25" i="42"/>
  <c r="H46" i="40"/>
  <c r="H26" i="38"/>
  <c r="D25" i="40"/>
  <c r="G25" i="38"/>
  <c r="E16" i="45"/>
  <c r="E16" i="47" s="1"/>
  <c r="J16" i="24" s="1"/>
  <c r="E16" i="42"/>
  <c r="D24" i="39"/>
  <c r="D31" i="39" s="1"/>
  <c r="D24" i="40"/>
  <c r="C12" i="38"/>
  <c r="C14" i="38" s="1"/>
  <c r="C22" i="38"/>
  <c r="H24" i="38"/>
  <c r="G24" i="38"/>
  <c r="H29" i="38"/>
  <c r="F27" i="39"/>
  <c r="F27" i="40" s="1"/>
  <c r="C14" i="33"/>
  <c r="C31" i="38"/>
  <c r="C14" i="39"/>
  <c r="C24" i="39"/>
  <c r="C31" i="39" s="1"/>
  <c r="D16" i="39"/>
  <c r="F40" i="39"/>
  <c r="E40" i="39"/>
  <c r="F28" i="39"/>
  <c r="F28" i="40" s="1"/>
  <c r="F29" i="39"/>
  <c r="F29" i="40" s="1"/>
  <c r="E16" i="39"/>
  <c r="H16" i="39" s="1"/>
  <c r="E29" i="39"/>
  <c r="E29" i="40" s="1"/>
  <c r="E24" i="39"/>
  <c r="E24" i="40" s="1"/>
  <c r="E28" i="39"/>
  <c r="E28" i="40" s="1"/>
  <c r="E26" i="39"/>
  <c r="E26" i="40" s="1"/>
  <c r="F26" i="39"/>
  <c r="F26" i="40" s="1"/>
  <c r="F24" i="39"/>
  <c r="F24" i="40" s="1"/>
  <c r="C36" i="38"/>
  <c r="C34" i="39"/>
  <c r="F20" i="39"/>
  <c r="E20" i="39"/>
  <c r="D36" i="38"/>
  <c r="D22" i="39"/>
  <c r="H20" i="40"/>
  <c r="H42" i="39"/>
  <c r="F30" i="39"/>
  <c r="F30" i="40" s="1"/>
  <c r="F36" i="40"/>
  <c r="W29" i="7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V41" i="7"/>
  <c r="C14" i="34"/>
  <c r="C9" i="33"/>
  <c r="C8" i="33"/>
  <c r="C9" i="34"/>
  <c r="D9" i="38"/>
  <c r="D9" i="40" s="1"/>
  <c r="D8" i="38"/>
  <c r="D8" i="40" s="1"/>
  <c r="F50" i="38"/>
  <c r="H50" i="38" s="1"/>
  <c r="H49" i="38"/>
  <c r="H48" i="38"/>
  <c r="F46" i="38"/>
  <c r="E46" i="38"/>
  <c r="H42" i="38"/>
  <c r="F40" i="38"/>
  <c r="E40" i="38"/>
  <c r="F31" i="38"/>
  <c r="E31" i="38"/>
  <c r="D31" i="38"/>
  <c r="H20" i="38"/>
  <c r="H16" i="38"/>
  <c r="H13" i="38"/>
  <c r="G13" i="38"/>
  <c r="F4" i="38"/>
  <c r="D4" i="38"/>
  <c r="E29" i="45" l="1"/>
  <c r="E29" i="42"/>
  <c r="F16" i="45"/>
  <c r="H16" i="45" s="1"/>
  <c r="F16" i="42"/>
  <c r="H16" i="42" s="1"/>
  <c r="G16" i="40"/>
  <c r="D24" i="45"/>
  <c r="D24" i="42"/>
  <c r="E27" i="47"/>
  <c r="J27" i="24" s="1"/>
  <c r="E27" i="46"/>
  <c r="G27" i="46" s="1"/>
  <c r="D16" i="47"/>
  <c r="D16" i="50" s="1"/>
  <c r="D16" i="46"/>
  <c r="F20" i="50"/>
  <c r="D35" i="45"/>
  <c r="D35" i="42"/>
  <c r="G35" i="40"/>
  <c r="D8" i="45"/>
  <c r="D8" i="42"/>
  <c r="C9" i="38"/>
  <c r="E28" i="45"/>
  <c r="E28" i="42"/>
  <c r="F29" i="45"/>
  <c r="F29" i="42"/>
  <c r="H29" i="40"/>
  <c r="E25" i="47"/>
  <c r="E25" i="46"/>
  <c r="D34" i="45"/>
  <c r="D34" i="42"/>
  <c r="G34" i="40"/>
  <c r="D36" i="40"/>
  <c r="G36" i="40" s="1"/>
  <c r="E16" i="50"/>
  <c r="L7" i="44"/>
  <c r="L16" i="47"/>
  <c r="D9" i="45"/>
  <c r="D9" i="42"/>
  <c r="F30" i="45"/>
  <c r="F30" i="42"/>
  <c r="H30" i="40"/>
  <c r="H16" i="40"/>
  <c r="F24" i="45"/>
  <c r="F24" i="42"/>
  <c r="H24" i="40"/>
  <c r="E24" i="45"/>
  <c r="E24" i="42"/>
  <c r="F28" i="45"/>
  <c r="F28" i="42"/>
  <c r="H28" i="40"/>
  <c r="F27" i="45"/>
  <c r="F27" i="42"/>
  <c r="H27" i="40"/>
  <c r="F25" i="45"/>
  <c r="F25" i="42"/>
  <c r="H25" i="42" s="1"/>
  <c r="H25" i="40"/>
  <c r="E30" i="47"/>
  <c r="E30" i="46"/>
  <c r="D28" i="47"/>
  <c r="D28" i="50" s="1"/>
  <c r="D28" i="46"/>
  <c r="H20" i="45"/>
  <c r="E20" i="47"/>
  <c r="F26" i="45"/>
  <c r="F26" i="42"/>
  <c r="F31" i="40"/>
  <c r="E26" i="45"/>
  <c r="E26" i="42"/>
  <c r="E31" i="40"/>
  <c r="H26" i="40"/>
  <c r="D25" i="45"/>
  <c r="D25" i="42"/>
  <c r="E16" i="46"/>
  <c r="D31" i="40"/>
  <c r="G24" i="40"/>
  <c r="G31" i="38"/>
  <c r="H31" i="38"/>
  <c r="F31" i="39"/>
  <c r="C32" i="40"/>
  <c r="C10" i="39"/>
  <c r="C32" i="39" s="1"/>
  <c r="E31" i="39"/>
  <c r="H20" i="39"/>
  <c r="D14" i="38"/>
  <c r="D14" i="39"/>
  <c r="D9" i="39"/>
  <c r="D10" i="38"/>
  <c r="D8" i="39"/>
  <c r="N40" i="7"/>
  <c r="L40" i="7"/>
  <c r="F40" i="7"/>
  <c r="F42" i="7" s="1"/>
  <c r="D40" i="7"/>
  <c r="D42" i="7" s="1"/>
  <c r="P39" i="7"/>
  <c r="P41" i="7" s="1"/>
  <c r="P42" i="7" s="1"/>
  <c r="P43" i="7" s="1"/>
  <c r="P44" i="7" s="1"/>
  <c r="H39" i="7"/>
  <c r="P38" i="7"/>
  <c r="K44" i="7" s="1"/>
  <c r="K45" i="7" s="1"/>
  <c r="K46" i="7" s="1"/>
  <c r="H38" i="7"/>
  <c r="H37" i="7"/>
  <c r="P36" i="7"/>
  <c r="H36" i="7"/>
  <c r="P35" i="7"/>
  <c r="H35" i="7"/>
  <c r="H34" i="7"/>
  <c r="P33" i="7"/>
  <c r="H33" i="7"/>
  <c r="P32" i="7"/>
  <c r="H32" i="7"/>
  <c r="P31" i="7"/>
  <c r="P23" i="7" s="1"/>
  <c r="H31" i="7"/>
  <c r="P30" i="7"/>
  <c r="H30" i="7"/>
  <c r="P29" i="7"/>
  <c r="H29" i="7"/>
  <c r="S28" i="7"/>
  <c r="S29" i="7" s="1"/>
  <c r="S30" i="7" s="1"/>
  <c r="S31" i="7" s="1"/>
  <c r="S32" i="7" s="1"/>
  <c r="S33" i="7" s="1"/>
  <c r="S34" i="7" s="1"/>
  <c r="O29" i="7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M28" i="7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H28" i="7"/>
  <c r="G28" i="7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E28" i="7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V20" i="7"/>
  <c r="R20" i="7"/>
  <c r="R21" i="7" s="1"/>
  <c r="P20" i="7"/>
  <c r="P22" i="7" s="1"/>
  <c r="L22" i="7"/>
  <c r="F20" i="7"/>
  <c r="F22" i="7" s="1"/>
  <c r="D20" i="7"/>
  <c r="AH19" i="7"/>
  <c r="AH20" i="7" s="1"/>
  <c r="AE19" i="7"/>
  <c r="AD19" i="7" s="1"/>
  <c r="AC19" i="7"/>
  <c r="X19" i="7"/>
  <c r="H19" i="7"/>
  <c r="AE18" i="7"/>
  <c r="AD18" i="7" s="1"/>
  <c r="AC18" i="7"/>
  <c r="X18" i="7"/>
  <c r="H18" i="7"/>
  <c r="AE17" i="7"/>
  <c r="AD17" i="7" s="1"/>
  <c r="AC17" i="7"/>
  <c r="X17" i="7"/>
  <c r="H17" i="7"/>
  <c r="AE16" i="7"/>
  <c r="AD16" i="7" s="1"/>
  <c r="AC16" i="7"/>
  <c r="X16" i="7"/>
  <c r="H16" i="7"/>
  <c r="AE15" i="7"/>
  <c r="AD15" i="7" s="1"/>
  <c r="AC15" i="7"/>
  <c r="X15" i="7"/>
  <c r="H15" i="7"/>
  <c r="AE14" i="7"/>
  <c r="AD14" i="7" s="1"/>
  <c r="AC14" i="7"/>
  <c r="X14" i="7"/>
  <c r="H14" i="7"/>
  <c r="AE13" i="7"/>
  <c r="AD13" i="7" s="1"/>
  <c r="AC13" i="7"/>
  <c r="X13" i="7"/>
  <c r="H13" i="7"/>
  <c r="AE12" i="7"/>
  <c r="AD12" i="7" s="1"/>
  <c r="AC12" i="7"/>
  <c r="X12" i="7"/>
  <c r="H12" i="7"/>
  <c r="AE11" i="7"/>
  <c r="AD11" i="7" s="1"/>
  <c r="H11" i="7"/>
  <c r="AE10" i="7"/>
  <c r="AD10" i="7" s="1"/>
  <c r="AC10" i="7"/>
  <c r="H10" i="7"/>
  <c r="AE9" i="7"/>
  <c r="AD9" i="7" s="1"/>
  <c r="AC9" i="7"/>
  <c r="X9" i="7"/>
  <c r="H9" i="7"/>
  <c r="AE8" i="7"/>
  <c r="AC8" i="7"/>
  <c r="Y8" i="7"/>
  <c r="X8" i="7" s="1"/>
  <c r="W8" i="7"/>
  <c r="T8" i="7"/>
  <c r="T9" i="7" s="1"/>
  <c r="S8" i="7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Q8" i="7"/>
  <c r="Q9" i="7" s="1"/>
  <c r="Q10" i="7" s="1"/>
  <c r="Q11" i="7" s="1"/>
  <c r="M8" i="7"/>
  <c r="M9" i="7" s="1"/>
  <c r="M10" i="7" s="1"/>
  <c r="M11" i="7" s="1"/>
  <c r="H8" i="7"/>
  <c r="I8" i="7" s="1"/>
  <c r="G8" i="7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E8" i="7"/>
  <c r="E9" i="7" s="1"/>
  <c r="E10" i="7" s="1"/>
  <c r="E11" i="7" s="1"/>
  <c r="E12" i="7" s="1"/>
  <c r="E13" i="7" s="1"/>
  <c r="E14" i="7" s="1"/>
  <c r="E15" i="7" s="1"/>
  <c r="E16" i="7" s="1"/>
  <c r="E17" i="7" s="1"/>
  <c r="C14" i="15"/>
  <c r="D7" i="49" s="1"/>
  <c r="G13" i="34"/>
  <c r="E25" i="50" l="1"/>
  <c r="J25" i="24"/>
  <c r="S35" i="7"/>
  <c r="S36" i="7" s="1"/>
  <c r="S37" i="7" s="1"/>
  <c r="S38" i="7" s="1"/>
  <c r="S39" i="7" s="1"/>
  <c r="E20" i="50"/>
  <c r="J20" i="24"/>
  <c r="G30" i="47"/>
  <c r="J30" i="24"/>
  <c r="I9" i="7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D36" i="45"/>
  <c r="D36" i="42"/>
  <c r="H24" i="42"/>
  <c r="G16" i="42"/>
  <c r="F29" i="47"/>
  <c r="K29" i="24" s="1"/>
  <c r="F29" i="46"/>
  <c r="F25" i="47"/>
  <c r="F25" i="46"/>
  <c r="H25" i="46" s="1"/>
  <c r="H25" i="45"/>
  <c r="F27" i="47"/>
  <c r="K27" i="24" s="1"/>
  <c r="F27" i="46"/>
  <c r="H27" i="46" s="1"/>
  <c r="F24" i="47"/>
  <c r="K24" i="24" s="1"/>
  <c r="F24" i="46"/>
  <c r="G24" i="45"/>
  <c r="H24" i="45"/>
  <c r="F30" i="47"/>
  <c r="F30" i="46"/>
  <c r="H30" i="46" s="1"/>
  <c r="H25" i="50"/>
  <c r="G24" i="42"/>
  <c r="F16" i="47"/>
  <c r="K16" i="24" s="1"/>
  <c r="F16" i="46"/>
  <c r="G16" i="46" s="1"/>
  <c r="G16" i="45"/>
  <c r="E24" i="47"/>
  <c r="E24" i="46"/>
  <c r="E28" i="47"/>
  <c r="J28" i="24" s="1"/>
  <c r="E28" i="46"/>
  <c r="G28" i="46" s="1"/>
  <c r="D10" i="42"/>
  <c r="D24" i="47"/>
  <c r="D24" i="50" s="1"/>
  <c r="D24" i="46"/>
  <c r="E18" i="7"/>
  <c r="E19" i="7" s="1"/>
  <c r="X20" i="7"/>
  <c r="V21" i="7"/>
  <c r="F28" i="47"/>
  <c r="K28" i="24" s="1"/>
  <c r="F28" i="46"/>
  <c r="E27" i="50"/>
  <c r="G27" i="50" s="1"/>
  <c r="G27" i="47"/>
  <c r="D22" i="7"/>
  <c r="H20" i="7"/>
  <c r="H40" i="7"/>
  <c r="H42" i="7" s="1"/>
  <c r="H16" i="46"/>
  <c r="F31" i="42"/>
  <c r="D9" i="47"/>
  <c r="D9" i="50" s="1"/>
  <c r="D9" i="46"/>
  <c r="D8" i="47"/>
  <c r="D8" i="50" s="1"/>
  <c r="D8" i="46"/>
  <c r="D10" i="45"/>
  <c r="H20" i="47"/>
  <c r="E29" i="47"/>
  <c r="J29" i="24" s="1"/>
  <c r="E29" i="46"/>
  <c r="G29" i="46" s="1"/>
  <c r="F26" i="47"/>
  <c r="K26" i="24" s="1"/>
  <c r="F26" i="46"/>
  <c r="F31" i="45"/>
  <c r="E26" i="47"/>
  <c r="E26" i="46"/>
  <c r="H26" i="45"/>
  <c r="E31" i="45"/>
  <c r="H31" i="45" s="1"/>
  <c r="E31" i="42"/>
  <c r="H31" i="42" s="1"/>
  <c r="H26" i="42"/>
  <c r="G25" i="42"/>
  <c r="D31" i="42"/>
  <c r="D25" i="47"/>
  <c r="D25" i="50" s="1"/>
  <c r="G25" i="50" s="1"/>
  <c r="D25" i="46"/>
  <c r="G25" i="45"/>
  <c r="D31" i="45"/>
  <c r="G31" i="40"/>
  <c r="C8" i="34"/>
  <c r="Q12" i="7"/>
  <c r="Q13" i="7" s="1"/>
  <c r="Q14" i="7" s="1"/>
  <c r="Q15" i="7" s="1"/>
  <c r="Q16" i="7" s="1"/>
  <c r="Q17" i="7" s="1"/>
  <c r="Q18" i="7" s="1"/>
  <c r="Q19" i="7" s="1"/>
  <c r="D12" i="40"/>
  <c r="M12" i="7"/>
  <c r="M13" i="7" s="1"/>
  <c r="M14" i="7" s="1"/>
  <c r="M15" i="7" s="1"/>
  <c r="M16" i="7" s="1"/>
  <c r="M17" i="7" s="1"/>
  <c r="M18" i="7" s="1"/>
  <c r="M19" i="7" s="1"/>
  <c r="D22" i="40"/>
  <c r="H31" i="40"/>
  <c r="D32" i="38"/>
  <c r="AA28" i="7"/>
  <c r="Q29" i="7"/>
  <c r="Q30" i="7" s="1"/>
  <c r="Q31" i="7" s="1"/>
  <c r="Q43" i="7" s="1"/>
  <c r="H43" i="7"/>
  <c r="H44" i="7" s="1"/>
  <c r="I28" i="7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D10" i="39"/>
  <c r="D32" i="39" s="1"/>
  <c r="W9" i="7"/>
  <c r="AF8" i="7"/>
  <c r="AD8" i="7"/>
  <c r="E26" i="50" l="1"/>
  <c r="G26" i="50" s="1"/>
  <c r="J26" i="24"/>
  <c r="H25" i="47"/>
  <c r="K25" i="24"/>
  <c r="E24" i="50"/>
  <c r="J24" i="24"/>
  <c r="H30" i="47"/>
  <c r="K30" i="24"/>
  <c r="F31" i="46"/>
  <c r="D10" i="50"/>
  <c r="F31" i="47"/>
  <c r="K31" i="24" s="1"/>
  <c r="F26" i="50"/>
  <c r="H26" i="50" s="1"/>
  <c r="E28" i="50"/>
  <c r="G28" i="50" s="1"/>
  <c r="G28" i="47"/>
  <c r="F27" i="50"/>
  <c r="H27" i="50" s="1"/>
  <c r="H27" i="47"/>
  <c r="D22" i="45"/>
  <c r="D22" i="42"/>
  <c r="F28" i="50"/>
  <c r="H28" i="47"/>
  <c r="D12" i="45"/>
  <c r="D12" i="42"/>
  <c r="D10" i="46"/>
  <c r="D31" i="50"/>
  <c r="F16" i="50"/>
  <c r="M7" i="44"/>
  <c r="N7" i="44" s="1"/>
  <c r="G16" i="47"/>
  <c r="H16" i="47"/>
  <c r="M16" i="47"/>
  <c r="H24" i="46"/>
  <c r="G24" i="46"/>
  <c r="H29" i="46"/>
  <c r="E29" i="50"/>
  <c r="G29" i="50" s="1"/>
  <c r="G29" i="47"/>
  <c r="H28" i="46"/>
  <c r="F24" i="50"/>
  <c r="G24" i="47"/>
  <c r="H24" i="47"/>
  <c r="F29" i="50"/>
  <c r="H29" i="47"/>
  <c r="H26" i="47"/>
  <c r="E31" i="47"/>
  <c r="J31" i="24" s="1"/>
  <c r="G26" i="47"/>
  <c r="G26" i="46"/>
  <c r="E31" i="46"/>
  <c r="H31" i="46" s="1"/>
  <c r="H26" i="46"/>
  <c r="D31" i="46"/>
  <c r="G25" i="46"/>
  <c r="D31" i="47"/>
  <c r="G25" i="47"/>
  <c r="G31" i="42"/>
  <c r="G31" i="45"/>
  <c r="C10" i="34"/>
  <c r="C32" i="34" s="1"/>
  <c r="C8" i="38"/>
  <c r="C10" i="38" s="1"/>
  <c r="C32" i="38" s="1"/>
  <c r="Q32" i="7"/>
  <c r="W10" i="7"/>
  <c r="E14" i="34"/>
  <c r="AF9" i="7"/>
  <c r="AG8" i="7"/>
  <c r="H22" i="7"/>
  <c r="G35" i="34"/>
  <c r="G34" i="34"/>
  <c r="G9" i="34"/>
  <c r="G8" i="34"/>
  <c r="H29" i="50" l="1"/>
  <c r="E31" i="50"/>
  <c r="H28" i="50"/>
  <c r="Q33" i="7"/>
  <c r="Q34" i="7" s="1"/>
  <c r="Q35" i="7" s="1"/>
  <c r="Q36" i="7" s="1"/>
  <c r="Q37" i="7" s="1"/>
  <c r="Q38" i="7" s="1"/>
  <c r="Q39" i="7" s="1"/>
  <c r="F31" i="50"/>
  <c r="G24" i="50"/>
  <c r="H24" i="50"/>
  <c r="G12" i="42"/>
  <c r="D14" i="42"/>
  <c r="G16" i="50"/>
  <c r="H16" i="50"/>
  <c r="D14" i="45"/>
  <c r="D12" i="47"/>
  <c r="D12" i="46"/>
  <c r="G12" i="45"/>
  <c r="H31" i="47"/>
  <c r="G31" i="47"/>
  <c r="G31" i="46"/>
  <c r="E10" i="34"/>
  <c r="W11" i="7"/>
  <c r="W12" i="7" s="1"/>
  <c r="AG9" i="7"/>
  <c r="AF10" i="7"/>
  <c r="G16" i="22"/>
  <c r="D14" i="46" l="1"/>
  <c r="G12" i="46"/>
  <c r="D12" i="50"/>
  <c r="D14" i="47"/>
  <c r="G14" i="47" s="1"/>
  <c r="G12" i="47"/>
  <c r="G14" i="45"/>
  <c r="D32" i="45"/>
  <c r="G14" i="42"/>
  <c r="D32" i="42"/>
  <c r="G31" i="50"/>
  <c r="H31" i="50"/>
  <c r="W13" i="7"/>
  <c r="AG10" i="7"/>
  <c r="AF11" i="7"/>
  <c r="G14" i="46" l="1"/>
  <c r="D32" i="46"/>
  <c r="D14" i="50"/>
  <c r="G12" i="50"/>
  <c r="AF12" i="7"/>
  <c r="AG11" i="7"/>
  <c r="W14" i="7"/>
  <c r="D36" i="22"/>
  <c r="D14" i="22"/>
  <c r="D10" i="22"/>
  <c r="G14" i="50" l="1"/>
  <c r="D32" i="50"/>
  <c r="AG12" i="7"/>
  <c r="AF13" i="7"/>
  <c r="W15" i="7"/>
  <c r="W16" i="7" l="1"/>
  <c r="AF14" i="7"/>
  <c r="AG13" i="7"/>
  <c r="D31" i="24"/>
  <c r="AF15" i="7" l="1"/>
  <c r="AG14" i="7"/>
  <c r="W17" i="7"/>
  <c r="D36" i="23"/>
  <c r="E39" i="15"/>
  <c r="F39" i="15"/>
  <c r="F38" i="15"/>
  <c r="H38" i="15" s="1"/>
  <c r="F40" i="24"/>
  <c r="E40" i="24"/>
  <c r="E40" i="26"/>
  <c r="F40" i="26"/>
  <c r="F40" i="27"/>
  <c r="E40" i="27"/>
  <c r="E40" i="28"/>
  <c r="F40" i="28"/>
  <c r="F40" i="29"/>
  <c r="H39" i="15" l="1"/>
  <c r="AF16" i="7"/>
  <c r="AG15" i="7"/>
  <c r="W18" i="7"/>
  <c r="E40" i="29"/>
  <c r="AG16" i="7" l="1"/>
  <c r="AF17" i="7"/>
  <c r="W19" i="7"/>
  <c r="AF18" i="7" l="1"/>
  <c r="AG17" i="7"/>
  <c r="D31" i="23"/>
  <c r="AF19" i="7" l="1"/>
  <c r="AG19" i="7" s="1"/>
  <c r="AG18" i="7"/>
  <c r="P25" i="26"/>
  <c r="P24" i="26"/>
  <c r="P26" i="26" s="1"/>
  <c r="G12" i="24" l="1"/>
  <c r="D14" i="23" l="1"/>
  <c r="D32" i="23" s="1"/>
  <c r="M24" i="26" l="1"/>
  <c r="M25" i="26" s="1"/>
  <c r="E10" i="37" l="1"/>
  <c r="L9" i="37" l="1"/>
  <c r="F10" i="37"/>
  <c r="G10" i="37" s="1"/>
  <c r="D32" i="24" l="1"/>
  <c r="J27" i="26"/>
  <c r="K26" i="26"/>
  <c r="K27" i="26" s="1"/>
  <c r="L25" i="27" l="1"/>
  <c r="O25" i="27" s="1"/>
  <c r="M25" i="27"/>
  <c r="P25" i="27" s="1"/>
  <c r="L26" i="27"/>
  <c r="O26" i="27" s="1"/>
  <c r="M26" i="27"/>
  <c r="P26" i="27" s="1"/>
  <c r="L27" i="27"/>
  <c r="O27" i="27" s="1"/>
  <c r="M27" i="27"/>
  <c r="P27" i="27" s="1"/>
  <c r="L28" i="27"/>
  <c r="O28" i="27" s="1"/>
  <c r="M28" i="27"/>
  <c r="P28" i="27" s="1"/>
  <c r="M24" i="27"/>
  <c r="P24" i="27" s="1"/>
  <c r="L24" i="27"/>
  <c r="O24" i="27" s="1"/>
  <c r="D14" i="26" l="1"/>
  <c r="D32" i="26" l="1"/>
  <c r="E14" i="26"/>
  <c r="H16" i="26" l="1"/>
  <c r="E40" i="15" l="1"/>
  <c r="F40" i="15"/>
  <c r="C10" i="15"/>
  <c r="D10" i="15"/>
  <c r="E6" i="49" s="1"/>
  <c r="C32" i="15" l="1"/>
  <c r="D6" i="49"/>
  <c r="D10" i="49" s="1"/>
  <c r="H40" i="15"/>
  <c r="L28" i="28"/>
  <c r="L29" i="28"/>
  <c r="K29" i="28"/>
  <c r="M29" i="28" s="1"/>
  <c r="D36" i="27" l="1"/>
  <c r="D14" i="27"/>
  <c r="D10" i="27"/>
  <c r="D10" i="28" l="1"/>
  <c r="D14" i="28"/>
  <c r="D32" i="28" l="1"/>
  <c r="D10" i="47"/>
  <c r="D32" i="47" s="1"/>
  <c r="G16" i="15"/>
  <c r="D14" i="15"/>
  <c r="E7" i="49" s="1"/>
  <c r="H42" i="28"/>
  <c r="G42" i="28"/>
  <c r="H16" i="28"/>
  <c r="H20" i="28"/>
  <c r="D36" i="28"/>
  <c r="E10" i="49" l="1"/>
  <c r="D32" i="15"/>
  <c r="J42" i="15"/>
  <c r="G16" i="28"/>
  <c r="E40" i="32" l="1"/>
  <c r="F40" i="32" l="1"/>
  <c r="J16" i="29" l="1"/>
  <c r="D36" i="29"/>
  <c r="D14" i="29"/>
  <c r="D10" i="29" l="1"/>
  <c r="D32" i="29" s="1"/>
  <c r="K29" i="30" l="1"/>
  <c r="K31" i="30" s="1"/>
  <c r="J29" i="30"/>
  <c r="G12" i="30" l="1"/>
  <c r="D10" i="30" l="1"/>
  <c r="D32" i="30" s="1"/>
  <c r="D36" i="30"/>
  <c r="H24" i="31" l="1"/>
  <c r="H16" i="31" l="1"/>
  <c r="E14" i="30" l="1"/>
  <c r="E32" i="30" s="1"/>
  <c r="F14" i="30"/>
  <c r="H38" i="30" l="1"/>
  <c r="F40" i="30"/>
  <c r="E40" i="30"/>
  <c r="D40" i="30"/>
  <c r="D14" i="31" l="1"/>
  <c r="D14" i="40" s="1"/>
  <c r="E14" i="31" l="1"/>
  <c r="D10" i="31" l="1"/>
  <c r="E10" i="31"/>
  <c r="D32" i="31" l="1"/>
  <c r="E36" i="31" l="1"/>
  <c r="E46" i="15" l="1"/>
  <c r="G8" i="32" l="1"/>
  <c r="H8" i="32"/>
  <c r="G31" i="33" l="1"/>
  <c r="E36" i="32" l="1"/>
  <c r="E10" i="32"/>
  <c r="D36" i="32"/>
  <c r="D36" i="39" s="1"/>
  <c r="D10" i="32"/>
  <c r="D32" i="32" l="1"/>
  <c r="D10" i="40"/>
  <c r="D32" i="40" s="1"/>
  <c r="F46" i="15"/>
  <c r="H46" i="15" s="1"/>
  <c r="D36" i="33" l="1"/>
  <c r="C36" i="15"/>
  <c r="D36" i="34"/>
  <c r="D36" i="15" l="1"/>
  <c r="K36" i="15" s="1"/>
  <c r="E12" i="49" s="1"/>
  <c r="E40" i="33" l="1"/>
  <c r="D10" i="33" l="1"/>
  <c r="D32" i="33" s="1"/>
  <c r="G13" i="15" l="1"/>
  <c r="H44" i="31" l="1"/>
  <c r="H45" i="31"/>
  <c r="H46" i="31"/>
  <c r="H20" i="34" l="1"/>
  <c r="F10" i="34" l="1"/>
  <c r="G10" i="34" s="1"/>
  <c r="H8" i="34"/>
  <c r="H10" i="34" l="1"/>
  <c r="G16" i="23" l="1"/>
  <c r="H29" i="23"/>
  <c r="H27" i="23"/>
  <c r="H28" i="23"/>
  <c r="H26" i="23"/>
  <c r="F50" i="15" l="1"/>
  <c r="E50" i="15"/>
  <c r="H49" i="15"/>
  <c r="H48" i="15"/>
  <c r="H50" i="15" l="1"/>
  <c r="F69" i="22" l="1"/>
  <c r="E69" i="22"/>
  <c r="F50" i="22"/>
  <c r="E50" i="22"/>
  <c r="H49" i="22"/>
  <c r="H48" i="22"/>
  <c r="F46" i="22"/>
  <c r="E46" i="22"/>
  <c r="H45" i="22"/>
  <c r="H44" i="22"/>
  <c r="H42" i="22"/>
  <c r="G42" i="22"/>
  <c r="F40" i="22"/>
  <c r="E40" i="22"/>
  <c r="H39" i="22"/>
  <c r="H38" i="22"/>
  <c r="C36" i="22"/>
  <c r="D31" i="22"/>
  <c r="C31" i="22"/>
  <c r="H25" i="22"/>
  <c r="G25" i="22"/>
  <c r="H24" i="22"/>
  <c r="G24" i="22"/>
  <c r="H20" i="22"/>
  <c r="H16" i="22"/>
  <c r="C10" i="22"/>
  <c r="F4" i="22"/>
  <c r="E4" i="22"/>
  <c r="F69" i="23"/>
  <c r="E69" i="23"/>
  <c r="C53" i="23"/>
  <c r="F50" i="23"/>
  <c r="E50" i="23"/>
  <c r="H49" i="23"/>
  <c r="H48" i="23"/>
  <c r="F46" i="23"/>
  <c r="E46" i="23"/>
  <c r="H45" i="23"/>
  <c r="H44" i="23"/>
  <c r="H42" i="23"/>
  <c r="G42" i="23"/>
  <c r="H39" i="23"/>
  <c r="H38" i="23"/>
  <c r="C36" i="23"/>
  <c r="H46" i="22" l="1"/>
  <c r="H50" i="22"/>
  <c r="G31" i="22"/>
  <c r="H46" i="23"/>
  <c r="H50" i="23"/>
  <c r="H40" i="22"/>
  <c r="H31" i="22"/>
  <c r="H40" i="23"/>
  <c r="C31" i="23"/>
  <c r="H25" i="23"/>
  <c r="G25" i="23"/>
  <c r="H24" i="23"/>
  <c r="G24" i="23"/>
  <c r="H16" i="23"/>
  <c r="G31" i="23" l="1"/>
  <c r="H31" i="23"/>
  <c r="C10" i="23" l="1"/>
  <c r="C32" i="23" s="1"/>
  <c r="F4" i="23"/>
  <c r="E4" i="23"/>
  <c r="F69" i="24"/>
  <c r="E69" i="24"/>
  <c r="F50" i="24"/>
  <c r="E50" i="24"/>
  <c r="H49" i="24"/>
  <c r="H48" i="24"/>
  <c r="F46" i="24"/>
  <c r="E46" i="24"/>
  <c r="H46" i="24" s="1"/>
  <c r="H45" i="24"/>
  <c r="H44" i="24"/>
  <c r="H42" i="24"/>
  <c r="G42" i="24"/>
  <c r="H50" i="24" l="1"/>
  <c r="J40" i="24"/>
  <c r="J39" i="24"/>
  <c r="H39" i="24"/>
  <c r="H38" i="24"/>
  <c r="C36" i="24"/>
  <c r="G31" i="24"/>
  <c r="C31" i="24"/>
  <c r="H30" i="24"/>
  <c r="H29" i="24"/>
  <c r="H28" i="24"/>
  <c r="H27" i="24"/>
  <c r="H26" i="24"/>
  <c r="H25" i="24"/>
  <c r="H24" i="24"/>
  <c r="G24" i="24"/>
  <c r="H40" i="24" l="1"/>
  <c r="H31" i="24"/>
  <c r="H16" i="24" l="1"/>
  <c r="G16" i="24" l="1"/>
  <c r="H13" i="24"/>
  <c r="C10" i="24"/>
  <c r="F4" i="24"/>
  <c r="E4" i="24"/>
  <c r="F69" i="26"/>
  <c r="E69" i="26"/>
  <c r="F50" i="26"/>
  <c r="E50" i="26"/>
  <c r="H49" i="26"/>
  <c r="H48" i="26"/>
  <c r="F46" i="26"/>
  <c r="E46" i="26"/>
  <c r="H45" i="26"/>
  <c r="H44" i="26"/>
  <c r="H42" i="26"/>
  <c r="G42" i="26"/>
  <c r="H39" i="26"/>
  <c r="H38" i="26"/>
  <c r="H50" i="26" l="1"/>
  <c r="H40" i="26"/>
  <c r="C32" i="24"/>
  <c r="H46" i="26"/>
  <c r="C36" i="26"/>
  <c r="H31" i="26" l="1"/>
  <c r="H25" i="26"/>
  <c r="G25" i="26"/>
  <c r="H24" i="26"/>
  <c r="G24" i="26"/>
  <c r="H21" i="26" l="1"/>
  <c r="H20" i="26"/>
  <c r="G16" i="26"/>
  <c r="C10" i="26"/>
  <c r="F4" i="26"/>
  <c r="E4" i="26"/>
  <c r="F69" i="27"/>
  <c r="E69" i="27"/>
  <c r="F50" i="27"/>
  <c r="E50" i="27"/>
  <c r="H49" i="27"/>
  <c r="H48" i="27"/>
  <c r="F46" i="27"/>
  <c r="E46" i="27"/>
  <c r="H45" i="27"/>
  <c r="H44" i="27"/>
  <c r="H42" i="27"/>
  <c r="G42" i="27"/>
  <c r="H39" i="27"/>
  <c r="H38" i="27"/>
  <c r="C36" i="27"/>
  <c r="C31" i="27"/>
  <c r="H50" i="27" l="1"/>
  <c r="H46" i="27"/>
  <c r="H40" i="27"/>
  <c r="C32" i="26"/>
  <c r="H25" i="27" l="1"/>
  <c r="H30" i="27"/>
  <c r="H20" i="27"/>
  <c r="H16" i="27"/>
  <c r="G16" i="27" l="1"/>
  <c r="D32" i="27" l="1"/>
  <c r="C10" i="27"/>
  <c r="C32" i="27" s="1"/>
  <c r="F4" i="27"/>
  <c r="E4" i="27"/>
  <c r="F69" i="28"/>
  <c r="E69" i="28"/>
  <c r="E53" i="28" l="1"/>
  <c r="E54" i="28" s="1"/>
  <c r="C53" i="28"/>
  <c r="F50" i="28"/>
  <c r="E50" i="28"/>
  <c r="H49" i="28"/>
  <c r="H48" i="28"/>
  <c r="H45" i="28"/>
  <c r="H44" i="28"/>
  <c r="H40" i="28"/>
  <c r="H39" i="28"/>
  <c r="H38" i="28"/>
  <c r="C36" i="28"/>
  <c r="H46" i="28" l="1"/>
  <c r="H50" i="28"/>
  <c r="H26" i="28" l="1"/>
  <c r="H24" i="28"/>
  <c r="G31" i="28" l="1"/>
  <c r="H25" i="28"/>
  <c r="H31" i="28"/>
  <c r="H13" i="28" l="1"/>
  <c r="C10" i="28"/>
  <c r="F4" i="28"/>
  <c r="E4" i="28"/>
  <c r="F69" i="29"/>
  <c r="E69" i="29"/>
  <c r="F50" i="29"/>
  <c r="E50" i="29"/>
  <c r="H49" i="29"/>
  <c r="H48" i="29"/>
  <c r="F46" i="29"/>
  <c r="E46" i="29"/>
  <c r="H45" i="29"/>
  <c r="H44" i="29"/>
  <c r="H42" i="29"/>
  <c r="G42" i="29"/>
  <c r="H40" i="29"/>
  <c r="H39" i="29"/>
  <c r="H38" i="29"/>
  <c r="C36" i="29"/>
  <c r="H46" i="29" l="1"/>
  <c r="H50" i="29"/>
  <c r="C32" i="28"/>
  <c r="H31" i="29"/>
  <c r="G31" i="29"/>
  <c r="H30" i="29" l="1"/>
  <c r="H29" i="29"/>
  <c r="H28" i="29"/>
  <c r="H27" i="29"/>
  <c r="K26" i="29"/>
  <c r="H26" i="29"/>
  <c r="K25" i="29"/>
  <c r="J25" i="29"/>
  <c r="H25" i="29"/>
  <c r="G25" i="29"/>
  <c r="G24" i="29"/>
  <c r="H16" i="29"/>
  <c r="G16" i="29" l="1"/>
  <c r="C10" i="29" l="1"/>
  <c r="C32" i="29" s="1"/>
  <c r="F4" i="29"/>
  <c r="E4" i="29"/>
  <c r="F69" i="30"/>
  <c r="E69" i="30"/>
  <c r="C53" i="30"/>
  <c r="F50" i="30"/>
  <c r="E50" i="30"/>
  <c r="H49" i="30"/>
  <c r="H48" i="30"/>
  <c r="H46" i="30"/>
  <c r="H45" i="30"/>
  <c r="H44" i="30"/>
  <c r="H42" i="30"/>
  <c r="G42" i="30"/>
  <c r="H40" i="30"/>
  <c r="H39" i="30"/>
  <c r="C36" i="30"/>
  <c r="H50" i="30" l="1"/>
  <c r="H31" i="30"/>
  <c r="G31" i="30"/>
  <c r="H26" i="30" l="1"/>
  <c r="G25" i="30"/>
  <c r="H24" i="30"/>
  <c r="G24" i="30"/>
  <c r="H25" i="30" l="1"/>
  <c r="H21" i="30"/>
  <c r="H20" i="30"/>
  <c r="H19" i="30"/>
  <c r="H18" i="30"/>
  <c r="H17" i="30"/>
  <c r="H16" i="30"/>
  <c r="G16" i="30"/>
  <c r="H22" i="30" l="1"/>
  <c r="G22" i="30"/>
  <c r="H14" i="30"/>
  <c r="G14" i="30" s="1"/>
  <c r="H13" i="30"/>
  <c r="H12" i="30"/>
  <c r="C10" i="30" l="1"/>
  <c r="C32" i="30" s="1"/>
  <c r="F69" i="31"/>
  <c r="E69" i="31"/>
  <c r="E57" i="31" l="1"/>
  <c r="C53" i="31"/>
  <c r="F50" i="31"/>
  <c r="E50" i="31"/>
  <c r="H49" i="31"/>
  <c r="H48" i="31"/>
  <c r="H42" i="31"/>
  <c r="G42" i="31"/>
  <c r="F40" i="31"/>
  <c r="E40" i="31"/>
  <c r="H39" i="31"/>
  <c r="H38" i="31"/>
  <c r="H40" i="31" l="1"/>
  <c r="H50" i="31"/>
  <c r="C36" i="31"/>
  <c r="H31" i="31" l="1"/>
  <c r="G31" i="31"/>
  <c r="H30" i="31"/>
  <c r="H29" i="31"/>
  <c r="H28" i="31"/>
  <c r="H27" i="31"/>
  <c r="H26" i="31"/>
  <c r="H25" i="31"/>
  <c r="G25" i="31"/>
  <c r="G24" i="31"/>
  <c r="H19" i="31"/>
  <c r="G16" i="31" l="1"/>
  <c r="C32" i="31" l="1"/>
  <c r="J9" i="31"/>
  <c r="I9" i="31"/>
  <c r="H9" i="31"/>
  <c r="G9" i="31"/>
  <c r="J8" i="31"/>
  <c r="I8" i="31"/>
  <c r="F69" i="32"/>
  <c r="E69" i="32"/>
  <c r="C53" i="32"/>
  <c r="F50" i="32"/>
  <c r="H49" i="32"/>
  <c r="H48" i="32"/>
  <c r="H46" i="32" s="1"/>
  <c r="H45" i="32"/>
  <c r="H44" i="32"/>
  <c r="H42" i="32"/>
  <c r="G42" i="32"/>
  <c r="H39" i="32"/>
  <c r="H38" i="32"/>
  <c r="C36" i="32"/>
  <c r="C36" i="39" s="1"/>
  <c r="H34" i="32"/>
  <c r="G34" i="32"/>
  <c r="H13" i="15" l="1"/>
  <c r="H40" i="32"/>
  <c r="H50" i="32"/>
  <c r="H30" i="32"/>
  <c r="H29" i="32"/>
  <c r="H26" i="32" l="1"/>
  <c r="H25" i="32"/>
  <c r="G25" i="32"/>
  <c r="H24" i="32"/>
  <c r="G24" i="32"/>
  <c r="H27" i="32" l="1"/>
  <c r="H31" i="32"/>
  <c r="H28" i="32"/>
  <c r="H21" i="32"/>
  <c r="H20" i="32"/>
  <c r="H16" i="32" l="1"/>
  <c r="G16" i="32" l="1"/>
  <c r="C10" i="32"/>
  <c r="C32" i="32" s="1"/>
  <c r="F50" i="33" l="1"/>
  <c r="H50" i="33" s="1"/>
  <c r="H49" i="33"/>
  <c r="H48" i="33"/>
  <c r="H45" i="33"/>
  <c r="H44" i="33"/>
  <c r="H42" i="33"/>
  <c r="G42" i="33"/>
  <c r="H40" i="33"/>
  <c r="H39" i="33"/>
  <c r="H38" i="33"/>
  <c r="H29" i="33"/>
  <c r="H46" i="33" l="1"/>
  <c r="H27" i="33"/>
  <c r="H26" i="33"/>
  <c r="H24" i="33"/>
  <c r="H20" i="33"/>
  <c r="H16" i="33"/>
  <c r="H25" i="33" l="1"/>
  <c r="H28" i="33"/>
  <c r="G25" i="33"/>
  <c r="C10" i="33"/>
  <c r="C32" i="33" s="1"/>
  <c r="F50" i="34"/>
  <c r="H50" i="34" s="1"/>
  <c r="H49" i="34"/>
  <c r="H48" i="34"/>
  <c r="F46" i="34"/>
  <c r="E46" i="34"/>
  <c r="H42" i="34"/>
  <c r="H46" i="34" l="1"/>
  <c r="H31" i="33"/>
  <c r="F40" i="34"/>
  <c r="E40" i="34" l="1"/>
  <c r="H40" i="34" s="1"/>
  <c r="F36" i="34"/>
  <c r="G36" i="34" s="1"/>
  <c r="E36" i="34"/>
  <c r="H35" i="34"/>
  <c r="H34" i="34"/>
  <c r="H36" i="34" l="1"/>
  <c r="H16" i="34" l="1"/>
  <c r="H13" i="34" l="1"/>
  <c r="H9" i="34" l="1"/>
  <c r="C32" i="22" l="1"/>
  <c r="D32" i="22" l="1"/>
  <c r="E31" i="27" l="1"/>
  <c r="H27" i="27"/>
  <c r="H26" i="27"/>
  <c r="H28" i="27"/>
  <c r="H29" i="27"/>
  <c r="F31" i="27" l="1"/>
  <c r="H31" i="27" l="1"/>
  <c r="G31" i="27"/>
  <c r="H21" i="29" l="1"/>
  <c r="F14" i="27" l="1"/>
  <c r="G14" i="27" l="1"/>
  <c r="H18" i="26" l="1"/>
  <c r="H17" i="26"/>
  <c r="F14" i="26"/>
  <c r="H12" i="26"/>
  <c r="H14" i="26" l="1"/>
  <c r="G14" i="26"/>
  <c r="H12" i="24" l="1"/>
  <c r="H14" i="24" l="1"/>
  <c r="G14" i="24"/>
  <c r="H18" i="24" l="1"/>
  <c r="H17" i="24"/>
  <c r="G12" i="23" l="1"/>
  <c r="H18" i="23" l="1"/>
  <c r="H12" i="23"/>
  <c r="H14" i="23" l="1"/>
  <c r="G14" i="23"/>
  <c r="H19" i="23" l="1"/>
  <c r="E14" i="22" l="1"/>
  <c r="H18" i="22" l="1"/>
  <c r="G12" i="22"/>
  <c r="H12" i="22"/>
  <c r="F14" i="22"/>
  <c r="H8" i="22"/>
  <c r="G8" i="22"/>
  <c r="H17" i="22" l="1"/>
  <c r="G14" i="22"/>
  <c r="H14" i="22"/>
  <c r="G9" i="22"/>
  <c r="H9" i="22"/>
  <c r="F10" i="22"/>
  <c r="F32" i="22" s="1"/>
  <c r="H22" i="22"/>
  <c r="H21" i="22"/>
  <c r="G22" i="22"/>
  <c r="G10" i="22" l="1"/>
  <c r="E32" i="22"/>
  <c r="G32" i="22"/>
  <c r="H10" i="22"/>
  <c r="E36" i="22"/>
  <c r="H32" i="22" l="1"/>
  <c r="H35" i="22"/>
  <c r="G35" i="22"/>
  <c r="H18" i="34" l="1"/>
  <c r="G12" i="34" l="1"/>
  <c r="H19" i="34" l="1"/>
  <c r="H12" i="34"/>
  <c r="F14" i="34"/>
  <c r="G14" i="34" s="1"/>
  <c r="H17" i="34" l="1"/>
  <c r="H14" i="34"/>
  <c r="F22" i="34" l="1"/>
  <c r="H21" i="34"/>
  <c r="E32" i="34" l="1"/>
  <c r="G22" i="34"/>
  <c r="F32" i="34"/>
  <c r="G32" i="34" s="1"/>
  <c r="H22" i="34"/>
  <c r="H32" i="34" l="1"/>
  <c r="F21" i="33" l="1"/>
  <c r="E21" i="38" l="1"/>
  <c r="H21" i="33"/>
  <c r="F21" i="38"/>
  <c r="F21" i="40" s="1"/>
  <c r="F21" i="42" l="1"/>
  <c r="F21" i="45"/>
  <c r="E21" i="39"/>
  <c r="H21" i="38"/>
  <c r="F21" i="39"/>
  <c r="H21" i="39" l="1"/>
  <c r="E14" i="33" l="1"/>
  <c r="E12" i="38"/>
  <c r="E14" i="38" l="1"/>
  <c r="E19" i="38" l="1"/>
  <c r="H12" i="33" l="1"/>
  <c r="G12" i="33"/>
  <c r="F14" i="33"/>
  <c r="F12" i="38"/>
  <c r="G12" i="38" l="1"/>
  <c r="H12" i="38"/>
  <c r="F14" i="38"/>
  <c r="G14" i="33"/>
  <c r="H14" i="33"/>
  <c r="G14" i="38" l="1"/>
  <c r="H14" i="38"/>
  <c r="E8" i="33" l="1"/>
  <c r="P8" i="49" s="1"/>
  <c r="S8" i="49" s="1"/>
  <c r="E34" i="38" l="1"/>
  <c r="E34" i="40" s="1"/>
  <c r="E8" i="38"/>
  <c r="E8" i="40" s="1"/>
  <c r="E8" i="45" s="1"/>
  <c r="G8" i="33"/>
  <c r="F8" i="38"/>
  <c r="H8" i="33"/>
  <c r="E34" i="45" l="1"/>
  <c r="H34" i="40"/>
  <c r="E8" i="47"/>
  <c r="E8" i="46"/>
  <c r="E8" i="42"/>
  <c r="H19" i="33"/>
  <c r="F19" i="38"/>
  <c r="F19" i="40" s="1"/>
  <c r="F19" i="42" s="1"/>
  <c r="K19" i="42" s="1"/>
  <c r="H34" i="33"/>
  <c r="F34" i="38"/>
  <c r="G34" i="33"/>
  <c r="G8" i="38"/>
  <c r="H8" i="38"/>
  <c r="F8" i="39"/>
  <c r="E8" i="39"/>
  <c r="E34" i="39"/>
  <c r="E8" i="50" l="1"/>
  <c r="J8" i="24"/>
  <c r="H19" i="38"/>
  <c r="F10" i="33"/>
  <c r="F9" i="38"/>
  <c r="F9" i="40" s="1"/>
  <c r="H9" i="33"/>
  <c r="G9" i="33"/>
  <c r="E9" i="38"/>
  <c r="E9" i="40" s="1"/>
  <c r="E10" i="33"/>
  <c r="E35" i="38"/>
  <c r="E35" i="40" s="1"/>
  <c r="E36" i="33"/>
  <c r="G8" i="39"/>
  <c r="H8" i="39"/>
  <c r="F34" i="39"/>
  <c r="H34" i="39" s="1"/>
  <c r="H34" i="38"/>
  <c r="E9" i="45" l="1"/>
  <c r="E9" i="42"/>
  <c r="E10" i="42" s="1"/>
  <c r="E32" i="42" s="1"/>
  <c r="E10" i="40"/>
  <c r="E32" i="40" s="1"/>
  <c r="E35" i="45"/>
  <c r="E36" i="45" s="1"/>
  <c r="H35" i="40"/>
  <c r="E36" i="40"/>
  <c r="H36" i="40" s="1"/>
  <c r="E9" i="39"/>
  <c r="E10" i="38"/>
  <c r="G9" i="38"/>
  <c r="H9" i="38"/>
  <c r="F10" i="38"/>
  <c r="F36" i="33"/>
  <c r="G36" i="33" s="1"/>
  <c r="F35" i="38"/>
  <c r="G35" i="33"/>
  <c r="H35" i="33"/>
  <c r="E35" i="39"/>
  <c r="E36" i="38"/>
  <c r="E36" i="39" s="1"/>
  <c r="G10" i="33"/>
  <c r="H10" i="33"/>
  <c r="E9" i="47" l="1"/>
  <c r="J9" i="24" s="1"/>
  <c r="E9" i="46"/>
  <c r="E10" i="46" s="1"/>
  <c r="E10" i="45"/>
  <c r="H35" i="38"/>
  <c r="F36" i="38"/>
  <c r="H10" i="38"/>
  <c r="G10" i="38"/>
  <c r="E10" i="39"/>
  <c r="H36" i="33"/>
  <c r="E9" i="50" l="1"/>
  <c r="E10" i="50" s="1"/>
  <c r="E10" i="47"/>
  <c r="J10" i="24" s="1"/>
  <c r="H36" i="38"/>
  <c r="E32" i="47" l="1"/>
  <c r="L5" i="44"/>
  <c r="F18" i="33"/>
  <c r="L8" i="44" l="1"/>
  <c r="G18" i="33"/>
  <c r="F18" i="15"/>
  <c r="G29" i="49" s="1"/>
  <c r="E18" i="38"/>
  <c r="E18" i="40" s="1"/>
  <c r="H18" i="33"/>
  <c r="F18" i="38"/>
  <c r="F18" i="40" s="1"/>
  <c r="I29" i="49" l="1"/>
  <c r="H29" i="49"/>
  <c r="M28" i="49"/>
  <c r="N28" i="49" s="1"/>
  <c r="E18" i="45"/>
  <c r="E18" i="42"/>
  <c r="F18" i="42"/>
  <c r="J18" i="42" s="1"/>
  <c r="F18" i="45"/>
  <c r="G18" i="40"/>
  <c r="E32" i="33"/>
  <c r="E17" i="38"/>
  <c r="E17" i="40" s="1"/>
  <c r="E17" i="45" s="1"/>
  <c r="H18" i="38"/>
  <c r="E18" i="47" l="1"/>
  <c r="E18" i="46"/>
  <c r="H17" i="45"/>
  <c r="E17" i="47"/>
  <c r="J17" i="24" s="1"/>
  <c r="E17" i="46"/>
  <c r="H17" i="46" s="1"/>
  <c r="F18" i="47"/>
  <c r="F18" i="46"/>
  <c r="G18" i="42"/>
  <c r="H18" i="42"/>
  <c r="G18" i="45"/>
  <c r="H18" i="45"/>
  <c r="E22" i="38"/>
  <c r="E32" i="38" s="1"/>
  <c r="E18" i="50" l="1"/>
  <c r="J18" i="24"/>
  <c r="F18" i="50"/>
  <c r="G18" i="50" s="1"/>
  <c r="K18" i="24"/>
  <c r="E17" i="50"/>
  <c r="J17" i="50" s="1"/>
  <c r="H17" i="47"/>
  <c r="H18" i="46"/>
  <c r="G18" i="46"/>
  <c r="G18" i="47"/>
  <c r="H18" i="47"/>
  <c r="F17" i="38"/>
  <c r="F17" i="40" s="1"/>
  <c r="H17" i="33"/>
  <c r="F22" i="33"/>
  <c r="K17" i="50" l="1"/>
  <c r="L17" i="50" s="1"/>
  <c r="H18" i="50"/>
  <c r="H17" i="50"/>
  <c r="G17" i="40"/>
  <c r="F22" i="40"/>
  <c r="F22" i="42" s="1"/>
  <c r="H22" i="33"/>
  <c r="G22" i="33"/>
  <c r="F32" i="33"/>
  <c r="H17" i="38"/>
  <c r="F22" i="38"/>
  <c r="H22" i="42" l="1"/>
  <c r="G22" i="42"/>
  <c r="H32" i="33"/>
  <c r="G32" i="33"/>
  <c r="H22" i="38"/>
  <c r="G22" i="38"/>
  <c r="F32" i="38"/>
  <c r="H32" i="38" l="1"/>
  <c r="G32" i="38"/>
  <c r="E14" i="32" l="1"/>
  <c r="E12" i="39"/>
  <c r="E14" i="39" s="1"/>
  <c r="E18" i="39"/>
  <c r="E19" i="32" l="1"/>
  <c r="E19" i="40" l="1"/>
  <c r="E19" i="42" s="1"/>
  <c r="G12" i="32"/>
  <c r="F14" i="32"/>
  <c r="H14" i="32" s="1"/>
  <c r="G14" i="32" s="1"/>
  <c r="H12" i="32"/>
  <c r="F12" i="39"/>
  <c r="G12" i="39" s="1"/>
  <c r="H17" i="32"/>
  <c r="F17" i="39"/>
  <c r="E17" i="39"/>
  <c r="H18" i="32"/>
  <c r="H18" i="40"/>
  <c r="F18" i="39"/>
  <c r="H18" i="39" s="1"/>
  <c r="H19" i="32"/>
  <c r="F19" i="39"/>
  <c r="E19" i="39"/>
  <c r="E32" i="39" s="1"/>
  <c r="H19" i="42" l="1"/>
  <c r="E32" i="32"/>
  <c r="F14" i="39"/>
  <c r="H12" i="39"/>
  <c r="G12" i="40"/>
  <c r="H12" i="40"/>
  <c r="H17" i="40"/>
  <c r="H17" i="39"/>
  <c r="H19" i="40"/>
  <c r="H22" i="32"/>
  <c r="G22" i="32"/>
  <c r="H19" i="39"/>
  <c r="H14" i="39" l="1"/>
  <c r="G14" i="39"/>
  <c r="H22" i="39"/>
  <c r="G22" i="39"/>
  <c r="G22" i="40"/>
  <c r="H9" i="32" l="1"/>
  <c r="F10" i="32"/>
  <c r="G9" i="32"/>
  <c r="F9" i="39"/>
  <c r="H9" i="39" l="1"/>
  <c r="G9" i="39"/>
  <c r="H9" i="40"/>
  <c r="G9" i="40"/>
  <c r="H10" i="32"/>
  <c r="G10" i="32" s="1"/>
  <c r="F10" i="39"/>
  <c r="F32" i="32"/>
  <c r="H32" i="32" s="1"/>
  <c r="G32" i="32" s="1"/>
  <c r="F36" i="32"/>
  <c r="H35" i="32"/>
  <c r="G35" i="32"/>
  <c r="F35" i="39"/>
  <c r="H35" i="39" s="1"/>
  <c r="H10" i="39" l="1"/>
  <c r="G10" i="39"/>
  <c r="F32" i="39"/>
  <c r="H32" i="39" s="1"/>
  <c r="G36" i="32"/>
  <c r="H36" i="32"/>
  <c r="F36" i="39"/>
  <c r="H36" i="39" s="1"/>
  <c r="F8" i="40" l="1"/>
  <c r="F10" i="40" l="1"/>
  <c r="F32" i="40" s="1"/>
  <c r="G32" i="40" s="1"/>
  <c r="H8" i="40"/>
  <c r="G8" i="40"/>
  <c r="F10" i="31"/>
  <c r="H8" i="31"/>
  <c r="G8" i="31"/>
  <c r="I10" i="40" l="1"/>
  <c r="H10" i="40"/>
  <c r="G10" i="40"/>
  <c r="G10" i="31"/>
  <c r="H10" i="31"/>
  <c r="H17" i="31" l="1"/>
  <c r="G22" i="31" l="1"/>
  <c r="F14" i="31" l="1"/>
  <c r="F32" i="31" s="1"/>
  <c r="H12" i="31"/>
  <c r="G12" i="31"/>
  <c r="H14" i="40" l="1"/>
  <c r="G14" i="40"/>
  <c r="G14" i="31"/>
  <c r="H14" i="31"/>
  <c r="G32" i="31" l="1"/>
  <c r="E21" i="31" l="1"/>
  <c r="E21" i="40" l="1"/>
  <c r="H21" i="31"/>
  <c r="E21" i="42" l="1"/>
  <c r="H21" i="42" s="1"/>
  <c r="E21" i="45"/>
  <c r="H21" i="40"/>
  <c r="H32" i="40"/>
  <c r="H22" i="40"/>
  <c r="E32" i="31"/>
  <c r="H32" i="31" s="1"/>
  <c r="H22" i="31"/>
  <c r="H21" i="45" l="1"/>
  <c r="J19" i="42"/>
  <c r="G34" i="31" l="1"/>
  <c r="H34" i="31"/>
  <c r="G35" i="31" l="1"/>
  <c r="H35" i="31"/>
  <c r="F36" i="31"/>
  <c r="G36" i="31" l="1"/>
  <c r="H36" i="31"/>
  <c r="E34" i="42" l="1"/>
  <c r="F9" i="42" l="1"/>
  <c r="H9" i="42" l="1"/>
  <c r="G9" i="42"/>
  <c r="H9" i="30"/>
  <c r="G9" i="30"/>
  <c r="F8" i="42" l="1"/>
  <c r="G8" i="42" s="1"/>
  <c r="E35" i="42"/>
  <c r="E36" i="42" s="1"/>
  <c r="H8" i="30"/>
  <c r="F10" i="30"/>
  <c r="E36" i="30"/>
  <c r="G8" i="30"/>
  <c r="F10" i="42" l="1"/>
  <c r="F32" i="42" s="1"/>
  <c r="H8" i="42"/>
  <c r="G10" i="30"/>
  <c r="H10" i="30"/>
  <c r="F32" i="30"/>
  <c r="G10" i="42" l="1"/>
  <c r="H10" i="42"/>
  <c r="H32" i="42"/>
  <c r="G32" i="42"/>
  <c r="G32" i="30"/>
  <c r="H32" i="30"/>
  <c r="F35" i="42" l="1"/>
  <c r="F34" i="42" l="1"/>
  <c r="F36" i="42" s="1"/>
  <c r="F36" i="30"/>
  <c r="H35" i="42"/>
  <c r="G35" i="42"/>
  <c r="G34" i="30"/>
  <c r="H34" i="30"/>
  <c r="H35" i="30"/>
  <c r="G35" i="30"/>
  <c r="H34" i="42" l="1"/>
  <c r="G34" i="42"/>
  <c r="G36" i="42"/>
  <c r="H36" i="42"/>
  <c r="G36" i="30"/>
  <c r="H36" i="30"/>
  <c r="E10" i="29" l="1"/>
  <c r="H17" i="29" l="1"/>
  <c r="E36" i="29" l="1"/>
  <c r="F8" i="45" l="1"/>
  <c r="F8" i="47" s="1"/>
  <c r="K8" i="24" s="1"/>
  <c r="G8" i="29"/>
  <c r="H8" i="29"/>
  <c r="F8" i="50" l="1"/>
  <c r="G8" i="47"/>
  <c r="H8" i="47"/>
  <c r="G8" i="45"/>
  <c r="H8" i="45"/>
  <c r="H8" i="50" l="1"/>
  <c r="G8" i="50"/>
  <c r="E19" i="29"/>
  <c r="H18" i="29"/>
  <c r="E19" i="45" l="1"/>
  <c r="J19" i="29"/>
  <c r="F19" i="29"/>
  <c r="I30" i="49" s="1"/>
  <c r="E14" i="29"/>
  <c r="E32" i="29" s="1"/>
  <c r="F14" i="29"/>
  <c r="H12" i="29"/>
  <c r="G12" i="29"/>
  <c r="E19" i="46" l="1"/>
  <c r="E19" i="47"/>
  <c r="E22" i="45"/>
  <c r="E32" i="45" s="1"/>
  <c r="J19" i="45"/>
  <c r="F19" i="45"/>
  <c r="F19" i="47" s="1"/>
  <c r="F34" i="45"/>
  <c r="K19" i="29"/>
  <c r="H19" i="29"/>
  <c r="H34" i="29"/>
  <c r="G34" i="29"/>
  <c r="G14" i="29"/>
  <c r="H14" i="29"/>
  <c r="E19" i="50" l="1"/>
  <c r="J19" i="24"/>
  <c r="F19" i="50"/>
  <c r="K19" i="24"/>
  <c r="H19" i="47"/>
  <c r="H19" i="45"/>
  <c r="F19" i="46"/>
  <c r="H19" i="46" s="1"/>
  <c r="K19" i="45"/>
  <c r="F35" i="45"/>
  <c r="H35" i="45" s="1"/>
  <c r="F22" i="45"/>
  <c r="H22" i="45" s="1"/>
  <c r="G34" i="45"/>
  <c r="H34" i="45"/>
  <c r="F9" i="45"/>
  <c r="F9" i="47" s="1"/>
  <c r="K9" i="24" s="1"/>
  <c r="F36" i="29"/>
  <c r="G36" i="29" s="1"/>
  <c r="G22" i="29"/>
  <c r="H22" i="29"/>
  <c r="H9" i="29"/>
  <c r="G9" i="29"/>
  <c r="F10" i="29"/>
  <c r="F32" i="29" s="1"/>
  <c r="G35" i="29"/>
  <c r="H35" i="29"/>
  <c r="H19" i="50" l="1"/>
  <c r="S16" i="50"/>
  <c r="F9" i="50"/>
  <c r="G9" i="47"/>
  <c r="H9" i="47"/>
  <c r="F10" i="47"/>
  <c r="K10" i="24" s="1"/>
  <c r="F36" i="45"/>
  <c r="H36" i="45" s="1"/>
  <c r="G35" i="45"/>
  <c r="G22" i="45"/>
  <c r="H36" i="29"/>
  <c r="G9" i="45"/>
  <c r="H9" i="45"/>
  <c r="F10" i="45"/>
  <c r="G10" i="29"/>
  <c r="H10" i="29"/>
  <c r="M5" i="44" l="1"/>
  <c r="N5" i="44" s="1"/>
  <c r="G10" i="47"/>
  <c r="F32" i="47"/>
  <c r="K32" i="24" s="1"/>
  <c r="H10" i="47"/>
  <c r="H9" i="50"/>
  <c r="G9" i="50"/>
  <c r="F10" i="50"/>
  <c r="G36" i="45"/>
  <c r="H10" i="45"/>
  <c r="F32" i="45"/>
  <c r="G10" i="45"/>
  <c r="H32" i="29"/>
  <c r="G32" i="29"/>
  <c r="H10" i="50" l="1"/>
  <c r="G10" i="50"/>
  <c r="M8" i="44"/>
  <c r="N8" i="44" s="1"/>
  <c r="G32" i="47"/>
  <c r="H32" i="47"/>
  <c r="G32" i="45"/>
  <c r="H32" i="45"/>
  <c r="E14" i="28" l="1"/>
  <c r="G12" i="28"/>
  <c r="H12" i="28"/>
  <c r="F14" i="28"/>
  <c r="F14" i="15" l="1"/>
  <c r="G7" i="49" s="1"/>
  <c r="H7" i="49" s="1"/>
  <c r="G12" i="15"/>
  <c r="H14" i="28"/>
  <c r="G14" i="28"/>
  <c r="G14" i="15" l="1"/>
  <c r="E10" i="28" l="1"/>
  <c r="E36" i="28"/>
  <c r="F8" i="46" l="1"/>
  <c r="E21" i="28"/>
  <c r="H8" i="46" l="1"/>
  <c r="G8" i="46"/>
  <c r="E22" i="28"/>
  <c r="E22" i="15" s="1"/>
  <c r="E21" i="46"/>
  <c r="G34" i="28"/>
  <c r="H34" i="28"/>
  <c r="G8" i="28"/>
  <c r="H8" i="28"/>
  <c r="F21" i="28"/>
  <c r="E22" i="46" l="1"/>
  <c r="E32" i="46" s="1"/>
  <c r="F22" i="28"/>
  <c r="F22" i="15" s="1"/>
  <c r="F21" i="46"/>
  <c r="H21" i="46" s="1"/>
  <c r="H18" i="28"/>
  <c r="G18" i="28"/>
  <c r="H19" i="28"/>
  <c r="H21" i="28"/>
  <c r="G17" i="28"/>
  <c r="H17" i="28"/>
  <c r="E32" i="28"/>
  <c r="F9" i="46"/>
  <c r="G8" i="49" l="1"/>
  <c r="F22" i="46"/>
  <c r="G22" i="46" s="1"/>
  <c r="H9" i="46"/>
  <c r="G9" i="46"/>
  <c r="F10" i="46"/>
  <c r="H22" i="28"/>
  <c r="G22" i="28"/>
  <c r="G17" i="15"/>
  <c r="G18" i="15"/>
  <c r="H9" i="28"/>
  <c r="G9" i="28"/>
  <c r="F10" i="28"/>
  <c r="H8" i="49" l="1"/>
  <c r="I8" i="49"/>
  <c r="H22" i="46"/>
  <c r="G10" i="46"/>
  <c r="F32" i="46"/>
  <c r="H10" i="46"/>
  <c r="G35" i="28"/>
  <c r="H35" i="28"/>
  <c r="F36" i="28"/>
  <c r="F32" i="28"/>
  <c r="G10" i="28"/>
  <c r="H10" i="28"/>
  <c r="G32" i="46" l="1"/>
  <c r="H32" i="46"/>
  <c r="G36" i="28"/>
  <c r="H36" i="28"/>
  <c r="G32" i="28"/>
  <c r="H32" i="28"/>
  <c r="F21" i="27" l="1"/>
  <c r="G32" i="49" s="1"/>
  <c r="F21" i="47" l="1"/>
  <c r="E21" i="27"/>
  <c r="F21" i="50" l="1"/>
  <c r="F22" i="50" s="1"/>
  <c r="F32" i="50" s="1"/>
  <c r="K21" i="24"/>
  <c r="F32" i="49"/>
  <c r="I32" i="49" s="1"/>
  <c r="E21" i="15"/>
  <c r="E21" i="47"/>
  <c r="J21" i="24" s="1"/>
  <c r="H21" i="27"/>
  <c r="H17" i="27"/>
  <c r="G22" i="50" l="1"/>
  <c r="H21" i="47"/>
  <c r="E21" i="50"/>
  <c r="G32" i="50"/>
  <c r="G22" i="27"/>
  <c r="H21" i="50" l="1"/>
  <c r="E22" i="50"/>
  <c r="H18" i="27"/>
  <c r="E32" i="50" l="1"/>
  <c r="H32" i="50" s="1"/>
  <c r="H22" i="50"/>
  <c r="H18" i="15"/>
  <c r="E14" i="27"/>
  <c r="H12" i="27"/>
  <c r="E14" i="15" l="1"/>
  <c r="F7" i="49" s="1"/>
  <c r="I7" i="49" s="1"/>
  <c r="H12" i="15"/>
  <c r="H14" i="27"/>
  <c r="H14" i="15" l="1"/>
  <c r="H19" i="27" l="1"/>
  <c r="H22" i="27" l="1"/>
  <c r="G9" i="27" l="1"/>
  <c r="E36" i="27"/>
  <c r="H8" i="27"/>
  <c r="G8" i="27"/>
  <c r="F10" i="27"/>
  <c r="G34" i="27"/>
  <c r="H34" i="27"/>
  <c r="F36" i="27" l="1"/>
  <c r="H36" i="27" s="1"/>
  <c r="G35" i="27"/>
  <c r="H35" i="27"/>
  <c r="G10" i="27"/>
  <c r="F32" i="27"/>
  <c r="G36" i="27" l="1"/>
  <c r="G32" i="27"/>
  <c r="H9" i="27" l="1"/>
  <c r="E10" i="27"/>
  <c r="E32" i="27" l="1"/>
  <c r="H32" i="27" s="1"/>
  <c r="H10" i="27"/>
  <c r="H34" i="26" l="1"/>
  <c r="G34" i="26"/>
  <c r="H8" i="26"/>
  <c r="G8" i="26"/>
  <c r="G22" i="26" l="1"/>
  <c r="H19" i="26"/>
  <c r="E36" i="26"/>
  <c r="E10" i="26"/>
  <c r="E32" i="26" l="1"/>
  <c r="H22" i="26"/>
  <c r="H9" i="26"/>
  <c r="G9" i="26"/>
  <c r="F10" i="26"/>
  <c r="F32" i="26" l="1"/>
  <c r="H32" i="26" s="1"/>
  <c r="G32" i="26" s="1"/>
  <c r="G10" i="26"/>
  <c r="H10" i="26"/>
  <c r="H35" i="26"/>
  <c r="G35" i="26"/>
  <c r="G36" i="26" l="1"/>
  <c r="H36" i="26"/>
  <c r="E36" i="24" l="1"/>
  <c r="H34" i="24"/>
  <c r="G34" i="24"/>
  <c r="H21" i="24"/>
  <c r="F20" i="15" l="1"/>
  <c r="H20" i="15" s="1"/>
  <c r="H20" i="24"/>
  <c r="H19" i="24"/>
  <c r="H8" i="24"/>
  <c r="G8" i="24"/>
  <c r="F36" i="24"/>
  <c r="G35" i="24"/>
  <c r="H35" i="24"/>
  <c r="H19" i="15" l="1"/>
  <c r="G22" i="24"/>
  <c r="H22" i="24"/>
  <c r="H9" i="24"/>
  <c r="G36" i="24"/>
  <c r="H36" i="24"/>
  <c r="E32" i="24" l="1"/>
  <c r="J32" i="24" s="1"/>
  <c r="G10" i="24"/>
  <c r="H10" i="24"/>
  <c r="H32" i="24" l="1"/>
  <c r="G32" i="24"/>
  <c r="E34" i="15" l="1"/>
  <c r="L34" i="15" s="1"/>
  <c r="E8" i="15"/>
  <c r="F64" i="49" s="1"/>
  <c r="E36" i="23"/>
  <c r="E35" i="15"/>
  <c r="L35" i="15" s="1"/>
  <c r="G8" i="23"/>
  <c r="F8" i="15"/>
  <c r="G64" i="49" s="1"/>
  <c r="H21" i="23"/>
  <c r="F21" i="15"/>
  <c r="H21" i="15" s="1"/>
  <c r="L8" i="15" l="1"/>
  <c r="M8" i="15"/>
  <c r="E36" i="15"/>
  <c r="L36" i="15" s="1"/>
  <c r="F12" i="49" s="1"/>
  <c r="E10" i="23"/>
  <c r="E32" i="23" s="1"/>
  <c r="E9" i="15"/>
  <c r="L9" i="15" s="1"/>
  <c r="G8" i="15"/>
  <c r="H8" i="15"/>
  <c r="H34" i="23"/>
  <c r="G34" i="23"/>
  <c r="G22" i="23"/>
  <c r="H22" i="23"/>
  <c r="L10" i="15" l="1"/>
  <c r="H15" i="49"/>
  <c r="I15" i="49"/>
  <c r="E10" i="15"/>
  <c r="L17" i="15" s="1"/>
  <c r="G22" i="15"/>
  <c r="H22" i="15"/>
  <c r="F10" i="23"/>
  <c r="F32" i="23" s="1"/>
  <c r="H9" i="23"/>
  <c r="G9" i="23"/>
  <c r="F9" i="15"/>
  <c r="F10" i="15" l="1"/>
  <c r="G6" i="49" s="1"/>
  <c r="M9" i="15"/>
  <c r="M10" i="15" s="1"/>
  <c r="E32" i="15"/>
  <c r="F6" i="49"/>
  <c r="F10" i="49" s="1"/>
  <c r="J9" i="49" s="1"/>
  <c r="G9" i="15"/>
  <c r="H16" i="49" s="1"/>
  <c r="H9" i="15"/>
  <c r="H10" i="23"/>
  <c r="G10" i="23"/>
  <c r="H35" i="23"/>
  <c r="G35" i="23"/>
  <c r="F36" i="23"/>
  <c r="F35" i="15"/>
  <c r="M35" i="15" s="1"/>
  <c r="K10" i="49" l="1"/>
  <c r="G10" i="49"/>
  <c r="H6" i="49"/>
  <c r="N13" i="49"/>
  <c r="G10" i="15"/>
  <c r="I6" i="49"/>
  <c r="G32" i="23"/>
  <c r="H32" i="23"/>
  <c r="F32" i="15"/>
  <c r="H10" i="15"/>
  <c r="G35" i="15"/>
  <c r="H43" i="49" s="1"/>
  <c r="H35" i="15"/>
  <c r="G36" i="23"/>
  <c r="H36" i="23"/>
  <c r="H10" i="49" l="1"/>
  <c r="K9" i="49"/>
  <c r="I10" i="49"/>
  <c r="H32" i="15"/>
  <c r="G32" i="15"/>
  <c r="G34" i="22" l="1"/>
  <c r="H34" i="22"/>
  <c r="F36" i="22"/>
  <c r="F34" i="15"/>
  <c r="M34" i="15" l="1"/>
  <c r="H34" i="15"/>
  <c r="G34" i="15"/>
  <c r="F36" i="15"/>
  <c r="H36" i="22"/>
  <c r="G36" i="22"/>
  <c r="M36" i="15" l="1"/>
  <c r="G12" i="49" s="1"/>
  <c r="G36" i="15"/>
  <c r="H36" i="15"/>
  <c r="I42" i="49"/>
  <c r="I12" i="49" l="1"/>
  <c r="H12" i="49"/>
  <c r="H10" i="119"/>
  <c r="H6" i="119"/>
  <c r="F62" i="130"/>
  <c r="S17" i="130" l="1"/>
  <c r="L16" i="130"/>
  <c r="H16" i="130" s="1"/>
  <c r="G6" i="130"/>
  <c r="AS6" i="153" l="1"/>
  <c r="AQ10" i="153"/>
  <c r="AR6" i="153"/>
  <c r="H6" i="130"/>
  <c r="K6" i="140"/>
  <c r="G10" i="130"/>
  <c r="H10" i="130" s="1"/>
  <c r="I6" i="130"/>
  <c r="Z15" i="130"/>
  <c r="AA15" i="130" s="1"/>
  <c r="W16" i="130"/>
  <c r="X16" i="130" s="1"/>
  <c r="T16" i="130" s="1"/>
  <c r="U17" i="130"/>
  <c r="S6" i="130"/>
  <c r="AR10" i="153" l="1"/>
  <c r="AS10" i="153"/>
  <c r="I10" i="130"/>
  <c r="T6" i="130"/>
  <c r="W6" i="130"/>
  <c r="V6" i="130"/>
  <c r="U6" i="130"/>
  <c r="S10" i="130"/>
  <c r="T10" i="130" l="1"/>
  <c r="Z10" i="130"/>
  <c r="U10" i="130"/>
  <c r="I15" i="132"/>
  <c r="I14" i="132"/>
  <c r="J14" i="132"/>
  <c r="K14" i="132" s="1"/>
  <c r="AE18" i="97"/>
  <c r="AN18" i="97" s="1"/>
  <c r="I40" i="148"/>
  <c r="I85" i="148" s="1"/>
  <c r="E15" i="132"/>
  <c r="E17" i="132" s="1"/>
  <c r="I16" i="132" l="1"/>
  <c r="K17" i="132" s="1"/>
  <c r="I17" i="132"/>
  <c r="E16" i="132"/>
  <c r="AG18" i="97"/>
  <c r="AP18" i="97" s="1"/>
  <c r="J15" i="132"/>
  <c r="K15" i="132" l="1"/>
  <c r="J17" i="132"/>
</calcChain>
</file>

<file path=xl/sharedStrings.xml><?xml version="1.0" encoding="utf-8"?>
<sst xmlns="http://schemas.openxmlformats.org/spreadsheetml/2006/main" count="18473" uniqueCount="1091">
  <si>
    <t>Total</t>
  </si>
  <si>
    <t>Luggage</t>
  </si>
  <si>
    <t>Ticket Checking</t>
  </si>
  <si>
    <t>Catering</t>
  </si>
  <si>
    <t>Pay &amp; Use</t>
  </si>
  <si>
    <t>CENTRAL RAILWAY PUNE DIVISION</t>
  </si>
  <si>
    <t>SR.No</t>
  </si>
  <si>
    <t>Description</t>
  </si>
  <si>
    <t>Target</t>
  </si>
  <si>
    <t>Yearly</t>
  </si>
  <si>
    <t>Achieved</t>
  </si>
  <si>
    <t>%Variartion</t>
  </si>
  <si>
    <t>Over Target</t>
  </si>
  <si>
    <t>Over L/Year</t>
  </si>
  <si>
    <t>Passenger Earning</t>
  </si>
  <si>
    <t>Non-Suburban</t>
  </si>
  <si>
    <t>Suburban</t>
  </si>
  <si>
    <t>Total Passenger Earning</t>
  </si>
  <si>
    <t>Goods(Freight) Earning</t>
  </si>
  <si>
    <t>General Goods</t>
  </si>
  <si>
    <t>Container</t>
  </si>
  <si>
    <t>Total Goods Earning</t>
  </si>
  <si>
    <t>Other Coaching Earning</t>
  </si>
  <si>
    <t>Parcel</t>
  </si>
  <si>
    <t>Platform Ticket</t>
  </si>
  <si>
    <t>Stn Misc Erng(Spl trains &amp;etc)</t>
  </si>
  <si>
    <t>Originating PRS Pass Canc Chgs</t>
  </si>
  <si>
    <t>Commercial Publicity</t>
  </si>
  <si>
    <t>Pay &amp; Park</t>
  </si>
  <si>
    <t>STD/ISD/PCO</t>
  </si>
  <si>
    <t>Book Stall</t>
  </si>
  <si>
    <t>Station Sundries</t>
  </si>
  <si>
    <t>Total Sundry Earning</t>
  </si>
  <si>
    <t>Grand Total Earning</t>
  </si>
  <si>
    <t>Total Passengers</t>
  </si>
  <si>
    <t>Total Earning</t>
  </si>
  <si>
    <t>Goods</t>
  </si>
  <si>
    <t>Coaching</t>
  </si>
  <si>
    <t>Total Outstanding</t>
  </si>
  <si>
    <t>Complaints</t>
  </si>
  <si>
    <t>Suggestions</t>
  </si>
  <si>
    <t>No.of Cases(Actual)</t>
  </si>
  <si>
    <t>Sundry Earning</t>
  </si>
  <si>
    <t>No.of Passengers                                                                                                                       Figs.in lakhs</t>
  </si>
  <si>
    <t>Aug</t>
  </si>
  <si>
    <t>Ticket Checking Performance                                                                                                     Fig.in Nos.</t>
  </si>
  <si>
    <t>ATVM/COTVM Earning                                                                                                            Fig.in lakhs</t>
  </si>
  <si>
    <t>Public Grievances                                                                                                                           Fig.in Nos.</t>
  </si>
  <si>
    <t>Station Outstanding                                                             (Fig.in lakhs)                 (For the month of July)</t>
  </si>
  <si>
    <t xml:space="preserve"> MAY</t>
  </si>
  <si>
    <t xml:space="preserve"> JUNE</t>
  </si>
  <si>
    <t>JULY</t>
  </si>
  <si>
    <t>OCT</t>
  </si>
  <si>
    <t>NOV</t>
  </si>
  <si>
    <t>DEC</t>
  </si>
  <si>
    <t>JAN</t>
  </si>
  <si>
    <t>FEB</t>
  </si>
  <si>
    <t>MAR</t>
  </si>
  <si>
    <t>Total Other Coaching Earning</t>
  </si>
  <si>
    <t>Station Outstanding                                                             (Fig.in lakhs)                 (For the month of August)</t>
  </si>
  <si>
    <t>Station Outstanding                                                             (Fig.in lakhs)                 (For the month of Nov)</t>
  </si>
  <si>
    <t>Station Outstanding                                                             (Fig.in lakhs)                 (For the month of DEC)</t>
  </si>
  <si>
    <t>2017-18</t>
  </si>
  <si>
    <t>TOTAL</t>
  </si>
  <si>
    <t>Book Stall/Curio/Milk Boot</t>
  </si>
  <si>
    <t>EARNINGS OF PUNE DIVISION FOR  UPTO 31st MAR 2018 (fig.in Cr)</t>
  </si>
  <si>
    <t>2018-19</t>
  </si>
  <si>
    <t>Station Outstanding                                                             (Fig.in lakhs)              (For the month of march)</t>
  </si>
  <si>
    <t>Catering/Multipurpose stall</t>
  </si>
  <si>
    <t>EARNINGS OF PUNE DIVISION FOR  THE MONTH OF AUGUST 2018  (fig.in Cr)</t>
  </si>
  <si>
    <t>Month</t>
  </si>
  <si>
    <t>Goods Earning</t>
  </si>
  <si>
    <t>HEADS</t>
  </si>
  <si>
    <t xml:space="preserve"> % VAR</t>
  </si>
  <si>
    <t xml:space="preserve">Ticket Checking </t>
  </si>
  <si>
    <t>CASES
 (Without ticket &amp; irregular Journey)</t>
  </si>
  <si>
    <t>EARNINGS OF PUNE DIVISION OF FEBUARY 2019  (fig.in Cr)</t>
  </si>
  <si>
    <t>2019-20</t>
  </si>
  <si>
    <t>EARNINGS OF PUNE DIVISION FOR  THE MONTH OF APRIL 2019 (fig.in Cr)</t>
  </si>
  <si>
    <t>In crores</t>
  </si>
  <si>
    <t>Passenger Earning Target for F.Y 2019-20</t>
  </si>
  <si>
    <t>Other Coaching-Target</t>
  </si>
  <si>
    <t>Goods-Target</t>
  </si>
  <si>
    <t>TARGET</t>
  </si>
  <si>
    <t>Parcel  Earning Target for F.Y 2019-20</t>
  </si>
  <si>
    <t>Sub</t>
  </si>
  <si>
    <t>Cumm.</t>
  </si>
  <si>
    <t>Non-Sub.</t>
  </si>
  <si>
    <t>In Crores.</t>
  </si>
  <si>
    <t>WT.TONN</t>
  </si>
  <si>
    <t>CUMM</t>
  </si>
  <si>
    <t>1+3</t>
  </si>
  <si>
    <t>2+4</t>
  </si>
  <si>
    <t>April</t>
  </si>
  <si>
    <t>SUB</t>
  </si>
  <si>
    <t>May</t>
  </si>
  <si>
    <t>June</t>
  </si>
  <si>
    <t>NON SUB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</si>
  <si>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</si>
  <si>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</si>
  <si>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</si>
  <si>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</si>
  <si>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</si>
  <si>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</si>
  <si>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</si>
  <si>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</si>
  <si>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</si>
  <si>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18-19</t>
  </si>
  <si>
    <t>In lakhs</t>
  </si>
  <si>
    <t>Number of Passengers Target for F.Y 2019-20</t>
  </si>
  <si>
    <t>Ticket-Checking -Target</t>
  </si>
  <si>
    <t>In thousands</t>
  </si>
  <si>
    <t>IN LAKHS</t>
  </si>
  <si>
    <t>Ticketless Travel</t>
  </si>
  <si>
    <t>Irregular Travel</t>
  </si>
  <si>
    <t>AMT</t>
  </si>
  <si>
    <t>cumm</t>
  </si>
  <si>
    <t>UP TO MAY</t>
  </si>
  <si>
    <t>EARNINGS OF PUNE DIVISION UPTO  THE MONTH OF MAY 2019 (fig.in Cr)</t>
  </si>
  <si>
    <t>CP  Earning Target for F.Y 2019-20</t>
  </si>
  <si>
    <t>PARKING  Earning Target for F.Y 2019-20</t>
  </si>
  <si>
    <t>EARNINGS OF PUNE DIVISION UP TO  MONTH OF JUNE 2019 (fig.in Cr)</t>
  </si>
  <si>
    <t>UP TO JUNE</t>
  </si>
  <si>
    <t>FTR</t>
  </si>
  <si>
    <t>PARCEL</t>
  </si>
  <si>
    <t>LUGG</t>
  </si>
  <si>
    <t>19-20</t>
  </si>
  <si>
    <t>MONTH</t>
  </si>
  <si>
    <t>PASSENGER ACTUAL -2017-18 (FIG IN LAKHS)</t>
  </si>
  <si>
    <t>EARNINGS ACTUAL -2017-18 (FIG IN Cr)</t>
  </si>
  <si>
    <t xml:space="preserve">NON-SUB </t>
  </si>
  <si>
    <t>APRIL</t>
  </si>
  <si>
    <t>MAY</t>
  </si>
  <si>
    <t>JUNE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</si>
  <si>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</si>
  <si>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</si>
  <si>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</si>
  <si>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</si>
  <si>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</si>
  <si>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</si>
  <si>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</si>
  <si>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</si>
  <si>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PASSENGER ACTUAL -2018-19 (FIG IN LAKHS)</t>
  </si>
  <si>
    <t>EARNINGS ACTUAL -2018-19 (FIG IN Cr)</t>
  </si>
  <si>
    <t>SR.</t>
  </si>
  <si>
    <t>catg</t>
  </si>
  <si>
    <t>EARNINGS OF PUNE DIVISION FOR  UPTO THE MONTH OF JUNE 2019  (fig.in Cr)</t>
  </si>
  <si>
    <t>Station Outstanding                                                             (Fig.in lakhs)          For the month of April)</t>
  </si>
  <si>
    <t>EARNINGS OF PUNE DIVISION FOR  MAY 2019 (fig.in Cr)</t>
  </si>
  <si>
    <t>PASSENGER ACTUAL -2019-20 (FIG IN LAKHS)</t>
  </si>
  <si>
    <t>EARNINGS ACTUAL -2019-20 (FIG IN Cr)</t>
  </si>
  <si>
    <t>LUGG  Earning Target for F.Y 2019-20</t>
  </si>
  <si>
    <t>sub</t>
  </si>
  <si>
    <t>uts</t>
  </si>
  <si>
    <t>non</t>
  </si>
  <si>
    <t>prs</t>
  </si>
  <si>
    <t>pass</t>
  </si>
  <si>
    <t>ear</t>
  </si>
  <si>
    <t>EARNINGS OF PUNE DIVISION FOR  UPTO THE MONTH OF JULY 2019  (fig.in Cr)</t>
  </si>
  <si>
    <t>EARNINGS OF PUNE DIVISION UP TO  MONTH OF JULY 2019 (fig.in Cr)</t>
  </si>
  <si>
    <t>ATVM</t>
  </si>
  <si>
    <t>MB</t>
  </si>
  <si>
    <t>M/AVG</t>
  </si>
  <si>
    <t>TKT</t>
  </si>
  <si>
    <t>PASS</t>
  </si>
  <si>
    <t>EAR</t>
  </si>
  <si>
    <t>UTS</t>
  </si>
  <si>
    <t>PUNE DIVISION - PLATFORM EARNINGS</t>
  </si>
  <si>
    <t>D/AVG</t>
  </si>
  <si>
    <t>EARNINGS OF PUNE DIVISION FOR  SEPTEMBER  2019  (fig.in Cr)</t>
  </si>
  <si>
    <t>1st to 9th SEPT</t>
  </si>
  <si>
    <t>catering  Earning Target for F.Y 2019-20</t>
  </si>
  <si>
    <t>EARNINGS OF PUNE DIVISION FOR  UP TO  SEP 2019  (fig.in Cr)</t>
  </si>
  <si>
    <t>EARNINGS OF PUNE DIVISION  OCTOBER 2019  (fig.in Cr)</t>
  </si>
  <si>
    <t>EARNINGS OF PUNE DIVISION UPTO  OCTOBER 2019  (fig.in Cr)</t>
  </si>
  <si>
    <t>DIV. GROSS EAR</t>
  </si>
  <si>
    <t xml:space="preserve">PASSENGER </t>
  </si>
  <si>
    <t>GOODS</t>
  </si>
  <si>
    <t>EARNINGS</t>
  </si>
  <si>
    <t>% VAR 
over LY</t>
  </si>
  <si>
    <t>EEEEE</t>
  </si>
  <si>
    <t>pf</t>
  </si>
  <si>
    <t>atvm</t>
  </si>
  <si>
    <t>mb</t>
  </si>
  <si>
    <t>EARNINGS OF PUNE DIVISION FOR  JANUARY 2020 (fig.in Cr)</t>
  </si>
  <si>
    <t>EARNINGS OF PUNE DIVISION FOR  DECEMBER 2019 (fig.in Cr)</t>
  </si>
  <si>
    <t xml:space="preserve">UPTO DECEMBER </t>
  </si>
  <si>
    <t>month</t>
  </si>
  <si>
    <t>% var</t>
  </si>
  <si>
    <t>reserv</t>
  </si>
  <si>
    <t>total</t>
  </si>
  <si>
    <t xml:space="preserve">passenger </t>
  </si>
  <si>
    <t>in lakhs</t>
  </si>
  <si>
    <t>april</t>
  </si>
  <si>
    <t>TGT</t>
  </si>
  <si>
    <t>LY</t>
  </si>
  <si>
    <t>PF</t>
  </si>
  <si>
    <t>ATVM/COTVM Earning                                                                                                                                                    Fig.in lakhs</t>
  </si>
  <si>
    <t>No.of Passengers                                                                                                                                                                   Figs.in lakhs</t>
  </si>
  <si>
    <t>Public Grievances                                                                                                                                                                       Fig.in Nos.</t>
  </si>
  <si>
    <t>non-sub</t>
  </si>
  <si>
    <t>pas</t>
  </si>
  <si>
    <t>OC</t>
  </si>
  <si>
    <t>SUNDRY</t>
  </si>
  <si>
    <t>UPTO MAY</t>
  </si>
  <si>
    <t>UPTO JUNE</t>
  </si>
  <si>
    <t>UPTO JAN</t>
  </si>
  <si>
    <t>UPTO JULY</t>
  </si>
  <si>
    <t>UPTO AUG</t>
  </si>
  <si>
    <t>UPTO SEP</t>
  </si>
  <si>
    <t>UPTO OCT</t>
  </si>
  <si>
    <t>UPTO NOV</t>
  </si>
  <si>
    <t>UPTO DEC</t>
  </si>
  <si>
    <t>TARGET FY</t>
  </si>
  <si>
    <t>PASSENGER TRSFFIC -2019-20 (FIG IN LAKHS)</t>
  </si>
  <si>
    <t>UPTO FEB</t>
  </si>
  <si>
    <t xml:space="preserve">                                                    EARNINGS OF PUNE DIVISION upto  07th MARCH - 2020                      (fig.in Cr)</t>
  </si>
  <si>
    <t>Upto 
7 th Mar -2020</t>
  </si>
  <si>
    <t>Upto  
07th Mar-2019</t>
  </si>
  <si>
    <t>Station Outstanding                                                             (Fig.in lakhs)                    (For the month of JAN-20)</t>
  </si>
  <si>
    <t xml:space="preserve"> Sundry Earning</t>
  </si>
  <si>
    <t>-</t>
  </si>
  <si>
    <t>PASSENGER EARNINGS</t>
  </si>
  <si>
    <t>SUNDRY EARNINGS</t>
  </si>
  <si>
    <t>Catering(including book stall,MPS)</t>
  </si>
  <si>
    <t>OTHER COACHING EARNINGS</t>
  </si>
  <si>
    <r>
      <t xml:space="preserve">Originating  Passengers traffic </t>
    </r>
    <r>
      <rPr>
        <sz val="12"/>
        <color theme="1"/>
        <rFont val="Arial"/>
        <family val="2"/>
      </rPr>
      <t>(in millions)</t>
    </r>
  </si>
  <si>
    <t>CY</t>
  </si>
  <si>
    <t>PRS</t>
  </si>
  <si>
    <t>HEAD WISE DETAILS</t>
  </si>
  <si>
    <t>COMMODITIES</t>
  </si>
  <si>
    <t>SUGAR</t>
  </si>
  <si>
    <t>POL</t>
  </si>
  <si>
    <t>RMC</t>
  </si>
  <si>
    <t>CONCOR</t>
  </si>
  <si>
    <t>FERTILIZER</t>
  </si>
  <si>
    <r>
      <t xml:space="preserve">OTHER
 </t>
    </r>
    <r>
      <rPr>
        <sz val="11"/>
        <color theme="1"/>
        <rFont val="Arial"/>
        <family val="2"/>
      </rPr>
      <t>(Pig iron,Dry grass,Water,Empty container)</t>
    </r>
  </si>
  <si>
    <t>PASSENGER</t>
  </si>
  <si>
    <t xml:space="preserve">EARNIN </t>
  </si>
  <si>
    <t>AUTOMOBILE / NMG</t>
  </si>
  <si>
    <t>UPTO MARCH</t>
  </si>
  <si>
    <t>Originating PRS Pass Cancellation Charges</t>
  </si>
  <si>
    <t xml:space="preserve">                                                    EARNINGS OF PUNE DIVISION upto   MARCH - 2020                                          (fig.in Cr)</t>
  </si>
  <si>
    <t>Upto 
 Mar -2020</t>
  </si>
  <si>
    <t>Upto  
Mar-2019</t>
  </si>
  <si>
    <t>EARNINGS OF PUNE DIVISION upto FEBUARY 2020  (fig.in Cr)</t>
  </si>
  <si>
    <t>GOODS EARNINGS ( upto March )</t>
  </si>
  <si>
    <t>ORIGINATING PASSENGER TRAFFIC                                                                                                          (fig in millions)</t>
  </si>
  <si>
    <t>OUTSTANDING (for the month of MARCH-20)                                                                                                    ( fig in lakh)</t>
  </si>
  <si>
    <t>2020-21</t>
  </si>
  <si>
    <r>
      <t xml:space="preserve">Originating  Passengers traffic </t>
    </r>
    <r>
      <rPr>
        <sz val="12"/>
        <color theme="1"/>
        <rFont val="Arial"/>
        <family val="2"/>
      </rPr>
      <t>(</t>
    </r>
    <r>
      <rPr>
        <sz val="12"/>
        <color rgb="FFFF0000"/>
        <rFont val="Arial"/>
        <family val="2"/>
      </rPr>
      <t>in millions</t>
    </r>
    <r>
      <rPr>
        <sz val="12"/>
        <color theme="1"/>
        <rFont val="Arial"/>
        <family val="2"/>
      </rPr>
      <t>)</t>
    </r>
  </si>
  <si>
    <t>OUTSTANDING (for the month of MARCH-20)                                                                                       ( fig in Cr )</t>
  </si>
  <si>
    <t>ORIGINATING PASSENGER TRAFFIC                                                                                              (fig in millions)</t>
  </si>
  <si>
    <t>SR.N</t>
  </si>
  <si>
    <t>FY 2019-20 TARGET</t>
  </si>
  <si>
    <t>ACHIVED IN
FY 2019-20</t>
  </si>
  <si>
    <t>OTHER COACHING (PARCEL &amp; LUGG &amp; OTHER)</t>
  </si>
  <si>
    <t>NO.OF PASSENGERS 
(in lakh)</t>
  </si>
  <si>
    <t>30% of achived</t>
  </si>
  <si>
    <t xml:space="preserve">Other Sundry </t>
  </si>
  <si>
    <t>Others</t>
  </si>
  <si>
    <r>
      <t xml:space="preserve">                                            EARNINGS OF PUNE DIVISION </t>
    </r>
    <r>
      <rPr>
        <b/>
        <sz val="13"/>
        <color rgb="FFFF0000"/>
        <rFont val="Arial"/>
        <family val="2"/>
      </rPr>
      <t xml:space="preserve">UPTO THE MONTH OF MAY - 2020 </t>
    </r>
    <r>
      <rPr>
        <b/>
        <sz val="13"/>
        <color theme="1"/>
        <rFont val="Arial"/>
        <family val="2"/>
      </rPr>
      <t xml:space="preserve">            (fig.in Cr)</t>
    </r>
  </si>
  <si>
    <t>2016-17</t>
  </si>
  <si>
    <t>total originatingn passengers (in mill)</t>
  </si>
  <si>
    <t>total originatingn earnings (in Cr)</t>
  </si>
  <si>
    <t>s</t>
  </si>
  <si>
    <t>OTHER</t>
  </si>
  <si>
    <t>OUTSTANDING (for the month of JUNE-20)                                                                                       ( fig in Cr )</t>
  </si>
  <si>
    <r>
      <t xml:space="preserve">                                  EARNINGS OF PUNE DIVISION </t>
    </r>
    <r>
      <rPr>
        <b/>
        <sz val="13"/>
        <color rgb="FFFF0000"/>
        <rFont val="Arial"/>
        <family val="2"/>
      </rPr>
      <t xml:space="preserve">UPTO THE MONTH OF JUNE - 2020 </t>
    </r>
    <r>
      <rPr>
        <b/>
        <sz val="13"/>
        <color theme="1"/>
        <rFont val="Arial"/>
        <family val="2"/>
      </rPr>
      <t xml:space="preserve">            (fig.in Cr)</t>
    </r>
  </si>
  <si>
    <t>ORIGINATING PASSENGER TRAFFIC                                                                   (fig in millions)</t>
  </si>
  <si>
    <t>OUTSTANDING (for the month of MAY-20)                                                               ( fig in Cr )</t>
  </si>
  <si>
    <t xml:space="preserve">                            EARNINGS OF PUNE DIVISION FOR THE MONTH OF JUNE - 2020             (fig.in Cr)</t>
  </si>
  <si>
    <t xml:space="preserve">                            EARNINGS OF PUNE DIVISION FOR THE MONTH OF JULY- 2020             (fig.in Cr)</t>
  </si>
  <si>
    <t>OUTSTANDING (for the month of JUNE-20)                                                               ( fig in Cr )</t>
  </si>
  <si>
    <t>S</t>
  </si>
  <si>
    <t>OTHERS</t>
  </si>
  <si>
    <t>OTHER SUNDRY</t>
  </si>
  <si>
    <t>CASES</t>
  </si>
  <si>
    <t>PASSENGER REVENUE</t>
  </si>
  <si>
    <t>Passenger REVENUE</t>
  </si>
  <si>
    <t xml:space="preserve">                            REVENUES OF PUNE DIVISION FOR THE MONTH OF AUG- 2020             (fig.in Cr)</t>
  </si>
  <si>
    <t>Goods REVENUE</t>
  </si>
  <si>
    <t>Other Coaching REVENUE</t>
  </si>
  <si>
    <t xml:space="preserve"> Sundry REVENUE</t>
  </si>
  <si>
    <t>Grand Total REVENUE</t>
  </si>
  <si>
    <t>GOODS REVENUES ( upto March )</t>
  </si>
  <si>
    <t>OTHER COACHING REVENUES</t>
  </si>
  <si>
    <t>SUNDRY REVENUES</t>
  </si>
  <si>
    <t>OUTSTANDING (for the month of JULY-20)                                                               ( fig in Cr )</t>
  </si>
  <si>
    <t xml:space="preserve">                            REVENUES OF PUNE DIVISION FOR THE MONTH OF SEP - 2020             (fig.in Cr)</t>
  </si>
  <si>
    <t>Passenger Revenue</t>
  </si>
  <si>
    <t>Goods Revenue</t>
  </si>
  <si>
    <t>Other Coaching Revenue</t>
  </si>
  <si>
    <t xml:space="preserve"> Sundry Revenue</t>
  </si>
  <si>
    <t>Grand Total Revenue</t>
  </si>
  <si>
    <t>SUNDRY Revenue</t>
  </si>
  <si>
    <t>OTHER COACHING Revenue</t>
  </si>
  <si>
    <t>GOODS Revenue ( upto March )</t>
  </si>
  <si>
    <t>PASSENGER Revenue</t>
  </si>
  <si>
    <t>20-21</t>
  </si>
  <si>
    <t xml:space="preserve">                              Revenue OF PUNE DIVISION UPTO THE MONTH OF SEP - 2020      (fig.in Cr)</t>
  </si>
  <si>
    <t>PASSENGER REVENUE   ( in Cr.)</t>
  </si>
  <si>
    <t>GOODS REVENUES ( upto March )  ( in Cr.)</t>
  </si>
  <si>
    <t>OTHER COACHING REVENUES  ( in Cr.)</t>
  </si>
  <si>
    <t>SUNDRY REVENUES  ( in Cr.)</t>
  </si>
  <si>
    <r>
      <t xml:space="preserve">Originating  Passengers traffic </t>
    </r>
    <r>
      <rPr>
        <sz val="12"/>
        <color theme="1"/>
        <rFont val="Arial"/>
        <family val="2"/>
      </rPr>
      <t>(</t>
    </r>
    <r>
      <rPr>
        <sz val="12"/>
        <color rgb="FF0070C0"/>
        <rFont val="Arial"/>
        <family val="2"/>
      </rPr>
      <t>in millions</t>
    </r>
    <r>
      <rPr>
        <sz val="12"/>
        <color theme="1"/>
        <rFont val="Arial"/>
        <family val="2"/>
      </rPr>
      <t>)</t>
    </r>
  </si>
  <si>
    <t>OUTSTANDING (for the month of Aug-20)                                                               ( fig in Lakhs )</t>
  </si>
  <si>
    <t xml:space="preserve">                            REVENUES OF PUNE DIVISION FOR THE MONTH OF OCT - 2020             (fig.in Cr)</t>
  </si>
  <si>
    <t xml:space="preserve">                              Revenue OF PUNE DIVISION UPTO THE MONTH OF OCT - 2020      (fig.in Cr)</t>
  </si>
  <si>
    <t xml:space="preserve">TARGET FY 19-20 </t>
  </si>
  <si>
    <t>TARGET COMPARE</t>
  </si>
  <si>
    <t>PASSENGER TARGET -2020-21 (FIG IN LAKHS)</t>
  </si>
  <si>
    <t>REVENUE TARGET -2020-21 (FIG IN Cr)</t>
  </si>
  <si>
    <t>targert sheet tentative</t>
  </si>
  <si>
    <t>OUTSTANDING (for the month of SEP-20)                                                               ( fig in Lakh )</t>
  </si>
  <si>
    <t>OUTSTANDING (for the month of SEP-20)                                                                                    ( fig in Lakhs )</t>
  </si>
  <si>
    <t>ORIGINATING PASSENGER TRAFFIC                                                                                       (fig in millions)</t>
  </si>
  <si>
    <t>PASSENGER ACTUAL -2020-21 (FIG IN LAKHS)</t>
  </si>
  <si>
    <t>REVENUE ACTUAL -2020-21 (FIG IN Cr)</t>
  </si>
  <si>
    <t>% SHARE OF TARGET</t>
  </si>
  <si>
    <t>GOODS REVENUE</t>
  </si>
  <si>
    <t>Revenue in Cr.</t>
  </si>
  <si>
    <t>ACTUAL UPTO OCT-20</t>
  </si>
  <si>
    <t xml:space="preserve"> </t>
  </si>
  <si>
    <t>Projection upto Macrh 2021</t>
  </si>
  <si>
    <t>projection</t>
  </si>
  <si>
    <t>FY 2020-21 TARGET</t>
  </si>
  <si>
    <t>`</t>
  </si>
  <si>
    <t> Head</t>
  </si>
  <si>
    <t>April - Oct</t>
  </si>
  <si>
    <t>Nov-Mar  (Expected)</t>
  </si>
  <si>
    <t>a)</t>
  </si>
  <si>
    <t>b)</t>
  </si>
  <si>
    <t>c)</t>
  </si>
  <si>
    <t>Goods revenue</t>
  </si>
  <si>
    <t>d)</t>
  </si>
  <si>
    <t xml:space="preserve">Sundry revenue </t>
  </si>
  <si>
    <t>e)</t>
  </si>
  <si>
    <t>Passenger traffic</t>
  </si>
  <si>
    <t>( in lakh)</t>
  </si>
  <si>
    <t>Other coaching
 (ticket checking, parcel &amp; other)</t>
  </si>
  <si>
    <t xml:space="preserve">                            REVENUES OF PUNE DIVISION FOR THE MONTH OF NOV - 2020             (fig.in Cr)</t>
  </si>
  <si>
    <t>OUTSTANDING (for the month of OCT-20)                                                               ( fig in Lakh )</t>
  </si>
  <si>
    <t>2243 CASES</t>
  </si>
  <si>
    <t>EARNINGS OF PUNE DIVISION FOR  UPTO NOVEMBER  2019  (fig.in Cr)</t>
  </si>
  <si>
    <r>
      <t xml:space="preserve">                              Revenue OF PUNE DIVISION </t>
    </r>
    <r>
      <rPr>
        <b/>
        <i/>
        <sz val="13"/>
        <color rgb="FFFF0000"/>
        <rFont val="Arial"/>
        <family val="2"/>
      </rPr>
      <t xml:space="preserve">UPTO THE MONTH OF NOV - 2020 </t>
    </r>
    <r>
      <rPr>
        <b/>
        <i/>
        <sz val="13"/>
        <color theme="1"/>
        <rFont val="Arial"/>
        <family val="2"/>
      </rPr>
      <t xml:space="preserve">     (fig.in Cr)</t>
    </r>
  </si>
  <si>
    <t>ORIGINATING PASSENGER TRAFFIC                                                                                   (fig in millions)</t>
  </si>
  <si>
    <t>OUTSTANDING (for the month of oct-20)                                                                               ( fig in Lakhs )</t>
  </si>
  <si>
    <r>
      <t xml:space="preserve">                              Revenue OF PUNE DIVISION </t>
    </r>
    <r>
      <rPr>
        <b/>
        <i/>
        <sz val="13"/>
        <color rgb="FFFF0000"/>
        <rFont val="Arial"/>
        <family val="2"/>
      </rPr>
      <t xml:space="preserve">UPTO THE MONTH OF DEC - 2020 </t>
    </r>
    <r>
      <rPr>
        <b/>
        <i/>
        <sz val="13"/>
        <color theme="1"/>
        <rFont val="Arial"/>
        <family val="2"/>
      </rPr>
      <t xml:space="preserve">     (fig.in Cr)</t>
    </r>
  </si>
  <si>
    <t xml:space="preserve">                            REVENUES OF PUNE DIVISION FOR THE MONTH OF DEC - 2020             (fig.in Cr)</t>
  </si>
  <si>
    <t>MILLI</t>
  </si>
  <si>
    <t>LAKH</t>
  </si>
  <si>
    <t>OUTSTANDING (for the month of NOV-20)                                                                               ( fig in Lakhs )</t>
  </si>
  <si>
    <t>HEAD</t>
  </si>
  <si>
    <t xml:space="preserve">CATERING </t>
  </si>
  <si>
    <t>PARKING</t>
  </si>
  <si>
    <t>19 lakh</t>
  </si>
  <si>
    <t xml:space="preserve">TICKET CHECKING
</t>
  </si>
  <si>
    <t>11.35 Lakhs</t>
  </si>
  <si>
    <t>2.43 Cr</t>
  </si>
  <si>
    <t>Upto
 Dec-19</t>
  </si>
  <si>
    <t>Upto
 Dec-20</t>
  </si>
  <si>
    <t>ACHIVED UPTO</t>
  </si>
  <si>
    <t>LAST YEAR</t>
  </si>
  <si>
    <t>% VARI OVER</t>
  </si>
  <si>
    <t>TARGET
 UPTO DEC</t>
  </si>
  <si>
    <t>TARGETS FOR FY 2020-21
 (in Cr)</t>
  </si>
  <si>
    <r>
      <t xml:space="preserve">                                                    REVENUE TARGETS FOR FY 2020-21                                      </t>
    </r>
    <r>
      <rPr>
        <sz val="12"/>
        <color theme="1"/>
        <rFont val="Calibri"/>
        <family val="1"/>
        <scheme val="major"/>
      </rPr>
      <t>(fig in Cr.)</t>
    </r>
  </si>
  <si>
    <t>COMMERCIAL PUBLICITY</t>
  </si>
  <si>
    <t xml:space="preserve">40 k  revenue &amp; cases 100 per day </t>
  </si>
  <si>
    <t>FRIEGHT</t>
  </si>
  <si>
    <t>OTHER COG</t>
  </si>
  <si>
    <t>REVENUE</t>
  </si>
  <si>
    <t>SUB-PASSENGER</t>
  </si>
  <si>
    <t>ACTAUL FIG</t>
  </si>
  <si>
    <t>Frequency of local train</t>
  </si>
  <si>
    <t>Period</t>
  </si>
  <si>
    <t>Essential Passenger per trip</t>
  </si>
  <si>
    <t>NONSUB-PASSENGER</t>
  </si>
  <si>
    <t>DATE</t>
  </si>
  <si>
    <t xml:space="preserve"> JRNY TKT</t>
  </si>
  <si>
    <t>MST TKT</t>
  </si>
  <si>
    <t>MST PASS</t>
  </si>
  <si>
    <t>JRNY PASS</t>
  </si>
  <si>
    <t>TOTAL PASS</t>
  </si>
  <si>
    <t>Frequency of DEMU train</t>
  </si>
  <si>
    <t xml:space="preserve">                            REVENUES OF PUNE DIVISION FOR THE MONTH OF JAN - 2021             (fig.in Cr)</t>
  </si>
  <si>
    <t>PRS ORIGI</t>
  </si>
  <si>
    <t>clkg</t>
  </si>
  <si>
    <t>OUTSTANDING (for the month of dec-20)                                                                                    ( fig in Lakh )</t>
  </si>
  <si>
    <t>ORIGINATING PASSENGER TRAFFIC                                                                                         (fig in millions)</t>
  </si>
  <si>
    <t>CP</t>
  </si>
  <si>
    <t>OCT
 (12.10.20 to 31.10.20)</t>
  </si>
  <si>
    <t>TOTAL
 (JRNY + MST)</t>
  </si>
  <si>
    <t>ACTUAL TRAVELLED MST UP/DN</t>
  </si>
  <si>
    <t>CUMMULATIVE 
(MST PASS UP/DN)</t>
  </si>
  <si>
    <t>Upto
 JAN-21</t>
  </si>
  <si>
    <t>Upto
 JAN-20</t>
  </si>
  <si>
    <t xml:space="preserve">    </t>
  </si>
  <si>
    <t>OUTSTANDING (for the month of JAN-21)                                                                               ( fig in Lakhs )</t>
  </si>
  <si>
    <t>FEB 1st PERIOD</t>
  </si>
  <si>
    <t>Actual total pass travelled 6501</t>
  </si>
  <si>
    <t>AVG. per trip           71 pass</t>
  </si>
  <si>
    <t>for Essential pass &amp; staff</t>
  </si>
  <si>
    <t>* avg staff 120</t>
  </si>
  <si>
    <t xml:space="preserve">                            REVENUES OF PUNE DIVISION FOR THE MONTH OF FEB - 2021             (fig.in Cr)</t>
  </si>
  <si>
    <t>OUTSTANDING (for the month of JAN-21)                                                                                    ( fig in Lakh )</t>
  </si>
  <si>
    <t>Upto
 FEB-20</t>
  </si>
  <si>
    <t>Upto
 FEB-21</t>
  </si>
  <si>
    <r>
      <t xml:space="preserve">                              Revenue OF PUNE DIVISION </t>
    </r>
    <r>
      <rPr>
        <b/>
        <i/>
        <sz val="13"/>
        <color rgb="FFC00000"/>
        <rFont val="Arial"/>
        <family val="2"/>
      </rPr>
      <t xml:space="preserve">UPTO THE MONTH OF JAN - 2021 </t>
    </r>
    <r>
      <rPr>
        <b/>
        <i/>
        <sz val="13"/>
        <color theme="1"/>
        <rFont val="Arial"/>
        <family val="2"/>
      </rPr>
      <t xml:space="preserve">                    (fig.in Cr)</t>
    </r>
  </si>
  <si>
    <t>OUTSTANDING (for the month of JAN-21)                                                                                              ( fig in Lakhs )</t>
  </si>
  <si>
    <t>ORIGINATING PASSENGER TRAFFIC                                                                                            (fig in millions)</t>
  </si>
  <si>
    <r>
      <rPr>
        <b/>
        <sz val="11"/>
        <color theme="1"/>
        <rFont val="Arial"/>
        <family val="2"/>
      </rPr>
      <t>OTHER</t>
    </r>
    <r>
      <rPr>
        <b/>
        <sz val="12.5"/>
        <color theme="1"/>
        <rFont val="Arial"/>
        <family val="2"/>
      </rPr>
      <t xml:space="preserve">
 </t>
    </r>
    <r>
      <rPr>
        <sz val="11"/>
        <color theme="1"/>
        <rFont val="Arial"/>
        <family val="2"/>
      </rPr>
      <t>(Pig iron,Dry grass,Water,Empty container)</t>
    </r>
  </si>
  <si>
    <r>
      <t xml:space="preserve">                       REVENUE OF PUNE DIVISION </t>
    </r>
    <r>
      <rPr>
        <b/>
        <i/>
        <sz val="14"/>
        <color rgb="FFFF0000"/>
        <rFont val="Arial"/>
        <family val="2"/>
      </rPr>
      <t xml:space="preserve">UPTO THE MONTH OF FEB - 2021 </t>
    </r>
    <r>
      <rPr>
        <b/>
        <i/>
        <sz val="14"/>
        <color theme="1"/>
        <rFont val="Arial"/>
        <family val="2"/>
      </rPr>
      <t xml:space="preserve">              (fig.in Cr)</t>
    </r>
  </si>
  <si>
    <t>REVENUE ACHIVED FOR THE FY 2020-21</t>
  </si>
  <si>
    <t xml:space="preserve"> Fig in Cr.</t>
  </si>
  <si>
    <t xml:space="preserve">                                                    TARGET SHEET FOR FY 2020-21                   Fig in Cr.</t>
  </si>
  <si>
    <t>JAN-21
 (26-1-21 TO 17-2-21)</t>
  </si>
  <si>
    <t xml:space="preserve">                            REVENUES OF PUNE DIVISION FOR THE MONTH OF MARCH - 2021             (fig.in Cr)</t>
  </si>
  <si>
    <t>ORIGINATING PASSENGER TRAFFIC                                                                                      (fig in millions)</t>
  </si>
  <si>
    <r>
      <t xml:space="preserve">Originating  Passengers traffic
 </t>
    </r>
    <r>
      <rPr>
        <sz val="12"/>
        <color theme="1"/>
        <rFont val="Arial"/>
        <family val="2"/>
      </rPr>
      <t>(</t>
    </r>
    <r>
      <rPr>
        <sz val="12"/>
        <color rgb="FFFF0000"/>
        <rFont val="Arial"/>
        <family val="2"/>
      </rPr>
      <t>in millions</t>
    </r>
    <r>
      <rPr>
        <sz val="12"/>
        <color theme="1"/>
        <rFont val="Arial"/>
        <family val="2"/>
      </rPr>
      <t>)</t>
    </r>
  </si>
  <si>
    <t>ORIGINATING PASSENGER TRAFFIC                                                                                (fig in millions)</t>
  </si>
  <si>
    <t>OUTSTANDING (for the month of JUNE-20)                                                                           ( fig in Cr )</t>
  </si>
  <si>
    <r>
      <t xml:space="preserve">OTHER
 </t>
    </r>
    <r>
      <rPr>
        <sz val="11"/>
        <color theme="1"/>
        <rFont val="Arial"/>
        <family val="2"/>
      </rPr>
      <t>(Empty container)</t>
    </r>
  </si>
  <si>
    <r>
      <t>OTHER
 (</t>
    </r>
    <r>
      <rPr>
        <sz val="11"/>
        <color theme="1"/>
        <rFont val="Arial"/>
        <family val="2"/>
      </rPr>
      <t>Empty container)</t>
    </r>
  </si>
  <si>
    <t>PASSENGER RevenueS</t>
  </si>
  <si>
    <t xml:space="preserve">GOODS RevenueS </t>
  </si>
  <si>
    <t>OTHER COACHING RevenueS</t>
  </si>
  <si>
    <t>SUNDRY RevenueS</t>
  </si>
  <si>
    <r>
      <t xml:space="preserve">                                  REVENUE OF PUNE DIVISION </t>
    </r>
    <r>
      <rPr>
        <b/>
        <sz val="13"/>
        <color rgb="FFFF0000"/>
        <rFont val="Arial"/>
        <family val="2"/>
      </rPr>
      <t>UPTO THE MONTH OF AUG - 2020</t>
    </r>
    <r>
      <rPr>
        <b/>
        <sz val="13"/>
        <color theme="1"/>
        <rFont val="Arial"/>
        <family val="2"/>
      </rPr>
      <t xml:space="preserve">             (fig.in Cr)</t>
    </r>
  </si>
  <si>
    <r>
      <t xml:space="preserve">                                  REVENUE OF PUNE DIVISION UPTO THE </t>
    </r>
    <r>
      <rPr>
        <b/>
        <sz val="13"/>
        <color rgb="FFFF0000"/>
        <rFont val="Arial"/>
        <family val="2"/>
      </rPr>
      <t>MONTH OF JULY - 2020</t>
    </r>
    <r>
      <rPr>
        <b/>
        <sz val="13"/>
        <color theme="1"/>
        <rFont val="Arial"/>
        <family val="2"/>
      </rPr>
      <t xml:space="preserve">             (fig.in Cr)</t>
    </r>
  </si>
  <si>
    <t xml:space="preserve">up 20th March </t>
  </si>
  <si>
    <t xml:space="preserve">SUB </t>
  </si>
  <si>
    <t>UTS NON SUB</t>
  </si>
  <si>
    <t>RESERVED</t>
  </si>
  <si>
    <t>CC</t>
  </si>
  <si>
    <t>TC</t>
  </si>
  <si>
    <t>Actual Fig . Of 2020-21</t>
  </si>
  <si>
    <t>2021-22</t>
  </si>
  <si>
    <t>Actual Fig . Of 2021-22</t>
  </si>
  <si>
    <t>IN Cr.</t>
  </si>
  <si>
    <t>IN lakhs</t>
  </si>
  <si>
    <t>PASSENGER TRAFFIC</t>
  </si>
  <si>
    <t>CC (UTS+PRS)</t>
  </si>
  <si>
    <t>IN CR</t>
  </si>
  <si>
    <t>COMML.PUB</t>
  </si>
  <si>
    <t>PARK</t>
  </si>
  <si>
    <t>CATERING</t>
  </si>
  <si>
    <t>PAY &amp; USE</t>
  </si>
  <si>
    <t>TC CASES</t>
  </si>
  <si>
    <t>WFC</t>
  </si>
  <si>
    <t>UNDER</t>
  </si>
  <si>
    <t>DEMG</t>
  </si>
  <si>
    <t>EMPTY HAULAGE</t>
  </si>
  <si>
    <t>GOODS RevenueS ( upto March )</t>
  </si>
  <si>
    <t xml:space="preserve">                                    REVENUE OF PUNE DIVISION FOR THE MONTH OF APRIL - 2021                 (fig.in Cr)</t>
  </si>
  <si>
    <r>
      <t xml:space="preserve">                  REVENUE OF PUNE DIVISION </t>
    </r>
    <r>
      <rPr>
        <b/>
        <i/>
        <sz val="14"/>
        <color rgb="FFFF0000"/>
        <rFont val="Arial"/>
        <family val="2"/>
      </rPr>
      <t>UPTO THE MONTH OF   MARCH</t>
    </r>
    <r>
      <rPr>
        <b/>
        <i/>
        <sz val="14"/>
        <color theme="1"/>
        <rFont val="Arial"/>
        <family val="2"/>
      </rPr>
      <t xml:space="preserve">    </t>
    </r>
    <r>
      <rPr>
        <b/>
        <i/>
        <sz val="12"/>
        <color theme="1"/>
        <rFont val="Arial"/>
        <family val="2"/>
      </rPr>
      <t xml:space="preserve"> (fig.in Cr)</t>
    </r>
  </si>
  <si>
    <t>OUTSTANDING (for the month of MARCH-20)                                                                                                  ( fig in Cr )</t>
  </si>
  <si>
    <t>OUTSTANDING (for the month of MARCH-20)                                                                             ( fig in Cr )</t>
  </si>
  <si>
    <t>In Milln.</t>
  </si>
  <si>
    <t xml:space="preserve">                                    REVENUE OF PUNE DIVISION FOR THE MONTH OF MAY - 2021                 (fig.in Cr)</t>
  </si>
  <si>
    <t>OUTSTANDING (for the month of APRIL-21)                                                                             ( fig in Cr )</t>
  </si>
  <si>
    <t>FINAL</t>
  </si>
  <si>
    <t xml:space="preserve">                                    REVENUE OF PUNE DIVISION UPTO THE MONTH OF MAY - 2021            (fig.in Cr)</t>
  </si>
  <si>
    <t>UpTo 
MAY-20</t>
  </si>
  <si>
    <t>UpTo 
MAY-21</t>
  </si>
  <si>
    <t>DRY GRASS</t>
  </si>
  <si>
    <t>GOODS Revenue</t>
  </si>
  <si>
    <t>PUNE STATION- EARNINGS</t>
  </si>
  <si>
    <t>Earnings for F.Y in Cr.</t>
  </si>
  <si>
    <t xml:space="preserve">Parcel </t>
  </si>
  <si>
    <t>TOTAL Passenger
 Earning</t>
  </si>
  <si>
    <t>Reserved</t>
  </si>
  <si>
    <t>Unresrved</t>
  </si>
  <si>
    <t>NONSUB</t>
  </si>
  <si>
    <t xml:space="preserve">SR NO </t>
  </si>
  <si>
    <t>TOTAL 
NON SUB (2+3)</t>
  </si>
  <si>
    <t>GROSS</t>
  </si>
  <si>
    <t>TC revenue</t>
  </si>
  <si>
    <t>fig in Cr.</t>
  </si>
  <si>
    <t>tc cases
 ( actual fig)</t>
  </si>
  <si>
    <t xml:space="preserve">NO OF TRAFFIC </t>
  </si>
  <si>
    <t>fig in Lakhs</t>
  </si>
  <si>
    <t xml:space="preserve">                                    REVENUE OF PUNE DIVISION FOR THE MONTH OF JUNE - 2021                 (fig.in Cr)</t>
  </si>
  <si>
    <t>UpTo 
JUNE-20</t>
  </si>
  <si>
    <t>UpTo 
JUNE-21</t>
  </si>
  <si>
    <t>OUTSTANDING (for the month of MAY-21)                                                                             ( fig in lakhs )</t>
  </si>
  <si>
    <t>PARCEL &amp; LUGGAGE</t>
  </si>
  <si>
    <t xml:space="preserve">PARCEL </t>
  </si>
  <si>
    <t>LUGGAGE</t>
  </si>
  <si>
    <t>COMML. PUB</t>
  </si>
  <si>
    <t>outstanding</t>
  </si>
  <si>
    <t>ACTUAL</t>
  </si>
  <si>
    <t>NON SUB UTS</t>
  </si>
  <si>
    <t>% VARI</t>
  </si>
  <si>
    <t>TOTAL TGT</t>
  </si>
  <si>
    <t>TOTAL 
ACTUAL</t>
  </si>
  <si>
    <r>
      <t xml:space="preserve">                                    REVENUE OF PUNE DIVISION </t>
    </r>
    <r>
      <rPr>
        <b/>
        <sz val="13"/>
        <color rgb="FFFF0000"/>
        <rFont val="Arial"/>
        <family val="2"/>
      </rPr>
      <t xml:space="preserve">UPTO THE MONTH OF JUNE - 2021 </t>
    </r>
    <r>
      <rPr>
        <b/>
        <sz val="13"/>
        <color theme="1"/>
        <rFont val="Arial"/>
        <family val="2"/>
      </rPr>
      <t xml:space="preserve">           (fig.in Cr)</t>
    </r>
  </si>
  <si>
    <t>ACTUAL -PASSENGER EAR</t>
  </si>
  <si>
    <t>DIFF</t>
  </si>
  <si>
    <t>PEI</t>
  </si>
  <si>
    <t>PEII</t>
  </si>
  <si>
    <t>NON</t>
  </si>
  <si>
    <t xml:space="preserve"> TARGET PASSENGER EAR</t>
  </si>
  <si>
    <t xml:space="preserve">D/AVG </t>
  </si>
  <si>
    <t xml:space="preserve">PER TRIP PASSENGER </t>
  </si>
  <si>
    <t>4 + 4 =8</t>
  </si>
  <si>
    <t>SUBURABN TRAFFIC ANALYSIS</t>
  </si>
  <si>
    <t>EMU SERVICE
 UP + DN</t>
  </si>
  <si>
    <t>% VARI OVER TARGET</t>
  </si>
  <si>
    <t>NO OF PASS</t>
  </si>
  <si>
    <t>AUG</t>
  </si>
  <si>
    <t>SEP</t>
  </si>
  <si>
    <t>UP TO MARCH</t>
  </si>
  <si>
    <t>FRIEGHT REVE. 
(in Cr)</t>
  </si>
  <si>
    <t>% VARI OVER LY</t>
  </si>
  <si>
    <t>PASS REVE. 
(in Cr)</t>
  </si>
  <si>
    <t>NO OF PASS
 (in lakhs)</t>
  </si>
  <si>
    <r>
      <t>AUG-2020 TO MARCH-2021</t>
    </r>
    <r>
      <rPr>
        <b/>
        <sz val="12"/>
        <color rgb="FFFF0000"/>
        <rFont val="Bookman Old Style"/>
        <family val="1"/>
      </rPr>
      <t>(FOR DCM-APAR)</t>
    </r>
  </si>
  <si>
    <t xml:space="preserve">                                    REVENUE OF PUNE DIVISION FOR THE MONTH OF JULY - 2021                 (fig.in Cr)</t>
  </si>
  <si>
    <t>TC EXCE. FARE</t>
  </si>
  <si>
    <t>OUTSTANDING (for the month of MAY-21)                                                                             ( fig in Cr )</t>
  </si>
  <si>
    <t>UpTo 
JULY-20</t>
  </si>
  <si>
    <t>UpTo 
JULY-21</t>
  </si>
  <si>
    <t xml:space="preserve">                                                    TARGET SHEET FOR FY 2021-22                   Fig in Cr.</t>
  </si>
  <si>
    <t xml:space="preserve">TICKET CHECKING </t>
  </si>
  <si>
    <t>CASES in000`s</t>
  </si>
  <si>
    <t>AUTO</t>
  </si>
  <si>
    <r>
      <t xml:space="preserve">                             EVENUE OF PUNE DIVISION </t>
    </r>
    <r>
      <rPr>
        <b/>
        <sz val="13"/>
        <color rgb="FFFF0000"/>
        <rFont val="Arial"/>
        <family val="2"/>
      </rPr>
      <t xml:space="preserve">UPTO THE MONTH OF JULY - 2021 </t>
    </r>
    <r>
      <rPr>
        <b/>
        <sz val="13"/>
        <color theme="1"/>
        <rFont val="Arial"/>
        <family val="2"/>
      </rPr>
      <t xml:space="preserve">           (fig.in Cr)</t>
    </r>
  </si>
  <si>
    <t xml:space="preserve">        TARGET SHEET FOR FY 2021-22    Fig in Cr.</t>
  </si>
  <si>
    <t>IN LAKH</t>
  </si>
  <si>
    <t>PASS                % OCCUP.  OF CC</t>
  </si>
  <si>
    <t>DEMU SERVICE
 UP + DN</t>
  </si>
  <si>
    <r>
      <rPr>
        <b/>
        <sz val="11"/>
        <color rgb="FFFF0000"/>
        <rFont val="Arial"/>
        <family val="2"/>
      </rPr>
      <t>PUNE- DAUND TRAFFIC</t>
    </r>
    <r>
      <rPr>
        <b/>
        <sz val="11"/>
        <color theme="1"/>
        <rFont val="Arial"/>
        <family val="2"/>
      </rPr>
      <t xml:space="preserve"> - NON-SUBURABN TRAFFIC ANALYSIS</t>
    </r>
  </si>
  <si>
    <t>2015-16</t>
  </si>
  <si>
    <t xml:space="preserve">2021-22 
UPTO JULY </t>
  </si>
  <si>
    <t>YEAR</t>
  </si>
  <si>
    <t>PASSENGER TREND</t>
  </si>
  <si>
    <t>Rakes in Service</t>
  </si>
  <si>
    <t>Number of Services</t>
  </si>
  <si>
    <t xml:space="preserve">prs </t>
  </si>
  <si>
    <t xml:space="preserve">                            EARNINGS OF PUNE DIVISION FOR THE MONTH OF AUG- 2021             (fig.in Cr)</t>
  </si>
  <si>
    <t>UpTo 
AUG-20</t>
  </si>
  <si>
    <t>UpTo 
AUG-21</t>
  </si>
  <si>
    <t>NON-SUB</t>
  </si>
  <si>
    <t>JRNY</t>
  </si>
  <si>
    <t>SEAS</t>
  </si>
  <si>
    <t>UTS TRAFFIC</t>
  </si>
  <si>
    <t>TTL</t>
  </si>
  <si>
    <r>
      <t xml:space="preserve">OTHER 
</t>
    </r>
    <r>
      <rPr>
        <sz val="8"/>
        <color theme="1"/>
        <rFont val="Arial"/>
        <family val="2"/>
      </rPr>
      <t>(empty H,dry grass, oxyg)</t>
    </r>
  </si>
  <si>
    <t xml:space="preserve">                                        TARGET SHEET FOR FY 2020-21    Fig in Cr.</t>
  </si>
  <si>
    <t xml:space="preserve">    TARGET SHEET FOR FY 2021-22                   Fig in Cr.</t>
  </si>
  <si>
    <t>OUTSTANDING (for the month of JULY-21)                                                                             ( fig in lakhs )</t>
  </si>
  <si>
    <t>OUTSTANDING (for the month of MARCH-20)                                                                        ( fig in Cr )</t>
  </si>
  <si>
    <t xml:space="preserve">                                EARNINGS OF PUNE DIVISION FOR THE MONTH OF APRIL - 2020             (fig.in Cr)</t>
  </si>
  <si>
    <t xml:space="preserve">                              EARNINGS OF PUNE DIVISION FOR THE MONTH OF MAY - 2020             (fig.in Cr)</t>
  </si>
  <si>
    <t xml:space="preserve">    CENTRAL RAILWAY PUNE DIVISION</t>
  </si>
  <si>
    <r>
      <t xml:space="preserve">                             REVENUE OF PUNE DIVISION </t>
    </r>
    <r>
      <rPr>
        <b/>
        <sz val="13"/>
        <color rgb="FFFF0000"/>
        <rFont val="Arial"/>
        <family val="2"/>
      </rPr>
      <t xml:space="preserve">UPTO THE MONTH OF  AUGUST - 2021 </t>
    </r>
    <r>
      <rPr>
        <b/>
        <sz val="13"/>
        <color theme="1"/>
        <rFont val="Arial"/>
        <family val="2"/>
      </rPr>
      <t xml:space="preserve">  (fig.in Cr)</t>
    </r>
  </si>
  <si>
    <t xml:space="preserve">                            EARNINGS OF PUNE DIVISION FOR THE MONTH OF SEPTEMBER- 2021      (fig.in Cr)</t>
  </si>
  <si>
    <r>
      <t xml:space="preserve">                         REVENUE OF PUNE DIVISION </t>
    </r>
    <r>
      <rPr>
        <b/>
        <sz val="13"/>
        <color rgb="FFFF0000"/>
        <rFont val="Arial"/>
        <family val="2"/>
      </rPr>
      <t xml:space="preserve">UPTO THE MONTH OF  SEPTEMBER - 2021 </t>
    </r>
    <r>
      <rPr>
        <b/>
        <sz val="13"/>
        <color theme="1"/>
        <rFont val="Arial"/>
        <family val="2"/>
      </rPr>
      <t xml:space="preserve">  (fig.in Cr)</t>
    </r>
  </si>
  <si>
    <t>UpTo 
SEP-20</t>
  </si>
  <si>
    <t>UpTo 
SEP-21</t>
  </si>
  <si>
    <t>OUTSTANDING (for the month of AUG-21)                                                                             ( fig in lakhs )</t>
  </si>
  <si>
    <t>5+5=10</t>
  </si>
  <si>
    <t>8+8=16</t>
  </si>
  <si>
    <t>CC OF DEMU (seating )</t>
  </si>
  <si>
    <t xml:space="preserve">                            EARNINGS OF PUNE DIVISION FOR THE MONTH OF OCTOBER- 2021      (fig.in Cr)</t>
  </si>
  <si>
    <t xml:space="preserve">OTHER
</t>
  </si>
  <si>
    <t>UpTo 
OCT-21</t>
  </si>
  <si>
    <t>UpTo 
OCT-20</t>
  </si>
  <si>
    <r>
      <t xml:space="preserve">                         REVENUE OF PUNE DIVISION </t>
    </r>
    <r>
      <rPr>
        <b/>
        <sz val="13"/>
        <color rgb="FFFF0000"/>
        <rFont val="Arial"/>
        <family val="2"/>
      </rPr>
      <t xml:space="preserve">UPTO THE MONTH OF  OCTOBER - 2021 </t>
    </r>
    <r>
      <rPr>
        <b/>
        <sz val="13"/>
        <color theme="1"/>
        <rFont val="Arial"/>
        <family val="2"/>
      </rPr>
      <t xml:space="preserve">  (fig.in Cr)</t>
    </r>
  </si>
  <si>
    <t>TICKET</t>
  </si>
  <si>
    <t>D/AVG  TICKET</t>
  </si>
  <si>
    <t>For the Month October</t>
  </si>
  <si>
    <t>% Var</t>
  </si>
  <si>
    <t>Advtg &amp; Publicity</t>
  </si>
  <si>
    <t>Parking</t>
  </si>
  <si>
    <t>OUTSTANDING (for the month of SEP-21)                                                                             ( fig in lakhs )</t>
  </si>
  <si>
    <t xml:space="preserve">                            EARNINGS OF PUNE DIVISION FOR THE MONTH OF NOVEMBER- 2021      (fig.in Cr)</t>
  </si>
  <si>
    <r>
      <t xml:space="preserve">                         REVENUE OF PUNE DIVISION </t>
    </r>
    <r>
      <rPr>
        <b/>
        <sz val="13"/>
        <color rgb="FFFF0000"/>
        <rFont val="Arial"/>
        <family val="2"/>
      </rPr>
      <t xml:space="preserve">UPTO THE MONTH OF  NOVEMBER - 2021 </t>
    </r>
    <r>
      <rPr>
        <b/>
        <sz val="13"/>
        <color theme="1"/>
        <rFont val="Arial"/>
        <family val="2"/>
      </rPr>
      <t xml:space="preserve">  (fig.in Cr)</t>
    </r>
  </si>
  <si>
    <t>UpTo 
NOV-20</t>
  </si>
  <si>
    <t>UpTo NOV-21</t>
  </si>
  <si>
    <t>OUTSTANDING (for the month of oct-21)                                                                             ( fig in lakhs )</t>
  </si>
  <si>
    <t>NOV-21</t>
  </si>
  <si>
    <t>FY 2021-22</t>
  </si>
  <si>
    <t>FY 2020-21</t>
  </si>
  <si>
    <t>FY 2019-20</t>
  </si>
  <si>
    <t xml:space="preserve">                                              TGT  PUNE DIVISION EARNINGS                    ( fig in Cr)</t>
  </si>
  <si>
    <t>NON- SUB</t>
  </si>
  <si>
    <t>(In Crores)</t>
  </si>
  <si>
    <t>(In Lakhs)</t>
  </si>
  <si>
    <t>TARGET - FY 2020-21</t>
  </si>
  <si>
    <t>% VARI OVER TGT</t>
  </si>
  <si>
    <t>% VARI OVER LAST YER</t>
  </si>
  <si>
    <t>TARGET - FY 2021-22</t>
  </si>
  <si>
    <t xml:space="preserve">PASSENGER REVENUE -2020-21 </t>
  </si>
  <si>
    <t xml:space="preserve">PASSENGER TRAFFIC 2020-21 </t>
  </si>
  <si>
    <t xml:space="preserve">PASSENGER TRAFFIC   2021-22 </t>
  </si>
  <si>
    <t xml:space="preserve">                            REVENUES OF PUNE DIVISION FOR THE MONTH OF DEC - 2021             (fig.in Cr)</t>
  </si>
  <si>
    <r>
      <t xml:space="preserve">                         REVENUE OF PUNE DIVISION </t>
    </r>
    <r>
      <rPr>
        <b/>
        <sz val="13"/>
        <color rgb="FFFF0000"/>
        <rFont val="Arial"/>
        <family val="2"/>
      </rPr>
      <t xml:space="preserve">UPTO THE MONTH OF  DECEMBER - 2021 </t>
    </r>
    <r>
      <rPr>
        <b/>
        <sz val="13"/>
        <color theme="1"/>
        <rFont val="Arial"/>
        <family val="2"/>
      </rPr>
      <t xml:space="preserve">  (fig.in Cr)</t>
    </r>
  </si>
  <si>
    <t>UpTo 
DEC-20</t>
  </si>
  <si>
    <t>UpTo DEC-21</t>
  </si>
  <si>
    <t>OUTSTANDING (for the month of NOV-21)                                                                             ( fig in lakhs )</t>
  </si>
  <si>
    <t>DEC-21</t>
  </si>
  <si>
    <r>
      <t xml:space="preserve">Originating  Passengers traffic
 </t>
    </r>
    <r>
      <rPr>
        <sz val="12"/>
        <color rgb="FF0070C0"/>
        <rFont val="Arial"/>
        <family val="2"/>
      </rPr>
      <t>(in millions)</t>
    </r>
  </si>
  <si>
    <t>4+4=8</t>
  </si>
  <si>
    <t>2+4=4</t>
  </si>
  <si>
    <t>DAVG</t>
  </si>
  <si>
    <t xml:space="preserve">                        REVISED - TARGET SHEET FOR FY 2021-22                   Fig in Cr.</t>
  </si>
  <si>
    <t>REVENUE -PASSENGER</t>
  </si>
  <si>
    <t xml:space="preserve">                        REVISED - TARGET SHEET FOR FY 2021-22                 </t>
  </si>
  <si>
    <t xml:space="preserve">  Fig in Cr.</t>
  </si>
  <si>
    <t>% VAR. OVER TGT</t>
  </si>
  <si>
    <t>FRIEGHT REVENUE</t>
  </si>
  <si>
    <t>% VARI TGT</t>
  </si>
  <si>
    <t>REVEISED OTHER COACHING 
REVENUE</t>
  </si>
  <si>
    <t xml:space="preserve"> OTHER COACHING 
REVENUE</t>
  </si>
  <si>
    <t xml:space="preserve">                            REVENUES OF PUNE DIVISION FOR THE MONTH OF JAN - 2022             (fig.in Cr)</t>
  </si>
  <si>
    <t>OUTSTANDING (for the month of DEC-21)                                                               ( fig in Lakh )</t>
  </si>
  <si>
    <t>UpTo JAN-22</t>
  </si>
  <si>
    <t>UpTo 
JAN-21</t>
  </si>
  <si>
    <r>
      <t xml:space="preserve">                         REVENUE OF PUNE DIVISION </t>
    </r>
    <r>
      <rPr>
        <b/>
        <sz val="13"/>
        <color rgb="FFFF0000"/>
        <rFont val="Arial"/>
        <family val="2"/>
      </rPr>
      <t xml:space="preserve">UPTO THE MONTH OF  JANUARY - 2021 </t>
    </r>
    <r>
      <rPr>
        <b/>
        <sz val="13"/>
        <color theme="1"/>
        <rFont val="Arial"/>
        <family val="2"/>
      </rPr>
      <t xml:space="preserve">  (fig.in Cr)</t>
    </r>
  </si>
  <si>
    <t>SUNDRY REVENUE</t>
  </si>
  <si>
    <t>OTHER COACHING REVENUE</t>
  </si>
  <si>
    <t>OUTSTANDING (for the month of DEC-21)                                                                             ( fig in lakhs )</t>
  </si>
  <si>
    <t>JAN-22</t>
  </si>
  <si>
    <t>REVISED TARGET</t>
  </si>
  <si>
    <t>202-21</t>
  </si>
  <si>
    <t>FULL YEAR</t>
  </si>
  <si>
    <t>% Vari.</t>
  </si>
  <si>
    <t>Sr No.</t>
  </si>
  <si>
    <t>Head</t>
  </si>
  <si>
    <t>% Vari</t>
  </si>
  <si>
    <t>Total (UTS)</t>
  </si>
  <si>
    <t>Grand TOTAL Passenger Traffic</t>
  </si>
  <si>
    <t>SUBURBAN (UTS)</t>
  </si>
  <si>
    <t>NON-SUB (UTS)</t>
  </si>
  <si>
    <t>Total NON- SUBURBAN</t>
  </si>
  <si>
    <t>SUBURBAN(UTS)</t>
  </si>
  <si>
    <t>Total NON-SUBURBAN</t>
  </si>
  <si>
    <t>5 
(2+4)</t>
  </si>
  <si>
    <t>6
(3+4)</t>
  </si>
  <si>
    <t>G/TOTAL PASS REV.</t>
  </si>
  <si>
    <t>Upto January</t>
  </si>
  <si>
    <t xml:space="preserve">                            REVENUES OF PUNE DIVISION FOR THE MONTH OF FEB - 2022             (fig.in Cr)</t>
  </si>
  <si>
    <t>FEB-22</t>
  </si>
  <si>
    <t>LPO</t>
  </si>
  <si>
    <t>EARNING 21-22</t>
  </si>
  <si>
    <t>TARGET 21-22</t>
  </si>
  <si>
    <r>
      <t xml:space="preserve">                         REVENUE OF PUNE DIVISION </t>
    </r>
    <r>
      <rPr>
        <b/>
        <sz val="13"/>
        <color rgb="FFFF0000"/>
        <rFont val="Arial"/>
        <family val="2"/>
      </rPr>
      <t xml:space="preserve">UPTO THE MONTH OF  FEBRUARY - 2021 </t>
    </r>
    <r>
      <rPr>
        <b/>
        <sz val="13"/>
        <color theme="1"/>
        <rFont val="Arial"/>
        <family val="2"/>
      </rPr>
      <t xml:space="preserve">  (fig.in Cr)</t>
    </r>
  </si>
  <si>
    <t>UpTo 
FEB-21</t>
  </si>
  <si>
    <t>UpTo FEB-22</t>
  </si>
  <si>
    <t>OUTSTANDING (for the month of JAN-22)                                                                             ( fig in lakhs )</t>
  </si>
  <si>
    <t xml:space="preserve">                            REVENUES OF PUNE DIVISION FOR THE MONTH OF MARCH - 2022             (fig.in Cr)</t>
  </si>
  <si>
    <t>UpTo 
MAR-21</t>
  </si>
  <si>
    <t>UpTo MAR-22</t>
  </si>
  <si>
    <t xml:space="preserve"> PASSENGER REVENUE</t>
  </si>
  <si>
    <t>.</t>
  </si>
  <si>
    <t>OUTSTANDING (for the month of FEB -22)                                                                       ( fig in lakhs )</t>
  </si>
  <si>
    <t>ORIGINATING PASSENGER TRAFFIC                                                                      (fig in millions)</t>
  </si>
  <si>
    <r>
      <t xml:space="preserve">                         REVENUE OF PUNE DIVISION </t>
    </r>
    <r>
      <rPr>
        <b/>
        <sz val="13"/>
        <color rgb="FFFF0000"/>
        <rFont val="Arial"/>
        <family val="2"/>
      </rPr>
      <t xml:space="preserve">UPTO THE MONTH OF  MARCH - 2022 </t>
    </r>
    <r>
      <rPr>
        <b/>
        <sz val="13"/>
        <color theme="1"/>
        <rFont val="Arial"/>
        <family val="2"/>
      </rPr>
      <t xml:space="preserve">  (fig.in Cr)</t>
    </r>
  </si>
  <si>
    <t>MAR-22</t>
  </si>
  <si>
    <t>10+10=20</t>
  </si>
  <si>
    <t>1532</t>
  </si>
  <si>
    <t xml:space="preserve">CC OF EMU (seating + standing)
</t>
  </si>
  <si>
    <t>FY 21-22</t>
  </si>
  <si>
    <t>FY 22-23</t>
  </si>
  <si>
    <t>ACHIEVED</t>
  </si>
  <si>
    <t>PROJECTION</t>
  </si>
  <si>
    <t>FY-21-22</t>
  </si>
  <si>
    <t>FY-19-20</t>
  </si>
  <si>
    <t>% VARI LY</t>
  </si>
  <si>
    <t xml:space="preserve">YEAR </t>
  </si>
  <si>
    <t xml:space="preserve">                                        PASSENGER REVENUE                             (fig in Cr.)</t>
  </si>
  <si>
    <t>FY-22-23</t>
  </si>
  <si>
    <t xml:space="preserve">                        REVISED - TARGET SHEET FOR FY 2022-23                   Fig in Cr.</t>
  </si>
  <si>
    <t xml:space="preserve">                                    REVENUE OF PUNE DIVISION FOR THE MONTH OF APRIL - 2022                 (fig.in Cr)</t>
  </si>
  <si>
    <t>OUTSTANDING (for the month of MARCH-22)                                                                                 ( fig in Cr )</t>
  </si>
  <si>
    <t xml:space="preserve">GOODS REVENUE </t>
  </si>
  <si>
    <t>13+13=26</t>
  </si>
  <si>
    <t>WEIGHT (T)</t>
  </si>
  <si>
    <t>% vari</t>
  </si>
  <si>
    <t>% share</t>
  </si>
  <si>
    <t xml:space="preserve">Total </t>
  </si>
  <si>
    <t>REVENUE (in Cr.)</t>
  </si>
  <si>
    <t xml:space="preserve">TC </t>
  </si>
  <si>
    <t xml:space="preserve">                         TARGET SHEET FOR FY 2022-23                   Fig in Cr.</t>
  </si>
  <si>
    <t>FY 2022-23</t>
  </si>
  <si>
    <t>DIFF.</t>
  </si>
  <si>
    <t>ACHIV.</t>
  </si>
  <si>
    <t>COMPARE WITH OLD</t>
  </si>
  <si>
    <t>COMPARE WITH REVISED</t>
  </si>
  <si>
    <t xml:space="preserve">                                    REVENUE OF PUNE DIVISION FOR THE MONTH OF MAY - 2022                 (fig.in Cr)</t>
  </si>
  <si>
    <t>EMPTY HAULAGE/OTHER</t>
  </si>
  <si>
    <t>PASSENGER traffic in million</t>
  </si>
  <si>
    <t>OUTSTANDING (for the month of april-22)                                                                                 ( fig inlakh )</t>
  </si>
  <si>
    <t>OUTSTANDING (for the month of APRIL - 22)                                                                                 ( fig in lakh )</t>
  </si>
  <si>
    <t>Penalty 
(rewayment)</t>
  </si>
  <si>
    <t>EMPTY HAULAGE/ OTHER</t>
  </si>
  <si>
    <t xml:space="preserve">                                    REVENUE OF PUNE DIVISION - UPTO THE MONTH OF  31st MAY - 2022            (fig.in Cr)</t>
  </si>
  <si>
    <t>COMMODITIES (upto May)</t>
  </si>
  <si>
    <t>2022-23</t>
  </si>
  <si>
    <t>TRAINS</t>
  </si>
  <si>
    <t xml:space="preserve">Originating 
M/exp </t>
  </si>
  <si>
    <t>EMU (pairs)</t>
  </si>
  <si>
    <t>DEMU/PASS 
(pairs)</t>
  </si>
  <si>
    <t>COMPARISION OF  TRAINS RUNNING OVER PUNE DIV.</t>
  </si>
  <si>
    <t>NOT RUNNING</t>
  </si>
  <si>
    <t>RUNNING %</t>
  </si>
  <si>
    <t>In Lakhs</t>
  </si>
  <si>
    <t>REV</t>
  </si>
  <si>
    <t>up19th JUNE-22</t>
  </si>
  <si>
    <t>up19th JUNE-21</t>
  </si>
  <si>
    <t>cy</t>
  </si>
  <si>
    <t>ly</t>
  </si>
  <si>
    <t>UPTO TARGET</t>
  </si>
  <si>
    <t>PASSENGER PERFORMANCE UPTO 19TH JUNE</t>
  </si>
  <si>
    <t>Rev. in Cr.</t>
  </si>
  <si>
    <t>passenger in millions</t>
  </si>
  <si>
    <t xml:space="preserve"> JUNE-21</t>
  </si>
  <si>
    <t>goods</t>
  </si>
  <si>
    <t>oc</t>
  </si>
  <si>
    <t>cases</t>
  </si>
  <si>
    <t>tc</t>
  </si>
  <si>
    <t xml:space="preserve"> JUNE-22</t>
  </si>
  <si>
    <t xml:space="preserve">                                    REVENUE OF PUNE DIVISION FOR  THE  JUNE - 2022                 (fig.in Cr)</t>
  </si>
  <si>
    <t>OUTSTANDING (for the month of MAY-22)                                                                                 ( fig inlakh )</t>
  </si>
  <si>
    <t xml:space="preserve">                                    REVENUE OF PUNE DIVISION - UPTO THE JUNE - 2022                (fig.in Cr)</t>
  </si>
  <si>
    <t>UPTO
 JUNE-22</t>
  </si>
  <si>
    <t>OUTSTANDING (for the month of MAY - 22)                                                                                 ( fig in lakh )</t>
  </si>
  <si>
    <t>CATG</t>
  </si>
  <si>
    <t xml:space="preserve">                                    REVENUE OF PUNE DIVISION FOR  THE  JULY - 2022                 (fig.in Cr)</t>
  </si>
  <si>
    <t xml:space="preserve"> JULY-22</t>
  </si>
  <si>
    <t xml:space="preserve"> JULY-21</t>
  </si>
  <si>
    <t>par</t>
  </si>
  <si>
    <t>lugg</t>
  </si>
  <si>
    <t>upto
 JULY-21</t>
  </si>
  <si>
    <t>upto
 JULY-22</t>
  </si>
  <si>
    <t>OUTSTANDING (for the month of JUNE- 22)                                                                                 ( fig in lakh )</t>
  </si>
  <si>
    <t>FOOD GRAIN</t>
  </si>
  <si>
    <r>
      <t xml:space="preserve">                                    REVENUE OF PUNE DIVISION FOR  </t>
    </r>
    <r>
      <rPr>
        <b/>
        <sz val="13"/>
        <color rgb="FFFF0000"/>
        <rFont val="Arial"/>
        <family val="2"/>
      </rPr>
      <t>UPTO THE  JULY</t>
    </r>
    <r>
      <rPr>
        <b/>
        <sz val="13"/>
        <color theme="1"/>
        <rFont val="Arial"/>
        <family val="2"/>
      </rPr>
      <t xml:space="preserve"> - 2022              (fig.in Cr)</t>
    </r>
  </si>
  <si>
    <t xml:space="preserve">                                    REVENUE OF PUNE DIVISION FOR  THE  AUGUST - 2022                 (fig.in Cr)</t>
  </si>
  <si>
    <t xml:space="preserve"> AUG-21</t>
  </si>
  <si>
    <t xml:space="preserve"> AUG-22</t>
  </si>
  <si>
    <t>upto
 AUG-21</t>
  </si>
  <si>
    <t>upto
 AUG-22</t>
  </si>
  <si>
    <t>2022-23 UPTO JULY</t>
  </si>
  <si>
    <r>
      <t xml:space="preserve">ORIGINATING PASSENGER TRAFFIC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  <scheme val="minor"/>
      </rPr>
      <t xml:space="preserve"> (fig in millions)</t>
    </r>
  </si>
  <si>
    <t>TARGET SHEET FOR FY 2022-23                   Fig in Cr.</t>
  </si>
  <si>
    <r>
      <t xml:space="preserve">                                    REVENUE OF PUNE DIVISION FOR  </t>
    </r>
    <r>
      <rPr>
        <b/>
        <sz val="13"/>
        <color rgb="FFFF0000"/>
        <rFont val="Arial"/>
        <family val="2"/>
      </rPr>
      <t>UPTO 31st August</t>
    </r>
    <r>
      <rPr>
        <b/>
        <sz val="13"/>
        <color theme="1"/>
        <rFont val="Arial"/>
        <family val="2"/>
      </rPr>
      <t xml:space="preserve"> - 2022              (fig.in Cr)</t>
    </r>
  </si>
  <si>
    <t xml:space="preserve">                                    REVENUE OF PUNE DIVISION FOR  THE  SEP - 2022                 (fig.in Cr)</t>
  </si>
  <si>
    <t xml:space="preserve"> SEP-22</t>
  </si>
  <si>
    <t xml:space="preserve"> SEP-21</t>
  </si>
  <si>
    <t>1st pe</t>
  </si>
  <si>
    <t>pass rev</t>
  </si>
  <si>
    <t>non sub</t>
  </si>
  <si>
    <t>rese</t>
  </si>
  <si>
    <t>SN</t>
  </si>
  <si>
    <t>% VARI. TARGET</t>
  </si>
  <si>
    <t>PASSENGER REVENUE  (In Cr.)</t>
  </si>
  <si>
    <t>PASSENGER TRAFFIC (In Lakhs)</t>
  </si>
  <si>
    <r>
      <t xml:space="preserve">                                    REVENUE OF PUNE DIVISION FOR  </t>
    </r>
    <r>
      <rPr>
        <b/>
        <sz val="13"/>
        <color rgb="FFFF0000"/>
        <rFont val="Arial"/>
        <family val="2"/>
      </rPr>
      <t>UPTO  SEP</t>
    </r>
    <r>
      <rPr>
        <b/>
        <sz val="13"/>
        <color theme="1"/>
        <rFont val="Arial"/>
        <family val="2"/>
      </rPr>
      <t xml:space="preserve"> - 2022              (fig.in Cr)</t>
    </r>
  </si>
  <si>
    <t>OUTSTANDING (for the month of JULY- 22)                                                                                 ( fig in lakh )</t>
  </si>
  <si>
    <t>Achived</t>
  </si>
  <si>
    <t xml:space="preserve">FY 21-22 </t>
  </si>
  <si>
    <t xml:space="preserve">                                    REVENUE OF PUNE DIVISION FOR  THE  OCTOBER - 2022                 (fig.in Cr)</t>
  </si>
  <si>
    <t>PASS REV</t>
  </si>
  <si>
    <t>RES</t>
  </si>
  <si>
    <t xml:space="preserve">PASS </t>
  </si>
  <si>
    <t>PARC</t>
  </si>
  <si>
    <t>20+20=40</t>
  </si>
  <si>
    <r>
      <t xml:space="preserve">                                    REVENUE OF PUNE DIVISION FOR  </t>
    </r>
    <r>
      <rPr>
        <b/>
        <sz val="13"/>
        <color rgb="FFFF0000"/>
        <rFont val="Arial"/>
        <family val="2"/>
      </rPr>
      <t xml:space="preserve">UPTO 31st  OCTOBER </t>
    </r>
    <r>
      <rPr>
        <b/>
        <sz val="13"/>
        <color theme="1"/>
        <rFont val="Arial"/>
        <family val="2"/>
      </rPr>
      <t xml:space="preserve"> - 2022              (fig.in Cr)</t>
    </r>
  </si>
  <si>
    <t>OUTSTANDING (for the month of SEP- 22)                                                                                 ( fig in lakh )</t>
  </si>
  <si>
    <t xml:space="preserve">	1189384</t>
  </si>
  <si>
    <t xml:space="preserve">                        REVENUE OF PUNE DIVISION FOR  THE  NOVEMBER - 2022     (fig.in Cr)</t>
  </si>
  <si>
    <r>
      <t xml:space="preserve">                               REVENUE OF PUNE DIVISION FOR  </t>
    </r>
    <r>
      <rPr>
        <b/>
        <sz val="13"/>
        <color rgb="FFFF0000"/>
        <rFont val="Arial"/>
        <family val="2"/>
      </rPr>
      <t xml:space="preserve">UPTO  NOVEMBER </t>
    </r>
    <r>
      <rPr>
        <b/>
        <sz val="13"/>
        <color theme="1"/>
        <rFont val="Arial"/>
        <family val="2"/>
      </rPr>
      <t xml:space="preserve"> - 2022      (fig.in Cr)</t>
    </r>
  </si>
  <si>
    <t xml:space="preserve">                        REVENUE OF PUNE DIVISION FOR  THE  DECEMBER - 2022     (fig.in Cr)</t>
  </si>
  <si>
    <t>rev</t>
  </si>
  <si>
    <r>
      <t xml:space="preserve">Originating  Passengers traffic 
</t>
    </r>
    <r>
      <rPr>
        <sz val="11"/>
        <color theme="1"/>
        <rFont val="Arial"/>
        <family val="2"/>
      </rPr>
      <t>(</t>
    </r>
    <r>
      <rPr>
        <sz val="11"/>
        <color rgb="FFFF0000"/>
        <rFont val="Arial"/>
        <family val="2"/>
      </rPr>
      <t>in millions</t>
    </r>
    <r>
      <rPr>
        <sz val="11"/>
        <color theme="1"/>
        <rFont val="Arial"/>
        <family val="2"/>
      </rPr>
      <t>)</t>
    </r>
  </si>
  <si>
    <r>
      <t xml:space="preserve">                               REVENUE OF PUNE DIVISION FOR  </t>
    </r>
    <r>
      <rPr>
        <b/>
        <sz val="13"/>
        <color rgb="FFFF0000"/>
        <rFont val="Arial"/>
        <family val="2"/>
      </rPr>
      <t xml:space="preserve">UPTO  31st DECEMBER </t>
    </r>
    <r>
      <rPr>
        <b/>
        <sz val="13"/>
        <color theme="1"/>
        <rFont val="Arial"/>
        <family val="2"/>
      </rPr>
      <t xml:space="preserve"> - 2022      (fig.in Cr)</t>
    </r>
  </si>
  <si>
    <t>OUTSTANDING (for the month of NOV- 22)                                                                                 ( fig in lakh )</t>
  </si>
  <si>
    <t xml:space="preserve">CENTRAL RAILWAY PUNE DIVISION </t>
  </si>
  <si>
    <t>1pe</t>
  </si>
  <si>
    <t>nonsub</t>
  </si>
  <si>
    <t>ttl</t>
  </si>
  <si>
    <t>SUNDRY REVENUE (position of last month)</t>
  </si>
  <si>
    <t>SUNDRY REVENUE (upto last month)</t>
  </si>
  <si>
    <t>OUTSTANDING (for the month of DEC- 22)                                                                                 ( fig in lakh )</t>
  </si>
  <si>
    <t>Revised TGT</t>
  </si>
  <si>
    <t>2pe</t>
  </si>
  <si>
    <t xml:space="preserve">                        REVENUE OF PUNE DIVISION FOR  THE  JANUARY - 2023                                       (fig.in Cr)</t>
  </si>
  <si>
    <r>
      <t xml:space="preserve">                               REVENUE OF PUNE DIVISION FOR  </t>
    </r>
    <r>
      <rPr>
        <b/>
        <sz val="13"/>
        <color rgb="FFFF0000"/>
        <rFont val="Arial"/>
        <family val="2"/>
      </rPr>
      <t xml:space="preserve">UPTO 31st JANUARY </t>
    </r>
    <r>
      <rPr>
        <b/>
        <sz val="13"/>
        <color theme="1"/>
        <rFont val="Arial"/>
        <family val="2"/>
      </rPr>
      <t xml:space="preserve"> - 2023      (fig.in Cr)</t>
    </r>
  </si>
  <si>
    <t>Non-Suburban                               UTS</t>
  </si>
  <si>
    <t xml:space="preserve">                                                     PRS</t>
  </si>
  <si>
    <t>Suburban                                      UTS</t>
  </si>
  <si>
    <t xml:space="preserve">SUBURBAN </t>
  </si>
  <si>
    <t xml:space="preserve">NON SUBURBAN </t>
  </si>
  <si>
    <t>RESER</t>
  </si>
  <si>
    <t>Suburban                         UTS</t>
  </si>
  <si>
    <t>Non-Suburban                  UTS</t>
  </si>
  <si>
    <t xml:space="preserve">                                PRS</t>
  </si>
  <si>
    <t>Non-Suburban           UTS</t>
  </si>
  <si>
    <t>Suburban                   UTS</t>
  </si>
  <si>
    <t xml:space="preserve">                    PRS</t>
  </si>
  <si>
    <t>MONT</t>
  </si>
  <si>
    <t xml:space="preserve">                                                    ORIGINATING REVENUE PERFORMANCE MONTH WISE FOR FY 2022-23                   Fig in Cr.</t>
  </si>
  <si>
    <t xml:space="preserve">SUNDRY </t>
  </si>
  <si>
    <t>GROSS TOTAL</t>
  </si>
  <si>
    <t>in Cr.</t>
  </si>
  <si>
    <t xml:space="preserve"> % TGT</t>
  </si>
  <si>
    <t xml:space="preserve">% LY </t>
  </si>
  <si>
    <t>CATERING REVENUE PERFORMANCE (Fig in lakhs)</t>
  </si>
  <si>
    <t>OUTSTANDING (for the month of JAN- 23)                                                                                 ( fig in lakh )</t>
  </si>
  <si>
    <t>%Variation</t>
  </si>
  <si>
    <r>
      <t xml:space="preserve">Originating  Passengers traffic 
</t>
    </r>
    <r>
      <rPr>
        <sz val="12"/>
        <color theme="1"/>
        <rFont val="Arial"/>
        <family val="2"/>
      </rPr>
      <t>(</t>
    </r>
    <r>
      <rPr>
        <sz val="12"/>
        <color rgb="FFFF0000"/>
        <rFont val="Arial"/>
        <family val="2"/>
      </rPr>
      <t>in millions</t>
    </r>
    <r>
      <rPr>
        <sz val="12"/>
        <color theme="1"/>
        <rFont val="Arial"/>
        <family val="2"/>
      </rPr>
      <t>)</t>
    </r>
  </si>
  <si>
    <t xml:space="preserve">                        REVENUE OF PUNE DIVISION FOR  THE  FEBRUARY - 2023                              (fig.in Cr)</t>
  </si>
  <si>
    <t>Suburban                                  UTS</t>
  </si>
  <si>
    <t>Non-Suburban                           UTS</t>
  </si>
  <si>
    <t xml:space="preserve">                                            PRS</t>
  </si>
  <si>
    <r>
      <t xml:space="preserve">                               REVENUE OF PUNE DIVISION FOR  </t>
    </r>
    <r>
      <rPr>
        <b/>
        <sz val="13"/>
        <color rgb="FFFF0000"/>
        <rFont val="Arial"/>
        <family val="2"/>
      </rPr>
      <t xml:space="preserve">UPTO FEBRUARY </t>
    </r>
    <r>
      <rPr>
        <b/>
        <sz val="13"/>
        <color theme="1"/>
        <rFont val="Arial"/>
        <family val="2"/>
      </rPr>
      <t xml:space="preserve"> - 2023      (fig.in Cr)</t>
    </r>
  </si>
  <si>
    <t xml:space="preserve">                        REVENUE OF PUNE DIVISION FOR  THE  MARCH - 2023                              (fig.in Cr)</t>
  </si>
  <si>
    <t xml:space="preserve">FEBRUARY </t>
  </si>
  <si>
    <t>Suburban      UTS</t>
  </si>
  <si>
    <t>Non-Suburban  UTS</t>
  </si>
  <si>
    <t>Suburban     UTS</t>
  </si>
  <si>
    <t>% Vari. 19-20</t>
  </si>
  <si>
    <t>FY</t>
  </si>
  <si>
    <t>Achieved Upto FEB</t>
  </si>
  <si>
    <t>PASSENGER REVENUE    (In Cr.)</t>
  </si>
  <si>
    <t>ORIGINATING PASSENGER TRAFFIC     (fig in millions)</t>
  </si>
  <si>
    <t>Sub   UTS</t>
  </si>
  <si>
    <t>Non-Sub UTS</t>
  </si>
  <si>
    <t>2019-20 upto Feb</t>
  </si>
  <si>
    <t>2021-22 upto Feb</t>
  </si>
  <si>
    <t>2022-23 upto Feb</t>
  </si>
  <si>
    <t>MOBILE APP</t>
  </si>
  <si>
    <t>POS PRS</t>
  </si>
  <si>
    <t xml:space="preserve">POS UTS </t>
  </si>
  <si>
    <t>POS PARCEL</t>
  </si>
  <si>
    <t>UPI</t>
  </si>
  <si>
    <t>%VARI</t>
  </si>
  <si>
    <t>% SHARE</t>
  </si>
  <si>
    <t>OUTSTANDING (for the month of FEB- 23)                                                                                 ( fig in lakh )</t>
  </si>
  <si>
    <t>apri-aug</t>
  </si>
  <si>
    <t>sep-feb</t>
  </si>
  <si>
    <t>UPTO FEB-23</t>
  </si>
  <si>
    <t>22-23</t>
  </si>
  <si>
    <t>% VARI.</t>
  </si>
  <si>
    <t>22 pairs</t>
  </si>
  <si>
    <t>EMU SERVICES</t>
  </si>
  <si>
    <r>
      <rPr>
        <b/>
        <sz val="11"/>
        <color rgb="FFFF0000"/>
        <rFont val="Arial"/>
        <family val="2"/>
      </rPr>
      <t>PUNE- DAUND TRAFFIC</t>
    </r>
    <r>
      <rPr>
        <b/>
        <sz val="11"/>
        <color theme="1"/>
        <rFont val="Arial"/>
        <family val="2"/>
      </rPr>
      <t xml:space="preserve"> - NON-SUBURABN TRAFFIC ANALYSIS (approx.)</t>
    </r>
  </si>
  <si>
    <r>
      <t xml:space="preserve">                               REVENUE OF PUNE DIVISION FOR  </t>
    </r>
    <r>
      <rPr>
        <b/>
        <sz val="13"/>
        <color rgb="FFFF0000"/>
        <rFont val="Arial"/>
        <family val="2"/>
      </rPr>
      <t xml:space="preserve">UPTO MARCH </t>
    </r>
    <r>
      <rPr>
        <b/>
        <sz val="13"/>
        <color theme="1"/>
        <rFont val="Arial"/>
        <family val="2"/>
      </rPr>
      <t xml:space="preserve"> - 2023      (fig.in Cr)</t>
    </r>
  </si>
  <si>
    <t>PUNE DIVISION PASSENGER REVENUE/ TRAFFICE PERFORMANCE</t>
  </si>
  <si>
    <t>TARGET 22-23</t>
  </si>
  <si>
    <t xml:space="preserve">    REVENUE OF PUNE DIVISION</t>
  </si>
  <si>
    <t>Passenger Revenue in Cr.</t>
  </si>
  <si>
    <t>Goods Revenue in Cr.</t>
  </si>
  <si>
    <t>Other Coaching Revenue in Cr.</t>
  </si>
  <si>
    <t xml:space="preserve"> Sundry Revenue in Cr.</t>
  </si>
  <si>
    <t>Grand Total Revenue in Cr.</t>
  </si>
  <si>
    <t>OUTSTANDING (for the month of MARCH- 23)                                                                                 ( fig in lakh )</t>
  </si>
  <si>
    <t xml:space="preserve">SUNDRY REVENUE </t>
  </si>
  <si>
    <t>RAKES</t>
  </si>
  <si>
    <t xml:space="preserve">Suburban                                 </t>
  </si>
  <si>
    <t xml:space="preserve">Non-Suburban                          </t>
  </si>
  <si>
    <t>WAGON</t>
  </si>
  <si>
    <t>WT(T)</t>
  </si>
  <si>
    <t>EAR.</t>
  </si>
  <si>
    <t>GOODS TRAFFIC</t>
  </si>
  <si>
    <t>TGT-SUB</t>
  </si>
  <si>
    <t>TGT-NONSUB</t>
  </si>
  <si>
    <t>TTL NON SUB</t>
  </si>
  <si>
    <t>JANAURY</t>
  </si>
  <si>
    <r>
      <t xml:space="preserve">                               REVENUE OF PUNE DIVISION FOR  </t>
    </r>
    <r>
      <rPr>
        <b/>
        <sz val="13"/>
        <color rgb="FFFF0000"/>
        <rFont val="Arial"/>
        <family val="2"/>
      </rPr>
      <t xml:space="preserve">AUGUST TO  MARCH </t>
    </r>
    <r>
      <rPr>
        <b/>
        <sz val="13"/>
        <color theme="1"/>
        <rFont val="Arial"/>
        <family val="2"/>
      </rPr>
      <t xml:space="preserve"> - 2023      (fig.in Cr)</t>
    </r>
  </si>
  <si>
    <t>OUTSTANDING (for the month of march 23)                                                                                 ( fig in lakh )</t>
  </si>
  <si>
    <r>
      <t xml:space="preserve">                               REVENUE OF PUNE DIVISION FOR  </t>
    </r>
    <r>
      <rPr>
        <b/>
        <sz val="13"/>
        <color rgb="FFFF0000"/>
        <rFont val="Arial"/>
        <family val="2"/>
      </rPr>
      <t xml:space="preserve">JULY TO  MARCH </t>
    </r>
    <r>
      <rPr>
        <b/>
        <sz val="13"/>
        <color theme="1"/>
        <rFont val="Arial"/>
        <family val="2"/>
      </rPr>
      <t xml:space="preserve"> - 2023      (fig.in Cr)</t>
    </r>
  </si>
  <si>
    <t>CENTRAL RAILWAY PUNE DIVISION  MAY 22 TO  NOV  - 22</t>
  </si>
  <si>
    <t xml:space="preserve">                        REVENUE OF PUNE DIVISION FOR  THE  APRIL - 2023 - Upto 26th April            (fig.in Cr)</t>
  </si>
  <si>
    <t>TTL TGT</t>
  </si>
  <si>
    <t>FY 23-24</t>
  </si>
  <si>
    <t>FY 2023-24</t>
  </si>
  <si>
    <t>TARGET FOR FY 2023-24</t>
  </si>
  <si>
    <t>cc</t>
  </si>
  <si>
    <t xml:space="preserve">                        REVENUE OF PUNE DIVISION FOR  THE  MAY - 2023        (fig.in Cr)</t>
  </si>
  <si>
    <t>% VARI OVER (22-23)</t>
  </si>
  <si>
    <t>APR-23</t>
  </si>
  <si>
    <t xml:space="preserve">         REVENUE OF PUNE DIVISION FOR  THE  APRIL - 2023        (fig.in Cr)</t>
  </si>
  <si>
    <t>TOTAL LUGGAGE</t>
  </si>
  <si>
    <t>ORIGINATING PASSENGER TRAFFIC                                                                                  (fig in millions)</t>
  </si>
  <si>
    <t>SUNDRY - TARGET SHEET FOR FY 2023-24                   Fig in Cr.</t>
  </si>
  <si>
    <t xml:space="preserve">                        REVENUE OF PUNE DIVISION FOR  THE  MAY - 2023    (upto May)      (fig.in Cr)</t>
  </si>
  <si>
    <t>PASSENGER (in miilions)</t>
  </si>
  <si>
    <t>IN Milli</t>
  </si>
  <si>
    <t>OUTSTANDING (for the month of APRIL- 23)                                                                       ( fig in lakh )</t>
  </si>
  <si>
    <t>d.avg</t>
  </si>
  <si>
    <t xml:space="preserve">                        REVENUE OF PUNE DIVISION FOR  THE  JUNE - 2023        (fig.in Cr)</t>
  </si>
  <si>
    <t xml:space="preserve">                         TARGET SHEET FOR FY 2023-24                   Fig in Cr.</t>
  </si>
  <si>
    <t>sub passenger</t>
  </si>
  <si>
    <t>2023-24 upto may</t>
  </si>
  <si>
    <t>parcel revenue</t>
  </si>
  <si>
    <t>in Cr</t>
  </si>
  <si>
    <t>year</t>
  </si>
  <si>
    <t>CENTRAL RAILWAY PUNE DIVISION (UPTO June)</t>
  </si>
  <si>
    <t>OUTSTANDING (for the month of MAY- 23)                                                                       ( fig in lakh )</t>
  </si>
  <si>
    <t xml:space="preserve">TOTAL </t>
  </si>
  <si>
    <t xml:space="preserve">                        REVENUE OF PUNE DIVISION FOR  THE  JULY - 2023        (fig.in Cr)</t>
  </si>
  <si>
    <t xml:space="preserve">                        REVENUE OF PUNE DIVISION UPTO  MONTH OF  JUNE - 2023               (fig.in Cr)</t>
  </si>
  <si>
    <t>2023-24</t>
  </si>
  <si>
    <t>Non sub (uts)</t>
  </si>
  <si>
    <t xml:space="preserve">Reserved </t>
  </si>
  <si>
    <t>Year</t>
  </si>
  <si>
    <t>Passenger Revenue Performance (in Cr.)</t>
  </si>
  <si>
    <t>Sub (UTS)</t>
  </si>
  <si>
    <t>Non sub (UTS)</t>
  </si>
  <si>
    <t>19+19=38</t>
  </si>
  <si>
    <t>CENTRAL RAILWAY PUNE DIVISION (1st JULY TO 23rd JULY )</t>
  </si>
  <si>
    <t>1-25 July'22</t>
  </si>
  <si>
    <t>1-25 July'23</t>
  </si>
  <si>
    <t>April-June '22</t>
  </si>
  <si>
    <t>April-June '23</t>
  </si>
  <si>
    <t>PAY &amp; PARK</t>
  </si>
  <si>
    <t>TOTAL SUNDRY</t>
  </si>
  <si>
    <t>% var. tgt</t>
  </si>
  <si>
    <t>% var. LY</t>
  </si>
  <si>
    <t>CENTRAL RAILWAY PUNE DIVISION (1st JULY TO 31st JULY )</t>
  </si>
  <si>
    <t>clock room</t>
  </si>
  <si>
    <t>OUTSTANDING (for the month of June- 23)                                                                       ( fig in lakh )</t>
  </si>
  <si>
    <t>OUTSTANDING (for the month of June- 23)                                                                                   ( fig in lakh )</t>
  </si>
  <si>
    <t>CENTRAL RAILWAY PUNE DIVISION (April  to   31st JULY)</t>
  </si>
  <si>
    <t xml:space="preserve">         REVENUE OF PUNE DIVISION UPTO  MONTH OF  JULY - 2023                                          (fig.in Cr)</t>
  </si>
  <si>
    <t xml:space="preserve">                        REVENUE OF PUNE DIVISION FOR  THE  AUGUST - 2023        (fig.in Cr)</t>
  </si>
  <si>
    <t>Reserved                                   PRS</t>
  </si>
  <si>
    <t>t</t>
  </si>
  <si>
    <t>28006 </t>
  </si>
  <si>
    <t>Reserved                          PRS</t>
  </si>
  <si>
    <t>CENTRAL RAILWAY PUNE DIVISION (April-23  to   August-23)</t>
  </si>
  <si>
    <t>TICKET CHECKING</t>
  </si>
  <si>
    <t>CLERKCAGE</t>
  </si>
  <si>
    <t>PARCEL+ LUGGAGE</t>
  </si>
  <si>
    <t>OTHER COCHING EARNINGS (in Cr.)</t>
  </si>
  <si>
    <t>20+20 =40</t>
  </si>
  <si>
    <t>upto AUG-23</t>
  </si>
  <si>
    <t>PER TRIP PASSENGER</t>
  </si>
  <si>
    <t>PER TRIP AMT</t>
  </si>
  <si>
    <t>DAILY AVG TRAFFIC/ REVENUE</t>
  </si>
  <si>
    <t>UNRESERVED TRAFFIC</t>
  </si>
  <si>
    <t xml:space="preserve">         REVENUE OF PUNE DIVISION UPTO  MONTH OF  AUGUST - 2023                         (fig.in Cr)</t>
  </si>
  <si>
    <t xml:space="preserve">         REVENUE OF PUNE DIVISION UPTO  MONTH OF  SEPT - 2023                         (fig.in Cr)</t>
  </si>
  <si>
    <t>PLATFORM</t>
  </si>
  <si>
    <t xml:space="preserve">                        REVENUE OF PUNE DIVISION FOR  THE  SEPT - 2023 (1st- 24th Sep)       (fig.in Cr)</t>
  </si>
  <si>
    <t>CENTRAL RAILWAY PUNE DIVISION (UPTO 24th SEP-23)</t>
  </si>
  <si>
    <t xml:space="preserve">% VARIATION </t>
  </si>
  <si>
    <t>EAR (in Cr)</t>
  </si>
  <si>
    <t>PASS in lakh</t>
  </si>
  <si>
    <t>UNRESERVED TRAFFIC (SUB+NONSUB)</t>
  </si>
  <si>
    <t xml:space="preserve">RESERVED TRAFFIC </t>
  </si>
  <si>
    <t>UNRESERVED +RESERVED TRAFFIC</t>
  </si>
  <si>
    <t>UPTO</t>
  </si>
  <si>
    <t>21st to 26th Sep</t>
  </si>
  <si>
    <t>1st to 10th SEP</t>
  </si>
  <si>
    <t>2nd to 20th SEP</t>
  </si>
  <si>
    <t>CENTRAL RAILWAY PUNE DIVISION (APRIL- TO SEPTEMBER)</t>
  </si>
  <si>
    <t>OUTSTANDING (for the month of AUG- 23)                                                                       ( fig in lakh )</t>
  </si>
  <si>
    <t>OUTSTANDING (for the month of AUG- 23)                                                                                   ( fig in lakh )</t>
  </si>
  <si>
    <t>PARCEL + LUGG.</t>
  </si>
  <si>
    <t>TARGET
(In Cr
including
Sundry)</t>
  </si>
  <si>
    <t>REVENUES
(in Cr)
(including
sundry)</t>
  </si>
  <si>
    <t>PASSENGE
R TRAFFIC
( In
MILLIONS)</t>
  </si>
  <si>
    <t>Comml.
Sundry
(In Cr)</t>
  </si>
  <si>
    <t>TIMELY FINALIZATION
TENDERS EXCEPT
STORE TENDERS
(DATA FROM
IREPS+GEM)</t>
  </si>
  <si>
    <t>1)Direct
acceptance
cases finaized
within 45
days/total
cases (%)</t>
  </si>
  <si>
    <t>Total
cases
(Nos)</t>
  </si>
  <si>
    <t>2)Tender
committee
cases finaized
within 60
days/total
cases (%)</t>
  </si>
  <si>
    <t>Finalized
within
60days
(Nos)</t>
  </si>
  <si>
    <t>Total
cases
finalized
(Nos)</t>
  </si>
  <si>
    <t>1)Through E- auction
COMML PUBL,
PARKING,PAY&amp; USE,
PARCEL.
2) CATERING (through
TC)</t>
  </si>
  <si>
    <t>Finiilized
within 45
days
(Nos)</t>
  </si>
  <si>
    <t>KEY PERFORMANCE INDICATOR- COMMERCIAL BRANCH-PUNE</t>
  </si>
  <si>
    <t>Actual Fig . Of 2019-20</t>
  </si>
  <si>
    <t xml:space="preserve">CC OF EMU 
</t>
  </si>
  <si>
    <t>upto sep-19</t>
  </si>
  <si>
    <t>22+22 =44</t>
  </si>
  <si>
    <t xml:space="preserve">         REVENUE OF PUNE DIVISION FOR  THE  SEPT - 2023      (fig.in Cr)</t>
  </si>
  <si>
    <t>6+6=12</t>
  </si>
  <si>
    <t>UPTO SEP 23</t>
  </si>
  <si>
    <r>
      <rPr>
        <b/>
        <sz val="11"/>
        <color rgb="FFFF0000"/>
        <rFont val="Arial"/>
        <family val="2"/>
      </rPr>
      <t>PUNE- DAUND/BARAMATI TRAFFIC</t>
    </r>
    <r>
      <rPr>
        <b/>
        <sz val="11"/>
        <color theme="1"/>
        <rFont val="Arial"/>
        <family val="2"/>
      </rPr>
      <t xml:space="preserve"> - NON-SUBURABN TRAFFIC ANALYSIS (approx.)</t>
    </r>
  </si>
  <si>
    <t xml:space="preserve">                        REVENUE OF PUNE DIVISION                                                                               (fig.in Cr)</t>
  </si>
  <si>
    <t>PERFORMANCE FROM   APRIL 2023 TO  SEPTEMBER  2023</t>
  </si>
  <si>
    <t>TGT upto sep-23</t>
  </si>
  <si>
    <t>TOTAL UTS REV</t>
  </si>
  <si>
    <t>TOTAL NON SUB REV</t>
  </si>
  <si>
    <t>UTS PASS</t>
  </si>
  <si>
    <t>N/SUB PASS</t>
  </si>
  <si>
    <t>OUTSTANDING (for the month of sep- 23)                                                                       ( fig in lakh )</t>
  </si>
  <si>
    <t xml:space="preserve">                         REVENUE OF PUNE DIVISION                                               (fig.in Cr)</t>
  </si>
  <si>
    <t>UPTO SEPT.</t>
  </si>
  <si>
    <t>RESERVED ORIGINATING TRAFFIC</t>
  </si>
  <si>
    <t>CENTRAL RAILWAY PUNE DIVISION (APRIL - TO  OCTOBER)</t>
  </si>
  <si>
    <t>CENTRAL RAILWAY PUNE DIVISION -FOR THE MONTH OF OCTOBER</t>
  </si>
  <si>
    <r>
      <t>Originating  Passengers traffic 
(</t>
    </r>
    <r>
      <rPr>
        <b/>
        <sz val="11"/>
        <color rgb="FFFF0000"/>
        <rFont val="Cambria"/>
        <family val="1"/>
      </rPr>
      <t>in millions</t>
    </r>
    <r>
      <rPr>
        <b/>
        <sz val="11"/>
        <color theme="1"/>
        <rFont val="Cambria"/>
        <family val="1"/>
      </rPr>
      <t>)</t>
    </r>
  </si>
  <si>
    <t>PARCEL REVENUE</t>
  </si>
  <si>
    <t>TARGET oct-23</t>
  </si>
  <si>
    <t>% 22 Vs 23</t>
  </si>
  <si>
    <t>% (oct23) Target achived</t>
  </si>
  <si>
    <t>UPTO OCT.</t>
  </si>
  <si>
    <t>LAST YEAR % VARI.</t>
  </si>
  <si>
    <t>1st Nov to 14 Nov</t>
  </si>
  <si>
    <t>UPTO 14th Nov</t>
  </si>
  <si>
    <t xml:space="preserve">212571608	</t>
  </si>
  <si>
    <t>UPTO NOV-23</t>
  </si>
  <si>
    <t>UPTO NOV-22</t>
  </si>
  <si>
    <t xml:space="preserve">                         REVENUE OF PUNE DIVISION                                   (fig.in Cr)</t>
  </si>
  <si>
    <t>CENTRAL RAILWAY PUNE DIVISION -FOR THE MONTH OF NOVEMBER (1st Nov - 30th nov)</t>
  </si>
  <si>
    <t>CENTRAL RAILWAY PUNE DIVISION (APRIL - TO - NOVEMBER)</t>
  </si>
  <si>
    <t>upto 30th Nov-22</t>
  </si>
  <si>
    <t>upto 30th Nov-23</t>
  </si>
  <si>
    <t>Pay&amp; Use</t>
  </si>
  <si>
    <t>other sundry</t>
  </si>
  <si>
    <t>Reserved                   PRS</t>
  </si>
  <si>
    <t xml:space="preserve"> REVENUE OF PUNE DIVISION                                                                                                            (fig.in Cr)</t>
  </si>
  <si>
    <t xml:space="preserve">SUNDRY EARNINGS </t>
  </si>
  <si>
    <t>UPTO NOV.</t>
  </si>
  <si>
    <t>OUTSTANDING (for the month of OCT- 23)                                                                       ( fig in lakh )</t>
  </si>
  <si>
    <t xml:space="preserve"> DEC-22</t>
  </si>
  <si>
    <t xml:space="preserve"> DEC-23</t>
  </si>
  <si>
    <t>UTS NONSUB</t>
  </si>
  <si>
    <t>21-22</t>
  </si>
  <si>
    <t xml:space="preserve">AUTOMOBILE </t>
  </si>
  <si>
    <t>CENTRAL RAILWAY PUNE DIVISION -FOR THE MONTH OF DECEMBER (1st DEC - 24th DEC)</t>
  </si>
  <si>
    <t>CENTRAL RAILWAY PUNE DIVISION (APRIL - TO - 24th DECEMBER)</t>
  </si>
  <si>
    <t>2023-24
 (upto nov)</t>
  </si>
  <si>
    <t>Div. Earnings in Cr.</t>
  </si>
  <si>
    <t>UPTO DEC-24</t>
  </si>
  <si>
    <t>FY TTL</t>
  </si>
  <si>
    <t xml:space="preserve"> REVENUE OF PUNE DIVISION                                                                                           (fig.in Cr)</t>
  </si>
  <si>
    <t>TOTAL PARCEL</t>
  </si>
  <si>
    <t>CENTRAL RAILWAY PUNE DIVISION (JANUARY - TO - 24th DECEMBER)</t>
  </si>
  <si>
    <t>ORIGINATING PASSENGER TRAFFIC                                                                 (fig in millions)</t>
  </si>
  <si>
    <t>CENTRAL RAILWAY PUNE DIVISION (APRIL - TO - DECEMBER)</t>
  </si>
  <si>
    <t xml:space="preserve">CENTRAL RAILWAY PUNE DIVISION :- FOR THE MONTH OF DECEMBER </t>
  </si>
  <si>
    <t>OUTSTANDING (for the month of NOV- 23)                                                                       ( fig in lakh )</t>
  </si>
  <si>
    <t>UPTO
 DEC-22</t>
  </si>
  <si>
    <t>UPTO
 DEC-23</t>
  </si>
  <si>
    <t>upto
- DEC</t>
  </si>
  <si>
    <t>TARGET
PASSENG
ER
(millons)</t>
  </si>
  <si>
    <t xml:space="preserve"> JAN-23</t>
  </si>
  <si>
    <t xml:space="preserve"> JAN-24</t>
  </si>
  <si>
    <t>UPTO
 JAN-24</t>
  </si>
  <si>
    <t>UPTO
 JAN-23</t>
  </si>
  <si>
    <t xml:space="preserve">                         REVISED --TARGET SHEET FOR FY 2023-24                   Fig in Cr.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</si>
  <si>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</si>
  <si>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</si>
  <si>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</si>
  <si>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</si>
  <si>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</si>
  <si>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</si>
  <si>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</si>
  <si>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</si>
  <si>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janaury</t>
  </si>
  <si>
    <t>february</t>
  </si>
  <si>
    <t>march</t>
  </si>
  <si>
    <t>CENTRAL RAILWAY PUNE DIVISION :- FOR THE MONTH OF JANUARY</t>
  </si>
  <si>
    <t>CENTRAL RAILWAY PUNE DIVISION (APRIL  - TO -  JANUARY)</t>
  </si>
  <si>
    <t>OUTSTANDING (for the month of DEC- 23)                                                                       ( fig in lakh )</t>
  </si>
  <si>
    <t xml:space="preserve"> FEB-23</t>
  </si>
  <si>
    <t xml:space="preserve"> FEB-24</t>
  </si>
  <si>
    <t>UPTO
 FEB-24</t>
  </si>
  <si>
    <t>UPTO
 FEB-23</t>
  </si>
  <si>
    <t>upto JAN-24</t>
  </si>
  <si>
    <t>SVJR</t>
  </si>
  <si>
    <t>PUNE</t>
  </si>
  <si>
    <t>2023-2024</t>
  </si>
  <si>
    <t>PIMPRI TO</t>
  </si>
  <si>
    <t>2022-2023</t>
  </si>
  <si>
    <t xml:space="preserve">PUNE </t>
  </si>
  <si>
    <t>UPTO JAN-24</t>
  </si>
  <si>
    <t>BOARDING  FROM   PIMPRI STN  TO PUNE , SHIVAJINAGAR</t>
  </si>
  <si>
    <t>FROM PUNE, SHIVAJINAGAR TO PIMPRI</t>
  </si>
  <si>
    <t>CENTRAL RAILWAY PUNE DIVISION :- FOR THE MONTH OF FEBRUARY</t>
  </si>
  <si>
    <t>CENTRAL RAILWAY PUNE DIVISION (APRIL  23  - TO - FEBRUARY 24)</t>
  </si>
  <si>
    <t>Diff</t>
  </si>
  <si>
    <t>CENTRAL RAILWAY PUNE DIVISION :- FOR THE MONTH OF MARCH</t>
  </si>
  <si>
    <t>CENTRAL RAILWAY PUNE DIVISION (APRIL  23  - TO - 03rd MARCH 24)</t>
  </si>
  <si>
    <t xml:space="preserve"> MARCH-24</t>
  </si>
  <si>
    <t xml:space="preserve"> MAR-23</t>
  </si>
  <si>
    <t>UPTO
 MAR-24</t>
  </si>
  <si>
    <t>UPTO
 MAR-23</t>
  </si>
  <si>
    <t>OUTSTANDING (for the month of JAN- 23)                                                                       ( fig in lakh )</t>
  </si>
  <si>
    <t>TARGET
(In Cr
Sundry)</t>
  </si>
  <si>
    <t>upto FEB-24</t>
  </si>
  <si>
    <t>TTL ORIGI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</si>
</sst>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"/>
    <numFmt numFmtId="165" formatCode="0.000"/>
    <numFmt numFmtId="166" formatCode="0.00000"/>
    <numFmt numFmtId="167" formatCode="0.0000"/>
    <numFmt numFmtId="168" formatCode="0.0000000"/>
    <numFmt numFmtId="169" formatCode="#,##0.0000"/>
    <numFmt numFmtId="170" formatCode="_(* #,##0.000_);_(* \(#,##0.000\);_(* &quot;-&quot;??_);_(@_)"/>
  </numFmts>
  <fonts count="23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2"/>
      <color theme="1"/>
      <name val="Calibri"/>
      <family val="1"/>
      <scheme val="major"/>
    </font>
    <font>
      <sz val="11"/>
      <color theme="1" tint="0.14999847407452621"/>
      <name val="Arial"/>
      <family val="2"/>
    </font>
    <font>
      <b/>
      <i/>
      <sz val="11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1"/>
      <scheme val="major"/>
    </font>
    <font>
      <sz val="14"/>
      <color theme="1"/>
      <name val="Calibri"/>
      <family val="1"/>
      <scheme val="major"/>
    </font>
    <font>
      <b/>
      <i/>
      <sz val="14"/>
      <color theme="1"/>
      <name val="Calibri"/>
      <family val="1"/>
      <scheme val="major"/>
    </font>
    <font>
      <b/>
      <sz val="14"/>
      <color theme="1" tint="4.9989318521683403E-2"/>
      <name val="Calibri"/>
      <family val="1"/>
      <scheme val="major"/>
    </font>
    <font>
      <sz val="14"/>
      <color theme="1" tint="4.9989318521683403E-2"/>
      <name val="Calibri"/>
      <family val="1"/>
      <scheme val="major"/>
    </font>
    <font>
      <b/>
      <i/>
      <sz val="14"/>
      <color theme="1" tint="4.9989318521683403E-2"/>
      <name val="Calibri"/>
      <family val="1"/>
      <scheme val="major"/>
    </font>
    <font>
      <sz val="12"/>
      <color theme="1"/>
      <name val="Calibri"/>
      <family val="1"/>
      <scheme val="major"/>
    </font>
    <font>
      <i/>
      <sz val="12"/>
      <color theme="1"/>
      <name val="Calibri"/>
      <family val="1"/>
      <scheme val="major"/>
    </font>
    <font>
      <sz val="11"/>
      <color theme="0"/>
      <name val="Arial"/>
      <family val="2"/>
    </font>
    <font>
      <b/>
      <sz val="14"/>
      <color rgb="FFFF0000"/>
      <name val="Calibri"/>
      <family val="1"/>
      <scheme val="major"/>
    </font>
    <font>
      <sz val="14"/>
      <color rgb="FFFF0000"/>
      <name val="Calibri"/>
      <family val="1"/>
      <scheme val="major"/>
    </font>
    <font>
      <b/>
      <i/>
      <sz val="14"/>
      <color rgb="FFFF0000"/>
      <name val="Calibri"/>
      <family val="1"/>
      <scheme val="major"/>
    </font>
    <font>
      <sz val="11"/>
      <color theme="1"/>
      <name val="Calibri"/>
      <family val="1"/>
      <scheme val="major"/>
    </font>
    <font>
      <sz val="16"/>
      <color theme="1"/>
      <name val="Calibri"/>
      <family val="1"/>
      <scheme val="major"/>
    </font>
    <font>
      <b/>
      <sz val="12"/>
      <color rgb="FF0D0D0D"/>
      <name val="Verdana"/>
      <family val="2"/>
    </font>
    <font>
      <sz val="12"/>
      <color rgb="FF0D0D0D"/>
      <name val="Verdana"/>
      <family val="2"/>
    </font>
    <font>
      <b/>
      <sz val="14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4"/>
      <color theme="1"/>
      <name val="Bookman Old Style"/>
      <family val="1"/>
    </font>
    <font>
      <sz val="11"/>
      <color theme="1"/>
      <name val="Bookman Old Style"/>
      <family val="1"/>
    </font>
    <font>
      <b/>
      <i/>
      <sz val="12"/>
      <color theme="1"/>
      <name val="Bookman Old Style"/>
      <family val="1"/>
    </font>
    <font>
      <sz val="12"/>
      <color theme="1"/>
      <name val="Bookman Old Style"/>
      <family val="1"/>
    </font>
    <font>
      <b/>
      <i/>
      <sz val="14"/>
      <color theme="1"/>
      <name val="Bookman Old Style"/>
      <family val="1"/>
    </font>
    <font>
      <b/>
      <sz val="12"/>
      <color theme="1"/>
      <name val="Bookman Old Style"/>
      <family val="1"/>
    </font>
    <font>
      <b/>
      <sz val="14"/>
      <color rgb="FFFF0000"/>
      <name val="Bookman Old Style"/>
      <family val="1"/>
    </font>
    <font>
      <sz val="14"/>
      <color rgb="FFFF0000"/>
      <name val="Bookman Old Style"/>
      <family val="1"/>
    </font>
    <font>
      <b/>
      <sz val="12"/>
      <color rgb="FFFF0000"/>
      <name val="Bookman Old Style"/>
      <family val="1"/>
    </font>
    <font>
      <sz val="12"/>
      <color rgb="FFFF0000"/>
      <name val="Bookman Old Style"/>
      <family val="1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.5"/>
      <color theme="1"/>
      <name val="Arial"/>
      <family val="2"/>
    </font>
    <font>
      <sz val="12.5"/>
      <color theme="1"/>
      <name val="Arial"/>
      <family val="2"/>
    </font>
    <font>
      <b/>
      <sz val="14"/>
      <color theme="1"/>
      <name val="Arial"/>
      <family val="2"/>
    </font>
    <font>
      <b/>
      <sz val="12.5"/>
      <name val="Arial"/>
      <family val="2"/>
    </font>
    <font>
      <b/>
      <sz val="13"/>
      <color theme="1"/>
      <name val="Arial"/>
      <family val="2"/>
    </font>
    <font>
      <b/>
      <sz val="11"/>
      <color theme="1"/>
      <name val="Comic Sans MS"/>
      <family val="4"/>
    </font>
    <font>
      <sz val="12"/>
      <color rgb="FFFF0000"/>
      <name val="Arial"/>
      <family val="2"/>
    </font>
    <font>
      <b/>
      <sz val="13"/>
      <color rgb="FFFF0000"/>
      <name val="Arial"/>
      <family val="2"/>
    </font>
    <font>
      <b/>
      <sz val="15"/>
      <color theme="1"/>
      <name val="Arial"/>
      <family val="2"/>
    </font>
    <font>
      <sz val="11"/>
      <color rgb="FFFA7D00"/>
      <name val="Calibri"/>
      <family val="2"/>
      <scheme val="minor"/>
    </font>
    <font>
      <b/>
      <sz val="11"/>
      <color rgb="FFFF0000"/>
      <name val="Arial"/>
      <family val="2"/>
    </font>
    <font>
      <b/>
      <i/>
      <sz val="13"/>
      <color theme="1"/>
      <name val="Arial"/>
      <family val="2"/>
    </font>
    <font>
      <b/>
      <sz val="14"/>
      <color rgb="FFFF0000"/>
      <name val="Arial"/>
      <family val="2"/>
    </font>
    <font>
      <b/>
      <sz val="14"/>
      <color rgb="FFC00000"/>
      <name val="Arial"/>
      <family val="2"/>
    </font>
    <font>
      <b/>
      <sz val="12.5"/>
      <color rgb="FF0070C0"/>
      <name val="Arial"/>
      <family val="2"/>
    </font>
    <font>
      <b/>
      <sz val="14"/>
      <color rgb="FF0070C0"/>
      <name val="Arial"/>
      <family val="2"/>
    </font>
    <font>
      <sz val="12"/>
      <color rgb="FF0070C0"/>
      <name val="Arial"/>
      <family val="2"/>
    </font>
    <font>
      <sz val="12.5"/>
      <color theme="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theme="1"/>
      <name val="Calibri"/>
      <family val="1"/>
      <scheme val="major"/>
    </font>
    <font>
      <b/>
      <i/>
      <sz val="13"/>
      <color rgb="FFFF0000"/>
      <name val="Arial"/>
      <family val="2"/>
    </font>
    <font>
      <sz val="11"/>
      <color rgb="FF000000"/>
      <name val="Comic Sans MS"/>
      <family val="4"/>
    </font>
    <font>
      <b/>
      <sz val="11"/>
      <color rgb="FF000000"/>
      <name val="Comic Sans MS"/>
      <family val="4"/>
    </font>
    <font>
      <b/>
      <sz val="12"/>
      <color theme="1"/>
      <name val="Calibri"/>
      <family val="2"/>
      <scheme val="major"/>
    </font>
    <font>
      <sz val="9"/>
      <color theme="1"/>
      <name val="Calibri"/>
      <family val="1"/>
      <scheme val="major"/>
    </font>
    <font>
      <sz val="11"/>
      <color rgb="FF006100"/>
      <name val="Calibri"/>
      <family val="2"/>
      <scheme val="minor"/>
    </font>
    <font>
      <b/>
      <sz val="12.5"/>
      <color rgb="FFC00000"/>
      <name val="Arial"/>
      <family val="2"/>
    </font>
    <font>
      <b/>
      <i/>
      <sz val="13"/>
      <color rgb="FFC00000"/>
      <name val="Arial"/>
      <family val="2"/>
    </font>
    <font>
      <b/>
      <i/>
      <sz val="14"/>
      <color theme="1"/>
      <name val="Arial"/>
      <family val="2"/>
    </font>
    <font>
      <b/>
      <i/>
      <sz val="14"/>
      <color rgb="FFFF0000"/>
      <name val="Arial"/>
      <family val="2"/>
    </font>
    <font>
      <sz val="11"/>
      <color theme="1"/>
      <name val="Comic Sans MS"/>
      <family val="4"/>
    </font>
    <font>
      <b/>
      <sz val="13"/>
      <color theme="1"/>
      <name val="Cambria"/>
      <family val="1"/>
    </font>
    <font>
      <sz val="13"/>
      <color theme="1"/>
      <name val="Cambria"/>
      <family val="1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sz val="15"/>
      <color theme="1"/>
      <name val="Cambria"/>
      <family val="1"/>
    </font>
    <font>
      <sz val="11"/>
      <color rgb="FF333333"/>
      <name val="Arial"/>
      <family val="2"/>
    </font>
    <font>
      <b/>
      <i/>
      <sz val="12"/>
      <color theme="1"/>
      <name val="Arial"/>
      <family val="2"/>
    </font>
    <font>
      <sz val="11"/>
      <color rgb="FF333333"/>
      <name val="Calibri"/>
      <family val="2"/>
      <scheme val="major"/>
    </font>
    <font>
      <sz val="15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2.5"/>
      <color rgb="FFFF0000"/>
      <name val="Arial"/>
      <family val="2"/>
    </font>
    <font>
      <sz val="12"/>
      <color theme="1"/>
      <name val="Calibri"/>
      <family val="2"/>
      <scheme val="major"/>
    </font>
    <font>
      <b/>
      <sz val="10"/>
      <color theme="1"/>
      <name val="Cambria"/>
      <family val="1"/>
    </font>
    <font>
      <sz val="10"/>
      <color theme="1"/>
      <name val="Cambria"/>
      <family val="1"/>
    </font>
    <font>
      <b/>
      <sz val="12.5"/>
      <color theme="4" tint="-0.499984740745262"/>
      <name val="Arial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sz val="12"/>
      <color rgb="FF000000"/>
      <name val="Cambria"/>
      <family val="1"/>
    </font>
    <font>
      <sz val="12"/>
      <color rgb="FF000000"/>
      <name val="Cambria"/>
      <family val="1"/>
    </font>
    <font>
      <sz val="11"/>
      <color rgb="FF333333"/>
      <name val="Open Sans"/>
      <family val="2"/>
    </font>
    <font>
      <sz val="13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Verdana"/>
      <family val="2"/>
    </font>
    <font>
      <sz val="11"/>
      <color theme="1"/>
      <name val="Verdana"/>
      <family val="2"/>
    </font>
    <font>
      <sz val="8"/>
      <color theme="1"/>
      <name val="Arial"/>
      <family val="2"/>
    </font>
    <font>
      <b/>
      <i/>
      <sz val="14"/>
      <color rgb="FFC00000"/>
      <name val="Arial"/>
      <family val="2"/>
    </font>
    <font>
      <b/>
      <sz val="11"/>
      <color theme="1"/>
      <name val="Bookman Old Style"/>
      <family val="1"/>
    </font>
    <font>
      <b/>
      <sz val="16"/>
      <color theme="1"/>
      <name val="Bookman Old Style"/>
      <family val="1"/>
    </font>
    <font>
      <b/>
      <sz val="10"/>
      <color theme="1"/>
      <name val="Bookman Old Style"/>
      <family val="1"/>
    </font>
    <font>
      <b/>
      <i/>
      <sz val="14"/>
      <color rgb="FFFF0000"/>
      <name val="Bookman Old Style"/>
      <family val="1"/>
    </font>
    <font>
      <sz val="14"/>
      <color theme="1"/>
      <name val="Bookman Old Style"/>
      <family val="1"/>
    </font>
    <font>
      <i/>
      <sz val="11"/>
      <color theme="1"/>
      <name val="Bookman Old Style"/>
      <family val="1"/>
    </font>
    <font>
      <b/>
      <i/>
      <sz val="11"/>
      <color theme="1"/>
      <name val="Bookman Old Style"/>
      <family val="1"/>
    </font>
    <font>
      <b/>
      <sz val="12"/>
      <color rgb="FF0070C0"/>
      <name val="Arial"/>
      <family val="2"/>
    </font>
    <font>
      <b/>
      <sz val="10"/>
      <color rgb="FFFF0000"/>
      <name val="Cambria"/>
      <family val="1"/>
    </font>
    <font>
      <sz val="11"/>
      <name val="Calibri"/>
      <family val="2"/>
      <scheme val="minor"/>
    </font>
    <font>
      <sz val="11"/>
      <color theme="1"/>
      <name val="Calibri"/>
      <family val="2"/>
      <scheme val="major"/>
    </font>
    <font>
      <b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b/>
      <sz val="11"/>
      <color theme="1"/>
      <name val="Calibri"/>
      <family val="2"/>
      <scheme val="maj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9" tint="-0.249977111117893"/>
      <name val="Cambria"/>
      <family val="1"/>
    </font>
    <font>
      <sz val="11"/>
      <color theme="9" tint="-0.249977111117893"/>
      <name val="Calibri"/>
      <family val="2"/>
      <scheme val="minor"/>
    </font>
    <font>
      <sz val="10"/>
      <color rgb="FF0070C0"/>
      <name val="Cambria"/>
      <family val="1"/>
    </font>
    <font>
      <sz val="11"/>
      <color rgb="FF0070C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9"/>
      <color theme="1"/>
      <name val="Cambria"/>
      <family val="1"/>
    </font>
    <font>
      <b/>
      <sz val="11"/>
      <color rgb="FFFF0000"/>
      <name val="Cambria"/>
      <family val="1"/>
    </font>
    <font>
      <sz val="10.5"/>
      <color theme="1"/>
      <name val="Nirmala UI"/>
      <family val="2"/>
    </font>
    <font>
      <sz val="10.5"/>
      <color rgb="FF000000"/>
      <name val="Nirmala UI"/>
      <family val="2"/>
    </font>
    <font>
      <b/>
      <sz val="10.5"/>
      <color theme="1"/>
      <name val="Nirmala UI"/>
      <family val="2"/>
    </font>
    <font>
      <b/>
      <sz val="12"/>
      <color rgb="FFFF0000"/>
      <name val="Arial"/>
      <family val="2"/>
    </font>
    <font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i/>
      <sz val="12.5"/>
      <color theme="1"/>
      <name val="Arial"/>
      <family val="2"/>
    </font>
    <font>
      <b/>
      <i/>
      <sz val="12.5"/>
      <color theme="1"/>
      <name val="Arial"/>
      <family val="2"/>
    </font>
    <font>
      <sz val="12"/>
      <name val="Calibri"/>
      <family val="2"/>
      <scheme val="major"/>
    </font>
    <font>
      <b/>
      <sz val="10"/>
      <color theme="1"/>
      <name val="Arial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6"/>
      <color theme="1"/>
      <name val="Cambria"/>
      <family val="1"/>
    </font>
    <font>
      <sz val="11"/>
      <color rgb="FFFF0000"/>
      <name val="Open Sans"/>
      <family val="2"/>
    </font>
    <font>
      <sz val="11"/>
      <color rgb="FFFF0000"/>
      <name val="Bookman Old Style"/>
      <family val="1"/>
    </font>
    <font>
      <sz val="10"/>
      <color rgb="FF333333"/>
      <name val="Open Sans"/>
      <family val="2"/>
    </font>
    <font>
      <b/>
      <sz val="16"/>
      <color rgb="FFC00000"/>
      <name val="Arial"/>
      <family val="2"/>
    </font>
    <font>
      <sz val="10"/>
      <color theme="1"/>
      <name val="Times New Roman"/>
      <family val="1"/>
    </font>
    <font>
      <sz val="12"/>
      <color rgb="FF333333"/>
      <name val="Open Sans"/>
      <family val="2"/>
    </font>
    <font>
      <b/>
      <i/>
      <sz val="12"/>
      <color theme="0"/>
      <name val="Arial"/>
      <family val="2"/>
    </font>
    <font>
      <b/>
      <sz val="12"/>
      <color theme="0"/>
      <name val="Arial"/>
      <family val="2"/>
    </font>
    <font>
      <b/>
      <i/>
      <sz val="14"/>
      <color theme="0"/>
      <name val="Arial"/>
      <family val="2"/>
    </font>
    <font>
      <b/>
      <sz val="11"/>
      <color theme="0"/>
      <name val="Arial"/>
      <family val="2"/>
    </font>
    <font>
      <sz val="10"/>
      <color theme="1"/>
      <name val="Open Sans"/>
      <family val="2"/>
    </font>
    <font>
      <b/>
      <sz val="16"/>
      <color theme="1"/>
      <name val="Arial"/>
      <family val="2"/>
    </font>
    <font>
      <b/>
      <sz val="9"/>
      <color theme="1"/>
      <name val="Bookman Old Style"/>
      <family val="1"/>
    </font>
    <font>
      <sz val="9"/>
      <color rgb="FF333333"/>
      <name val="Open Sans"/>
      <family val="2"/>
    </font>
    <font>
      <sz val="11"/>
      <color rgb="FFFF0000"/>
      <name val="Cambria"/>
      <family val="1"/>
    </font>
    <font>
      <sz val="10"/>
      <color rgb="FFFF000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i/>
      <sz val="11"/>
      <color theme="1"/>
      <name val="Cambria"/>
      <family val="1"/>
    </font>
    <font>
      <i/>
      <sz val="11"/>
      <color theme="1"/>
      <name val="Cambria"/>
      <family val="1"/>
    </font>
    <font>
      <sz val="8"/>
      <name val="Calibri"/>
      <family val="2"/>
      <scheme val="minor"/>
    </font>
    <font>
      <b/>
      <sz val="18"/>
      <color rgb="FFFF0000"/>
      <name val="Bookman Old Style"/>
      <family val="1"/>
    </font>
    <font>
      <sz val="7"/>
      <color theme="1"/>
      <name val="Calibri"/>
      <family val="2"/>
    </font>
    <font>
      <sz val="11"/>
      <color rgb="FF000000"/>
      <name val="Calibri"/>
      <family val="2"/>
    </font>
    <font>
      <sz val="11"/>
      <color rgb="FF333333"/>
      <name val="Calibri"/>
      <family val="2"/>
    </font>
    <font>
      <sz val="10"/>
      <color rgb="FF000000"/>
      <name val="Bookman Old Style"/>
      <family val="1"/>
    </font>
    <font>
      <b/>
      <sz val="11"/>
      <color rgb="FF333333"/>
      <name val="Calibri"/>
      <family val="2"/>
    </font>
    <font>
      <b/>
      <i/>
      <sz val="12"/>
      <name val="Arial"/>
      <family val="2"/>
    </font>
    <font>
      <b/>
      <sz val="10"/>
      <color theme="0"/>
      <name val="Arial"/>
      <family val="2"/>
    </font>
    <font>
      <b/>
      <i/>
      <sz val="10"/>
      <color theme="0"/>
      <name val="Arial"/>
      <family val="2"/>
    </font>
    <font>
      <b/>
      <sz val="8"/>
      <color theme="1"/>
      <name val="Arial"/>
      <family val="2"/>
    </font>
    <font>
      <b/>
      <sz val="9"/>
      <color theme="0"/>
      <name val="Bookman Old Style"/>
      <family val="1"/>
    </font>
    <font>
      <b/>
      <sz val="11"/>
      <color theme="0"/>
      <name val="Bookman Old Style"/>
      <family val="1"/>
    </font>
    <font>
      <b/>
      <sz val="9"/>
      <name val="Bookman Old Style"/>
      <family val="1"/>
    </font>
    <font>
      <b/>
      <i/>
      <sz val="11"/>
      <color theme="0"/>
      <name val="Arial"/>
      <family val="2"/>
    </font>
    <font>
      <b/>
      <sz val="11"/>
      <color theme="1"/>
      <name val="Calibri"/>
      <family val="1"/>
      <scheme val="major"/>
    </font>
    <font>
      <sz val="8"/>
      <color rgb="FFFF0000"/>
      <name val="Open Sans"/>
      <family val="2"/>
    </font>
    <font>
      <sz val="8"/>
      <color theme="1"/>
      <name val="Calibri"/>
      <family val="2"/>
      <scheme val="minor"/>
    </font>
    <font>
      <b/>
      <sz val="12"/>
      <color rgb="FF00B050"/>
      <name val="Aptos Black"/>
      <family val="2"/>
    </font>
    <font>
      <sz val="12"/>
      <color rgb="FF00B050"/>
      <name val="Aptos Black"/>
      <family val="2"/>
    </font>
    <font>
      <i/>
      <sz val="10"/>
      <color theme="1"/>
      <name val="Calibri"/>
      <family val="2"/>
      <scheme val="minor"/>
    </font>
    <font>
      <b/>
      <sz val="11"/>
      <color rgb="FF00B050"/>
      <name val="Arial"/>
      <family val="2"/>
    </font>
    <font>
      <b/>
      <sz val="11"/>
      <color rgb="FFC00000"/>
      <name val="Arial"/>
      <family val="2"/>
    </font>
    <font>
      <b/>
      <i/>
      <sz val="11"/>
      <name val="Arial"/>
      <family val="2"/>
    </font>
    <font>
      <b/>
      <sz val="11"/>
      <name val="Arial"/>
      <family val="2"/>
    </font>
    <font>
      <b/>
      <sz val="11"/>
      <color rgb="FF0070C0"/>
      <name val="Arial"/>
      <family val="2"/>
    </font>
    <font>
      <i/>
      <sz val="11"/>
      <color theme="1"/>
      <name val="Arial"/>
      <family val="2"/>
    </font>
    <font>
      <sz val="14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color theme="1"/>
      <name val="Arial"/>
      <family val="2"/>
    </font>
    <font>
      <b/>
      <sz val="12.5"/>
      <color theme="1"/>
      <name val="Cambria"/>
      <family val="1"/>
    </font>
    <font>
      <b/>
      <sz val="12.5"/>
      <name val="Cambria"/>
      <family val="1"/>
    </font>
    <font>
      <b/>
      <sz val="16"/>
      <color rgb="FFFF0000"/>
      <name val="Cambria"/>
      <family val="1"/>
    </font>
    <font>
      <i/>
      <sz val="16"/>
      <color rgb="FFFF0000"/>
      <name val="Cambria"/>
      <family val="1"/>
    </font>
    <font>
      <b/>
      <sz val="16"/>
      <color rgb="FFC00000"/>
      <name val="Cambria"/>
      <family val="1"/>
    </font>
    <font>
      <b/>
      <i/>
      <sz val="16"/>
      <color rgb="FFC00000"/>
      <name val="Cambria"/>
      <family val="1"/>
    </font>
    <font>
      <b/>
      <sz val="18"/>
      <color rgb="FF00B050"/>
      <name val="Cambria"/>
      <family val="1"/>
    </font>
    <font>
      <sz val="18"/>
      <color rgb="FF00B050"/>
      <name val="Cambria"/>
      <family val="1"/>
    </font>
    <font>
      <b/>
      <i/>
      <sz val="16"/>
      <color rgb="FF00B050"/>
      <name val="Cambria"/>
      <family val="1"/>
    </font>
    <font>
      <b/>
      <i/>
      <sz val="11"/>
      <color rgb="FF00B050"/>
      <name val="Cambria"/>
      <family val="1"/>
    </font>
    <font>
      <sz val="9"/>
      <color theme="1"/>
      <name val="Cambria"/>
      <family val="1"/>
    </font>
    <font>
      <sz val="9"/>
      <color theme="1"/>
      <name val="Calibri"/>
      <family val="2"/>
      <scheme val="minor"/>
    </font>
    <font>
      <b/>
      <sz val="11"/>
      <color rgb="FFFF0000"/>
      <name val="Bookman Old Style"/>
      <family val="1"/>
    </font>
    <font>
      <b/>
      <sz val="11"/>
      <color rgb="FF333333"/>
      <name val="Open Sans"/>
      <family val="2"/>
    </font>
    <font>
      <sz val="12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.5"/>
      <color rgb="FF00B0F0"/>
      <name val="Arial"/>
      <family val="2"/>
    </font>
    <font>
      <b/>
      <sz val="12.5"/>
      <color rgb="FF00B050"/>
      <name val="Arial"/>
      <family val="2"/>
    </font>
    <font>
      <b/>
      <sz val="14"/>
      <color rgb="FF00B050"/>
      <name val="Arial"/>
      <family val="2"/>
    </font>
    <font>
      <b/>
      <i/>
      <sz val="12.5"/>
      <color rgb="FFFF0000"/>
      <name val="Arial"/>
      <family val="2"/>
    </font>
    <font>
      <b/>
      <i/>
      <sz val="12"/>
      <color rgb="FFFF0000"/>
      <name val="Arial"/>
      <family val="2"/>
    </font>
    <font>
      <b/>
      <i/>
      <sz val="12.5"/>
      <color rgb="FF00B050"/>
      <name val="Arial"/>
      <family val="2"/>
    </font>
    <font>
      <b/>
      <i/>
      <sz val="14"/>
      <color rgb="FF00B050"/>
      <name val="Arial"/>
      <family val="2"/>
    </font>
    <font>
      <sz val="12.5"/>
      <color rgb="FF00B050"/>
      <name val="Arial"/>
      <family val="2"/>
    </font>
    <font>
      <sz val="12.5"/>
      <color rgb="FFFF0000"/>
      <name val="Arial"/>
      <family val="2"/>
    </font>
    <font>
      <sz val="11"/>
      <color rgb="FF00B050"/>
      <name val="Arial"/>
      <family val="2"/>
    </font>
    <font>
      <i/>
      <sz val="12.5"/>
      <color rgb="FFFF0000"/>
      <name val="Arial"/>
      <family val="2"/>
    </font>
    <font>
      <b/>
      <sz val="14"/>
      <color rgb="FFFF0000"/>
      <name val="Cambria"/>
      <family val="1"/>
    </font>
    <font>
      <b/>
      <sz val="11"/>
      <color rgb="FF333333"/>
      <name val="Calibri"/>
      <family val="2"/>
      <scheme val="major"/>
    </font>
    <font>
      <i/>
      <sz val="9"/>
      <color theme="1"/>
      <name val="Calibri"/>
      <family val="2"/>
      <scheme val="minor"/>
    </font>
    <font>
      <i/>
      <sz val="9"/>
      <color theme="1"/>
      <name val="Arial"/>
      <family val="2"/>
    </font>
    <font>
      <b/>
      <sz val="16"/>
      <color rgb="FFFF0000"/>
      <name val="Bookman Old Style"/>
      <family val="1"/>
    </font>
    <font>
      <b/>
      <sz val="14"/>
      <color rgb="FF7030A0"/>
      <name val="Arial"/>
      <family val="2"/>
    </font>
    <font>
      <b/>
      <sz val="13"/>
      <color theme="1"/>
      <name val="Times New Roman"/>
      <family val="1"/>
    </font>
    <font>
      <b/>
      <i/>
      <sz val="11"/>
      <color rgb="FFFF0000"/>
      <name val="Bookman Old Style"/>
      <family val="1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6F6F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BD4B4"/>
        <bgColor indexed="64"/>
      </patternFill>
    </fill>
    <fill>
      <patternFill patternType="solid">
        <fgColor rgb="FFACBAD4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FCFD"/>
        <bgColor indexed="64"/>
      </patternFill>
    </fill>
  </fills>
  <borders count="1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/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rgb="FFDDDDDD"/>
      </right>
      <top/>
      <bottom style="medium">
        <color rgb="FF111111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 style="medium">
        <color rgb="FF111111"/>
      </bottom>
      <diagonal/>
    </border>
    <border>
      <left/>
      <right/>
      <top style="medium">
        <color rgb="FFDDDDDD"/>
      </top>
      <bottom style="medium">
        <color rgb="FF111111"/>
      </bottom>
      <diagonal/>
    </border>
    <border>
      <left/>
      <right style="medium">
        <color rgb="FFDDDDDD"/>
      </right>
      <top/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rgb="FF11111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111111"/>
      </bottom>
      <diagonal/>
    </border>
  </borders>
  <cellStyleXfs count="5">
    <xf numFmtId="0" fontId="0" fillId="0" borderId="0"/>
    <xf numFmtId="0" fontId="59" fillId="0" borderId="44" applyNumberFormat="0" applyFill="0" applyAlignment="0" applyProtection="0"/>
    <xf numFmtId="0" fontId="75" fillId="10" borderId="0" applyNumberFormat="0" applyBorder="0" applyAlignment="0" applyProtection="0"/>
    <xf numFmtId="43" fontId="124" fillId="0" borderId="0" applyFont="0" applyFill="0" applyBorder="0" applyAlignment="0" applyProtection="0"/>
    <xf numFmtId="0" fontId="124" fillId="0" borderId="0"/>
  </cellStyleXfs>
  <cellXfs count="2630">
    <xf numFmtId="0" fontId="0" fillId="0" borderId="0" xfId="0"/>
    <xf numFmtId="0" fontId="3" fillId="0" borderId="14" xfId="0" applyFont="1" applyBorder="1" applyAlignment="1">
      <alignment horizontal="right"/>
    </xf>
    <xf numFmtId="0" fontId="3" fillId="0" borderId="15" xfId="0" applyFont="1" applyBorder="1" applyAlignment="1">
      <alignment horizontal="right"/>
    </xf>
    <xf numFmtId="0" fontId="3" fillId="0" borderId="16" xfId="0" applyFont="1" applyBorder="1" applyAlignment="1">
      <alignment horizontal="right"/>
    </xf>
    <xf numFmtId="0" fontId="3" fillId="0" borderId="17" xfId="0" applyFont="1" applyBorder="1" applyAlignment="1">
      <alignment horizontal="right"/>
    </xf>
    <xf numFmtId="0" fontId="5" fillId="0" borderId="0" xfId="0" applyFont="1"/>
    <xf numFmtId="0" fontId="5" fillId="0" borderId="1" xfId="0" applyFont="1" applyBorder="1"/>
    <xf numFmtId="1" fontId="5" fillId="0" borderId="1" xfId="0" applyNumberFormat="1" applyFont="1" applyBorder="1"/>
    <xf numFmtId="0" fontId="5" fillId="3" borderId="1" xfId="0" applyFont="1" applyFill="1" applyBorder="1"/>
    <xf numFmtId="0" fontId="4" fillId="0" borderId="1" xfId="0" applyFont="1" applyBorder="1"/>
    <xf numFmtId="0" fontId="5" fillId="0" borderId="7" xfId="0" applyFont="1" applyBorder="1"/>
    <xf numFmtId="164" fontId="5" fillId="0" borderId="0" xfId="0" applyNumberFormat="1" applyFont="1"/>
    <xf numFmtId="2" fontId="5" fillId="0" borderId="0" xfId="0" applyNumberFormat="1" applyFont="1"/>
    <xf numFmtId="165" fontId="5" fillId="0" borderId="0" xfId="0" applyNumberFormat="1" applyFont="1"/>
    <xf numFmtId="0" fontId="5" fillId="0" borderId="8" xfId="0" applyFont="1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5" fillId="3" borderId="12" xfId="0" applyFont="1" applyFill="1" applyBorder="1"/>
    <xf numFmtId="0" fontId="5" fillId="3" borderId="13" xfId="0" applyFont="1" applyFill="1" applyBorder="1"/>
    <xf numFmtId="0" fontId="5" fillId="0" borderId="5" xfId="0" applyFont="1" applyBorder="1" applyAlignment="1">
      <alignment vertical="center"/>
    </xf>
    <xf numFmtId="0" fontId="5" fillId="0" borderId="12" xfId="0" applyFont="1" applyBorder="1"/>
    <xf numFmtId="0" fontId="5" fillId="0" borderId="13" xfId="0" applyFont="1" applyBorder="1"/>
    <xf numFmtId="0" fontId="5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0" borderId="0" xfId="0" applyFont="1"/>
    <xf numFmtId="2" fontId="5" fillId="0" borderId="1" xfId="0" applyNumberFormat="1" applyFont="1" applyBorder="1"/>
    <xf numFmtId="2" fontId="4" fillId="0" borderId="1" xfId="0" applyNumberFormat="1" applyFont="1" applyBorder="1"/>
    <xf numFmtId="0" fontId="4" fillId="0" borderId="1" xfId="0" applyFont="1" applyBorder="1" applyAlignment="1">
      <alignment horizontal="center"/>
    </xf>
    <xf numFmtId="165" fontId="5" fillId="0" borderId="1" xfId="0" applyNumberFormat="1" applyFont="1" applyBorder="1"/>
    <xf numFmtId="164" fontId="5" fillId="0" borderId="1" xfId="0" applyNumberFormat="1" applyFont="1" applyBorder="1"/>
    <xf numFmtId="0" fontId="5" fillId="2" borderId="1" xfId="0" applyFont="1" applyFill="1" applyBorder="1"/>
    <xf numFmtId="0" fontId="5" fillId="0" borderId="1" xfId="0" applyFont="1" applyBorder="1" applyAlignment="1">
      <alignment horizontal="center" vertical="center"/>
    </xf>
    <xf numFmtId="2" fontId="5" fillId="2" borderId="1" xfId="0" applyNumberFormat="1" applyFont="1" applyFill="1" applyBorder="1"/>
    <xf numFmtId="0" fontId="5" fillId="0" borderId="0" xfId="0" applyFont="1" applyAlignment="1">
      <alignment horizontal="center" vertical="center"/>
    </xf>
    <xf numFmtId="1" fontId="4" fillId="0" borderId="1" xfId="0" applyNumberFormat="1" applyFont="1" applyBorder="1"/>
    <xf numFmtId="166" fontId="5" fillId="0" borderId="1" xfId="0" applyNumberFormat="1" applyFont="1" applyBorder="1"/>
    <xf numFmtId="0" fontId="6" fillId="2" borderId="1" xfId="0" applyFont="1" applyFill="1" applyBorder="1"/>
    <xf numFmtId="2" fontId="6" fillId="2" borderId="1" xfId="0" applyNumberFormat="1" applyFont="1" applyFill="1" applyBorder="1"/>
    <xf numFmtId="167" fontId="5" fillId="0" borderId="1" xfId="0" applyNumberFormat="1" applyFont="1" applyBorder="1"/>
    <xf numFmtId="1" fontId="5" fillId="0" borderId="0" xfId="0" applyNumberFormat="1" applyFont="1"/>
    <xf numFmtId="167" fontId="5" fillId="0" borderId="0" xfId="0" applyNumberFormat="1" applyFont="1"/>
    <xf numFmtId="165" fontId="5" fillId="2" borderId="1" xfId="0" applyNumberFormat="1" applyFont="1" applyFill="1" applyBorder="1"/>
    <xf numFmtId="0" fontId="5" fillId="0" borderId="5" xfId="0" applyFont="1" applyBorder="1"/>
    <xf numFmtId="0" fontId="5" fillId="0" borderId="6" xfId="0" applyFont="1" applyBorder="1"/>
    <xf numFmtId="0" fontId="5" fillId="0" borderId="13" xfId="0" applyFont="1" applyBorder="1" applyAlignment="1">
      <alignment horizontal="right"/>
    </xf>
    <xf numFmtId="0" fontId="5" fillId="0" borderId="0" xfId="0" applyFont="1" applyAlignment="1">
      <alignment horizontal="right"/>
    </xf>
    <xf numFmtId="164" fontId="4" fillId="0" borderId="1" xfId="0" applyNumberFormat="1" applyFont="1" applyBorder="1"/>
    <xf numFmtId="0" fontId="5" fillId="5" borderId="1" xfId="0" applyFont="1" applyFill="1" applyBorder="1"/>
    <xf numFmtId="2" fontId="5" fillId="5" borderId="1" xfId="0" applyNumberFormat="1" applyFont="1" applyFill="1" applyBorder="1"/>
    <xf numFmtId="164" fontId="5" fillId="2" borderId="1" xfId="0" applyNumberFormat="1" applyFont="1" applyFill="1" applyBorder="1"/>
    <xf numFmtId="2" fontId="5" fillId="0" borderId="9" xfId="0" applyNumberFormat="1" applyFont="1" applyBorder="1"/>
    <xf numFmtId="167" fontId="5" fillId="2" borderId="1" xfId="0" applyNumberFormat="1" applyFont="1" applyFill="1" applyBorder="1"/>
    <xf numFmtId="0" fontId="0" fillId="0" borderId="0" xfId="0" applyAlignment="1">
      <alignment horizontal="left"/>
    </xf>
    <xf numFmtId="0" fontId="7" fillId="0" borderId="0" xfId="0" applyFont="1"/>
    <xf numFmtId="0" fontId="7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7" fillId="0" borderId="1" xfId="0" applyFont="1" applyBorder="1"/>
    <xf numFmtId="0" fontId="7" fillId="0" borderId="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2" fontId="7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2" fontId="7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6" xfId="0" applyFont="1" applyBorder="1" applyAlignment="1">
      <alignment horizontal="left" wrapText="1"/>
    </xf>
    <xf numFmtId="0" fontId="7" fillId="0" borderId="6" xfId="0" applyFont="1" applyBorder="1"/>
    <xf numFmtId="1" fontId="4" fillId="0" borderId="1" xfId="0" applyNumberFormat="1" applyFont="1" applyBorder="1" applyAlignment="1">
      <alignment horizontal="left" indent="1"/>
    </xf>
    <xf numFmtId="0" fontId="5" fillId="0" borderId="1" xfId="0" applyFont="1" applyBorder="1" applyAlignment="1">
      <alignment horizontal="left" wrapText="1" indent="1"/>
    </xf>
    <xf numFmtId="2" fontId="4" fillId="0" borderId="1" xfId="0" applyNumberFormat="1" applyFont="1" applyBorder="1" applyAlignment="1">
      <alignment horizontal="left" indent="1"/>
    </xf>
    <xf numFmtId="2" fontId="6" fillId="0" borderId="1" xfId="0" applyNumberFormat="1" applyFont="1" applyBorder="1"/>
    <xf numFmtId="2" fontId="8" fillId="2" borderId="1" xfId="0" applyNumberFormat="1" applyFont="1" applyFill="1" applyBorder="1"/>
    <xf numFmtId="0" fontId="5" fillId="0" borderId="9" xfId="0" applyFont="1" applyBorder="1" applyAlignment="1">
      <alignment horizontal="right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 indent="1"/>
    </xf>
    <xf numFmtId="2" fontId="5" fillId="0" borderId="1" xfId="0" applyNumberFormat="1" applyFont="1" applyBorder="1" applyAlignment="1">
      <alignment horizontal="left" indent="1"/>
    </xf>
    <xf numFmtId="164" fontId="5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164" fontId="5" fillId="0" borderId="0" xfId="0" applyNumberFormat="1" applyFont="1" applyAlignment="1">
      <alignment horizontal="center"/>
    </xf>
    <xf numFmtId="0" fontId="9" fillId="0" borderId="1" xfId="0" applyFont="1" applyBorder="1" applyAlignment="1">
      <alignment horizontal="left" indent="1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1" fillId="4" borderId="4" xfId="0" applyFont="1" applyFill="1" applyBorder="1" applyAlignment="1">
      <alignment horizontal="left"/>
    </xf>
    <xf numFmtId="2" fontId="5" fillId="0" borderId="1" xfId="0" applyNumberFormat="1" applyFont="1" applyBorder="1" applyAlignment="1">
      <alignment horizontal="right"/>
    </xf>
    <xf numFmtId="0" fontId="1" fillId="4" borderId="1" xfId="0" applyFont="1" applyFill="1" applyBorder="1" applyAlignment="1">
      <alignment horizontal="left"/>
    </xf>
    <xf numFmtId="0" fontId="1" fillId="0" borderId="0" xfId="0" applyFont="1"/>
    <xf numFmtId="0" fontId="14" fillId="0" borderId="0" xfId="0" applyFont="1"/>
    <xf numFmtId="0" fontId="12" fillId="0" borderId="0" xfId="0" applyFont="1"/>
    <xf numFmtId="0" fontId="14" fillId="4" borderId="0" xfId="0" applyFont="1" applyFill="1"/>
    <xf numFmtId="0" fontId="13" fillId="0" borderId="0" xfId="0" applyFont="1"/>
    <xf numFmtId="0" fontId="16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wrapText="1"/>
    </xf>
    <xf numFmtId="0" fontId="17" fillId="4" borderId="1" xfId="0" applyFont="1" applyFill="1" applyBorder="1" applyAlignment="1">
      <alignment horizontal="left"/>
    </xf>
    <xf numFmtId="0" fontId="0" fillId="0" borderId="1" xfId="0" applyBorder="1"/>
    <xf numFmtId="2" fontId="1" fillId="4" borderId="1" xfId="0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2" fontId="13" fillId="0" borderId="0" xfId="0" applyNumberFormat="1" applyFont="1"/>
    <xf numFmtId="2" fontId="0" fillId="0" borderId="1" xfId="0" applyNumberFormat="1" applyBorder="1"/>
    <xf numFmtId="2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1" fillId="4" borderId="4" xfId="0" applyNumberFormat="1" applyFont="1" applyFill="1" applyBorder="1" applyAlignment="1">
      <alignment horizontal="center"/>
    </xf>
    <xf numFmtId="1" fontId="1" fillId="4" borderId="4" xfId="0" applyNumberFormat="1" applyFont="1" applyFill="1" applyBorder="1" applyAlignment="1">
      <alignment horizontal="center"/>
    </xf>
    <xf numFmtId="0" fontId="18" fillId="4" borderId="5" xfId="0" applyFont="1" applyFill="1" applyBorder="1" applyAlignment="1">
      <alignment horizontal="left"/>
    </xf>
    <xf numFmtId="0" fontId="15" fillId="0" borderId="1" xfId="0" applyFont="1" applyBorder="1"/>
    <xf numFmtId="2" fontId="15" fillId="4" borderId="1" xfId="0" applyNumberFormat="1" applyFont="1" applyFill="1" applyBorder="1" applyAlignment="1">
      <alignment horizontal="center"/>
    </xf>
    <xf numFmtId="0" fontId="19" fillId="4" borderId="1" xfId="0" applyFont="1" applyFill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0" fontId="14" fillId="0" borderId="1" xfId="0" applyFont="1" applyBorder="1"/>
    <xf numFmtId="0" fontId="11" fillId="4" borderId="1" xfId="0" applyFont="1" applyFill="1" applyBorder="1" applyAlignment="1">
      <alignment horizontal="left"/>
    </xf>
    <xf numFmtId="0" fontId="11" fillId="4" borderId="1" xfId="0" applyFont="1" applyFill="1" applyBorder="1"/>
    <xf numFmtId="0" fontId="11" fillId="4" borderId="6" xfId="0" applyFont="1" applyFill="1" applyBorder="1" applyAlignment="1">
      <alignment horizontal="left"/>
    </xf>
    <xf numFmtId="0" fontId="11" fillId="4" borderId="6" xfId="0" applyFont="1" applyFill="1" applyBorder="1"/>
    <xf numFmtId="0" fontId="11" fillId="4" borderId="7" xfId="0" applyFont="1" applyFill="1" applyBorder="1" applyAlignment="1">
      <alignment horizontal="left"/>
    </xf>
    <xf numFmtId="164" fontId="11" fillId="4" borderId="0" xfId="0" applyNumberFormat="1" applyFont="1" applyFill="1"/>
    <xf numFmtId="164" fontId="11" fillId="4" borderId="0" xfId="0" applyNumberFormat="1" applyFont="1" applyFill="1" applyAlignment="1">
      <alignment horizontal="left"/>
    </xf>
    <xf numFmtId="0" fontId="14" fillId="4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center"/>
    </xf>
    <xf numFmtId="164" fontId="0" fillId="0" borderId="1" xfId="0" applyNumberFormat="1" applyBorder="1"/>
    <xf numFmtId="2" fontId="14" fillId="0" borderId="1" xfId="0" applyNumberFormat="1" applyFont="1" applyBorder="1"/>
    <xf numFmtId="0" fontId="15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0" fontId="13" fillId="0" borderId="1" xfId="0" applyFont="1" applyBorder="1"/>
    <xf numFmtId="0" fontId="5" fillId="0" borderId="7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5" fillId="0" borderId="8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2" fontId="15" fillId="0" borderId="1" xfId="0" applyNumberFormat="1" applyFont="1" applyBorder="1"/>
    <xf numFmtId="2" fontId="5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vertical="center"/>
    </xf>
    <xf numFmtId="2" fontId="4" fillId="0" borderId="1" xfId="0" applyNumberFormat="1" applyFont="1" applyBorder="1" applyAlignment="1">
      <alignment horizontal="center"/>
    </xf>
    <xf numFmtId="0" fontId="4" fillId="2" borderId="0" xfId="0" applyFont="1" applyFill="1"/>
    <xf numFmtId="164" fontId="13" fillId="0" borderId="0" xfId="0" applyNumberFormat="1" applyFont="1"/>
    <xf numFmtId="17" fontId="4" fillId="0" borderId="1" xfId="0" applyNumberFormat="1" applyFont="1" applyBorder="1" applyAlignment="1">
      <alignment wrapText="1"/>
    </xf>
    <xf numFmtId="0" fontId="20" fillId="0" borderId="0" xfId="0" applyFont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20" fillId="0" borderId="0" xfId="0" applyFont="1"/>
    <xf numFmtId="0" fontId="20" fillId="0" borderId="1" xfId="0" applyFont="1" applyBorder="1"/>
    <xf numFmtId="2" fontId="21" fillId="0" borderId="1" xfId="0" applyNumberFormat="1" applyFont="1" applyBorder="1"/>
    <xf numFmtId="2" fontId="22" fillId="0" borderId="1" xfId="0" applyNumberFormat="1" applyFont="1" applyBorder="1"/>
    <xf numFmtId="2" fontId="20" fillId="0" borderId="1" xfId="0" applyNumberFormat="1" applyFont="1" applyBorder="1"/>
    <xf numFmtId="0" fontId="23" fillId="0" borderId="1" xfId="0" applyFont="1" applyBorder="1"/>
    <xf numFmtId="2" fontId="24" fillId="0" borderId="1" xfId="0" applyNumberFormat="1" applyFont="1" applyBorder="1"/>
    <xf numFmtId="2" fontId="25" fillId="0" borderId="1" xfId="0" applyNumberFormat="1" applyFont="1" applyBorder="1"/>
    <xf numFmtId="2" fontId="23" fillId="0" borderId="1" xfId="0" applyNumberFormat="1" applyFont="1" applyBorder="1"/>
    <xf numFmtId="0" fontId="23" fillId="0" borderId="0" xfId="0" applyFont="1"/>
    <xf numFmtId="0" fontId="26" fillId="0" borderId="0" xfId="0" applyFont="1"/>
    <xf numFmtId="0" fontId="27" fillId="0" borderId="0" xfId="0" applyFont="1"/>
    <xf numFmtId="0" fontId="26" fillId="0" borderId="1" xfId="0" applyFont="1" applyBorder="1"/>
    <xf numFmtId="0" fontId="20" fillId="0" borderId="6" xfId="0" applyFont="1" applyBorder="1"/>
    <xf numFmtId="2" fontId="26" fillId="0" borderId="1" xfId="0" applyNumberFormat="1" applyFont="1" applyBorder="1"/>
    <xf numFmtId="0" fontId="28" fillId="0" borderId="1" xfId="0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2" fontId="28" fillId="0" borderId="1" xfId="0" applyNumberFormat="1" applyFont="1" applyBorder="1" applyAlignment="1">
      <alignment horizontal="center"/>
    </xf>
    <xf numFmtId="0" fontId="28" fillId="0" borderId="12" xfId="0" applyFont="1" applyBorder="1"/>
    <xf numFmtId="0" fontId="28" fillId="0" borderId="1" xfId="0" applyFont="1" applyBorder="1"/>
    <xf numFmtId="0" fontId="28" fillId="0" borderId="8" xfId="0" applyFont="1" applyBorder="1"/>
    <xf numFmtId="2" fontId="28" fillId="0" borderId="1" xfId="0" applyNumberFormat="1" applyFont="1" applyBorder="1"/>
    <xf numFmtId="164" fontId="5" fillId="0" borderId="1" xfId="0" applyNumberFormat="1" applyFont="1" applyBorder="1" applyAlignment="1">
      <alignment horizontal="right" indent="1"/>
    </xf>
    <xf numFmtId="0" fontId="11" fillId="0" borderId="0" xfId="0" applyFont="1"/>
    <xf numFmtId="0" fontId="11" fillId="0" borderId="1" xfId="0" applyFont="1" applyBorder="1"/>
    <xf numFmtId="2" fontId="11" fillId="0" borderId="1" xfId="0" applyNumberFormat="1" applyFont="1" applyBorder="1"/>
    <xf numFmtId="0" fontId="6" fillId="0" borderId="0" xfId="0" applyFont="1"/>
    <xf numFmtId="0" fontId="6" fillId="0" borderId="1" xfId="0" applyFont="1" applyBorder="1" applyAlignment="1">
      <alignment wrapText="1"/>
    </xf>
    <xf numFmtId="0" fontId="11" fillId="4" borderId="0" xfId="0" applyFont="1" applyFill="1"/>
    <xf numFmtId="0" fontId="13" fillId="4" borderId="0" xfId="0" applyFont="1" applyFill="1"/>
    <xf numFmtId="164" fontId="13" fillId="4" borderId="0" xfId="0" applyNumberFormat="1" applyFont="1" applyFill="1"/>
    <xf numFmtId="164" fontId="5" fillId="0" borderId="5" xfId="0" applyNumberFormat="1" applyFont="1" applyBorder="1" applyAlignment="1">
      <alignment vertical="center"/>
    </xf>
    <xf numFmtId="164" fontId="5" fillId="0" borderId="6" xfId="0" applyNumberFormat="1" applyFont="1" applyBorder="1" applyAlignment="1">
      <alignment vertical="center"/>
    </xf>
    <xf numFmtId="0" fontId="29" fillId="0" borderId="0" xfId="0" applyFont="1" applyAlignment="1">
      <alignment horizontal="center"/>
    </xf>
    <xf numFmtId="0" fontId="30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0" xfId="0" applyFont="1"/>
    <xf numFmtId="164" fontId="5" fillId="0" borderId="7" xfId="0" applyNumberFormat="1" applyFont="1" applyBorder="1" applyAlignment="1">
      <alignment vertical="center"/>
    </xf>
    <xf numFmtId="164" fontId="5" fillId="0" borderId="7" xfId="0" applyNumberFormat="1" applyFont="1" applyBorder="1"/>
    <xf numFmtId="164" fontId="5" fillId="0" borderId="6" xfId="0" applyNumberFormat="1" applyFont="1" applyBorder="1"/>
    <xf numFmtId="2" fontId="14" fillId="0" borderId="0" xfId="0" applyNumberFormat="1" applyFont="1"/>
    <xf numFmtId="164" fontId="14" fillId="0" borderId="0" xfId="0" applyNumberFormat="1" applyFont="1"/>
    <xf numFmtId="2" fontId="12" fillId="0" borderId="0" xfId="0" applyNumberFormat="1" applyFont="1"/>
    <xf numFmtId="165" fontId="12" fillId="0" borderId="0" xfId="0" applyNumberFormat="1" applyFont="1"/>
    <xf numFmtId="2" fontId="5" fillId="0" borderId="9" xfId="0" applyNumberFormat="1" applyFont="1" applyBorder="1" applyAlignment="1">
      <alignment vertical="top"/>
    </xf>
    <xf numFmtId="0" fontId="5" fillId="0" borderId="13" xfId="0" applyFont="1" applyBorder="1" applyAlignment="1">
      <alignment vertical="top"/>
    </xf>
    <xf numFmtId="2" fontId="5" fillId="0" borderId="5" xfId="0" applyNumberFormat="1" applyFont="1" applyBorder="1" applyAlignment="1">
      <alignment vertical="center"/>
    </xf>
    <xf numFmtId="2" fontId="5" fillId="0" borderId="7" xfId="0" applyNumberFormat="1" applyFont="1" applyBorder="1" applyAlignment="1">
      <alignment vertical="center"/>
    </xf>
    <xf numFmtId="2" fontId="5" fillId="0" borderId="6" xfId="0" applyNumberFormat="1" applyFont="1" applyBorder="1" applyAlignment="1">
      <alignment vertical="center"/>
    </xf>
    <xf numFmtId="0" fontId="21" fillId="0" borderId="1" xfId="0" applyFont="1" applyBorder="1"/>
    <xf numFmtId="0" fontId="32" fillId="0" borderId="0" xfId="0" applyFont="1"/>
    <xf numFmtId="0" fontId="26" fillId="0" borderId="1" xfId="0" applyFont="1" applyBorder="1" applyAlignment="1">
      <alignment vertical="center"/>
    </xf>
    <xf numFmtId="1" fontId="7" fillId="0" borderId="1" xfId="0" applyNumberFormat="1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1" fontId="32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vertical="center"/>
    </xf>
    <xf numFmtId="1" fontId="20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top" wrapText="1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5" fillId="0" borderId="1" xfId="0" applyNumberFormat="1" applyFont="1" applyBorder="1" applyAlignment="1">
      <alignment wrapText="1"/>
    </xf>
    <xf numFmtId="2" fontId="5" fillId="0" borderId="11" xfId="0" applyNumberFormat="1" applyFont="1" applyBorder="1"/>
    <xf numFmtId="2" fontId="5" fillId="0" borderId="13" xfId="0" applyNumberFormat="1" applyFont="1" applyBorder="1"/>
    <xf numFmtId="1" fontId="5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 wrapText="1"/>
    </xf>
    <xf numFmtId="1" fontId="5" fillId="0" borderId="0" xfId="0" applyNumberFormat="1" applyFont="1" applyAlignment="1">
      <alignment horizontal="center"/>
    </xf>
    <xf numFmtId="165" fontId="0" fillId="0" borderId="1" xfId="0" applyNumberFormat="1" applyBorder="1"/>
    <xf numFmtId="164" fontId="12" fillId="0" borderId="0" xfId="0" applyNumberFormat="1" applyFont="1"/>
    <xf numFmtId="1" fontId="12" fillId="0" borderId="0" xfId="0" applyNumberFormat="1" applyFont="1"/>
    <xf numFmtId="164" fontId="0" fillId="0" borderId="0" xfId="0" applyNumberFormat="1"/>
    <xf numFmtId="0" fontId="34" fillId="0" borderId="20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168" fontId="5" fillId="0" borderId="1" xfId="0" applyNumberFormat="1" applyFont="1" applyBorder="1"/>
    <xf numFmtId="1" fontId="6" fillId="0" borderId="1" xfId="0" applyNumberFormat="1" applyFont="1" applyBorder="1"/>
    <xf numFmtId="1" fontId="5" fillId="0" borderId="7" xfId="0" applyNumberFormat="1" applyFont="1" applyBorder="1"/>
    <xf numFmtId="1" fontId="5" fillId="0" borderId="6" xfId="0" applyNumberFormat="1" applyFont="1" applyBorder="1"/>
    <xf numFmtId="2" fontId="5" fillId="5" borderId="9" xfId="0" applyNumberFormat="1" applyFont="1" applyFill="1" applyBorder="1"/>
    <xf numFmtId="0" fontId="1" fillId="0" borderId="1" xfId="0" applyFont="1" applyBorder="1"/>
    <xf numFmtId="164" fontId="11" fillId="0" borderId="0" xfId="0" applyNumberFormat="1" applyFont="1"/>
    <xf numFmtId="1" fontId="5" fillId="0" borderId="5" xfId="0" applyNumberFormat="1" applyFont="1" applyBorder="1"/>
    <xf numFmtId="2" fontId="0" fillId="0" borderId="0" xfId="0" applyNumberFormat="1"/>
    <xf numFmtId="164" fontId="5" fillId="0" borderId="1" xfId="0" applyNumberFormat="1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36" fillId="0" borderId="0" xfId="0" applyFont="1"/>
    <xf numFmtId="165" fontId="5" fillId="5" borderId="1" xfId="0" applyNumberFormat="1" applyFont="1" applyFill="1" applyBorder="1"/>
    <xf numFmtId="0" fontId="5" fillId="4" borderId="1" xfId="0" applyFont="1" applyFill="1" applyBorder="1"/>
    <xf numFmtId="0" fontId="4" fillId="4" borderId="1" xfId="0" applyFont="1" applyFill="1" applyBorder="1" applyAlignment="1">
      <alignment horizontal="center"/>
    </xf>
    <xf numFmtId="2" fontId="5" fillId="4" borderId="1" xfId="0" applyNumberFormat="1" applyFont="1" applyFill="1" applyBorder="1"/>
    <xf numFmtId="0" fontId="5" fillId="4" borderId="13" xfId="0" applyFont="1" applyFill="1" applyBorder="1"/>
    <xf numFmtId="0" fontId="5" fillId="4" borderId="7" xfId="0" applyFont="1" applyFill="1" applyBorder="1" applyAlignment="1">
      <alignment vertical="center"/>
    </xf>
    <xf numFmtId="0" fontId="5" fillId="4" borderId="6" xfId="0" applyFont="1" applyFill="1" applyBorder="1" applyAlignment="1">
      <alignment vertical="center"/>
    </xf>
    <xf numFmtId="165" fontId="5" fillId="4" borderId="1" xfId="0" applyNumberFormat="1" applyFont="1" applyFill="1" applyBorder="1"/>
    <xf numFmtId="2" fontId="4" fillId="4" borderId="1" xfId="0" applyNumberFormat="1" applyFont="1" applyFill="1" applyBorder="1"/>
    <xf numFmtId="0" fontId="5" fillId="4" borderId="9" xfId="0" applyFont="1" applyFill="1" applyBorder="1"/>
    <xf numFmtId="0" fontId="5" fillId="4" borderId="11" xfId="0" applyFont="1" applyFill="1" applyBorder="1"/>
    <xf numFmtId="0" fontId="0" fillId="4" borderId="0" xfId="0" applyFill="1"/>
    <xf numFmtId="0" fontId="4" fillId="4" borderId="1" xfId="0" applyFont="1" applyFill="1" applyBorder="1"/>
    <xf numFmtId="164" fontId="4" fillId="4" borderId="1" xfId="0" applyNumberFormat="1" applyFont="1" applyFill="1" applyBorder="1"/>
    <xf numFmtId="165" fontId="22" fillId="0" borderId="1" xfId="0" applyNumberFormat="1" applyFont="1" applyBorder="1"/>
    <xf numFmtId="165" fontId="20" fillId="0" borderId="1" xfId="0" applyNumberFormat="1" applyFont="1" applyBorder="1"/>
    <xf numFmtId="165" fontId="26" fillId="0" borderId="1" xfId="0" applyNumberFormat="1" applyFont="1" applyBorder="1"/>
    <xf numFmtId="2" fontId="0" fillId="2" borderId="1" xfId="0" applyNumberFormat="1" applyFill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14" fillId="4" borderId="1" xfId="0" applyFont="1" applyFill="1" applyBorder="1" applyAlignment="1">
      <alignment horizontal="center"/>
    </xf>
    <xf numFmtId="164" fontId="12" fillId="4" borderId="0" xfId="0" applyNumberFormat="1" applyFont="1" applyFill="1"/>
    <xf numFmtId="2" fontId="21" fillId="4" borderId="1" xfId="0" applyNumberFormat="1" applyFont="1" applyFill="1" applyBorder="1" applyAlignment="1">
      <alignment horizontal="center"/>
    </xf>
    <xf numFmtId="164" fontId="21" fillId="4" borderId="1" xfId="0" applyNumberFormat="1" applyFont="1" applyFill="1" applyBorder="1" applyAlignment="1">
      <alignment horizontal="center"/>
    </xf>
    <xf numFmtId="0" fontId="20" fillId="0" borderId="1" xfId="0" applyFont="1" applyBorder="1" applyAlignment="1">
      <alignment horizontal="center" vertical="center" wrapText="1"/>
    </xf>
    <xf numFmtId="1" fontId="0" fillId="0" borderId="0" xfId="0" applyNumberFormat="1"/>
    <xf numFmtId="1" fontId="5" fillId="2" borderId="1" xfId="0" applyNumberFormat="1" applyFont="1" applyFill="1" applyBorder="1"/>
    <xf numFmtId="2" fontId="5" fillId="0" borderId="1" xfId="0" applyNumberFormat="1" applyFont="1" applyBorder="1" applyAlignment="1">
      <alignment vertical="center"/>
    </xf>
    <xf numFmtId="0" fontId="5" fillId="0" borderId="11" xfId="0" applyFont="1" applyBorder="1" applyAlignment="1">
      <alignment horizontal="right"/>
    </xf>
    <xf numFmtId="2" fontId="37" fillId="0" borderId="0" xfId="0" applyNumberFormat="1" applyFont="1"/>
    <xf numFmtId="2" fontId="5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wrapText="1" indent="1"/>
    </xf>
    <xf numFmtId="165" fontId="6" fillId="0" borderId="1" xfId="0" applyNumberFormat="1" applyFont="1" applyBorder="1"/>
    <xf numFmtId="0" fontId="5" fillId="0" borderId="12" xfId="0" applyFont="1" applyBorder="1" applyAlignment="1">
      <alignment horizontal="center"/>
    </xf>
    <xf numFmtId="167" fontId="12" fillId="0" borderId="0" xfId="0" applyNumberFormat="1" applyFont="1"/>
    <xf numFmtId="167" fontId="14" fillId="0" borderId="0" xfId="0" applyNumberFormat="1" applyFont="1"/>
    <xf numFmtId="167" fontId="13" fillId="0" borderId="0" xfId="0" applyNumberFormat="1" applyFont="1"/>
    <xf numFmtId="0" fontId="4" fillId="0" borderId="1" xfId="0" applyFont="1" applyBorder="1" applyAlignment="1">
      <alignment horizontal="center" vertical="center"/>
    </xf>
    <xf numFmtId="165" fontId="0" fillId="0" borderId="0" xfId="0" applyNumberFormat="1"/>
    <xf numFmtId="0" fontId="5" fillId="0" borderId="7" xfId="0" applyFont="1" applyBorder="1" applyAlignment="1">
      <alignment horizontal="center"/>
    </xf>
    <xf numFmtId="0" fontId="5" fillId="0" borderId="7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/>
    </xf>
    <xf numFmtId="164" fontId="5" fillId="0" borderId="7" xfId="0" applyNumberFormat="1" applyFont="1" applyBorder="1" applyAlignment="1">
      <alignment horizontal="center"/>
    </xf>
    <xf numFmtId="0" fontId="0" fillId="2" borderId="1" xfId="0" applyFill="1" applyBorder="1"/>
    <xf numFmtId="2" fontId="1" fillId="2" borderId="1" xfId="0" applyNumberFormat="1" applyFont="1" applyFill="1" applyBorder="1" applyAlignment="1">
      <alignment horizontal="center"/>
    </xf>
    <xf numFmtId="164" fontId="4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/>
    </xf>
    <xf numFmtId="0" fontId="38" fillId="0" borderId="1" xfId="0" applyFont="1" applyBorder="1"/>
    <xf numFmtId="2" fontId="39" fillId="0" borderId="1" xfId="0" applyNumberFormat="1" applyFont="1" applyBorder="1" applyAlignment="1">
      <alignment horizontal="center" vertical="center"/>
    </xf>
    <xf numFmtId="2" fontId="41" fillId="0" borderId="1" xfId="0" applyNumberFormat="1" applyFont="1" applyBorder="1" applyAlignment="1">
      <alignment horizontal="center" vertical="center"/>
    </xf>
    <xf numFmtId="0" fontId="43" fillId="0" borderId="1" xfId="0" applyFont="1" applyBorder="1"/>
    <xf numFmtId="0" fontId="41" fillId="0" borderId="1" xfId="0" applyFont="1" applyBorder="1"/>
    <xf numFmtId="0" fontId="39" fillId="0" borderId="1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165" fontId="38" fillId="0" borderId="1" xfId="0" applyNumberFormat="1" applyFont="1" applyBorder="1"/>
    <xf numFmtId="2" fontId="42" fillId="6" borderId="1" xfId="0" applyNumberFormat="1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40" fillId="6" borderId="1" xfId="0" applyFont="1" applyFill="1" applyBorder="1"/>
    <xf numFmtId="2" fontId="40" fillId="6" borderId="1" xfId="0" applyNumberFormat="1" applyFont="1" applyFill="1" applyBorder="1" applyAlignment="1">
      <alignment horizontal="center" vertical="center"/>
    </xf>
    <xf numFmtId="0" fontId="41" fillId="0" borderId="1" xfId="0" applyFont="1" applyBorder="1" applyAlignment="1">
      <alignment horizontal="center"/>
    </xf>
    <xf numFmtId="2" fontId="41" fillId="0" borderId="1" xfId="0" applyNumberFormat="1" applyFont="1" applyBorder="1" applyAlignment="1">
      <alignment horizontal="center"/>
    </xf>
    <xf numFmtId="164" fontId="41" fillId="0" borderId="1" xfId="0" applyNumberFormat="1" applyFont="1" applyBorder="1" applyAlignment="1">
      <alignment horizontal="center"/>
    </xf>
    <xf numFmtId="2" fontId="3" fillId="0" borderId="16" xfId="0" applyNumberFormat="1" applyFont="1" applyBorder="1" applyAlignment="1">
      <alignment horizontal="right"/>
    </xf>
    <xf numFmtId="0" fontId="5" fillId="0" borderId="0" xfId="0" applyFont="1" applyAlignment="1">
      <alignment horizontal="left"/>
    </xf>
    <xf numFmtId="0" fontId="5" fillId="0" borderId="0" xfId="0" applyFont="1" applyAlignment="1">
      <alignment vertical="center"/>
    </xf>
    <xf numFmtId="0" fontId="48" fillId="0" borderId="1" xfId="0" applyFont="1" applyBorder="1" applyAlignment="1">
      <alignment horizontal="left" indent="1"/>
    </xf>
    <xf numFmtId="0" fontId="48" fillId="0" borderId="1" xfId="0" applyFont="1" applyBorder="1" applyAlignment="1">
      <alignment horizontal="center"/>
    </xf>
    <xf numFmtId="2" fontId="50" fillId="7" borderId="4" xfId="0" applyNumberFormat="1" applyFont="1" applyFill="1" applyBorder="1" applyAlignment="1">
      <alignment horizontal="center" vertical="center"/>
    </xf>
    <xf numFmtId="2" fontId="50" fillId="7" borderId="1" xfId="0" applyNumberFormat="1" applyFont="1" applyFill="1" applyBorder="1" applyAlignment="1">
      <alignment horizontal="center" vertical="center"/>
    </xf>
    <xf numFmtId="164" fontId="50" fillId="7" borderId="1" xfId="0" applyNumberFormat="1" applyFont="1" applyFill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 vertical="center"/>
    </xf>
    <xf numFmtId="164" fontId="50" fillId="0" borderId="1" xfId="0" applyNumberFormat="1" applyFont="1" applyBorder="1" applyAlignment="1">
      <alignment horizontal="center" vertical="center"/>
    </xf>
    <xf numFmtId="2" fontId="50" fillId="0" borderId="25" xfId="0" applyNumberFormat="1" applyFont="1" applyBorder="1" applyAlignment="1">
      <alignment horizontal="center" vertical="center"/>
    </xf>
    <xf numFmtId="164" fontId="50" fillId="0" borderId="25" xfId="0" applyNumberFormat="1" applyFont="1" applyBorder="1" applyAlignment="1">
      <alignment horizontal="center" vertical="center"/>
    </xf>
    <xf numFmtId="164" fontId="50" fillId="0" borderId="26" xfId="0" applyNumberFormat="1" applyFont="1" applyBorder="1" applyAlignment="1">
      <alignment horizontal="center" vertical="center"/>
    </xf>
    <xf numFmtId="2" fontId="51" fillId="0" borderId="1" xfId="0" applyNumberFormat="1" applyFont="1" applyBorder="1" applyAlignment="1">
      <alignment horizontal="left" indent="1"/>
    </xf>
    <xf numFmtId="2" fontId="51" fillId="0" borderId="1" xfId="0" applyNumberFormat="1" applyFont="1" applyBorder="1" applyAlignment="1">
      <alignment horizontal="center"/>
    </xf>
    <xf numFmtId="164" fontId="51" fillId="0" borderId="1" xfId="0" applyNumberFormat="1" applyFont="1" applyBorder="1" applyAlignment="1">
      <alignment horizontal="center"/>
    </xf>
    <xf numFmtId="2" fontId="51" fillId="0" borderId="1" xfId="0" applyNumberFormat="1" applyFont="1" applyBorder="1" applyAlignment="1">
      <alignment horizontal="center" vertical="center"/>
    </xf>
    <xf numFmtId="164" fontId="51" fillId="0" borderId="1" xfId="0" applyNumberFormat="1" applyFont="1" applyBorder="1" applyAlignment="1">
      <alignment horizontal="center" vertical="center"/>
    </xf>
    <xf numFmtId="0" fontId="51" fillId="0" borderId="0" xfId="0" applyFont="1"/>
    <xf numFmtId="0" fontId="48" fillId="0" borderId="1" xfId="0" applyFont="1" applyBorder="1" applyAlignment="1">
      <alignment horizontal="left"/>
    </xf>
    <xf numFmtId="0" fontId="0" fillId="0" borderId="0" xfId="0" applyAlignment="1">
      <alignment vertical="center" wrapText="1"/>
    </xf>
    <xf numFmtId="0" fontId="48" fillId="0" borderId="3" xfId="0" applyFont="1" applyBorder="1" applyAlignment="1">
      <alignment horizontal="center"/>
    </xf>
    <xf numFmtId="2" fontId="52" fillId="7" borderId="1" xfId="0" applyNumberFormat="1" applyFont="1" applyFill="1" applyBorder="1" applyAlignment="1">
      <alignment horizontal="center" vertical="center"/>
    </xf>
    <xf numFmtId="164" fontId="52" fillId="7" borderId="1" xfId="0" applyNumberFormat="1" applyFont="1" applyFill="1" applyBorder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0" fontId="0" fillId="4" borderId="7" xfId="0" applyFill="1" applyBorder="1" applyAlignment="1">
      <alignment horizontal="center"/>
    </xf>
    <xf numFmtId="0" fontId="39" fillId="6" borderId="1" xfId="0" applyFont="1" applyFill="1" applyBorder="1" applyAlignment="1">
      <alignment horizontal="center" vertical="center"/>
    </xf>
    <xf numFmtId="0" fontId="5" fillId="2" borderId="0" xfId="0" applyFont="1" applyFill="1"/>
    <xf numFmtId="0" fontId="5" fillId="8" borderId="0" xfId="0" applyFont="1" applyFill="1"/>
    <xf numFmtId="2" fontId="5" fillId="8" borderId="1" xfId="0" applyNumberFormat="1" applyFont="1" applyFill="1" applyBorder="1" applyAlignment="1">
      <alignment horizontal="center"/>
    </xf>
    <xf numFmtId="2" fontId="51" fillId="8" borderId="1" xfId="0" applyNumberFormat="1" applyFont="1" applyFill="1" applyBorder="1" applyAlignment="1">
      <alignment horizontal="center"/>
    </xf>
    <xf numFmtId="2" fontId="5" fillId="8" borderId="1" xfId="0" applyNumberFormat="1" applyFont="1" applyFill="1" applyBorder="1"/>
    <xf numFmtId="0" fontId="50" fillId="0" borderId="1" xfId="0" applyFont="1" applyBorder="1" applyAlignment="1">
      <alignment horizontal="center"/>
    </xf>
    <xf numFmtId="0" fontId="50" fillId="0" borderId="1" xfId="0" applyFont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/>
    </xf>
    <xf numFmtId="0" fontId="41" fillId="0" borderId="2" xfId="0" applyFont="1" applyBorder="1"/>
    <xf numFmtId="0" fontId="42" fillId="6" borderId="2" xfId="0" applyFont="1" applyFill="1" applyBorder="1"/>
    <xf numFmtId="0" fontId="43" fillId="0" borderId="2" xfId="0" applyFont="1" applyBorder="1"/>
    <xf numFmtId="0" fontId="38" fillId="0" borderId="2" xfId="0" applyFont="1" applyBorder="1"/>
    <xf numFmtId="165" fontId="38" fillId="0" borderId="2" xfId="0" applyNumberFormat="1" applyFont="1" applyBorder="1"/>
    <xf numFmtId="0" fontId="45" fillId="6" borderId="29" xfId="0" applyFont="1" applyFill="1" applyBorder="1" applyAlignment="1">
      <alignment horizontal="center" vertical="center"/>
    </xf>
    <xf numFmtId="0" fontId="45" fillId="6" borderId="30" xfId="0" applyFont="1" applyFill="1" applyBorder="1" applyAlignment="1">
      <alignment horizontal="center" vertical="center"/>
    </xf>
    <xf numFmtId="0" fontId="45" fillId="6" borderId="31" xfId="0" applyFont="1" applyFill="1" applyBorder="1" applyAlignment="1">
      <alignment horizontal="center" vertical="center"/>
    </xf>
    <xf numFmtId="2" fontId="41" fillId="0" borderId="32" xfId="0" applyNumberFormat="1" applyFont="1" applyBorder="1" applyAlignment="1">
      <alignment horizontal="center" vertical="center"/>
    </xf>
    <xf numFmtId="2" fontId="41" fillId="0" borderId="33" xfId="0" applyNumberFormat="1" applyFont="1" applyBorder="1" applyAlignment="1">
      <alignment horizontal="center" vertical="center"/>
    </xf>
    <xf numFmtId="2" fontId="42" fillId="6" borderId="32" xfId="0" applyNumberFormat="1" applyFont="1" applyFill="1" applyBorder="1" applyAlignment="1">
      <alignment horizontal="center" vertical="center"/>
    </xf>
    <xf numFmtId="2" fontId="42" fillId="6" borderId="33" xfId="0" applyNumberFormat="1" applyFont="1" applyFill="1" applyBorder="1" applyAlignment="1">
      <alignment horizontal="center" vertical="center"/>
    </xf>
    <xf numFmtId="2" fontId="39" fillId="0" borderId="32" xfId="0" applyNumberFormat="1" applyFont="1" applyBorder="1" applyAlignment="1">
      <alignment horizontal="center" vertical="center"/>
    </xf>
    <xf numFmtId="0" fontId="39" fillId="0" borderId="32" xfId="0" applyFont="1" applyBorder="1" applyAlignment="1">
      <alignment horizontal="center" vertical="center"/>
    </xf>
    <xf numFmtId="0" fontId="41" fillId="0" borderId="33" xfId="0" applyFont="1" applyBorder="1" applyAlignment="1">
      <alignment horizontal="center" vertical="center"/>
    </xf>
    <xf numFmtId="0" fontId="39" fillId="6" borderId="32" xfId="0" applyFont="1" applyFill="1" applyBorder="1" applyAlignment="1">
      <alignment horizontal="center" vertical="center"/>
    </xf>
    <xf numFmtId="0" fontId="41" fillId="6" borderId="33" xfId="0" applyFont="1" applyFill="1" applyBorder="1" applyAlignment="1">
      <alignment horizontal="center" vertical="center"/>
    </xf>
    <xf numFmtId="0" fontId="41" fillId="0" borderId="32" xfId="0" applyFont="1" applyBorder="1" applyAlignment="1">
      <alignment horizontal="center" vertical="center"/>
    </xf>
    <xf numFmtId="165" fontId="43" fillId="0" borderId="34" xfId="0" applyNumberFormat="1" applyFont="1" applyBorder="1" applyAlignment="1">
      <alignment horizontal="center" vertical="center"/>
    </xf>
    <xf numFmtId="165" fontId="43" fillId="0" borderId="35" xfId="0" applyNumberFormat="1" applyFont="1" applyBorder="1" applyAlignment="1">
      <alignment horizontal="center" vertical="center"/>
    </xf>
    <xf numFmtId="165" fontId="43" fillId="0" borderId="36" xfId="0" applyNumberFormat="1" applyFont="1" applyBorder="1" applyAlignment="1">
      <alignment horizontal="center" vertical="center"/>
    </xf>
    <xf numFmtId="0" fontId="45" fillId="6" borderId="37" xfId="0" applyFont="1" applyFill="1" applyBorder="1" applyAlignment="1">
      <alignment horizontal="center" vertical="center"/>
    </xf>
    <xf numFmtId="2" fontId="41" fillId="0" borderId="38" xfId="0" applyNumberFormat="1" applyFont="1" applyBorder="1" applyAlignment="1">
      <alignment horizontal="center" vertical="center"/>
    </xf>
    <xf numFmtId="2" fontId="42" fillId="6" borderId="38" xfId="0" applyNumberFormat="1" applyFont="1" applyFill="1" applyBorder="1" applyAlignment="1">
      <alignment horizontal="center" vertical="center"/>
    </xf>
    <xf numFmtId="2" fontId="39" fillId="0" borderId="38" xfId="0" applyNumberFormat="1" applyFont="1" applyBorder="1" applyAlignment="1">
      <alignment horizontal="center" vertical="center"/>
    </xf>
    <xf numFmtId="0" fontId="39" fillId="0" borderId="38" xfId="0" applyFont="1" applyBorder="1" applyAlignment="1">
      <alignment horizontal="center" vertical="center"/>
    </xf>
    <xf numFmtId="0" fontId="39" fillId="6" borderId="38" xfId="0" applyFont="1" applyFill="1" applyBorder="1" applyAlignment="1">
      <alignment horizontal="center" vertical="center"/>
    </xf>
    <xf numFmtId="0" fontId="41" fillId="0" borderId="38" xfId="0" applyFont="1" applyBorder="1" applyAlignment="1">
      <alignment horizontal="center" vertical="center"/>
    </xf>
    <xf numFmtId="165" fontId="43" fillId="0" borderId="39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right"/>
    </xf>
    <xf numFmtId="2" fontId="53" fillId="7" borderId="1" xfId="0" applyNumberFormat="1" applyFont="1" applyFill="1" applyBorder="1" applyAlignment="1">
      <alignment horizontal="center" vertical="center"/>
    </xf>
    <xf numFmtId="164" fontId="53" fillId="7" borderId="1" xfId="0" applyNumberFormat="1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top" wrapText="1"/>
    </xf>
    <xf numFmtId="0" fontId="49" fillId="0" borderId="1" xfId="0" applyFont="1" applyBorder="1" applyAlignment="1">
      <alignment horizontal="center"/>
    </xf>
    <xf numFmtId="0" fontId="5" fillId="0" borderId="40" xfId="0" applyFont="1" applyBorder="1"/>
    <xf numFmtId="0" fontId="50" fillId="0" borderId="24" xfId="0" applyFont="1" applyBorder="1" applyAlignment="1">
      <alignment horizontal="center" vertical="center"/>
    </xf>
    <xf numFmtId="1" fontId="54" fillId="7" borderId="2" xfId="0" applyNumberFormat="1" applyFont="1" applyFill="1" applyBorder="1" applyAlignment="1">
      <alignment horizontal="center" vertical="center"/>
    </xf>
    <xf numFmtId="1" fontId="54" fillId="0" borderId="1" xfId="0" applyNumberFormat="1" applyFont="1" applyBorder="1" applyAlignment="1">
      <alignment horizontal="center" vertical="center"/>
    </xf>
    <xf numFmtId="1" fontId="54" fillId="7" borderId="1" xfId="0" applyNumberFormat="1" applyFont="1" applyFill="1" applyBorder="1" applyAlignment="1">
      <alignment horizontal="center" vertical="center"/>
    </xf>
    <xf numFmtId="1" fontId="54" fillId="0" borderId="41" xfId="0" applyNumberFormat="1" applyFont="1" applyBorder="1" applyAlignment="1">
      <alignment horizontal="center" vertical="center"/>
    </xf>
    <xf numFmtId="1" fontId="54" fillId="0" borderId="0" xfId="0" applyNumberFormat="1" applyFont="1" applyAlignment="1">
      <alignment horizontal="center" vertical="center"/>
    </xf>
    <xf numFmtId="0" fontId="55" fillId="0" borderId="0" xfId="0" applyFont="1" applyAlignment="1">
      <alignment horizontal="center"/>
    </xf>
    <xf numFmtId="0" fontId="48" fillId="0" borderId="2" xfId="0" applyFont="1" applyBorder="1"/>
    <xf numFmtId="0" fontId="48" fillId="0" borderId="4" xfId="0" applyFont="1" applyBorder="1"/>
    <xf numFmtId="0" fontId="0" fillId="0" borderId="0" xfId="0" applyAlignment="1">
      <alignment wrapText="1"/>
    </xf>
    <xf numFmtId="165" fontId="51" fillId="0" borderId="1" xfId="0" applyNumberFormat="1" applyFont="1" applyBorder="1" applyAlignment="1">
      <alignment horizontal="center"/>
    </xf>
    <xf numFmtId="17" fontId="49" fillId="0" borderId="1" xfId="0" applyNumberFormat="1" applyFont="1" applyBorder="1" applyAlignment="1">
      <alignment horizontal="center" vertical="top" wrapText="1"/>
    </xf>
    <xf numFmtId="17" fontId="49" fillId="0" borderId="1" xfId="0" applyNumberFormat="1" applyFont="1" applyBorder="1" applyAlignment="1">
      <alignment horizontal="center" vertical="center" wrapText="1"/>
    </xf>
    <xf numFmtId="164" fontId="51" fillId="0" borderId="5" xfId="0" applyNumberFormat="1" applyFont="1" applyBorder="1" applyAlignment="1">
      <alignment horizontal="center" vertical="center"/>
    </xf>
    <xf numFmtId="0" fontId="50" fillId="0" borderId="5" xfId="0" applyFont="1" applyBorder="1" applyAlignment="1">
      <alignment horizontal="center" vertical="center"/>
    </xf>
    <xf numFmtId="2" fontId="0" fillId="0" borderId="0" xfId="0" applyNumberFormat="1" applyAlignment="1">
      <alignment vertical="center" wrapText="1"/>
    </xf>
    <xf numFmtId="0" fontId="49" fillId="7" borderId="1" xfId="0" applyFont="1" applyFill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/>
    </xf>
    <xf numFmtId="0" fontId="50" fillId="0" borderId="3" xfId="0" applyFont="1" applyBorder="1" applyAlignment="1">
      <alignment horizontal="center" vertical="center"/>
    </xf>
    <xf numFmtId="2" fontId="50" fillId="0" borderId="3" xfId="0" applyNumberFormat="1" applyFont="1" applyBorder="1" applyAlignment="1">
      <alignment horizontal="center" vertical="center"/>
    </xf>
    <xf numFmtId="2" fontId="51" fillId="0" borderId="3" xfId="0" applyNumberFormat="1" applyFont="1" applyBorder="1" applyAlignment="1">
      <alignment horizontal="center"/>
    </xf>
    <xf numFmtId="2" fontId="51" fillId="0" borderId="2" xfId="0" applyNumberFormat="1" applyFont="1" applyBorder="1" applyAlignment="1">
      <alignment horizontal="center"/>
    </xf>
    <xf numFmtId="164" fontId="50" fillId="0" borderId="5" xfId="0" applyNumberFormat="1" applyFont="1" applyBorder="1" applyAlignment="1">
      <alignment horizontal="center" vertical="center"/>
    </xf>
    <xf numFmtId="2" fontId="5" fillId="0" borderId="5" xfId="0" applyNumberFormat="1" applyFont="1" applyBorder="1" applyAlignment="1">
      <alignment horizontal="center"/>
    </xf>
    <xf numFmtId="164" fontId="51" fillId="0" borderId="5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8" fillId="0" borderId="2" xfId="0" applyFont="1" applyBorder="1" applyAlignment="1">
      <alignment horizontal="left" wrapText="1"/>
    </xf>
    <xf numFmtId="1" fontId="54" fillId="0" borderId="6" xfId="0" applyNumberFormat="1" applyFont="1" applyBorder="1" applyAlignment="1">
      <alignment horizontal="center" vertical="center"/>
    </xf>
    <xf numFmtId="165" fontId="51" fillId="0" borderId="1" xfId="0" applyNumberFormat="1" applyFont="1" applyBorder="1" applyAlignment="1">
      <alignment horizontal="center" vertical="center"/>
    </xf>
    <xf numFmtId="167" fontId="51" fillId="0" borderId="1" xfId="0" applyNumberFormat="1" applyFont="1" applyBorder="1" applyAlignment="1">
      <alignment horizontal="center"/>
    </xf>
    <xf numFmtId="165" fontId="50" fillId="0" borderId="1" xfId="0" applyNumberFormat="1" applyFont="1" applyBorder="1" applyAlignment="1">
      <alignment horizontal="center" vertical="center"/>
    </xf>
    <xf numFmtId="164" fontId="51" fillId="0" borderId="3" xfId="0" applyNumberFormat="1" applyFont="1" applyBorder="1" applyAlignment="1">
      <alignment horizontal="center"/>
    </xf>
    <xf numFmtId="164" fontId="51" fillId="0" borderId="4" xfId="0" applyNumberFormat="1" applyFont="1" applyBorder="1" applyAlignment="1">
      <alignment horizontal="center"/>
    </xf>
    <xf numFmtId="0" fontId="48" fillId="0" borderId="3" xfId="0" applyFont="1" applyBorder="1" applyAlignment="1">
      <alignment horizontal="left" wrapText="1"/>
    </xf>
    <xf numFmtId="164" fontId="50" fillId="0" borderId="3" xfId="0" applyNumberFormat="1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/>
    </xf>
    <xf numFmtId="2" fontId="51" fillId="0" borderId="3" xfId="0" applyNumberFormat="1" applyFont="1" applyBorder="1" applyAlignment="1">
      <alignment horizontal="center" vertical="center"/>
    </xf>
    <xf numFmtId="164" fontId="51" fillId="0" borderId="3" xfId="0" applyNumberFormat="1" applyFont="1" applyBorder="1" applyAlignment="1">
      <alignment horizontal="center" vertical="center"/>
    </xf>
    <xf numFmtId="2" fontId="51" fillId="4" borderId="1" xfId="0" applyNumberFormat="1" applyFont="1" applyFill="1" applyBorder="1" applyAlignment="1">
      <alignment horizontal="center" vertical="center"/>
    </xf>
    <xf numFmtId="165" fontId="51" fillId="4" borderId="1" xfId="0" applyNumberFormat="1" applyFont="1" applyFill="1" applyBorder="1" applyAlignment="1">
      <alignment horizontal="center" vertical="center"/>
    </xf>
    <xf numFmtId="167" fontId="51" fillId="4" borderId="1" xfId="0" applyNumberFormat="1" applyFont="1" applyFill="1" applyBorder="1" applyAlignment="1">
      <alignment horizontal="center" vertical="center"/>
    </xf>
    <xf numFmtId="0" fontId="50" fillId="0" borderId="41" xfId="0" applyFont="1" applyBorder="1" applyAlignment="1">
      <alignment horizontal="center" vertical="center"/>
    </xf>
    <xf numFmtId="2" fontId="50" fillId="0" borderId="41" xfId="0" applyNumberFormat="1" applyFont="1" applyBorder="1" applyAlignment="1">
      <alignment horizontal="center" vertical="center"/>
    </xf>
    <xf numFmtId="2" fontId="50" fillId="4" borderId="41" xfId="0" applyNumberFormat="1" applyFont="1" applyFill="1" applyBorder="1" applyAlignment="1">
      <alignment horizontal="center" vertical="center"/>
    </xf>
    <xf numFmtId="164" fontId="50" fillId="0" borderId="41" xfId="0" applyNumberFormat="1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17" fontId="54" fillId="0" borderId="1" xfId="0" applyNumberFormat="1" applyFont="1" applyBorder="1" applyAlignment="1">
      <alignment horizontal="center" vertical="center" wrapText="1"/>
    </xf>
    <xf numFmtId="17" fontId="54" fillId="0" borderId="1" xfId="0" applyNumberFormat="1" applyFont="1" applyBorder="1" applyAlignment="1">
      <alignment horizontal="center" vertical="top" wrapText="1"/>
    </xf>
    <xf numFmtId="0" fontId="54" fillId="7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/>
    </xf>
    <xf numFmtId="167" fontId="51" fillId="0" borderId="1" xfId="0" applyNumberFormat="1" applyFont="1" applyBorder="1" applyAlignment="1">
      <alignment horizontal="center" vertical="center"/>
    </xf>
    <xf numFmtId="166" fontId="51" fillId="0" borderId="1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59" fillId="0" borderId="44" xfId="1" applyFill="1"/>
    <xf numFmtId="2" fontId="51" fillId="0" borderId="4" xfId="0" applyNumberFormat="1" applyFont="1" applyBorder="1" applyAlignment="1">
      <alignment horizontal="center" vertical="center"/>
    </xf>
    <xf numFmtId="2" fontId="51" fillId="2" borderId="1" xfId="0" applyNumberFormat="1" applyFont="1" applyFill="1" applyBorder="1" applyAlignment="1">
      <alignment horizontal="center"/>
    </xf>
    <xf numFmtId="0" fontId="60" fillId="0" borderId="0" xfId="0" applyFont="1"/>
    <xf numFmtId="165" fontId="5" fillId="0" borderId="1" xfId="0" applyNumberFormat="1" applyFont="1" applyBorder="1" applyAlignment="1">
      <alignment horizontal="center" vertical="center"/>
    </xf>
    <xf numFmtId="2" fontId="50" fillId="4" borderId="1" xfId="0" applyNumberFormat="1" applyFont="1" applyFill="1" applyBorder="1" applyAlignment="1">
      <alignment horizontal="center" vertical="center"/>
    </xf>
    <xf numFmtId="167" fontId="50" fillId="4" borderId="1" xfId="0" applyNumberFormat="1" applyFont="1" applyFill="1" applyBorder="1" applyAlignment="1">
      <alignment horizontal="center" vertical="center"/>
    </xf>
    <xf numFmtId="166" fontId="50" fillId="4" borderId="1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vertical="center" wrapText="1"/>
    </xf>
    <xf numFmtId="0" fontId="5" fillId="7" borderId="0" xfId="0" applyFont="1" applyFill="1"/>
    <xf numFmtId="0" fontId="20" fillId="2" borderId="1" xfId="0" applyFont="1" applyFill="1" applyBorder="1"/>
    <xf numFmtId="2" fontId="22" fillId="2" borderId="1" xfId="0" applyNumberFormat="1" applyFont="1" applyFill="1" applyBorder="1"/>
    <xf numFmtId="2" fontId="20" fillId="2" borderId="1" xfId="0" applyNumberFormat="1" applyFont="1" applyFill="1" applyBorder="1"/>
    <xf numFmtId="0" fontId="26" fillId="2" borderId="1" xfId="0" applyFont="1" applyFill="1" applyBorder="1"/>
    <xf numFmtId="0" fontId="0" fillId="2" borderId="0" xfId="0" applyFill="1"/>
    <xf numFmtId="2" fontId="0" fillId="0" borderId="1" xfId="0" applyNumberFormat="1" applyBorder="1" applyAlignment="1">
      <alignment horizontal="center" vertical="center" wrapText="1"/>
    </xf>
    <xf numFmtId="2" fontId="62" fillId="7" borderId="1" xfId="0" applyNumberFormat="1" applyFont="1" applyFill="1" applyBorder="1" applyAlignment="1">
      <alignment horizontal="center" vertical="center"/>
    </xf>
    <xf numFmtId="2" fontId="63" fillId="7" borderId="1" xfId="0" applyNumberFormat="1" applyFont="1" applyFill="1" applyBorder="1" applyAlignment="1">
      <alignment horizontal="center" vertical="center"/>
    </xf>
    <xf numFmtId="2" fontId="65" fillId="0" borderId="25" xfId="0" applyNumberFormat="1" applyFont="1" applyBorder="1" applyAlignment="1">
      <alignment horizontal="center" vertical="center"/>
    </xf>
    <xf numFmtId="2" fontId="64" fillId="7" borderId="1" xfId="0" applyNumberFormat="1" applyFont="1" applyFill="1" applyBorder="1" applyAlignment="1">
      <alignment horizontal="center" vertical="center"/>
    </xf>
    <xf numFmtId="0" fontId="28" fillId="7" borderId="0" xfId="0" applyFont="1" applyFill="1"/>
    <xf numFmtId="0" fontId="28" fillId="0" borderId="0" xfId="0" applyFont="1"/>
    <xf numFmtId="2" fontId="67" fillId="4" borderId="1" xfId="0" applyNumberFormat="1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2" fontId="21" fillId="2" borderId="1" xfId="0" applyNumberFormat="1" applyFont="1" applyFill="1" applyBorder="1"/>
    <xf numFmtId="164" fontId="0" fillId="2" borderId="1" xfId="0" applyNumberFormat="1" applyFill="1" applyBorder="1"/>
    <xf numFmtId="2" fontId="26" fillId="2" borderId="1" xfId="0" applyNumberFormat="1" applyFont="1" applyFill="1" applyBorder="1"/>
    <xf numFmtId="2" fontId="0" fillId="2" borderId="1" xfId="0" applyNumberFormat="1" applyFill="1" applyBorder="1"/>
    <xf numFmtId="2" fontId="0" fillId="2" borderId="1" xfId="0" applyNumberFormat="1" applyFill="1" applyBorder="1" applyAlignment="1">
      <alignment horizontal="right"/>
    </xf>
    <xf numFmtId="165" fontId="20" fillId="2" borderId="1" xfId="0" applyNumberFormat="1" applyFont="1" applyFill="1" applyBorder="1"/>
    <xf numFmtId="165" fontId="26" fillId="2" borderId="1" xfId="0" applyNumberFormat="1" applyFont="1" applyFill="1" applyBorder="1"/>
    <xf numFmtId="165" fontId="20" fillId="2" borderId="5" xfId="0" applyNumberFormat="1" applyFont="1" applyFill="1" applyBorder="1"/>
    <xf numFmtId="165" fontId="26" fillId="2" borderId="5" xfId="0" applyNumberFormat="1" applyFont="1" applyFill="1" applyBorder="1"/>
    <xf numFmtId="2" fontId="22" fillId="2" borderId="7" xfId="0" applyNumberFormat="1" applyFont="1" applyFill="1" applyBorder="1"/>
    <xf numFmtId="0" fontId="20" fillId="2" borderId="1" xfId="0" applyFont="1" applyFill="1" applyBorder="1" applyAlignment="1">
      <alignment wrapText="1"/>
    </xf>
    <xf numFmtId="0" fontId="68" fillId="2" borderId="1" xfId="0" applyFont="1" applyFill="1" applyBorder="1"/>
    <xf numFmtId="2" fontId="68" fillId="2" borderId="1" xfId="0" applyNumberFormat="1" applyFont="1" applyFill="1" applyBorder="1" applyAlignment="1">
      <alignment horizontal="center" vertical="center"/>
    </xf>
    <xf numFmtId="0" fontId="68" fillId="2" borderId="1" xfId="0" applyFont="1" applyFill="1" applyBorder="1" applyAlignment="1">
      <alignment horizontal="center" vertical="center"/>
    </xf>
    <xf numFmtId="0" fontId="68" fillId="2" borderId="0" xfId="0" applyFont="1" applyFill="1"/>
    <xf numFmtId="2" fontId="0" fillId="0" borderId="0" xfId="0" applyNumberFormat="1" applyAlignment="1">
      <alignment horizontal="center"/>
    </xf>
    <xf numFmtId="2" fontId="50" fillId="7" borderId="41" xfId="0" applyNumberFormat="1" applyFont="1" applyFill="1" applyBorder="1" applyAlignment="1">
      <alignment horizontal="center" vertical="center"/>
    </xf>
    <xf numFmtId="2" fontId="50" fillId="0" borderId="45" xfId="0" applyNumberFormat="1" applyFont="1" applyBorder="1" applyAlignment="1">
      <alignment horizontal="center" vertical="center"/>
    </xf>
    <xf numFmtId="164" fontId="50" fillId="0" borderId="46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2" fontId="5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/>
    </xf>
    <xf numFmtId="1" fontId="0" fillId="0" borderId="0" xfId="0" applyNumberFormat="1" applyAlignment="1">
      <alignment vertical="center" wrapText="1"/>
    </xf>
    <xf numFmtId="165" fontId="5" fillId="0" borderId="0" xfId="0" applyNumberFormat="1" applyFont="1" applyAlignment="1">
      <alignment horizontal="center" vertical="center"/>
    </xf>
    <xf numFmtId="0" fontId="71" fillId="0" borderId="47" xfId="0" applyFont="1" applyBorder="1" applyAlignment="1">
      <alignment horizontal="center" vertical="center" wrapText="1"/>
    </xf>
    <xf numFmtId="0" fontId="71" fillId="9" borderId="20" xfId="0" applyFont="1" applyFill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left" wrapText="1"/>
    </xf>
    <xf numFmtId="0" fontId="26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1" fontId="26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26" fillId="0" borderId="0" xfId="0" applyFont="1" applyAlignment="1">
      <alignment horizontal="center"/>
    </xf>
    <xf numFmtId="0" fontId="7" fillId="0" borderId="4" xfId="0" applyFont="1" applyBorder="1" applyAlignment="1">
      <alignment vertical="center"/>
    </xf>
    <xf numFmtId="2" fontId="6" fillId="0" borderId="0" xfId="0" applyNumberFormat="1" applyFont="1"/>
    <xf numFmtId="164" fontId="5" fillId="0" borderId="1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 vertical="center"/>
    </xf>
    <xf numFmtId="164" fontId="63" fillId="7" borderId="1" xfId="0" applyNumberFormat="1" applyFont="1" applyFill="1" applyBorder="1" applyAlignment="1">
      <alignment horizontal="center" vertical="center"/>
    </xf>
    <xf numFmtId="168" fontId="5" fillId="0" borderId="0" xfId="0" applyNumberFormat="1" applyFont="1"/>
    <xf numFmtId="164" fontId="51" fillId="4" borderId="1" xfId="0" applyNumberFormat="1" applyFont="1" applyFill="1" applyBorder="1" applyAlignment="1">
      <alignment horizontal="center" vertical="center"/>
    </xf>
    <xf numFmtId="0" fontId="72" fillId="0" borderId="20" xfId="0" applyFont="1" applyBorder="1" applyAlignment="1">
      <alignment horizontal="center" vertical="center"/>
    </xf>
    <xf numFmtId="0" fontId="55" fillId="0" borderId="20" xfId="0" applyFont="1" applyBorder="1" applyAlignment="1">
      <alignment horizontal="center" vertical="center" wrapText="1"/>
    </xf>
    <xf numFmtId="0" fontId="55" fillId="0" borderId="20" xfId="0" applyFont="1" applyBorder="1" applyAlignment="1">
      <alignment horizontal="center" vertical="center"/>
    </xf>
    <xf numFmtId="167" fontId="5" fillId="0" borderId="0" xfId="0" applyNumberFormat="1" applyFont="1" applyAlignment="1">
      <alignment horizontal="center"/>
    </xf>
    <xf numFmtId="0" fontId="26" fillId="0" borderId="1" xfId="0" applyFont="1" applyBorder="1" applyAlignment="1">
      <alignment horizontal="center" vertical="center" wrapText="1"/>
    </xf>
    <xf numFmtId="17" fontId="26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14" fontId="26" fillId="0" borderId="1" xfId="0" applyNumberFormat="1" applyFont="1" applyBorder="1" applyAlignment="1">
      <alignment horizontal="center" vertical="center"/>
    </xf>
    <xf numFmtId="0" fontId="73" fillId="0" borderId="1" xfId="0" applyFont="1" applyBorder="1" applyAlignment="1">
      <alignment horizontal="center" vertical="center"/>
    </xf>
    <xf numFmtId="0" fontId="73" fillId="0" borderId="1" xfId="0" applyFont="1" applyBorder="1" applyAlignment="1">
      <alignment horizontal="center" vertical="center" wrapText="1"/>
    </xf>
    <xf numFmtId="0" fontId="74" fillId="0" borderId="0" xfId="0" applyFont="1" applyAlignment="1">
      <alignment horizontal="right"/>
    </xf>
    <xf numFmtId="1" fontId="26" fillId="0" borderId="0" xfId="0" applyNumberFormat="1" applyFont="1" applyAlignment="1">
      <alignment horizontal="center" vertical="center"/>
    </xf>
    <xf numFmtId="14" fontId="26" fillId="0" borderId="0" xfId="0" applyNumberFormat="1" applyFont="1"/>
    <xf numFmtId="14" fontId="26" fillId="0" borderId="1" xfId="0" applyNumberFormat="1" applyFont="1" applyBorder="1" applyAlignment="1">
      <alignment horizontal="center"/>
    </xf>
    <xf numFmtId="0" fontId="73" fillId="0" borderId="1" xfId="0" applyFont="1" applyBorder="1" applyAlignment="1">
      <alignment horizontal="center"/>
    </xf>
    <xf numFmtId="1" fontId="26" fillId="0" borderId="0" xfId="0" applyNumberFormat="1" applyFont="1" applyAlignment="1">
      <alignment horizontal="center"/>
    </xf>
    <xf numFmtId="14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left" vertical="center" wrapText="1"/>
    </xf>
    <xf numFmtId="0" fontId="75" fillId="10" borderId="1" xfId="2" applyBorder="1" applyAlignment="1">
      <alignment horizontal="center" vertical="center"/>
    </xf>
    <xf numFmtId="0" fontId="75" fillId="10" borderId="0" xfId="2"/>
    <xf numFmtId="164" fontId="50" fillId="4" borderId="1" xfId="0" applyNumberFormat="1" applyFont="1" applyFill="1" applyBorder="1" applyAlignment="1">
      <alignment horizontal="center" vertical="center"/>
    </xf>
    <xf numFmtId="2" fontId="5" fillId="0" borderId="4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vertical="center" wrapText="1"/>
    </xf>
    <xf numFmtId="2" fontId="52" fillId="0" borderId="25" xfId="0" applyNumberFormat="1" applyFont="1" applyBorder="1" applyAlignment="1">
      <alignment horizontal="center" vertical="center"/>
    </xf>
    <xf numFmtId="164" fontId="76" fillId="7" borderId="1" xfId="0" applyNumberFormat="1" applyFont="1" applyFill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164" fontId="5" fillId="0" borderId="0" xfId="0" applyNumberFormat="1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164" fontId="4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vertical="center"/>
    </xf>
    <xf numFmtId="0" fontId="49" fillId="7" borderId="48" xfId="0" applyFont="1" applyFill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0" fontId="80" fillId="9" borderId="20" xfId="0" applyFont="1" applyFill="1" applyBorder="1" applyAlignment="1">
      <alignment horizontal="right" vertical="center" wrapText="1"/>
    </xf>
    <xf numFmtId="0" fontId="71" fillId="0" borderId="20" xfId="0" applyFont="1" applyBorder="1" applyAlignment="1">
      <alignment horizontal="center" vertical="center" wrapText="1"/>
    </xf>
    <xf numFmtId="0" fontId="71" fillId="0" borderId="20" xfId="0" applyFont="1" applyBorder="1" applyAlignment="1">
      <alignment horizontal="right" vertical="center"/>
    </xf>
    <xf numFmtId="0" fontId="71" fillId="0" borderId="20" xfId="0" applyFont="1" applyBorder="1" applyAlignment="1">
      <alignment horizontal="center" vertical="center"/>
    </xf>
    <xf numFmtId="17" fontId="7" fillId="0" borderId="1" xfId="0" applyNumberFormat="1" applyFont="1" applyBorder="1" applyAlignment="1">
      <alignment horizontal="center" vertical="center" wrapText="1"/>
    </xf>
    <xf numFmtId="164" fontId="26" fillId="0" borderId="1" xfId="0" applyNumberFormat="1" applyFont="1" applyBorder="1" applyAlignment="1">
      <alignment horizontal="center" vertical="center"/>
    </xf>
    <xf numFmtId="0" fontId="51" fillId="0" borderId="3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1" fillId="0" borderId="3" xfId="0" applyFont="1" applyBorder="1" applyAlignment="1">
      <alignment horizontal="left" vertical="center"/>
    </xf>
    <xf numFmtId="0" fontId="51" fillId="0" borderId="2" xfId="0" applyFont="1" applyBorder="1" applyAlignment="1">
      <alignment vertical="center"/>
    </xf>
    <xf numFmtId="0" fontId="51" fillId="0" borderId="4" xfId="0" applyFont="1" applyBorder="1" applyAlignment="1">
      <alignment vertical="center"/>
    </xf>
    <xf numFmtId="0" fontId="51" fillId="0" borderId="1" xfId="0" applyFont="1" applyBorder="1" applyAlignment="1">
      <alignment horizontal="center" vertical="center"/>
    </xf>
    <xf numFmtId="0" fontId="82" fillId="0" borderId="0" xfId="0" applyFont="1"/>
    <xf numFmtId="0" fontId="83" fillId="8" borderId="1" xfId="0" applyFont="1" applyFill="1" applyBorder="1"/>
    <xf numFmtId="0" fontId="84" fillId="4" borderId="1" xfId="0" applyFont="1" applyFill="1" applyBorder="1"/>
    <xf numFmtId="164" fontId="84" fillId="4" borderId="1" xfId="0" applyNumberFormat="1" applyFont="1" applyFill="1" applyBorder="1"/>
    <xf numFmtId="2" fontId="82" fillId="0" borderId="51" xfId="0" applyNumberFormat="1" applyFont="1" applyBorder="1"/>
    <xf numFmtId="2" fontId="82" fillId="0" borderId="6" xfId="0" applyNumberFormat="1" applyFont="1" applyBorder="1"/>
    <xf numFmtId="2" fontId="82" fillId="0" borderId="52" xfId="0" applyNumberFormat="1" applyFont="1" applyBorder="1"/>
    <xf numFmtId="2" fontId="82" fillId="0" borderId="53" xfId="0" applyNumberFormat="1" applyFont="1" applyBorder="1"/>
    <xf numFmtId="0" fontId="81" fillId="0" borderId="35" xfId="0" applyFont="1" applyBorder="1" applyAlignment="1">
      <alignment horizontal="center" vertical="center"/>
    </xf>
    <xf numFmtId="0" fontId="81" fillId="0" borderId="34" xfId="0" applyFont="1" applyBorder="1" applyAlignment="1">
      <alignment horizontal="center" vertical="center"/>
    </xf>
    <xf numFmtId="0" fontId="81" fillId="0" borderId="36" xfId="0" applyFont="1" applyBorder="1" applyAlignment="1">
      <alignment horizontal="center" vertical="center"/>
    </xf>
    <xf numFmtId="0" fontId="82" fillId="0" borderId="37" xfId="0" applyFont="1" applyBorder="1"/>
    <xf numFmtId="0" fontId="82" fillId="0" borderId="56" xfId="0" applyFont="1" applyBorder="1"/>
    <xf numFmtId="2" fontId="82" fillId="0" borderId="57" xfId="0" applyNumberFormat="1" applyFont="1" applyBorder="1"/>
    <xf numFmtId="2" fontId="82" fillId="0" borderId="5" xfId="0" applyNumberFormat="1" applyFont="1" applyBorder="1"/>
    <xf numFmtId="2" fontId="82" fillId="0" borderId="56" xfId="0" applyNumberFormat="1" applyFont="1" applyBorder="1"/>
    <xf numFmtId="0" fontId="82" fillId="0" borderId="53" xfId="0" applyFont="1" applyBorder="1"/>
    <xf numFmtId="0" fontId="82" fillId="0" borderId="61" xfId="0" applyFont="1" applyBorder="1"/>
    <xf numFmtId="2" fontId="82" fillId="0" borderId="62" xfId="0" applyNumberFormat="1" applyFont="1" applyBorder="1"/>
    <xf numFmtId="2" fontId="82" fillId="0" borderId="7" xfId="0" applyNumberFormat="1" applyFont="1" applyBorder="1"/>
    <xf numFmtId="2" fontId="82" fillId="0" borderId="61" xfId="0" applyNumberFormat="1" applyFont="1" applyBorder="1"/>
    <xf numFmtId="2" fontId="82" fillId="4" borderId="53" xfId="0" applyNumberFormat="1" applyFont="1" applyFill="1" applyBorder="1"/>
    <xf numFmtId="2" fontId="82" fillId="4" borderId="61" xfId="0" applyNumberFormat="1" applyFont="1" applyFill="1" applyBorder="1"/>
    <xf numFmtId="0" fontId="81" fillId="8" borderId="50" xfId="0" applyFont="1" applyFill="1" applyBorder="1"/>
    <xf numFmtId="2" fontId="81" fillId="8" borderId="58" xfId="0" applyNumberFormat="1" applyFont="1" applyFill="1" applyBorder="1"/>
    <xf numFmtId="2" fontId="81" fillId="8" borderId="59" xfId="0" applyNumberFormat="1" applyFont="1" applyFill="1" applyBorder="1"/>
    <xf numFmtId="2" fontId="81" fillId="8" borderId="60" xfId="0" applyNumberFormat="1" applyFont="1" applyFill="1" applyBorder="1"/>
    <xf numFmtId="2" fontId="81" fillId="8" borderId="50" xfId="0" applyNumberFormat="1" applyFont="1" applyFill="1" applyBorder="1"/>
    <xf numFmtId="0" fontId="81" fillId="8" borderId="39" xfId="0" applyFont="1" applyFill="1" applyBorder="1"/>
    <xf numFmtId="0" fontId="84" fillId="4" borderId="6" xfId="0" applyFont="1" applyFill="1" applyBorder="1"/>
    <xf numFmtId="0" fontId="84" fillId="4" borderId="37" xfId="0" applyFont="1" applyFill="1" applyBorder="1"/>
    <xf numFmtId="0" fontId="84" fillId="4" borderId="38" xfId="0" applyFont="1" applyFill="1" applyBorder="1"/>
    <xf numFmtId="0" fontId="83" fillId="8" borderId="38" xfId="0" applyFont="1" applyFill="1" applyBorder="1"/>
    <xf numFmtId="0" fontId="83" fillId="8" borderId="39" xfId="0" applyFont="1" applyFill="1" applyBorder="1"/>
    <xf numFmtId="0" fontId="83" fillId="4" borderId="58" xfId="0" applyFont="1" applyFill="1" applyBorder="1" applyAlignment="1">
      <alignment vertical="center"/>
    </xf>
    <xf numFmtId="0" fontId="83" fillId="4" borderId="59" xfId="0" applyFont="1" applyFill="1" applyBorder="1" applyAlignment="1">
      <alignment vertical="center"/>
    </xf>
    <xf numFmtId="0" fontId="83" fillId="4" borderId="60" xfId="0" applyFont="1" applyFill="1" applyBorder="1" applyAlignment="1">
      <alignment vertical="center"/>
    </xf>
    <xf numFmtId="0" fontId="84" fillId="4" borderId="51" xfId="0" applyFont="1" applyFill="1" applyBorder="1"/>
    <xf numFmtId="0" fontId="84" fillId="4" borderId="52" xfId="0" applyFont="1" applyFill="1" applyBorder="1"/>
    <xf numFmtId="0" fontId="84" fillId="4" borderId="32" xfId="0" applyFont="1" applyFill="1" applyBorder="1"/>
    <xf numFmtId="0" fontId="84" fillId="4" borderId="33" xfId="0" applyFont="1" applyFill="1" applyBorder="1"/>
    <xf numFmtId="0" fontId="83" fillId="8" borderId="32" xfId="0" applyFont="1" applyFill="1" applyBorder="1"/>
    <xf numFmtId="0" fontId="84" fillId="8" borderId="33" xfId="0" applyFont="1" applyFill="1" applyBorder="1"/>
    <xf numFmtId="0" fontId="83" fillId="8" borderId="33" xfId="0" applyFont="1" applyFill="1" applyBorder="1"/>
    <xf numFmtId="2" fontId="83" fillId="8" borderId="32" xfId="0" applyNumberFormat="1" applyFont="1" applyFill="1" applyBorder="1"/>
    <xf numFmtId="0" fontId="83" fillId="8" borderId="34" xfId="0" applyFont="1" applyFill="1" applyBorder="1"/>
    <xf numFmtId="0" fontId="83" fillId="8" borderId="35" xfId="0" applyFont="1" applyFill="1" applyBorder="1"/>
    <xf numFmtId="0" fontId="83" fillId="8" borderId="36" xfId="0" applyFont="1" applyFill="1" applyBorder="1"/>
    <xf numFmtId="0" fontId="84" fillId="4" borderId="53" xfId="0" applyFont="1" applyFill="1" applyBorder="1"/>
    <xf numFmtId="0" fontId="86" fillId="0" borderId="0" xfId="0" applyFont="1"/>
    <xf numFmtId="0" fontId="86" fillId="11" borderId="66" xfId="0" applyFont="1" applyFill="1" applyBorder="1" applyAlignment="1">
      <alignment vertical="top" wrapText="1"/>
    </xf>
    <xf numFmtId="2" fontId="50" fillId="2" borderId="1" xfId="0" applyNumberFormat="1" applyFont="1" applyFill="1" applyBorder="1" applyAlignment="1">
      <alignment horizontal="center" vertical="center"/>
    </xf>
    <xf numFmtId="2" fontId="53" fillId="2" borderId="1" xfId="0" applyNumberFormat="1" applyFont="1" applyFill="1" applyBorder="1" applyAlignment="1">
      <alignment horizontal="center" vertical="center"/>
    </xf>
    <xf numFmtId="2" fontId="52" fillId="2" borderId="1" xfId="0" applyNumberFormat="1" applyFont="1" applyFill="1" applyBorder="1" applyAlignment="1">
      <alignment horizontal="center" vertical="center"/>
    </xf>
    <xf numFmtId="164" fontId="6" fillId="0" borderId="0" xfId="0" applyNumberFormat="1" applyFont="1"/>
    <xf numFmtId="165" fontId="50" fillId="2" borderId="1" xfId="0" applyNumberFormat="1" applyFont="1" applyFill="1" applyBorder="1" applyAlignment="1">
      <alignment horizontal="center" vertical="center"/>
    </xf>
    <xf numFmtId="165" fontId="50" fillId="4" borderId="1" xfId="0" applyNumberFormat="1" applyFont="1" applyFill="1" applyBorder="1" applyAlignment="1">
      <alignment horizontal="center" vertical="center"/>
    </xf>
    <xf numFmtId="1" fontId="0" fillId="0" borderId="1" xfId="0" applyNumberFormat="1" applyBorder="1"/>
    <xf numFmtId="1" fontId="1" fillId="0" borderId="1" xfId="0" applyNumberFormat="1" applyFont="1" applyBorder="1"/>
    <xf numFmtId="2" fontId="1" fillId="0" borderId="1" xfId="0" applyNumberFormat="1" applyFont="1" applyBorder="1"/>
    <xf numFmtId="0" fontId="12" fillId="0" borderId="1" xfId="0" applyFont="1" applyBorder="1"/>
    <xf numFmtId="0" fontId="54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0" fontId="88" fillId="11" borderId="1" xfId="0" applyFont="1" applyFill="1" applyBorder="1" applyAlignment="1">
      <alignment vertical="top" wrapText="1"/>
    </xf>
    <xf numFmtId="0" fontId="49" fillId="0" borderId="2" xfId="0" applyFont="1" applyBorder="1" applyAlignment="1">
      <alignment horizontal="center" vertical="center"/>
    </xf>
    <xf numFmtId="0" fontId="49" fillId="0" borderId="1" xfId="0" applyFont="1" applyBorder="1" applyAlignment="1">
      <alignment vertical="center"/>
    </xf>
    <xf numFmtId="0" fontId="49" fillId="0" borderId="6" xfId="0" applyFont="1" applyBorder="1" applyAlignment="1">
      <alignment horizontal="center" vertical="center" wrapText="1"/>
    </xf>
    <xf numFmtId="164" fontId="50" fillId="7" borderId="33" xfId="0" applyNumberFormat="1" applyFont="1" applyFill="1" applyBorder="1" applyAlignment="1">
      <alignment horizontal="center" vertical="center"/>
    </xf>
    <xf numFmtId="164" fontId="50" fillId="4" borderId="33" xfId="0" applyNumberFormat="1" applyFont="1" applyFill="1" applyBorder="1" applyAlignment="1">
      <alignment horizontal="center" vertical="center"/>
    </xf>
    <xf numFmtId="164" fontId="53" fillId="7" borderId="33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7" fontId="49" fillId="0" borderId="2" xfId="0" applyNumberFormat="1" applyFont="1" applyBorder="1" applyAlignment="1">
      <alignment horizontal="center" vertical="center" wrapText="1"/>
    </xf>
    <xf numFmtId="2" fontId="50" fillId="7" borderId="2" xfId="0" applyNumberFormat="1" applyFont="1" applyFill="1" applyBorder="1" applyAlignment="1">
      <alignment horizontal="center" vertical="center"/>
    </xf>
    <xf numFmtId="2" fontId="50" fillId="4" borderId="2" xfId="0" applyNumberFormat="1" applyFont="1" applyFill="1" applyBorder="1" applyAlignment="1">
      <alignment horizontal="center" vertical="center"/>
    </xf>
    <xf numFmtId="2" fontId="52" fillId="7" borderId="2" xfId="0" applyNumberFormat="1" applyFont="1" applyFill="1" applyBorder="1" applyAlignment="1">
      <alignment horizontal="center" vertical="center"/>
    </xf>
    <xf numFmtId="17" fontId="49" fillId="0" borderId="29" xfId="0" applyNumberFormat="1" applyFont="1" applyBorder="1" applyAlignment="1">
      <alignment horizontal="center" vertical="center" wrapText="1"/>
    </xf>
    <xf numFmtId="0" fontId="49" fillId="0" borderId="32" xfId="0" applyFont="1" applyBorder="1" applyAlignment="1">
      <alignment horizontal="center" vertical="center"/>
    </xf>
    <xf numFmtId="164" fontId="52" fillId="7" borderId="34" xfId="0" applyNumberFormat="1" applyFont="1" applyFill="1" applyBorder="1" applyAlignment="1">
      <alignment horizontal="center" vertical="center"/>
    </xf>
    <xf numFmtId="17" fontId="49" fillId="0" borderId="68" xfId="0" applyNumberFormat="1" applyFont="1" applyBorder="1" applyAlignment="1">
      <alignment horizontal="center" vertical="center" wrapText="1"/>
    </xf>
    <xf numFmtId="2" fontId="52" fillId="7" borderId="72" xfId="0" applyNumberFormat="1" applyFont="1" applyFill="1" applyBorder="1" applyAlignment="1">
      <alignment horizontal="center" vertical="center"/>
    </xf>
    <xf numFmtId="164" fontId="50" fillId="7" borderId="32" xfId="0" applyNumberFormat="1" applyFont="1" applyFill="1" applyBorder="1" applyAlignment="1">
      <alignment horizontal="center" vertical="center"/>
    </xf>
    <xf numFmtId="164" fontId="50" fillId="4" borderId="32" xfId="0" applyNumberFormat="1" applyFont="1" applyFill="1" applyBorder="1" applyAlignment="1">
      <alignment horizontal="center" vertical="center"/>
    </xf>
    <xf numFmtId="164" fontId="50" fillId="7" borderId="34" xfId="0" applyNumberFormat="1" applyFont="1" applyFill="1" applyBorder="1" applyAlignment="1">
      <alignment horizontal="center" vertical="center"/>
    </xf>
    <xf numFmtId="1" fontId="50" fillId="7" borderId="1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9" fillId="0" borderId="0" xfId="0" applyFont="1" applyAlignment="1">
      <alignment vertical="center"/>
    </xf>
    <xf numFmtId="1" fontId="14" fillId="0" borderId="0" xfId="0" applyNumberFormat="1" applyFont="1" applyAlignment="1">
      <alignment horizontal="center"/>
    </xf>
    <xf numFmtId="0" fontId="1" fillId="13" borderId="0" xfId="0" applyFont="1" applyFill="1" applyAlignment="1">
      <alignment horizontal="center"/>
    </xf>
    <xf numFmtId="2" fontId="1" fillId="0" borderId="0" xfId="0" applyNumberFormat="1" applyFont="1"/>
    <xf numFmtId="0" fontId="1" fillId="12" borderId="0" xfId="0" applyFont="1" applyFill="1" applyAlignment="1">
      <alignment horizontal="center"/>
    </xf>
    <xf numFmtId="1" fontId="0" fillId="0" borderId="7" xfId="0" applyNumberFormat="1" applyBorder="1"/>
    <xf numFmtId="17" fontId="5" fillId="0" borderId="0" xfId="0" applyNumberFormat="1" applyFont="1"/>
    <xf numFmtId="2" fontId="81" fillId="0" borderId="52" xfId="0" applyNumberFormat="1" applyFont="1" applyBorder="1"/>
    <xf numFmtId="1" fontId="50" fillId="0" borderId="1" xfId="0" applyNumberFormat="1" applyFont="1" applyBorder="1" applyAlignment="1">
      <alignment horizontal="center" vertical="center"/>
    </xf>
    <xf numFmtId="1" fontId="57" fillId="7" borderId="1" xfId="0" applyNumberFormat="1" applyFont="1" applyFill="1" applyBorder="1" applyAlignment="1">
      <alignment horizontal="center" vertical="center"/>
    </xf>
    <xf numFmtId="2" fontId="91" fillId="7" borderId="1" xfId="0" applyNumberFormat="1" applyFont="1" applyFill="1" applyBorder="1" applyAlignment="1">
      <alignment horizontal="center" vertical="center"/>
    </xf>
    <xf numFmtId="164" fontId="91" fillId="0" borderId="1" xfId="0" applyNumberFormat="1" applyFont="1" applyBorder="1" applyAlignment="1">
      <alignment horizontal="center" vertical="center"/>
    </xf>
    <xf numFmtId="2" fontId="51" fillId="4" borderId="1" xfId="0" applyNumberFormat="1" applyFont="1" applyFill="1" applyBorder="1" applyAlignment="1">
      <alignment horizontal="center"/>
    </xf>
    <xf numFmtId="165" fontId="65" fillId="0" borderId="25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92" fillId="0" borderId="1" xfId="0" applyFont="1" applyBorder="1" applyAlignment="1">
      <alignment horizontal="left" vertical="center"/>
    </xf>
    <xf numFmtId="0" fontId="92" fillId="0" borderId="1" xfId="0" applyFont="1" applyBorder="1" applyAlignment="1">
      <alignment horizontal="center" vertical="center"/>
    </xf>
    <xf numFmtId="164" fontId="92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4" fontId="73" fillId="0" borderId="1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wrapText="1"/>
    </xf>
    <xf numFmtId="2" fontId="92" fillId="0" borderId="1" xfId="0" applyNumberFormat="1" applyFont="1" applyBorder="1" applyAlignment="1">
      <alignment horizontal="center" vertical="center"/>
    </xf>
    <xf numFmtId="0" fontId="92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 vertical="center" wrapText="1"/>
    </xf>
    <xf numFmtId="0" fontId="9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88" fillId="0" borderId="0" xfId="0" applyFont="1"/>
    <xf numFmtId="2" fontId="86" fillId="0" borderId="1" xfId="0" applyNumberFormat="1" applyFont="1" applyBorder="1" applyAlignment="1">
      <alignment horizontal="center" vertical="center"/>
    </xf>
    <xf numFmtId="0" fontId="11" fillId="0" borderId="10" xfId="0" applyFont="1" applyBorder="1"/>
    <xf numFmtId="0" fontId="90" fillId="0" borderId="0" xfId="0" applyFont="1" applyAlignment="1">
      <alignment horizontal="center" vertical="center" wrapText="1"/>
    </xf>
    <xf numFmtId="0" fontId="8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9" fillId="0" borderId="0" xfId="0" applyNumberFormat="1" applyFont="1" applyAlignment="1">
      <alignment horizontal="center" vertical="center"/>
    </xf>
    <xf numFmtId="0" fontId="93" fillId="4" borderId="58" xfId="0" applyFont="1" applyFill="1" applyBorder="1" applyAlignment="1">
      <alignment vertical="center"/>
    </xf>
    <xf numFmtId="0" fontId="93" fillId="4" borderId="59" xfId="0" applyFont="1" applyFill="1" applyBorder="1" applyAlignment="1">
      <alignment vertical="center"/>
    </xf>
    <xf numFmtId="0" fontId="93" fillId="4" borderId="60" xfId="0" applyFont="1" applyFill="1" applyBorder="1" applyAlignment="1">
      <alignment vertical="center"/>
    </xf>
    <xf numFmtId="0" fontId="94" fillId="4" borderId="37" xfId="0" applyFont="1" applyFill="1" applyBorder="1"/>
    <xf numFmtId="0" fontId="94" fillId="4" borderId="51" xfId="0" applyFont="1" applyFill="1" applyBorder="1"/>
    <xf numFmtId="0" fontId="94" fillId="4" borderId="6" xfId="0" applyFont="1" applyFill="1" applyBorder="1"/>
    <xf numFmtId="0" fontId="94" fillId="4" borderId="52" xfId="0" applyFont="1" applyFill="1" applyBorder="1"/>
    <xf numFmtId="0" fontId="94" fillId="4" borderId="53" xfId="0" applyFont="1" applyFill="1" applyBorder="1"/>
    <xf numFmtId="0" fontId="94" fillId="4" borderId="38" xfId="0" applyFont="1" applyFill="1" applyBorder="1"/>
    <xf numFmtId="0" fontId="94" fillId="4" borderId="32" xfId="0" applyFont="1" applyFill="1" applyBorder="1"/>
    <xf numFmtId="0" fontId="94" fillId="4" borderId="1" xfId="0" applyFont="1" applyFill="1" applyBorder="1"/>
    <xf numFmtId="0" fontId="94" fillId="4" borderId="33" xfId="0" applyFont="1" applyFill="1" applyBorder="1"/>
    <xf numFmtId="0" fontId="93" fillId="8" borderId="38" xfId="0" applyFont="1" applyFill="1" applyBorder="1"/>
    <xf numFmtId="0" fontId="93" fillId="8" borderId="32" xfId="0" applyFont="1" applyFill="1" applyBorder="1"/>
    <xf numFmtId="0" fontId="93" fillId="8" borderId="1" xfId="0" applyFont="1" applyFill="1" applyBorder="1"/>
    <xf numFmtId="0" fontId="94" fillId="8" borderId="33" xfId="0" applyFont="1" applyFill="1" applyBorder="1"/>
    <xf numFmtId="0" fontId="93" fillId="8" borderId="33" xfId="0" applyFont="1" applyFill="1" applyBorder="1"/>
    <xf numFmtId="164" fontId="94" fillId="4" borderId="1" xfId="0" applyNumberFormat="1" applyFont="1" applyFill="1" applyBorder="1"/>
    <xf numFmtId="2" fontId="93" fillId="8" borderId="32" xfId="0" applyNumberFormat="1" applyFont="1" applyFill="1" applyBorder="1"/>
    <xf numFmtId="0" fontId="93" fillId="8" borderId="39" xfId="0" applyFont="1" applyFill="1" applyBorder="1"/>
    <xf numFmtId="0" fontId="93" fillId="8" borderId="34" xfId="0" applyFont="1" applyFill="1" applyBorder="1"/>
    <xf numFmtId="0" fontId="93" fillId="8" borderId="35" xfId="0" applyFont="1" applyFill="1" applyBorder="1"/>
    <xf numFmtId="0" fontId="93" fillId="8" borderId="36" xfId="0" applyFont="1" applyFill="1" applyBorder="1"/>
    <xf numFmtId="0" fontId="93" fillId="4" borderId="1" xfId="0" applyFont="1" applyFill="1" applyBorder="1" applyAlignment="1">
      <alignment vertical="center"/>
    </xf>
    <xf numFmtId="164" fontId="1" fillId="8" borderId="1" xfId="0" applyNumberFormat="1" applyFont="1" applyFill="1" applyBorder="1"/>
    <xf numFmtId="2" fontId="1" fillId="8" borderId="1" xfId="0" applyNumberFormat="1" applyFont="1" applyFill="1" applyBorder="1"/>
    <xf numFmtId="0" fontId="93" fillId="4" borderId="1" xfId="0" applyFont="1" applyFill="1" applyBorder="1" applyAlignment="1">
      <alignment horizontal="center"/>
    </xf>
    <xf numFmtId="0" fontId="93" fillId="4" borderId="4" xfId="0" applyFont="1" applyFill="1" applyBorder="1" applyAlignment="1">
      <alignment horizontal="center" vertical="center"/>
    </xf>
    <xf numFmtId="165" fontId="0" fillId="0" borderId="6" xfId="0" applyNumberFormat="1" applyBorder="1"/>
    <xf numFmtId="0" fontId="0" fillId="0" borderId="6" xfId="0" applyBorder="1"/>
    <xf numFmtId="2" fontId="93" fillId="8" borderId="36" xfId="0" applyNumberFormat="1" applyFont="1" applyFill="1" applyBorder="1"/>
    <xf numFmtId="167" fontId="0" fillId="0" borderId="6" xfId="0" applyNumberFormat="1" applyBorder="1"/>
    <xf numFmtId="2" fontId="95" fillId="7" borderId="1" xfId="0" applyNumberFormat="1" applyFont="1" applyFill="1" applyBorder="1" applyAlignment="1">
      <alignment horizontal="center" vertical="center"/>
    </xf>
    <xf numFmtId="2" fontId="65" fillId="0" borderId="45" xfId="0" applyNumberFormat="1" applyFont="1" applyBorder="1" applyAlignment="1">
      <alignment horizontal="center" vertical="center"/>
    </xf>
    <xf numFmtId="2" fontId="93" fillId="8" borderId="1" xfId="0" applyNumberFormat="1" applyFont="1" applyFill="1" applyBorder="1"/>
    <xf numFmtId="2" fontId="93" fillId="8" borderId="4" xfId="0" applyNumberFormat="1" applyFont="1" applyFill="1" applyBorder="1"/>
    <xf numFmtId="2" fontId="94" fillId="4" borderId="2" xfId="0" applyNumberFormat="1" applyFont="1" applyFill="1" applyBorder="1"/>
    <xf numFmtId="2" fontId="94" fillId="4" borderId="1" xfId="0" applyNumberFormat="1" applyFont="1" applyFill="1" applyBorder="1"/>
    <xf numFmtId="2" fontId="94" fillId="4" borderId="4" xfId="0" applyNumberFormat="1" applyFont="1" applyFill="1" applyBorder="1"/>
    <xf numFmtId="0" fontId="93" fillId="4" borderId="33" xfId="0" applyFont="1" applyFill="1" applyBorder="1" applyAlignment="1">
      <alignment vertical="center"/>
    </xf>
    <xf numFmtId="2" fontId="94" fillId="4" borderId="33" xfId="0" applyNumberFormat="1" applyFont="1" applyFill="1" applyBorder="1"/>
    <xf numFmtId="2" fontId="93" fillId="8" borderId="33" xfId="0" applyNumberFormat="1" applyFont="1" applyFill="1" applyBorder="1"/>
    <xf numFmtId="2" fontId="93" fillId="8" borderId="76" xfId="0" applyNumberFormat="1" applyFont="1" applyFill="1" applyBorder="1"/>
    <xf numFmtId="2" fontId="93" fillId="8" borderId="75" xfId="0" applyNumberFormat="1" applyFont="1" applyFill="1" applyBorder="1"/>
    <xf numFmtId="0" fontId="93" fillId="4" borderId="32" xfId="0" applyFont="1" applyFill="1" applyBorder="1" applyAlignment="1">
      <alignment vertical="center"/>
    </xf>
    <xf numFmtId="2" fontId="94" fillId="4" borderId="32" xfId="0" applyNumberFormat="1" applyFont="1" applyFill="1" applyBorder="1"/>
    <xf numFmtId="2" fontId="94" fillId="4" borderId="34" xfId="0" applyNumberFormat="1" applyFont="1" applyFill="1" applyBorder="1"/>
    <xf numFmtId="2" fontId="94" fillId="4" borderId="35" xfId="0" applyNumberFormat="1" applyFont="1" applyFill="1" applyBorder="1"/>
    <xf numFmtId="2" fontId="94" fillId="4" borderId="36" xfId="0" applyNumberFormat="1" applyFont="1" applyFill="1" applyBorder="1"/>
    <xf numFmtId="0" fontId="93" fillId="8" borderId="56" xfId="0" applyFont="1" applyFill="1" applyBorder="1"/>
    <xf numFmtId="0" fontId="93" fillId="8" borderId="47" xfId="0" applyFont="1" applyFill="1" applyBorder="1"/>
    <xf numFmtId="0" fontId="94" fillId="4" borderId="50" xfId="0" applyFont="1" applyFill="1" applyBorder="1"/>
    <xf numFmtId="0" fontId="93" fillId="4" borderId="33" xfId="0" applyFont="1" applyFill="1" applyBorder="1" applyAlignment="1">
      <alignment horizontal="center" vertical="center"/>
    </xf>
    <xf numFmtId="2" fontId="93" fillId="8" borderId="34" xfId="0" applyNumberFormat="1" applyFont="1" applyFill="1" applyBorder="1"/>
    <xf numFmtId="0" fontId="93" fillId="4" borderId="32" xfId="0" applyFont="1" applyFill="1" applyBorder="1" applyAlignment="1">
      <alignment horizontal="center" vertical="center"/>
    </xf>
    <xf numFmtId="2" fontId="93" fillId="8" borderId="2" xfId="0" applyNumberFormat="1" applyFont="1" applyFill="1" applyBorder="1"/>
    <xf numFmtId="2" fontId="94" fillId="4" borderId="72" xfId="0" applyNumberFormat="1" applyFont="1" applyFill="1" applyBorder="1"/>
    <xf numFmtId="2" fontId="93" fillId="8" borderId="74" xfId="0" applyNumberFormat="1" applyFont="1" applyFill="1" applyBorder="1"/>
    <xf numFmtId="0" fontId="96" fillId="0" borderId="0" xfId="0" applyFont="1"/>
    <xf numFmtId="0" fontId="96" fillId="3" borderId="1" xfId="0" applyFont="1" applyFill="1" applyBorder="1" applyAlignment="1">
      <alignment horizontal="center" vertical="center"/>
    </xf>
    <xf numFmtId="0" fontId="96" fillId="3" borderId="1" xfId="0" applyFont="1" applyFill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96" fillId="0" borderId="1" xfId="0" applyFont="1" applyBorder="1" applyAlignment="1">
      <alignment horizontal="center" wrapText="1"/>
    </xf>
    <xf numFmtId="0" fontId="98" fillId="0" borderId="1" xfId="0" applyFont="1" applyBorder="1" applyAlignment="1">
      <alignment vertical="center" wrapText="1"/>
    </xf>
    <xf numFmtId="2" fontId="96" fillId="0" borderId="1" xfId="0" applyNumberFormat="1" applyFont="1" applyBorder="1"/>
    <xf numFmtId="0" fontId="96" fillId="0" borderId="1" xfId="0" applyFont="1" applyBorder="1" applyAlignment="1">
      <alignment horizontal="center" vertical="center"/>
    </xf>
    <xf numFmtId="0" fontId="96" fillId="0" borderId="1" xfId="0" applyFont="1" applyBorder="1" applyAlignment="1">
      <alignment horizontal="left" vertical="center"/>
    </xf>
    <xf numFmtId="2" fontId="96" fillId="0" borderId="1" xfId="0" applyNumberFormat="1" applyFont="1" applyBorder="1" applyAlignment="1">
      <alignment horizontal="center" vertical="center"/>
    </xf>
    <xf numFmtId="0" fontId="98" fillId="0" borderId="1" xfId="0" applyFont="1" applyBorder="1" applyAlignment="1">
      <alignment vertical="center"/>
    </xf>
    <xf numFmtId="0" fontId="96" fillId="4" borderId="1" xfId="0" applyFont="1" applyFill="1" applyBorder="1"/>
    <xf numFmtId="0" fontId="96" fillId="0" borderId="1" xfId="0" applyFont="1" applyBorder="1" applyAlignment="1">
      <alignment horizontal="left" vertical="center" wrapText="1"/>
    </xf>
    <xf numFmtId="0" fontId="99" fillId="0" borderId="1" xfId="0" applyFont="1" applyBorder="1" applyAlignment="1">
      <alignment vertical="center" wrapText="1"/>
    </xf>
    <xf numFmtId="0" fontId="99" fillId="0" borderId="1" xfId="0" applyFont="1" applyBorder="1" applyAlignment="1">
      <alignment vertical="center"/>
    </xf>
    <xf numFmtId="0" fontId="97" fillId="8" borderId="1" xfId="0" applyFont="1" applyFill="1" applyBorder="1"/>
    <xf numFmtId="2" fontId="97" fillId="8" borderId="1" xfId="0" applyNumberFormat="1" applyFont="1" applyFill="1" applyBorder="1"/>
    <xf numFmtId="2" fontId="96" fillId="8" borderId="1" xfId="0" applyNumberFormat="1" applyFont="1" applyFill="1" applyBorder="1"/>
    <xf numFmtId="2" fontId="97" fillId="0" borderId="1" xfId="0" applyNumberFormat="1" applyFont="1" applyBorder="1" applyAlignment="1">
      <alignment horizontal="center" vertical="center"/>
    </xf>
    <xf numFmtId="0" fontId="97" fillId="0" borderId="1" xfId="0" applyFont="1" applyBorder="1" applyAlignment="1">
      <alignment horizontal="center" vertical="center"/>
    </xf>
    <xf numFmtId="0" fontId="97" fillId="2" borderId="1" xfId="0" applyFont="1" applyFill="1" applyBorder="1" applyAlignment="1">
      <alignment horizontal="center" vertical="center"/>
    </xf>
    <xf numFmtId="0" fontId="97" fillId="8" borderId="1" xfId="0" applyFont="1" applyFill="1" applyBorder="1" applyAlignment="1">
      <alignment horizontal="center" vertical="center"/>
    </xf>
    <xf numFmtId="0" fontId="97" fillId="8" borderId="1" xfId="0" applyFont="1" applyFill="1" applyBorder="1" applyAlignment="1">
      <alignment horizontal="left" vertical="center" wrapText="1"/>
    </xf>
    <xf numFmtId="2" fontId="97" fillId="8" borderId="1" xfId="0" applyNumberFormat="1" applyFont="1" applyFill="1" applyBorder="1" applyAlignment="1">
      <alignment horizontal="center" vertical="center"/>
    </xf>
    <xf numFmtId="165" fontId="96" fillId="0" borderId="0" xfId="0" applyNumberFormat="1" applyFont="1"/>
    <xf numFmtId="164" fontId="96" fillId="0" borderId="0" xfId="0" applyNumberFormat="1" applyFont="1"/>
    <xf numFmtId="164" fontId="96" fillId="4" borderId="1" xfId="0" applyNumberFormat="1" applyFont="1" applyFill="1" applyBorder="1"/>
    <xf numFmtId="0" fontId="97" fillId="4" borderId="1" xfId="0" applyFont="1" applyFill="1" applyBorder="1" applyAlignment="1">
      <alignment vertical="center"/>
    </xf>
    <xf numFmtId="0" fontId="96" fillId="8" borderId="1" xfId="0" applyFont="1" applyFill="1" applyBorder="1"/>
    <xf numFmtId="2" fontId="97" fillId="0" borderId="1" xfId="0" applyNumberFormat="1" applyFont="1" applyBorder="1"/>
    <xf numFmtId="0" fontId="100" fillId="0" borderId="0" xfId="0" applyFont="1"/>
    <xf numFmtId="164" fontId="97" fillId="8" borderId="1" xfId="0" applyNumberFormat="1" applyFont="1" applyFill="1" applyBorder="1"/>
    <xf numFmtId="0" fontId="97" fillId="4" borderId="4" xfId="0" applyFont="1" applyFill="1" applyBorder="1" applyAlignment="1">
      <alignment vertical="center"/>
    </xf>
    <xf numFmtId="2" fontId="96" fillId="0" borderId="4" xfId="0" applyNumberFormat="1" applyFont="1" applyBorder="1"/>
    <xf numFmtId="2" fontId="97" fillId="0" borderId="4" xfId="0" applyNumberFormat="1" applyFont="1" applyBorder="1"/>
    <xf numFmtId="0" fontId="96" fillId="0" borderId="1" xfId="0" applyFont="1" applyBorder="1"/>
    <xf numFmtId="0" fontId="97" fillId="0" borderId="1" xfId="0" applyFont="1" applyBorder="1"/>
    <xf numFmtId="0" fontId="4" fillId="0" borderId="0" xfId="0" applyFont="1" applyAlignment="1">
      <alignment horizontal="center"/>
    </xf>
    <xf numFmtId="2" fontId="1" fillId="0" borderId="0" xfId="0" applyNumberFormat="1" applyFont="1" applyAlignment="1">
      <alignment vertical="center"/>
    </xf>
    <xf numFmtId="0" fontId="43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left" vertical="center" wrapText="1"/>
    </xf>
    <xf numFmtId="164" fontId="41" fillId="0" borderId="1" xfId="0" applyNumberFormat="1" applyFont="1" applyBorder="1" applyAlignment="1">
      <alignment horizontal="center" vertical="center"/>
    </xf>
    <xf numFmtId="2" fontId="81" fillId="8" borderId="73" xfId="0" applyNumberFormat="1" applyFont="1" applyFill="1" applyBorder="1"/>
    <xf numFmtId="2" fontId="81" fillId="8" borderId="77" xfId="0" applyNumberFormat="1" applyFont="1" applyFill="1" applyBorder="1"/>
    <xf numFmtId="2" fontId="81" fillId="8" borderId="69" xfId="0" applyNumberFormat="1" applyFont="1" applyFill="1" applyBorder="1"/>
    <xf numFmtId="166" fontId="0" fillId="0" borderId="0" xfId="0" applyNumberFormat="1"/>
    <xf numFmtId="1" fontId="1" fillId="8" borderId="1" xfId="0" applyNumberFormat="1" applyFont="1" applyFill="1" applyBorder="1"/>
    <xf numFmtId="2" fontId="51" fillId="7" borderId="1" xfId="0" applyNumberFormat="1" applyFont="1" applyFill="1" applyBorder="1" applyAlignment="1">
      <alignment horizontal="center" vertical="center"/>
    </xf>
    <xf numFmtId="164" fontId="51" fillId="7" borderId="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02" fillId="0" borderId="2" xfId="0" applyFont="1" applyBorder="1"/>
    <xf numFmtId="0" fontId="1" fillId="0" borderId="1" xfId="0" applyFont="1" applyBorder="1" applyAlignment="1">
      <alignment horizontal="center"/>
    </xf>
    <xf numFmtId="0" fontId="0" fillId="0" borderId="7" xfId="0" applyBorder="1"/>
    <xf numFmtId="0" fontId="4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/>
    </xf>
    <xf numFmtId="1" fontId="1" fillId="0" borderId="0" xfId="0" applyNumberFormat="1" applyFont="1"/>
    <xf numFmtId="2" fontId="0" fillId="2" borderId="0" xfId="0" applyNumberFormat="1" applyFill="1"/>
    <xf numFmtId="164" fontId="89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33" xfId="0" applyBorder="1" applyAlignment="1">
      <alignment horizontal="center" vertical="center"/>
    </xf>
    <xf numFmtId="1" fontId="0" fillId="0" borderId="33" xfId="0" applyNumberFormat="1" applyBorder="1" applyAlignment="1">
      <alignment horizontal="center" vertical="center"/>
    </xf>
    <xf numFmtId="0" fontId="0" fillId="0" borderId="34" xfId="0" applyBorder="1"/>
    <xf numFmtId="0" fontId="0" fillId="0" borderId="35" xfId="0" applyBorder="1"/>
    <xf numFmtId="0" fontId="0" fillId="0" borderId="36" xfId="0" applyBorder="1" applyAlignment="1">
      <alignment horizontal="center" vertical="center"/>
    </xf>
    <xf numFmtId="14" fontId="0" fillId="0" borderId="32" xfId="0" applyNumberFormat="1" applyBorder="1"/>
    <xf numFmtId="0" fontId="0" fillId="0" borderId="36" xfId="0" applyBorder="1"/>
    <xf numFmtId="14" fontId="0" fillId="0" borderId="51" xfId="0" applyNumberFormat="1" applyBorder="1"/>
    <xf numFmtId="0" fontId="0" fillId="0" borderId="52" xfId="0" applyBorder="1" applyAlignment="1">
      <alignment horizontal="center" vertical="center"/>
    </xf>
    <xf numFmtId="0" fontId="0" fillId="0" borderId="63" xfId="0" applyBorder="1"/>
    <xf numFmtId="0" fontId="0" fillId="0" borderId="72" xfId="0" applyBorder="1"/>
    <xf numFmtId="0" fontId="0" fillId="0" borderId="12" xfId="0" applyBorder="1"/>
    <xf numFmtId="0" fontId="0" fillId="0" borderId="79" xfId="0" applyBorder="1"/>
    <xf numFmtId="0" fontId="0" fillId="0" borderId="13" xfId="0" applyBorder="1"/>
    <xf numFmtId="0" fontId="0" fillId="0" borderId="4" xfId="0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right" vertical="center"/>
    </xf>
    <xf numFmtId="0" fontId="103" fillId="4" borderId="35" xfId="0" applyFont="1" applyFill="1" applyBorder="1" applyAlignment="1">
      <alignment horizontal="center" vertical="center"/>
    </xf>
    <xf numFmtId="0" fontId="103" fillId="15" borderId="35" xfId="0" applyFont="1" applyFill="1" applyBorder="1" applyAlignment="1">
      <alignment horizontal="center" vertical="center"/>
    </xf>
    <xf numFmtId="0" fontId="103" fillId="15" borderId="36" xfId="0" applyFont="1" applyFill="1" applyBorder="1" applyAlignment="1">
      <alignment horizontal="right" vertical="center"/>
    </xf>
    <xf numFmtId="14" fontId="104" fillId="0" borderId="51" xfId="0" applyNumberFormat="1" applyFont="1" applyBorder="1" applyAlignment="1">
      <alignment horizontal="center" vertical="center"/>
    </xf>
    <xf numFmtId="0" fontId="104" fillId="0" borderId="6" xfId="0" applyFont="1" applyBorder="1" applyAlignment="1">
      <alignment vertical="center"/>
    </xf>
    <xf numFmtId="0" fontId="103" fillId="15" borderId="6" xfId="0" applyFont="1" applyFill="1" applyBorder="1" applyAlignment="1">
      <alignment vertical="center"/>
    </xf>
    <xf numFmtId="0" fontId="103" fillId="15" borderId="52" xfId="0" applyFont="1" applyFill="1" applyBorder="1" applyAlignment="1">
      <alignment horizontal="right" vertical="center"/>
    </xf>
    <xf numFmtId="14" fontId="104" fillId="0" borderId="32" xfId="0" applyNumberFormat="1" applyFont="1" applyBorder="1" applyAlignment="1">
      <alignment horizontal="center" vertical="center"/>
    </xf>
    <xf numFmtId="0" fontId="104" fillId="0" borderId="1" xfId="0" applyFont="1" applyBorder="1" applyAlignment="1">
      <alignment vertical="center"/>
    </xf>
    <xf numFmtId="14" fontId="104" fillId="0" borderId="57" xfId="0" applyNumberFormat="1" applyFont="1" applyBorder="1" applyAlignment="1">
      <alignment horizontal="center" vertical="center"/>
    </xf>
    <xf numFmtId="0" fontId="104" fillId="0" borderId="5" xfId="0" applyFont="1" applyBorder="1" applyAlignment="1">
      <alignment vertical="center"/>
    </xf>
    <xf numFmtId="0" fontId="103" fillId="15" borderId="7" xfId="0" applyFont="1" applyFill="1" applyBorder="1" applyAlignment="1">
      <alignment vertical="center"/>
    </xf>
    <xf numFmtId="0" fontId="103" fillId="15" borderId="80" xfId="0" applyFont="1" applyFill="1" applyBorder="1" applyAlignment="1">
      <alignment horizontal="right" vertical="center"/>
    </xf>
    <xf numFmtId="0" fontId="103" fillId="4" borderId="73" xfId="0" applyFont="1" applyFill="1" applyBorder="1" applyAlignment="1">
      <alignment horizontal="center" vertical="center"/>
    </xf>
    <xf numFmtId="0" fontId="103" fillId="4" borderId="77" xfId="0" applyFont="1" applyFill="1" applyBorder="1" applyAlignment="1">
      <alignment horizontal="right" vertical="center"/>
    </xf>
    <xf numFmtId="1" fontId="0" fillId="15" borderId="1" xfId="0" applyNumberFormat="1" applyFill="1" applyBorder="1"/>
    <xf numFmtId="0" fontId="100" fillId="14" borderId="66" xfId="0" applyFont="1" applyFill="1" applyBorder="1" applyAlignment="1">
      <alignment vertical="top" wrapText="1"/>
    </xf>
    <xf numFmtId="0" fontId="104" fillId="0" borderId="7" xfId="0" applyFont="1" applyBorder="1" applyAlignment="1">
      <alignment vertical="center"/>
    </xf>
    <xf numFmtId="0" fontId="103" fillId="15" borderId="10" xfId="0" applyFont="1" applyFill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100" fillId="0" borderId="1" xfId="0" applyFont="1" applyBorder="1"/>
    <xf numFmtId="2" fontId="90" fillId="0" borderId="0" xfId="0" applyNumberFormat="1" applyFont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1" fillId="0" borderId="71" xfId="0" applyFont="1" applyBorder="1" applyAlignment="1">
      <alignment horizontal="center" vertical="center"/>
    </xf>
    <xf numFmtId="165" fontId="51" fillId="2" borderId="1" xfId="0" applyNumberFormat="1" applyFont="1" applyFill="1" applyBorder="1" applyAlignment="1">
      <alignment horizontal="center"/>
    </xf>
    <xf numFmtId="1" fontId="51" fillId="0" borderId="1" xfId="0" applyNumberFormat="1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1" fontId="51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left" vertical="center"/>
    </xf>
    <xf numFmtId="1" fontId="54" fillId="4" borderId="1" xfId="0" applyNumberFormat="1" applyFont="1" applyFill="1" applyBorder="1" applyAlignment="1">
      <alignment horizontal="center" vertical="center"/>
    </xf>
    <xf numFmtId="0" fontId="72" fillId="0" borderId="82" xfId="0" applyFont="1" applyBorder="1" applyAlignment="1">
      <alignment vertical="center" wrapText="1"/>
    </xf>
    <xf numFmtId="0" fontId="72" fillId="0" borderId="83" xfId="0" applyFont="1" applyBorder="1" applyAlignment="1">
      <alignment vertical="center" wrapText="1"/>
    </xf>
    <xf numFmtId="0" fontId="72" fillId="0" borderId="20" xfId="0" applyFont="1" applyBorder="1" applyAlignment="1">
      <alignment horizontal="center" vertical="center" wrapText="1"/>
    </xf>
    <xf numFmtId="0" fontId="71" fillId="0" borderId="87" xfId="0" applyFont="1" applyBorder="1" applyAlignment="1">
      <alignment horizontal="center" vertical="center" wrapText="1"/>
    </xf>
    <xf numFmtId="0" fontId="71" fillId="0" borderId="88" xfId="0" applyFont="1" applyBorder="1" applyAlignment="1">
      <alignment vertical="center"/>
    </xf>
    <xf numFmtId="0" fontId="80" fillId="0" borderId="20" xfId="0" applyFont="1" applyBorder="1" applyAlignment="1">
      <alignment horizontal="center" vertical="center"/>
    </xf>
    <xf numFmtId="0" fontId="80" fillId="0" borderId="50" xfId="0" applyFont="1" applyBorder="1" applyAlignment="1">
      <alignment horizontal="center" vertical="center" wrapText="1"/>
    </xf>
    <xf numFmtId="0" fontId="80" fillId="0" borderId="71" xfId="0" applyFont="1" applyBorder="1" applyAlignment="1">
      <alignment horizontal="center" vertical="center"/>
    </xf>
    <xf numFmtId="0" fontId="80" fillId="0" borderId="47" xfId="0" applyFont="1" applyBorder="1" applyAlignment="1">
      <alignment horizontal="center" vertical="center" wrapText="1"/>
    </xf>
    <xf numFmtId="2" fontId="4" fillId="0" borderId="0" xfId="0" applyNumberFormat="1" applyFont="1"/>
    <xf numFmtId="164" fontId="0" fillId="0" borderId="0" xfId="0" applyNumberFormat="1" applyAlignment="1">
      <alignment vertical="center"/>
    </xf>
    <xf numFmtId="0" fontId="0" fillId="4" borderId="1" xfId="0" applyFill="1" applyBorder="1"/>
    <xf numFmtId="1" fontId="4" fillId="0" borderId="3" xfId="0" applyNumberFormat="1" applyFont="1" applyBorder="1" applyAlignment="1">
      <alignment horizontal="center" vertical="center"/>
    </xf>
    <xf numFmtId="2" fontId="94" fillId="4" borderId="6" xfId="0" applyNumberFormat="1" applyFont="1" applyFill="1" applyBorder="1"/>
    <xf numFmtId="14" fontId="94" fillId="4" borderId="37" xfId="0" applyNumberFormat="1" applyFont="1" applyFill="1" applyBorder="1"/>
    <xf numFmtId="14" fontId="94" fillId="4" borderId="38" xfId="0" applyNumberFormat="1" applyFont="1" applyFill="1" applyBorder="1"/>
    <xf numFmtId="0" fontId="93" fillId="4" borderId="1" xfId="0" applyFont="1" applyFill="1" applyBorder="1" applyAlignment="1">
      <alignment horizontal="center" vertical="center"/>
    </xf>
    <xf numFmtId="1" fontId="107" fillId="0" borderId="1" xfId="0" applyNumberFormat="1" applyFont="1" applyBorder="1" applyAlignment="1">
      <alignment horizontal="center" vertical="center" wrapText="1"/>
    </xf>
    <xf numFmtId="0" fontId="107" fillId="0" borderId="1" xfId="0" applyFont="1" applyBorder="1" applyAlignment="1">
      <alignment horizontal="center" vertical="center"/>
    </xf>
    <xf numFmtId="0" fontId="109" fillId="0" borderId="0" xfId="0" applyFont="1" applyAlignment="1">
      <alignment horizontal="right"/>
    </xf>
    <xf numFmtId="0" fontId="39" fillId="0" borderId="0" xfId="0" applyFont="1"/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4" fillId="0" borderId="0" xfId="0" applyFont="1"/>
    <xf numFmtId="0" fontId="39" fillId="0" borderId="1" xfId="0" applyFont="1" applyBorder="1"/>
    <xf numFmtId="2" fontId="42" fillId="0" borderId="1" xfId="0" applyNumberFormat="1" applyFont="1" applyBorder="1"/>
    <xf numFmtId="2" fontId="38" fillId="0" borderId="1" xfId="0" applyNumberFormat="1" applyFont="1" applyBorder="1"/>
    <xf numFmtId="2" fontId="111" fillId="0" borderId="1" xfId="0" applyNumberFormat="1" applyFont="1" applyBorder="1"/>
    <xf numFmtId="2" fontId="41" fillId="0" borderId="1" xfId="0" applyNumberFormat="1" applyFont="1" applyBorder="1"/>
    <xf numFmtId="2" fontId="39" fillId="2" borderId="1" xfId="0" applyNumberFormat="1" applyFont="1" applyFill="1" applyBorder="1"/>
    <xf numFmtId="2" fontId="42" fillId="2" borderId="1" xfId="0" applyNumberFormat="1" applyFont="1" applyFill="1" applyBorder="1"/>
    <xf numFmtId="2" fontId="38" fillId="2" borderId="1" xfId="0" applyNumberFormat="1" applyFont="1" applyFill="1" applyBorder="1"/>
    <xf numFmtId="2" fontId="41" fillId="2" borderId="1" xfId="0" applyNumberFormat="1" applyFont="1" applyFill="1" applyBorder="1"/>
    <xf numFmtId="2" fontId="39" fillId="0" borderId="1" xfId="0" applyNumberFormat="1" applyFont="1" applyBorder="1" applyAlignment="1">
      <alignment horizontal="right"/>
    </xf>
    <xf numFmtId="0" fontId="39" fillId="0" borderId="0" xfId="0" applyFont="1" applyAlignment="1">
      <alignment horizontal="left"/>
    </xf>
    <xf numFmtId="0" fontId="39" fillId="0" borderId="0" xfId="0" applyFont="1" applyAlignment="1">
      <alignment horizontal="center"/>
    </xf>
    <xf numFmtId="1" fontId="107" fillId="0" borderId="32" xfId="0" applyNumberFormat="1" applyFont="1" applyBorder="1" applyAlignment="1">
      <alignment horizontal="center" vertical="center" wrapText="1"/>
    </xf>
    <xf numFmtId="0" fontId="107" fillId="0" borderId="33" xfId="0" applyFont="1" applyBorder="1" applyAlignment="1">
      <alignment horizontal="center" vertical="center" wrapText="1"/>
    </xf>
    <xf numFmtId="2" fontId="107" fillId="0" borderId="34" xfId="0" applyNumberFormat="1" applyFont="1" applyBorder="1" applyAlignment="1">
      <alignment horizontal="center" vertical="center"/>
    </xf>
    <xf numFmtId="2" fontId="107" fillId="0" borderId="35" xfId="0" applyNumberFormat="1" applyFont="1" applyBorder="1" applyAlignment="1">
      <alignment horizontal="center" vertical="center"/>
    </xf>
    <xf numFmtId="2" fontId="107" fillId="0" borderId="36" xfId="0" applyNumberFormat="1" applyFont="1" applyBorder="1" applyAlignment="1">
      <alignment horizontal="center" vertical="center"/>
    </xf>
    <xf numFmtId="2" fontId="107" fillId="0" borderId="33" xfId="0" applyNumberFormat="1" applyFont="1" applyBorder="1" applyAlignment="1">
      <alignment horizontal="center" vertical="center"/>
    </xf>
    <xf numFmtId="0" fontId="107" fillId="0" borderId="0" xfId="0" applyFont="1" applyAlignment="1">
      <alignment horizontal="center" vertical="center"/>
    </xf>
    <xf numFmtId="0" fontId="107" fillId="0" borderId="0" xfId="0" applyFont="1" applyAlignment="1">
      <alignment horizontal="center" vertical="center" wrapText="1"/>
    </xf>
    <xf numFmtId="2" fontId="107" fillId="0" borderId="0" xfId="0" applyNumberFormat="1" applyFont="1" applyAlignment="1">
      <alignment horizontal="center" vertical="center"/>
    </xf>
    <xf numFmtId="1" fontId="39" fillId="0" borderId="1" xfId="0" applyNumberFormat="1" applyFont="1" applyBorder="1" applyAlignment="1">
      <alignment horizontal="center" vertical="center"/>
    </xf>
    <xf numFmtId="164" fontId="112" fillId="0" borderId="1" xfId="0" applyNumberFormat="1" applyFont="1" applyBorder="1" applyAlignment="1">
      <alignment horizontal="center" vertical="center"/>
    </xf>
    <xf numFmtId="164" fontId="113" fillId="0" borderId="1" xfId="0" applyNumberFormat="1" applyFont="1" applyBorder="1" applyAlignment="1">
      <alignment horizontal="center" vertical="center"/>
    </xf>
    <xf numFmtId="1" fontId="113" fillId="0" borderId="1" xfId="0" applyNumberFormat="1" applyFont="1" applyBorder="1" applyAlignment="1">
      <alignment horizontal="center" vertical="center" wrapText="1"/>
    </xf>
    <xf numFmtId="0" fontId="113" fillId="0" borderId="1" xfId="0" applyFont="1" applyBorder="1" applyAlignment="1">
      <alignment horizontal="center" vertical="center" wrapText="1"/>
    </xf>
    <xf numFmtId="1" fontId="113" fillId="0" borderId="32" xfId="0" applyNumberFormat="1" applyFont="1" applyBorder="1" applyAlignment="1">
      <alignment horizontal="center" vertical="center" wrapText="1"/>
    </xf>
    <xf numFmtId="0" fontId="113" fillId="0" borderId="33" xfId="0" applyFont="1" applyBorder="1" applyAlignment="1">
      <alignment horizontal="center" vertical="center" wrapText="1"/>
    </xf>
    <xf numFmtId="164" fontId="112" fillId="0" borderId="32" xfId="0" applyNumberFormat="1" applyFont="1" applyBorder="1" applyAlignment="1">
      <alignment horizontal="center" vertical="center"/>
    </xf>
    <xf numFmtId="164" fontId="113" fillId="0" borderId="33" xfId="0" applyNumberFormat="1" applyFont="1" applyBorder="1" applyAlignment="1">
      <alignment horizontal="center" vertical="center"/>
    </xf>
    <xf numFmtId="164" fontId="113" fillId="0" borderId="34" xfId="0" applyNumberFormat="1" applyFont="1" applyBorder="1" applyAlignment="1">
      <alignment horizontal="center" vertical="center"/>
    </xf>
    <xf numFmtId="164" fontId="113" fillId="0" borderId="35" xfId="0" applyNumberFormat="1" applyFont="1" applyBorder="1" applyAlignment="1">
      <alignment horizontal="center" vertical="center"/>
    </xf>
    <xf numFmtId="164" fontId="112" fillId="0" borderId="35" xfId="0" applyNumberFormat="1" applyFont="1" applyBorder="1" applyAlignment="1">
      <alignment horizontal="center" vertical="center"/>
    </xf>
    <xf numFmtId="164" fontId="113" fillId="0" borderId="36" xfId="0" applyNumberFormat="1" applyFont="1" applyBorder="1" applyAlignment="1">
      <alignment horizontal="center" vertical="center"/>
    </xf>
    <xf numFmtId="1" fontId="39" fillId="0" borderId="32" xfId="0" applyNumberFormat="1" applyFont="1" applyBorder="1" applyAlignment="1">
      <alignment horizontal="center" vertical="center"/>
    </xf>
    <xf numFmtId="0" fontId="107" fillId="0" borderId="33" xfId="0" applyFont="1" applyBorder="1" applyAlignment="1">
      <alignment horizontal="center" vertical="center"/>
    </xf>
    <xf numFmtId="0" fontId="107" fillId="0" borderId="37" xfId="0" applyFont="1" applyBorder="1" applyAlignment="1">
      <alignment horizontal="left" vertical="center"/>
    </xf>
    <xf numFmtId="1" fontId="107" fillId="0" borderId="38" xfId="0" applyNumberFormat="1" applyFont="1" applyBorder="1" applyAlignment="1">
      <alignment horizontal="left" vertical="center"/>
    </xf>
    <xf numFmtId="0" fontId="107" fillId="0" borderId="38" xfId="0" applyFont="1" applyBorder="1" applyAlignment="1">
      <alignment horizontal="left" vertical="center"/>
    </xf>
    <xf numFmtId="0" fontId="107" fillId="0" borderId="39" xfId="0" applyFont="1" applyBorder="1" applyAlignment="1">
      <alignment horizontal="left" vertical="center"/>
    </xf>
    <xf numFmtId="164" fontId="112" fillId="0" borderId="33" xfId="0" applyNumberFormat="1" applyFont="1" applyBorder="1" applyAlignment="1">
      <alignment horizontal="center" vertical="center"/>
    </xf>
    <xf numFmtId="164" fontId="113" fillId="0" borderId="32" xfId="0" applyNumberFormat="1" applyFont="1" applyBorder="1" applyAlignment="1">
      <alignment horizontal="center" vertical="center"/>
    </xf>
    <xf numFmtId="2" fontId="0" fillId="0" borderId="6" xfId="0" applyNumberFormat="1" applyBorder="1"/>
    <xf numFmtId="0" fontId="93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0" fillId="11" borderId="66" xfId="0" applyFont="1" applyFill="1" applyBorder="1" applyAlignment="1">
      <alignment vertical="top" wrapText="1"/>
    </xf>
    <xf numFmtId="0" fontId="88" fillId="4" borderId="1" xfId="0" applyFont="1" applyFill="1" applyBorder="1" applyAlignment="1">
      <alignment vertical="top" wrapText="1"/>
    </xf>
    <xf numFmtId="167" fontId="0" fillId="0" borderId="0" xfId="0" applyNumberFormat="1"/>
    <xf numFmtId="0" fontId="71" fillId="0" borderId="47" xfId="0" applyFont="1" applyBorder="1" applyAlignment="1">
      <alignment horizontal="center" vertical="center"/>
    </xf>
    <xf numFmtId="0" fontId="71" fillId="0" borderId="94" xfId="0" applyFont="1" applyBorder="1" applyAlignment="1">
      <alignment horizontal="center" vertical="center" wrapText="1"/>
    </xf>
    <xf numFmtId="0" fontId="80" fillId="0" borderId="20" xfId="0" applyFont="1" applyBorder="1" applyAlignment="1">
      <alignment horizontal="center" vertical="center" wrapText="1"/>
    </xf>
    <xf numFmtId="0" fontId="71" fillId="0" borderId="50" xfId="0" applyFont="1" applyBorder="1" applyAlignment="1">
      <alignment horizontal="center" vertical="center" wrapText="1"/>
    </xf>
    <xf numFmtId="0" fontId="80" fillId="0" borderId="71" xfId="0" applyFont="1" applyBorder="1" applyAlignment="1">
      <alignment horizontal="center" vertical="center" wrapText="1"/>
    </xf>
    <xf numFmtId="0" fontId="64" fillId="0" borderId="1" xfId="0" applyFont="1" applyBorder="1" applyAlignment="1">
      <alignment horizontal="center" vertical="center"/>
    </xf>
    <xf numFmtId="164" fontId="64" fillId="4" borderId="1" xfId="0" applyNumberFormat="1" applyFont="1" applyFill="1" applyBorder="1" applyAlignment="1">
      <alignment horizontal="center" vertical="center"/>
    </xf>
    <xf numFmtId="2" fontId="64" fillId="4" borderId="1" xfId="0" applyNumberFormat="1" applyFont="1" applyFill="1" applyBorder="1" applyAlignment="1">
      <alignment horizontal="center" vertical="center"/>
    </xf>
    <xf numFmtId="2" fontId="93" fillId="8" borderId="35" xfId="0" applyNumberFormat="1" applyFont="1" applyFill="1" applyBorder="1"/>
    <xf numFmtId="165" fontId="94" fillId="4" borderId="1" xfId="0" applyNumberFormat="1" applyFont="1" applyFill="1" applyBorder="1"/>
    <xf numFmtId="165" fontId="93" fillId="8" borderId="1" xfId="0" applyNumberFormat="1" applyFont="1" applyFill="1" applyBorder="1"/>
    <xf numFmtId="165" fontId="93" fillId="4" borderId="1" xfId="0" applyNumberFormat="1" applyFont="1" applyFill="1" applyBorder="1" applyAlignment="1">
      <alignment vertical="center"/>
    </xf>
    <xf numFmtId="2" fontId="93" fillId="4" borderId="1" xfId="0" applyNumberFormat="1" applyFont="1" applyFill="1" applyBorder="1" applyAlignment="1">
      <alignment vertical="center"/>
    </xf>
    <xf numFmtId="165" fontId="93" fillId="4" borderId="1" xfId="0" applyNumberFormat="1" applyFont="1" applyFill="1" applyBorder="1" applyAlignment="1">
      <alignment horizontal="center" vertical="center"/>
    </xf>
    <xf numFmtId="2" fontId="93" fillId="4" borderId="1" xfId="0" applyNumberFormat="1" applyFont="1" applyFill="1" applyBorder="1" applyAlignment="1">
      <alignment horizontal="center" vertical="center"/>
    </xf>
    <xf numFmtId="2" fontId="93" fillId="4" borderId="1" xfId="0" applyNumberFormat="1" applyFont="1" applyFill="1" applyBorder="1"/>
    <xf numFmtId="164" fontId="1" fillId="0" borderId="1" xfId="0" applyNumberFormat="1" applyFont="1" applyBorder="1"/>
    <xf numFmtId="2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16" fillId="4" borderId="1" xfId="0" applyFont="1" applyFill="1" applyBorder="1"/>
    <xf numFmtId="49" fontId="4" fillId="0" borderId="1" xfId="0" applyNumberFormat="1" applyFont="1" applyBorder="1" applyAlignment="1">
      <alignment horizontal="left" vertical="center" wrapText="1"/>
    </xf>
    <xf numFmtId="1" fontId="0" fillId="0" borderId="0" xfId="0" applyNumberFormat="1" applyAlignment="1">
      <alignment vertical="center"/>
    </xf>
    <xf numFmtId="0" fontId="118" fillId="0" borderId="1" xfId="0" applyFont="1" applyBorder="1" applyAlignment="1">
      <alignment horizontal="center" vertical="center"/>
    </xf>
    <xf numFmtId="0" fontId="118" fillId="0" borderId="1" xfId="0" applyFont="1" applyBorder="1" applyAlignment="1">
      <alignment horizontal="center" vertical="center" wrapText="1"/>
    </xf>
    <xf numFmtId="0" fontId="119" fillId="0" borderId="1" xfId="0" applyFont="1" applyBorder="1" applyAlignment="1">
      <alignment vertical="center"/>
    </xf>
    <xf numFmtId="0" fontId="119" fillId="0" borderId="1" xfId="0" applyFont="1" applyBorder="1" applyAlignment="1">
      <alignment horizontal="center" vertical="center" wrapText="1"/>
    </xf>
    <xf numFmtId="0" fontId="117" fillId="0" borderId="1" xfId="0" applyFont="1" applyBorder="1" applyAlignment="1">
      <alignment horizontal="center" vertical="center" wrapText="1"/>
    </xf>
    <xf numFmtId="0" fontId="117" fillId="0" borderId="1" xfId="0" applyFont="1" applyBorder="1" applyAlignment="1">
      <alignment horizontal="center" vertical="center"/>
    </xf>
    <xf numFmtId="165" fontId="117" fillId="0" borderId="1" xfId="0" applyNumberFormat="1" applyFont="1" applyBorder="1"/>
    <xf numFmtId="0" fontId="120" fillId="0" borderId="1" xfId="0" applyFont="1" applyBorder="1" applyAlignment="1">
      <alignment horizontal="center" vertical="center" wrapText="1"/>
    </xf>
    <xf numFmtId="0" fontId="120" fillId="0" borderId="1" xfId="0" applyFont="1" applyBorder="1" applyAlignment="1">
      <alignment horizontal="center" vertical="center"/>
    </xf>
    <xf numFmtId="0" fontId="120" fillId="0" borderId="1" xfId="0" applyFont="1" applyBorder="1"/>
    <xf numFmtId="165" fontId="120" fillId="0" borderId="1" xfId="0" applyNumberFormat="1" applyFont="1" applyBorder="1"/>
    <xf numFmtId="0" fontId="122" fillId="0" borderId="0" xfId="0" applyFont="1"/>
    <xf numFmtId="0" fontId="121" fillId="8" borderId="1" xfId="0" applyFont="1" applyFill="1" applyBorder="1" applyAlignment="1">
      <alignment horizontal="center" vertical="center" wrapText="1"/>
    </xf>
    <xf numFmtId="0" fontId="121" fillId="8" borderId="1" xfId="0" applyFont="1" applyFill="1" applyBorder="1" applyAlignment="1">
      <alignment horizontal="right" vertical="center" wrapText="1"/>
    </xf>
    <xf numFmtId="0" fontId="121" fillId="4" borderId="1" xfId="0" applyFont="1" applyFill="1" applyBorder="1" applyAlignment="1">
      <alignment horizontal="center" vertical="center" wrapText="1"/>
    </xf>
    <xf numFmtId="0" fontId="122" fillId="4" borderId="1" xfId="0" applyFont="1" applyFill="1" applyBorder="1" applyAlignment="1">
      <alignment vertical="center" wrapText="1"/>
    </xf>
    <xf numFmtId="0" fontId="122" fillId="4" borderId="1" xfId="0" applyFont="1" applyFill="1" applyBorder="1" applyAlignment="1">
      <alignment horizontal="center" vertical="center" wrapText="1"/>
    </xf>
    <xf numFmtId="0" fontId="122" fillId="4" borderId="1" xfId="0" applyFont="1" applyFill="1" applyBorder="1" applyAlignment="1">
      <alignment horizontal="left" vertical="center" wrapText="1" indent="2"/>
    </xf>
    <xf numFmtId="164" fontId="122" fillId="4" borderId="1" xfId="0" applyNumberFormat="1" applyFont="1" applyFill="1" applyBorder="1" applyAlignment="1">
      <alignment horizontal="center" vertical="center" wrapText="1"/>
    </xf>
    <xf numFmtId="0" fontId="122" fillId="4" borderId="1" xfId="0" applyFont="1" applyFill="1" applyBorder="1" applyAlignment="1">
      <alignment horizontal="right" vertical="center" wrapText="1"/>
    </xf>
    <xf numFmtId="0" fontId="123" fillId="8" borderId="1" xfId="0" applyFont="1" applyFill="1" applyBorder="1" applyAlignment="1">
      <alignment horizontal="center" vertical="center" wrapText="1"/>
    </xf>
    <xf numFmtId="0" fontId="121" fillId="8" borderId="1" xfId="0" applyFont="1" applyFill="1" applyBorder="1" applyAlignment="1">
      <alignment vertical="center" wrapText="1"/>
    </xf>
    <xf numFmtId="164" fontId="122" fillId="8" borderId="1" xfId="0" applyNumberFormat="1" applyFont="1" applyFill="1" applyBorder="1" applyAlignment="1">
      <alignment horizontal="center" vertical="center" wrapText="1"/>
    </xf>
    <xf numFmtId="0" fontId="122" fillId="8" borderId="1" xfId="0" applyFont="1" applyFill="1" applyBorder="1" applyAlignment="1">
      <alignment horizontal="center" vertical="center" wrapText="1"/>
    </xf>
    <xf numFmtId="2" fontId="121" fillId="8" borderId="1" xfId="0" applyNumberFormat="1" applyFont="1" applyFill="1" applyBorder="1" applyAlignment="1">
      <alignment vertical="center" wrapText="1"/>
    </xf>
    <xf numFmtId="0" fontId="122" fillId="0" borderId="0" xfId="0" applyFont="1" applyAlignment="1">
      <alignment horizontal="center"/>
    </xf>
    <xf numFmtId="2" fontId="122" fillId="4" borderId="1" xfId="0" applyNumberFormat="1" applyFont="1" applyFill="1" applyBorder="1" applyAlignment="1">
      <alignment horizontal="center" vertical="center" wrapText="1"/>
    </xf>
    <xf numFmtId="2" fontId="121" fillId="8" borderId="1" xfId="0" applyNumberFormat="1" applyFont="1" applyFill="1" applyBorder="1" applyAlignment="1">
      <alignment horizontal="center" vertical="center" wrapText="1"/>
    </xf>
    <xf numFmtId="2" fontId="122" fillId="0" borderId="0" xfId="0" applyNumberFormat="1" applyFont="1"/>
    <xf numFmtId="164" fontId="121" fillId="8" borderId="1" xfId="0" applyNumberFormat="1" applyFont="1" applyFill="1" applyBorder="1" applyAlignment="1">
      <alignment horizontal="center" vertical="center" wrapText="1"/>
    </xf>
    <xf numFmtId="0" fontId="121" fillId="0" borderId="0" xfId="0" applyFont="1"/>
    <xf numFmtId="0" fontId="14" fillId="0" borderId="10" xfId="0" applyFont="1" applyBorder="1"/>
    <xf numFmtId="167" fontId="116" fillId="0" borderId="0" xfId="0" applyNumberFormat="1" applyFont="1"/>
    <xf numFmtId="165" fontId="1" fillId="0" borderId="1" xfId="0" applyNumberFormat="1" applyFont="1" applyBorder="1"/>
    <xf numFmtId="0" fontId="116" fillId="0" borderId="1" xfId="0" applyFont="1" applyBorder="1"/>
    <xf numFmtId="17" fontId="122" fillId="0" borderId="0" xfId="0" applyNumberFormat="1" applyFont="1"/>
    <xf numFmtId="2" fontId="122" fillId="0" borderId="0" xfId="0" applyNumberFormat="1" applyFont="1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94" fillId="4" borderId="1" xfId="0" applyFont="1" applyFill="1" applyBorder="1" applyAlignment="1">
      <alignment vertical="center"/>
    </xf>
    <xf numFmtId="0" fontId="94" fillId="4" borderId="1" xfId="0" applyFont="1" applyFill="1" applyBorder="1" applyAlignment="1">
      <alignment horizontal="center" vertical="center"/>
    </xf>
    <xf numFmtId="2" fontId="94" fillId="4" borderId="1" xfId="0" applyNumberFormat="1" applyFont="1" applyFill="1" applyBorder="1" applyAlignment="1">
      <alignment horizontal="center" vertical="center"/>
    </xf>
    <xf numFmtId="0" fontId="93" fillId="8" borderId="1" xfId="0" applyFont="1" applyFill="1" applyBorder="1" applyAlignment="1">
      <alignment vertical="center"/>
    </xf>
    <xf numFmtId="0" fontId="93" fillId="8" borderId="1" xfId="0" applyFont="1" applyFill="1" applyBorder="1" applyAlignment="1">
      <alignment horizontal="center" vertical="center"/>
    </xf>
    <xf numFmtId="2" fontId="93" fillId="8" borderId="1" xfId="0" applyNumberFormat="1" applyFont="1" applyFill="1" applyBorder="1" applyAlignment="1">
      <alignment horizontal="center" vertical="center"/>
    </xf>
    <xf numFmtId="164" fontId="1" fillId="8" borderId="1" xfId="0" applyNumberFormat="1" applyFont="1" applyFill="1" applyBorder="1" applyAlignment="1">
      <alignment horizontal="center" vertical="center"/>
    </xf>
    <xf numFmtId="165" fontId="94" fillId="4" borderId="1" xfId="0" applyNumberFormat="1" applyFont="1" applyFill="1" applyBorder="1" applyAlignment="1">
      <alignment horizontal="center" vertical="center"/>
    </xf>
    <xf numFmtId="0" fontId="93" fillId="17" borderId="1" xfId="0" applyFont="1" applyFill="1" applyBorder="1" applyAlignment="1">
      <alignment vertical="center"/>
    </xf>
    <xf numFmtId="0" fontId="93" fillId="17" borderId="1" xfId="0" applyFont="1" applyFill="1" applyBorder="1" applyAlignment="1">
      <alignment horizontal="center" vertical="center"/>
    </xf>
    <xf numFmtId="2" fontId="93" fillId="17" borderId="1" xfId="0" applyNumberFormat="1" applyFont="1" applyFill="1" applyBorder="1" applyAlignment="1">
      <alignment horizontal="center" vertical="center"/>
    </xf>
    <xf numFmtId="164" fontId="1" fillId="17" borderId="1" xfId="0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94" fillId="4" borderId="7" xfId="0" applyFont="1" applyFill="1" applyBorder="1" applyAlignment="1">
      <alignment vertical="center"/>
    </xf>
    <xf numFmtId="2" fontId="125" fillId="4" borderId="1" xfId="0" applyNumberFormat="1" applyFont="1" applyFill="1" applyBorder="1" applyAlignment="1">
      <alignment horizontal="center" vertical="center"/>
    </xf>
    <xf numFmtId="2" fontId="127" fillId="4" borderId="1" xfId="0" applyNumberFormat="1" applyFont="1" applyFill="1" applyBorder="1" applyAlignment="1">
      <alignment horizontal="center" vertical="center"/>
    </xf>
    <xf numFmtId="2" fontId="126" fillId="0" borderId="1" xfId="0" applyNumberFormat="1" applyFont="1" applyBorder="1" applyAlignment="1">
      <alignment horizontal="center"/>
    </xf>
    <xf numFmtId="2" fontId="128" fillId="0" borderId="1" xfId="0" applyNumberFormat="1" applyFont="1" applyBorder="1" applyAlignment="1">
      <alignment horizontal="center"/>
    </xf>
    <xf numFmtId="170" fontId="0" fillId="0" borderId="0" xfId="3" applyNumberFormat="1" applyFont="1"/>
    <xf numFmtId="2" fontId="129" fillId="0" borderId="1" xfId="0" applyNumberFormat="1" applyFont="1" applyBorder="1" applyAlignment="1">
      <alignment horizontal="center"/>
    </xf>
    <xf numFmtId="0" fontId="93" fillId="4" borderId="0" xfId="0" applyFont="1" applyFill="1" applyAlignment="1">
      <alignment vertical="center"/>
    </xf>
    <xf numFmtId="2" fontId="1" fillId="8" borderId="1" xfId="0" applyNumberFormat="1" applyFont="1" applyFill="1" applyBorder="1" applyAlignment="1">
      <alignment horizontal="center"/>
    </xf>
    <xf numFmtId="2" fontId="130" fillId="0" borderId="1" xfId="0" applyNumberFormat="1" applyFont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15" fillId="4" borderId="1" xfId="0" applyNumberFormat="1" applyFont="1" applyFill="1" applyBorder="1" applyAlignment="1">
      <alignment horizontal="center" vertical="center"/>
    </xf>
    <xf numFmtId="0" fontId="115" fillId="4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14" fillId="8" borderId="1" xfId="0" applyNumberFormat="1" applyFont="1" applyFill="1" applyBorder="1" applyAlignment="1">
      <alignment horizontal="center"/>
    </xf>
    <xf numFmtId="0" fontId="131" fillId="8" borderId="1" xfId="0" applyFont="1" applyFill="1" applyBorder="1"/>
    <xf numFmtId="0" fontId="93" fillId="4" borderId="58" xfId="0" applyFont="1" applyFill="1" applyBorder="1" applyAlignment="1">
      <alignment horizontal="center" vertical="center"/>
    </xf>
    <xf numFmtId="0" fontId="93" fillId="4" borderId="59" xfId="0" applyFont="1" applyFill="1" applyBorder="1" applyAlignment="1">
      <alignment horizontal="center" vertical="center"/>
    </xf>
    <xf numFmtId="0" fontId="93" fillId="4" borderId="60" xfId="0" applyFont="1" applyFill="1" applyBorder="1" applyAlignment="1">
      <alignment horizontal="center" vertical="center"/>
    </xf>
    <xf numFmtId="0" fontId="94" fillId="4" borderId="37" xfId="0" applyFont="1" applyFill="1" applyBorder="1" applyAlignment="1">
      <alignment horizontal="center" vertical="center"/>
    </xf>
    <xf numFmtId="0" fontId="94" fillId="4" borderId="51" xfId="0" applyFont="1" applyFill="1" applyBorder="1" applyAlignment="1">
      <alignment horizontal="center" vertical="center"/>
    </xf>
    <xf numFmtId="2" fontId="94" fillId="4" borderId="6" xfId="0" applyNumberFormat="1" applyFont="1" applyFill="1" applyBorder="1" applyAlignment="1">
      <alignment horizontal="center" vertical="center"/>
    </xf>
    <xf numFmtId="0" fontId="94" fillId="4" borderId="52" xfId="0" applyFont="1" applyFill="1" applyBorder="1" applyAlignment="1">
      <alignment horizontal="center" vertical="center"/>
    </xf>
    <xf numFmtId="0" fontId="94" fillId="4" borderId="53" xfId="0" applyFont="1" applyFill="1" applyBorder="1" applyAlignment="1">
      <alignment horizontal="center" vertical="center"/>
    </xf>
    <xf numFmtId="0" fontId="94" fillId="4" borderId="38" xfId="0" applyFont="1" applyFill="1" applyBorder="1" applyAlignment="1">
      <alignment horizontal="center" vertical="center"/>
    </xf>
    <xf numFmtId="0" fontId="94" fillId="4" borderId="32" xfId="0" applyFont="1" applyFill="1" applyBorder="1" applyAlignment="1">
      <alignment horizontal="center" vertical="center"/>
    </xf>
    <xf numFmtId="0" fontId="93" fillId="8" borderId="38" xfId="0" applyFont="1" applyFill="1" applyBorder="1" applyAlignment="1">
      <alignment horizontal="center" vertical="center"/>
    </xf>
    <xf numFmtId="0" fontId="93" fillId="8" borderId="32" xfId="0" applyFont="1" applyFill="1" applyBorder="1" applyAlignment="1">
      <alignment horizontal="center" vertical="center"/>
    </xf>
    <xf numFmtId="0" fontId="94" fillId="8" borderId="33" xfId="0" applyFont="1" applyFill="1" applyBorder="1" applyAlignment="1">
      <alignment horizontal="center" vertical="center"/>
    </xf>
    <xf numFmtId="0" fontId="94" fillId="4" borderId="33" xfId="0" applyFont="1" applyFill="1" applyBorder="1" applyAlignment="1">
      <alignment horizontal="center" vertical="center"/>
    </xf>
    <xf numFmtId="0" fontId="93" fillId="8" borderId="33" xfId="0" applyFont="1" applyFill="1" applyBorder="1" applyAlignment="1">
      <alignment horizontal="center" vertical="center"/>
    </xf>
    <xf numFmtId="2" fontId="94" fillId="4" borderId="33" xfId="0" applyNumberFormat="1" applyFont="1" applyFill="1" applyBorder="1" applyAlignment="1">
      <alignment horizontal="center" vertical="center"/>
    </xf>
    <xf numFmtId="2" fontId="93" fillId="8" borderId="32" xfId="0" applyNumberFormat="1" applyFont="1" applyFill="1" applyBorder="1" applyAlignment="1">
      <alignment horizontal="center" vertical="center"/>
    </xf>
    <xf numFmtId="0" fontId="93" fillId="8" borderId="39" xfId="0" applyFont="1" applyFill="1" applyBorder="1" applyAlignment="1">
      <alignment horizontal="center" vertical="center"/>
    </xf>
    <xf numFmtId="2" fontId="93" fillId="8" borderId="34" xfId="0" applyNumberFormat="1" applyFont="1" applyFill="1" applyBorder="1" applyAlignment="1">
      <alignment horizontal="center" vertical="center"/>
    </xf>
    <xf numFmtId="2" fontId="93" fillId="8" borderId="35" xfId="0" applyNumberFormat="1" applyFont="1" applyFill="1" applyBorder="1" applyAlignment="1">
      <alignment horizontal="center" vertical="center"/>
    </xf>
    <xf numFmtId="2" fontId="93" fillId="8" borderId="36" xfId="0" applyNumberFormat="1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/>
    </xf>
    <xf numFmtId="2" fontId="93" fillId="2" borderId="1" xfId="0" applyNumberFormat="1" applyFont="1" applyFill="1" applyBorder="1" applyAlignment="1">
      <alignment horizontal="center" vertical="center"/>
    </xf>
    <xf numFmtId="0" fontId="133" fillId="0" borderId="50" xfId="0" applyFont="1" applyBorder="1" applyAlignment="1">
      <alignment horizontal="center" vertical="center" wrapText="1"/>
    </xf>
    <xf numFmtId="0" fontId="133" fillId="18" borderId="71" xfId="0" applyFont="1" applyFill="1" applyBorder="1" applyAlignment="1">
      <alignment horizontal="center" vertical="center"/>
    </xf>
    <xf numFmtId="0" fontId="133" fillId="0" borderId="47" xfId="0" applyFont="1" applyBorder="1" applyAlignment="1">
      <alignment horizontal="center" vertical="center" wrapText="1"/>
    </xf>
    <xf numFmtId="0" fontId="134" fillId="18" borderId="20" xfId="0" applyFont="1" applyFill="1" applyBorder="1" applyAlignment="1">
      <alignment horizontal="center" vertical="center"/>
    </xf>
    <xf numFmtId="0" fontId="133" fillId="18" borderId="20" xfId="0" applyFont="1" applyFill="1" applyBorder="1" applyAlignment="1">
      <alignment horizontal="center" vertical="center"/>
    </xf>
    <xf numFmtId="0" fontId="135" fillId="0" borderId="47" xfId="0" applyFont="1" applyBorder="1" applyAlignment="1">
      <alignment horizontal="center" vertical="center" wrapText="1"/>
    </xf>
    <xf numFmtId="0" fontId="135" fillId="18" borderId="20" xfId="0" applyFont="1" applyFill="1" applyBorder="1" applyAlignment="1">
      <alignment horizontal="center" vertical="center"/>
    </xf>
    <xf numFmtId="0" fontId="134" fillId="9" borderId="50" xfId="0" applyFont="1" applyFill="1" applyBorder="1" applyAlignment="1">
      <alignment horizontal="center" vertical="center"/>
    </xf>
    <xf numFmtId="0" fontId="134" fillId="0" borderId="47" xfId="0" applyFont="1" applyBorder="1" applyAlignment="1">
      <alignment horizontal="center" vertical="center"/>
    </xf>
    <xf numFmtId="165" fontId="51" fillId="0" borderId="3" xfId="0" applyNumberFormat="1" applyFont="1" applyBorder="1" applyAlignment="1">
      <alignment horizontal="center"/>
    </xf>
    <xf numFmtId="1" fontId="54" fillId="0" borderId="95" xfId="0" applyNumberFormat="1" applyFont="1" applyBorder="1" applyAlignment="1">
      <alignment horizontal="center" vertical="center"/>
    </xf>
    <xf numFmtId="0" fontId="50" fillId="0" borderId="98" xfId="0" applyFont="1" applyBorder="1" applyAlignment="1">
      <alignment horizontal="center" vertical="center"/>
    </xf>
    <xf numFmtId="2" fontId="50" fillId="0" borderId="59" xfId="0" applyNumberFormat="1" applyFont="1" applyBorder="1" applyAlignment="1">
      <alignment horizontal="center" vertical="center"/>
    </xf>
    <xf numFmtId="2" fontId="65" fillId="0" borderId="59" xfId="0" applyNumberFormat="1" applyFont="1" applyBorder="1" applyAlignment="1">
      <alignment horizontal="center" vertical="center"/>
    </xf>
    <xf numFmtId="164" fontId="50" fillId="0" borderId="59" xfId="0" applyNumberFormat="1" applyFont="1" applyBorder="1" applyAlignment="1">
      <alignment horizontal="center" vertical="center"/>
    </xf>
    <xf numFmtId="164" fontId="51" fillId="0" borderId="60" xfId="0" applyNumberFormat="1" applyFont="1" applyBorder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1" fontId="92" fillId="0" borderId="1" xfId="0" applyNumberFormat="1" applyFont="1" applyBorder="1" applyAlignment="1">
      <alignment horizontal="center" vertical="center"/>
    </xf>
    <xf numFmtId="1" fontId="137" fillId="0" borderId="1" xfId="0" applyNumberFormat="1" applyFont="1" applyBorder="1" applyAlignment="1">
      <alignment horizontal="center" vertical="center"/>
    </xf>
    <xf numFmtId="1" fontId="48" fillId="0" borderId="1" xfId="0" applyNumberFormat="1" applyFont="1" applyBorder="1" applyAlignment="1">
      <alignment horizontal="center" vertical="center"/>
    </xf>
    <xf numFmtId="49" fontId="48" fillId="0" borderId="1" xfId="0" applyNumberFormat="1" applyFont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/>
    </xf>
    <xf numFmtId="2" fontId="50" fillId="0" borderId="5" xfId="0" applyNumberFormat="1" applyFont="1" applyBorder="1" applyAlignment="1">
      <alignment horizontal="center" vertical="center"/>
    </xf>
    <xf numFmtId="0" fontId="49" fillId="0" borderId="2" xfId="0" applyFont="1" applyBorder="1"/>
    <xf numFmtId="0" fontId="49" fillId="0" borderId="2" xfId="0" applyFont="1" applyBorder="1" applyAlignment="1">
      <alignment vertical="center" wrapText="1"/>
    </xf>
    <xf numFmtId="17" fontId="4" fillId="0" borderId="1" xfId="0" applyNumberFormat="1" applyFont="1" applyBorder="1" applyAlignment="1">
      <alignment horizontal="center" vertical="center" wrapText="1"/>
    </xf>
    <xf numFmtId="0" fontId="138" fillId="4" borderId="1" xfId="0" applyFont="1" applyFill="1" applyBorder="1" applyAlignment="1">
      <alignment horizontal="center"/>
    </xf>
    <xf numFmtId="0" fontId="48" fillId="0" borderId="1" xfId="0" applyFont="1" applyBorder="1" applyAlignment="1">
      <alignment horizontal="center" vertical="center" wrapText="1"/>
    </xf>
    <xf numFmtId="164" fontId="139" fillId="0" borderId="1" xfId="0" applyNumberFormat="1" applyFont="1" applyBorder="1" applyAlignment="1">
      <alignment horizontal="center" vertical="center"/>
    </xf>
    <xf numFmtId="164" fontId="54" fillId="0" borderId="5" xfId="0" applyNumberFormat="1" applyFont="1" applyBorder="1" applyAlignment="1">
      <alignment vertical="center" wrapText="1"/>
    </xf>
    <xf numFmtId="164" fontId="54" fillId="0" borderId="6" xfId="0" applyNumberFormat="1" applyFont="1" applyBorder="1" applyAlignment="1">
      <alignment vertical="center" wrapText="1"/>
    </xf>
    <xf numFmtId="0" fontId="49" fillId="0" borderId="5" xfId="0" applyFont="1" applyBorder="1" applyAlignment="1">
      <alignment horizontal="center" vertical="center" wrapText="1"/>
    </xf>
    <xf numFmtId="0" fontId="54" fillId="0" borderId="1" xfId="0" applyFont="1" applyBorder="1" applyAlignment="1">
      <alignment vertical="center"/>
    </xf>
    <xf numFmtId="164" fontId="4" fillId="0" borderId="1" xfId="0" applyNumberFormat="1" applyFont="1" applyBorder="1" applyAlignment="1">
      <alignment vertical="center" wrapText="1"/>
    </xf>
    <xf numFmtId="1" fontId="140" fillId="0" borderId="5" xfId="0" applyNumberFormat="1" applyFont="1" applyBorder="1" applyAlignment="1">
      <alignment horizontal="center" vertical="center"/>
    </xf>
    <xf numFmtId="0" fontId="49" fillId="3" borderId="2" xfId="0" applyFont="1" applyFill="1" applyBorder="1" applyAlignment="1">
      <alignment vertical="center" wrapText="1"/>
    </xf>
    <xf numFmtId="0" fontId="49" fillId="3" borderId="1" xfId="0" applyFont="1" applyFill="1" applyBorder="1" applyAlignment="1">
      <alignment vertical="center" wrapText="1"/>
    </xf>
    <xf numFmtId="0" fontId="49" fillId="3" borderId="1" xfId="0" applyFont="1" applyFill="1" applyBorder="1" applyAlignment="1">
      <alignment horizontal="left" vertical="center" wrapText="1"/>
    </xf>
    <xf numFmtId="17" fontId="49" fillId="3" borderId="1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49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94" fillId="4" borderId="1" xfId="0" applyFont="1" applyFill="1" applyBorder="1" applyAlignment="1">
      <alignment horizontal="left" vertical="center"/>
    </xf>
    <xf numFmtId="0" fontId="93" fillId="8" borderId="1" xfId="0" applyFont="1" applyFill="1" applyBorder="1" applyAlignment="1">
      <alignment horizontal="left" vertical="center"/>
    </xf>
    <xf numFmtId="2" fontId="94" fillId="4" borderId="38" xfId="0" applyNumberFormat="1" applyFont="1" applyFill="1" applyBorder="1" applyAlignment="1">
      <alignment horizontal="center" vertical="center"/>
    </xf>
    <xf numFmtId="0" fontId="107" fillId="0" borderId="1" xfId="0" applyFont="1" applyBorder="1" applyAlignment="1">
      <alignment horizontal="left" vertical="center"/>
    </xf>
    <xf numFmtId="2" fontId="107" fillId="0" borderId="1" xfId="0" applyNumberFormat="1" applyFont="1" applyBorder="1" applyAlignment="1">
      <alignment horizontal="center" vertical="center"/>
    </xf>
    <xf numFmtId="164" fontId="112" fillId="0" borderId="30" xfId="0" applyNumberFormat="1" applyFont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0" fontId="39" fillId="8" borderId="0" xfId="0" applyFont="1" applyFill="1"/>
    <xf numFmtId="0" fontId="109" fillId="8" borderId="0" xfId="0" applyFont="1" applyFill="1" applyAlignment="1">
      <alignment horizontal="right"/>
    </xf>
    <xf numFmtId="165" fontId="0" fillId="0" borderId="0" xfId="0" applyNumberForma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3" fillId="8" borderId="101" xfId="0" applyFont="1" applyFill="1" applyBorder="1" applyAlignment="1">
      <alignment horizontal="center" vertical="center"/>
    </xf>
    <xf numFmtId="1" fontId="51" fillId="4" borderId="1" xfId="0" applyNumberFormat="1" applyFont="1" applyFill="1" applyBorder="1" applyAlignment="1">
      <alignment horizontal="center" vertical="center"/>
    </xf>
    <xf numFmtId="0" fontId="6" fillId="2" borderId="0" xfId="0" applyFont="1" applyFill="1"/>
    <xf numFmtId="0" fontId="1" fillId="0" borderId="1" xfId="0" applyFont="1" applyBorder="1" applyAlignment="1">
      <alignment wrapText="1"/>
    </xf>
    <xf numFmtId="0" fontId="39" fillId="0" borderId="1" xfId="0" applyFont="1" applyBorder="1" applyAlignment="1">
      <alignment horizontal="center" vertical="center" wrapText="1"/>
    </xf>
    <xf numFmtId="1" fontId="107" fillId="0" borderId="1" xfId="0" applyNumberFormat="1" applyFont="1" applyBorder="1" applyAlignment="1">
      <alignment horizontal="center" vertical="center"/>
    </xf>
    <xf numFmtId="0" fontId="107" fillId="8" borderId="0" xfId="0" applyFont="1" applyFill="1"/>
    <xf numFmtId="1" fontId="141" fillId="0" borderId="1" xfId="0" applyNumberFormat="1" applyFont="1" applyBorder="1" applyAlignment="1">
      <alignment horizontal="center" vertical="center"/>
    </xf>
    <xf numFmtId="2" fontId="0" fillId="0" borderId="7" xfId="0" applyNumberFormat="1" applyBorder="1"/>
    <xf numFmtId="17" fontId="142" fillId="3" borderId="1" xfId="0" applyNumberFormat="1" applyFont="1" applyFill="1" applyBorder="1" applyAlignment="1">
      <alignment horizontal="center" vertical="center" wrapText="1"/>
    </xf>
    <xf numFmtId="2" fontId="93" fillId="8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17" fontId="144" fillId="0" borderId="1" xfId="0" applyNumberFormat="1" applyFont="1" applyBorder="1" applyAlignment="1">
      <alignment horizontal="center" vertical="center" wrapText="1"/>
    </xf>
    <xf numFmtId="0" fontId="143" fillId="0" borderId="1" xfId="0" applyFont="1" applyBorder="1" applyAlignment="1">
      <alignment horizontal="center" vertical="center"/>
    </xf>
    <xf numFmtId="164" fontId="143" fillId="0" borderId="1" xfId="0" applyNumberFormat="1" applyFont="1" applyBorder="1" applyAlignment="1">
      <alignment horizontal="center" vertical="center"/>
    </xf>
    <xf numFmtId="0" fontId="143" fillId="0" borderId="1" xfId="0" applyFont="1" applyBorder="1" applyAlignment="1">
      <alignment horizontal="center" vertical="center" wrapText="1"/>
    </xf>
    <xf numFmtId="2" fontId="143" fillId="0" borderId="1" xfId="0" applyNumberFormat="1" applyFont="1" applyBorder="1" applyAlignment="1">
      <alignment horizontal="center" vertical="center"/>
    </xf>
    <xf numFmtId="0" fontId="144" fillId="0" borderId="1" xfId="0" applyFont="1" applyBorder="1" applyAlignment="1">
      <alignment horizontal="center" vertical="center"/>
    </xf>
    <xf numFmtId="2" fontId="144" fillId="0" borderId="1" xfId="0" applyNumberFormat="1" applyFont="1" applyBorder="1" applyAlignment="1">
      <alignment horizontal="center" vertical="center"/>
    </xf>
    <xf numFmtId="164" fontId="144" fillId="0" borderId="1" xfId="0" applyNumberFormat="1" applyFont="1" applyBorder="1" applyAlignment="1">
      <alignment horizontal="center" vertical="center"/>
    </xf>
    <xf numFmtId="0" fontId="144" fillId="0" borderId="1" xfId="0" applyFont="1" applyBorder="1" applyAlignment="1">
      <alignment horizontal="center" vertical="center" wrapText="1"/>
    </xf>
    <xf numFmtId="0" fontId="145" fillId="0" borderId="18" xfId="0" applyFont="1" applyBorder="1" applyAlignment="1">
      <alignment horizontal="center" vertical="center"/>
    </xf>
    <xf numFmtId="0" fontId="144" fillId="0" borderId="18" xfId="0" applyFont="1" applyBorder="1" applyAlignment="1">
      <alignment horizontal="center" vertical="center"/>
    </xf>
    <xf numFmtId="0" fontId="93" fillId="4" borderId="0" xfId="0" applyFont="1" applyFill="1" applyAlignment="1">
      <alignment horizontal="center" vertical="center"/>
    </xf>
    <xf numFmtId="2" fontId="146" fillId="11" borderId="66" xfId="0" applyNumberFormat="1" applyFont="1" applyFill="1" applyBorder="1" applyAlignment="1">
      <alignment vertical="top" wrapText="1"/>
    </xf>
    <xf numFmtId="2" fontId="60" fillId="0" borderId="0" xfId="0" applyNumberFormat="1" applyFont="1"/>
    <xf numFmtId="0" fontId="147" fillId="0" borderId="0" xfId="0" applyFont="1"/>
    <xf numFmtId="0" fontId="93" fillId="4" borderId="35" xfId="0" applyFont="1" applyFill="1" applyBorder="1" applyAlignment="1">
      <alignment horizontal="center" vertical="center"/>
    </xf>
    <xf numFmtId="0" fontId="93" fillId="4" borderId="36" xfId="0" applyFont="1" applyFill="1" applyBorder="1" applyAlignment="1">
      <alignment horizontal="center" vertical="center"/>
    </xf>
    <xf numFmtId="0" fontId="93" fillId="4" borderId="34" xfId="0" applyFont="1" applyFill="1" applyBorder="1" applyAlignment="1">
      <alignment horizontal="center" vertical="center"/>
    </xf>
    <xf numFmtId="0" fontId="94" fillId="4" borderId="13" xfId="0" applyFont="1" applyFill="1" applyBorder="1" applyAlignment="1">
      <alignment horizontal="center" vertical="center"/>
    </xf>
    <xf numFmtId="0" fontId="94" fillId="4" borderId="4" xfId="0" applyFont="1" applyFill="1" applyBorder="1" applyAlignment="1">
      <alignment horizontal="center" vertical="center"/>
    </xf>
    <xf numFmtId="0" fontId="93" fillId="8" borderId="4" xfId="0" applyFont="1" applyFill="1" applyBorder="1" applyAlignment="1">
      <alignment horizontal="center" vertical="center"/>
    </xf>
    <xf numFmtId="2" fontId="93" fillId="8" borderId="4" xfId="0" applyNumberFormat="1" applyFont="1" applyFill="1" applyBorder="1" applyAlignment="1">
      <alignment horizontal="center" vertical="center"/>
    </xf>
    <xf numFmtId="2" fontId="93" fillId="8" borderId="79" xfId="0" applyNumberFormat="1" applyFont="1" applyFill="1" applyBorder="1" applyAlignment="1">
      <alignment horizontal="center" vertical="center"/>
    </xf>
    <xf numFmtId="0" fontId="88" fillId="0" borderId="1" xfId="0" applyFont="1" applyBorder="1"/>
    <xf numFmtId="0" fontId="117" fillId="0" borderId="1" xfId="0" applyFont="1" applyBorder="1"/>
    <xf numFmtId="165" fontId="5" fillId="0" borderId="0" xfId="0" applyNumberFormat="1" applyFont="1" applyAlignment="1">
      <alignment vertical="center"/>
    </xf>
    <xf numFmtId="2" fontId="0" fillId="0" borderId="2" xfId="0" applyNumberFormat="1" applyBorder="1" applyAlignment="1">
      <alignment horizontal="center" vertical="center"/>
    </xf>
    <xf numFmtId="165" fontId="5" fillId="0" borderId="0" xfId="0" applyNumberFormat="1" applyFont="1" applyAlignment="1">
      <alignment horizontal="center"/>
    </xf>
    <xf numFmtId="2" fontId="91" fillId="0" borderId="1" xfId="0" applyNumberFormat="1" applyFont="1" applyBorder="1" applyAlignment="1">
      <alignment horizontal="center" vertical="center"/>
    </xf>
    <xf numFmtId="0" fontId="107" fillId="0" borderId="1" xfId="0" applyFont="1" applyBorder="1" applyAlignment="1">
      <alignment horizontal="center" vertical="center" wrapText="1"/>
    </xf>
    <xf numFmtId="0" fontId="148" fillId="0" borderId="0" xfId="0" applyFont="1"/>
    <xf numFmtId="20" fontId="5" fillId="0" borderId="0" xfId="0" applyNumberFormat="1" applyFont="1"/>
    <xf numFmtId="17" fontId="54" fillId="0" borderId="1" xfId="0" applyNumberFormat="1" applyFont="1" applyBorder="1" applyAlignment="1">
      <alignment vertical="center" wrapText="1"/>
    </xf>
    <xf numFmtId="0" fontId="54" fillId="0" borderId="1" xfId="0" applyFont="1" applyBorder="1"/>
    <xf numFmtId="1" fontId="54" fillId="7" borderId="2" xfId="0" applyNumberFormat="1" applyFont="1" applyFill="1" applyBorder="1" applyAlignment="1">
      <alignment vertical="center"/>
    </xf>
    <xf numFmtId="1" fontId="54" fillId="0" borderId="1" xfId="0" applyNumberFormat="1" applyFont="1" applyBorder="1" applyAlignment="1">
      <alignment vertical="center"/>
    </xf>
    <xf numFmtId="1" fontId="54" fillId="7" borderId="1" xfId="0" applyNumberFormat="1" applyFont="1" applyFill="1" applyBorder="1" applyAlignment="1">
      <alignment vertical="center"/>
    </xf>
    <xf numFmtId="1" fontId="54" fillId="0" borderId="95" xfId="0" applyNumberFormat="1" applyFont="1" applyBorder="1" applyAlignment="1">
      <alignment vertical="center"/>
    </xf>
    <xf numFmtId="1" fontId="54" fillId="0" borderId="0" xfId="0" applyNumberFormat="1" applyFont="1" applyAlignment="1">
      <alignment vertical="center"/>
    </xf>
    <xf numFmtId="2" fontId="50" fillId="0" borderId="1" xfId="0" applyNumberFormat="1" applyFont="1" applyBorder="1"/>
    <xf numFmtId="0" fontId="48" fillId="0" borderId="3" xfId="0" applyFont="1" applyBorder="1"/>
    <xf numFmtId="0" fontId="150" fillId="0" borderId="0" xfId="0" applyFont="1" applyAlignment="1">
      <alignment vertical="center" wrapText="1"/>
    </xf>
    <xf numFmtId="2" fontId="1" fillId="17" borderId="0" xfId="0" applyNumberFormat="1" applyFont="1" applyFill="1"/>
    <xf numFmtId="2" fontId="12" fillId="0" borderId="0" xfId="0" applyNumberFormat="1" applyFont="1" applyAlignment="1">
      <alignment horizontal="center"/>
    </xf>
    <xf numFmtId="2" fontId="115" fillId="8" borderId="0" xfId="0" applyNumberFormat="1" applyFont="1" applyFill="1" applyAlignment="1">
      <alignment horizontal="center" vertical="center"/>
    </xf>
    <xf numFmtId="0" fontId="100" fillId="19" borderId="102" xfId="0" applyFont="1" applyFill="1" applyBorder="1" applyAlignment="1">
      <alignment vertical="top" wrapText="1"/>
    </xf>
    <xf numFmtId="0" fontId="100" fillId="19" borderId="103" xfId="0" applyFont="1" applyFill="1" applyBorder="1" applyAlignment="1">
      <alignment vertical="top" wrapText="1"/>
    </xf>
    <xf numFmtId="0" fontId="107" fillId="0" borderId="1" xfId="0" applyFont="1" applyBorder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165" fontId="6" fillId="0" borderId="0" xfId="0" applyNumberFormat="1" applyFont="1"/>
    <xf numFmtId="0" fontId="4" fillId="0" borderId="0" xfId="0" applyFont="1" applyAlignment="1">
      <alignment horizontal="center" vertical="center"/>
    </xf>
    <xf numFmtId="0" fontId="94" fillId="4" borderId="2" xfId="0" applyFont="1" applyFill="1" applyBorder="1" applyAlignment="1">
      <alignment horizontal="center" vertical="center"/>
    </xf>
    <xf numFmtId="0" fontId="49" fillId="0" borderId="12" xfId="0" applyFont="1" applyBorder="1" applyAlignment="1">
      <alignment vertical="center"/>
    </xf>
    <xf numFmtId="0" fontId="49" fillId="7" borderId="2" xfId="0" applyFont="1" applyFill="1" applyBorder="1" applyAlignment="1">
      <alignment vertical="center" wrapText="1"/>
    </xf>
    <xf numFmtId="0" fontId="49" fillId="0" borderId="2" xfId="0" applyFont="1" applyBorder="1" applyAlignment="1">
      <alignment vertical="center"/>
    </xf>
    <xf numFmtId="0" fontId="52" fillId="7" borderId="2" xfId="0" applyFont="1" applyFill="1" applyBorder="1" applyAlignment="1">
      <alignment vertical="center"/>
    </xf>
    <xf numFmtId="0" fontId="49" fillId="0" borderId="27" xfId="0" applyFont="1" applyBorder="1" applyAlignment="1">
      <alignment vertical="center"/>
    </xf>
    <xf numFmtId="0" fontId="49" fillId="0" borderId="10" xfId="0" applyFont="1" applyBorder="1" applyAlignment="1">
      <alignment vertical="center"/>
    </xf>
    <xf numFmtId="164" fontId="140" fillId="7" borderId="1" xfId="0" applyNumberFormat="1" applyFont="1" applyFill="1" applyBorder="1" applyAlignment="1">
      <alignment horizontal="center" vertical="center"/>
    </xf>
    <xf numFmtId="164" fontId="140" fillId="0" borderId="1" xfId="0" applyNumberFormat="1" applyFont="1" applyBorder="1" applyAlignment="1">
      <alignment horizontal="center" vertical="center"/>
    </xf>
    <xf numFmtId="164" fontId="78" fillId="7" borderId="1" xfId="0" applyNumberFormat="1" applyFont="1" applyFill="1" applyBorder="1" applyAlignment="1">
      <alignment horizontal="center" vertical="center"/>
    </xf>
    <xf numFmtId="164" fontId="140" fillId="0" borderId="59" xfId="0" applyNumberFormat="1" applyFont="1" applyBorder="1" applyAlignment="1">
      <alignment horizontal="center" vertical="center"/>
    </xf>
    <xf numFmtId="164" fontId="139" fillId="0" borderId="60" xfId="0" applyNumberFormat="1" applyFont="1" applyBorder="1" applyAlignment="1">
      <alignment horizontal="center" vertical="center"/>
    </xf>
    <xf numFmtId="0" fontId="107" fillId="0" borderId="0" xfId="0" applyFont="1" applyAlignment="1">
      <alignment horizontal="left" vertical="center"/>
    </xf>
    <xf numFmtId="2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164" fontId="112" fillId="0" borderId="0" xfId="0" applyNumberFormat="1" applyFont="1" applyAlignment="1">
      <alignment horizontal="center" vertical="center"/>
    </xf>
    <xf numFmtId="164" fontId="113" fillId="0" borderId="0" xfId="0" applyNumberFormat="1" applyFont="1" applyAlignment="1">
      <alignment horizontal="center" vertical="center"/>
    </xf>
    <xf numFmtId="0" fontId="38" fillId="0" borderId="0" xfId="0" applyFont="1"/>
    <xf numFmtId="2" fontId="39" fillId="0" borderId="0" xfId="0" applyNumberFormat="1" applyFont="1" applyAlignment="1">
      <alignment horizontal="right"/>
    </xf>
    <xf numFmtId="2" fontId="42" fillId="0" borderId="0" xfId="0" applyNumberFormat="1" applyFont="1"/>
    <xf numFmtId="2" fontId="38" fillId="0" borderId="0" xfId="0" applyNumberFormat="1" applyFont="1"/>
    <xf numFmtId="0" fontId="41" fillId="0" borderId="0" xfId="0" applyFont="1"/>
    <xf numFmtId="0" fontId="84" fillId="4" borderId="56" xfId="0" applyFont="1" applyFill="1" applyBorder="1"/>
    <xf numFmtId="0" fontId="84" fillId="4" borderId="57" xfId="0" applyFont="1" applyFill="1" applyBorder="1"/>
    <xf numFmtId="164" fontId="84" fillId="4" borderId="9" xfId="0" applyNumberFormat="1" applyFont="1" applyFill="1" applyBorder="1"/>
    <xf numFmtId="0" fontId="84" fillId="4" borderId="19" xfId="0" applyFont="1" applyFill="1" applyBorder="1"/>
    <xf numFmtId="0" fontId="49" fillId="7" borderId="2" xfId="0" applyFont="1" applyFill="1" applyBorder="1" applyAlignment="1">
      <alignment vertical="center"/>
    </xf>
    <xf numFmtId="0" fontId="49" fillId="0" borderId="5" xfId="0" applyFont="1" applyBorder="1" applyAlignment="1">
      <alignment vertical="center"/>
    </xf>
    <xf numFmtId="2" fontId="151" fillId="0" borderId="0" xfId="0" applyNumberFormat="1" applyFont="1" applyAlignment="1">
      <alignment horizontal="center"/>
    </xf>
    <xf numFmtId="1" fontId="116" fillId="0" borderId="1" xfId="0" applyNumberFormat="1" applyFont="1" applyBorder="1"/>
    <xf numFmtId="0" fontId="152" fillId="20" borderId="7" xfId="0" applyFont="1" applyFill="1" applyBorder="1" applyAlignment="1">
      <alignment horizontal="center" vertical="center"/>
    </xf>
    <xf numFmtId="0" fontId="153" fillId="20" borderId="7" xfId="0" applyFont="1" applyFill="1" applyBorder="1" applyAlignment="1">
      <alignment vertical="center"/>
    </xf>
    <xf numFmtId="2" fontId="152" fillId="20" borderId="1" xfId="0" applyNumberFormat="1" applyFont="1" applyFill="1" applyBorder="1" applyAlignment="1">
      <alignment horizontal="center" vertical="center"/>
    </xf>
    <xf numFmtId="2" fontId="152" fillId="20" borderId="6" xfId="0" applyNumberFormat="1" applyFont="1" applyFill="1" applyBorder="1" applyAlignment="1">
      <alignment horizontal="center" vertical="center"/>
    </xf>
    <xf numFmtId="2" fontId="152" fillId="20" borderId="1" xfId="0" applyNumberFormat="1" applyFont="1" applyFill="1" applyBorder="1" applyAlignment="1">
      <alignment horizontal="center" vertical="center" wrapText="1"/>
    </xf>
    <xf numFmtId="2" fontId="154" fillId="20" borderId="1" xfId="0" applyNumberFormat="1" applyFont="1" applyFill="1" applyBorder="1" applyAlignment="1">
      <alignment horizontal="center" vertical="center"/>
    </xf>
    <xf numFmtId="0" fontId="49" fillId="0" borderId="3" xfId="0" applyFont="1" applyBorder="1" applyAlignment="1">
      <alignment horizontal="center"/>
    </xf>
    <xf numFmtId="0" fontId="155" fillId="20" borderId="1" xfId="0" applyFont="1" applyFill="1" applyBorder="1" applyAlignment="1">
      <alignment horizontal="center" vertical="center" wrapText="1"/>
    </xf>
    <xf numFmtId="0" fontId="49" fillId="7" borderId="1" xfId="0" applyFont="1" applyFill="1" applyBorder="1" applyAlignment="1">
      <alignment vertical="center"/>
    </xf>
    <xf numFmtId="16" fontId="5" fillId="0" borderId="1" xfId="0" applyNumberFormat="1" applyFont="1" applyBorder="1" applyAlignment="1">
      <alignment horizontal="center" vertical="center"/>
    </xf>
    <xf numFmtId="2" fontId="100" fillId="0" borderId="1" xfId="0" applyNumberFormat="1" applyFont="1" applyBorder="1" applyAlignment="1">
      <alignment horizontal="center"/>
    </xf>
    <xf numFmtId="2" fontId="100" fillId="14" borderId="1" xfId="0" applyNumberFormat="1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/>
    </xf>
    <xf numFmtId="164" fontId="100" fillId="14" borderId="66" xfId="0" applyNumberFormat="1" applyFont="1" applyFill="1" applyBorder="1" applyAlignment="1">
      <alignment vertical="top" wrapText="1"/>
    </xf>
    <xf numFmtId="2" fontId="100" fillId="14" borderId="66" xfId="0" applyNumberFormat="1" applyFont="1" applyFill="1" applyBorder="1" applyAlignment="1">
      <alignment horizontal="center" vertical="top" wrapText="1"/>
    </xf>
    <xf numFmtId="0" fontId="100" fillId="0" borderId="0" xfId="0" applyFont="1" applyAlignment="1">
      <alignment horizontal="center"/>
    </xf>
    <xf numFmtId="2" fontId="100" fillId="0" borderId="0" xfId="0" applyNumberFormat="1" applyFont="1"/>
    <xf numFmtId="2" fontId="100" fillId="0" borderId="0" xfId="0" applyNumberFormat="1" applyFont="1" applyAlignment="1">
      <alignment horizontal="center"/>
    </xf>
    <xf numFmtId="0" fontId="48" fillId="0" borderId="1" xfId="0" applyFont="1" applyBorder="1"/>
    <xf numFmtId="0" fontId="49" fillId="0" borderId="7" xfId="0" applyFont="1" applyBorder="1" applyAlignment="1">
      <alignment horizontal="center" vertical="center"/>
    </xf>
    <xf numFmtId="1" fontId="49" fillId="7" borderId="2" xfId="0" applyNumberFormat="1" applyFont="1" applyFill="1" applyBorder="1" applyAlignment="1">
      <alignment horizontal="center" vertical="center"/>
    </xf>
    <xf numFmtId="1" fontId="49" fillId="0" borderId="1" xfId="0" applyNumberFormat="1" applyFont="1" applyBorder="1" applyAlignment="1">
      <alignment horizontal="center" vertical="center"/>
    </xf>
    <xf numFmtId="1" fontId="49" fillId="7" borderId="1" xfId="0" applyNumberFormat="1" applyFont="1" applyFill="1" applyBorder="1" applyAlignment="1">
      <alignment horizontal="center" vertical="center"/>
    </xf>
    <xf numFmtId="1" fontId="49" fillId="0" borderId="95" xfId="0" applyNumberFormat="1" applyFont="1" applyBorder="1" applyAlignment="1">
      <alignment horizontal="center" vertical="center"/>
    </xf>
    <xf numFmtId="1" fontId="49" fillId="0" borderId="0" xfId="0" applyNumberFormat="1" applyFont="1" applyAlignment="1">
      <alignment horizontal="center" vertical="center"/>
    </xf>
    <xf numFmtId="1" fontId="49" fillId="0" borderId="6" xfId="0" applyNumberFormat="1" applyFont="1" applyBorder="1" applyAlignment="1">
      <alignment horizontal="center" vertical="center"/>
    </xf>
    <xf numFmtId="0" fontId="48" fillId="0" borderId="0" xfId="0" applyFont="1"/>
    <xf numFmtId="2" fontId="48" fillId="0" borderId="0" xfId="0" applyNumberFormat="1" applyFont="1"/>
    <xf numFmtId="0" fontId="156" fillId="0" borderId="0" xfId="0" applyFont="1"/>
    <xf numFmtId="2" fontId="48" fillId="0" borderId="1" xfId="0" applyNumberFormat="1" applyFont="1" applyBorder="1" applyAlignment="1">
      <alignment horizontal="center"/>
    </xf>
    <xf numFmtId="0" fontId="93" fillId="8" borderId="0" xfId="0" applyFont="1" applyFill="1" applyAlignment="1">
      <alignment horizontal="center" vertical="center"/>
    </xf>
    <xf numFmtId="1" fontId="48" fillId="0" borderId="1" xfId="0" applyNumberFormat="1" applyFont="1" applyBorder="1" applyAlignment="1">
      <alignment horizontal="center"/>
    </xf>
    <xf numFmtId="1" fontId="100" fillId="0" borderId="0" xfId="0" applyNumberFormat="1" applyFont="1"/>
    <xf numFmtId="0" fontId="4" fillId="0" borderId="7" xfId="0" applyFont="1" applyBorder="1" applyAlignment="1">
      <alignment horizontal="center" vertical="center"/>
    </xf>
    <xf numFmtId="1" fontId="6" fillId="0" borderId="0" xfId="0" applyNumberFormat="1" applyFont="1"/>
    <xf numFmtId="1" fontId="102" fillId="0" borderId="0" xfId="0" applyNumberFormat="1" applyFont="1"/>
    <xf numFmtId="1" fontId="148" fillId="0" borderId="0" xfId="0" applyNumberFormat="1" applyFont="1"/>
    <xf numFmtId="1" fontId="148" fillId="14" borderId="66" xfId="0" applyNumberFormat="1" applyFont="1" applyFill="1" applyBorder="1" applyAlignment="1">
      <alignment vertical="top" wrapText="1"/>
    </xf>
    <xf numFmtId="2" fontId="102" fillId="0" borderId="0" xfId="0" applyNumberFormat="1" applyFont="1" applyAlignment="1">
      <alignment horizontal="center"/>
    </xf>
    <xf numFmtId="0" fontId="148" fillId="14" borderId="66" xfId="0" applyFont="1" applyFill="1" applyBorder="1" applyAlignment="1">
      <alignment vertical="top" wrapText="1"/>
    </xf>
    <xf numFmtId="2" fontId="148" fillId="14" borderId="66" xfId="0" applyNumberFormat="1" applyFont="1" applyFill="1" applyBorder="1" applyAlignment="1">
      <alignment horizontal="center" vertical="top" wrapText="1"/>
    </xf>
    <xf numFmtId="164" fontId="102" fillId="0" borderId="0" xfId="0" applyNumberFormat="1" applyFont="1"/>
    <xf numFmtId="164" fontId="102" fillId="0" borderId="0" xfId="0" applyNumberFormat="1" applyFont="1" applyAlignment="1">
      <alignment horizontal="center"/>
    </xf>
    <xf numFmtId="2" fontId="102" fillId="0" borderId="0" xfId="0" applyNumberFormat="1" applyFont="1"/>
    <xf numFmtId="165" fontId="102" fillId="0" borderId="0" xfId="0" applyNumberFormat="1" applyFont="1"/>
    <xf numFmtId="1" fontId="102" fillId="0" borderId="0" xfId="0" applyNumberFormat="1" applyFont="1" applyAlignment="1">
      <alignment horizontal="center"/>
    </xf>
    <xf numFmtId="1" fontId="4" fillId="7" borderId="2" xfId="0" applyNumberFormat="1" applyFont="1" applyFill="1" applyBorder="1" applyAlignment="1">
      <alignment vertical="center"/>
    </xf>
    <xf numFmtId="1" fontId="4" fillId="0" borderId="1" xfId="0" applyNumberFormat="1" applyFont="1" applyBorder="1" applyAlignment="1">
      <alignment vertical="center"/>
    </xf>
    <xf numFmtId="1" fontId="4" fillId="7" borderId="1" xfId="0" applyNumberFormat="1" applyFont="1" applyFill="1" applyBorder="1" applyAlignment="1">
      <alignment vertical="center"/>
    </xf>
    <xf numFmtId="1" fontId="4" fillId="0" borderId="95" xfId="0" applyNumberFormat="1" applyFont="1" applyBorder="1" applyAlignment="1">
      <alignment vertical="center"/>
    </xf>
    <xf numFmtId="1" fontId="4" fillId="0" borderId="0" xfId="0" applyNumberFormat="1" applyFont="1" applyAlignment="1">
      <alignment vertical="center"/>
    </xf>
    <xf numFmtId="1" fontId="4" fillId="0" borderId="6" xfId="0" applyNumberFormat="1" applyFont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9" fillId="0" borderId="97" xfId="0" applyFont="1" applyBorder="1" applyAlignment="1">
      <alignment horizontal="center" vertical="center" wrapText="1"/>
    </xf>
    <xf numFmtId="0" fontId="49" fillId="0" borderId="96" xfId="0" applyFont="1" applyBorder="1" applyAlignment="1">
      <alignment vertical="center" wrapText="1"/>
    </xf>
    <xf numFmtId="0" fontId="153" fillId="20" borderId="97" xfId="0" applyFont="1" applyFill="1" applyBorder="1" applyAlignment="1">
      <alignment horizontal="center" vertical="center" wrapText="1"/>
    </xf>
    <xf numFmtId="14" fontId="5" fillId="0" borderId="0" xfId="0" applyNumberFormat="1" applyFont="1"/>
    <xf numFmtId="0" fontId="122" fillId="0" borderId="1" xfId="0" applyFont="1" applyBorder="1"/>
    <xf numFmtId="2" fontId="102" fillId="0" borderId="1" xfId="0" applyNumberFormat="1" applyFont="1" applyBorder="1"/>
    <xf numFmtId="164" fontId="102" fillId="0" borderId="1" xfId="0" applyNumberFormat="1" applyFont="1" applyBorder="1"/>
    <xf numFmtId="1" fontId="102" fillId="0" borderId="1" xfId="0" applyNumberFormat="1" applyFont="1" applyBorder="1" applyAlignment="1">
      <alignment horizontal="center"/>
    </xf>
    <xf numFmtId="0" fontId="100" fillId="11" borderId="104" xfId="0" applyFont="1" applyFill="1" applyBorder="1" applyAlignment="1">
      <alignment vertical="top" wrapText="1"/>
    </xf>
    <xf numFmtId="0" fontId="100" fillId="14" borderId="104" xfId="0" applyFont="1" applyFill="1" applyBorder="1" applyAlignment="1">
      <alignment vertical="top" wrapText="1"/>
    </xf>
    <xf numFmtId="1" fontId="102" fillId="0" borderId="1" xfId="0" applyNumberFormat="1" applyFont="1" applyBorder="1"/>
    <xf numFmtId="0" fontId="4" fillId="0" borderId="96" xfId="0" applyFont="1" applyBorder="1" applyAlignment="1">
      <alignment vertical="center" wrapText="1"/>
    </xf>
    <xf numFmtId="1" fontId="4" fillId="0" borderId="0" xfId="0" applyNumberFormat="1" applyFont="1"/>
    <xf numFmtId="2" fontId="50" fillId="0" borderId="0" xfId="0" applyNumberFormat="1" applyFont="1" applyAlignment="1">
      <alignment horizontal="center"/>
    </xf>
    <xf numFmtId="0" fontId="50" fillId="0" borderId="100" xfId="0" applyFont="1" applyBorder="1" applyAlignment="1">
      <alignment horizontal="center" vertical="center"/>
    </xf>
    <xf numFmtId="0" fontId="122" fillId="0" borderId="1" xfId="0" applyFont="1" applyBorder="1" applyAlignment="1">
      <alignment horizontal="center"/>
    </xf>
    <xf numFmtId="1" fontId="0" fillId="0" borderId="4" xfId="0" applyNumberFormat="1" applyBorder="1"/>
    <xf numFmtId="0" fontId="88" fillId="14" borderId="1" xfId="0" applyFont="1" applyFill="1" applyBorder="1" applyAlignment="1">
      <alignment vertical="top" wrapText="1"/>
    </xf>
    <xf numFmtId="0" fontId="148" fillId="0" borderId="1" xfId="0" applyFont="1" applyBorder="1"/>
    <xf numFmtId="0" fontId="100" fillId="14" borderId="1" xfId="0" applyFont="1" applyFill="1" applyBorder="1" applyAlignment="1">
      <alignment vertical="top" wrapText="1"/>
    </xf>
    <xf numFmtId="1" fontId="113" fillId="21" borderId="5" xfId="0" applyNumberFormat="1" applyFont="1" applyFill="1" applyBorder="1" applyAlignment="1">
      <alignment horizontal="center" vertical="center" wrapText="1"/>
    </xf>
    <xf numFmtId="0" fontId="107" fillId="4" borderId="1" xfId="0" applyFont="1" applyFill="1" applyBorder="1" applyAlignment="1">
      <alignment horizontal="center" vertical="center"/>
    </xf>
    <xf numFmtId="2" fontId="107" fillId="4" borderId="1" xfId="0" applyNumberFormat="1" applyFont="1" applyFill="1" applyBorder="1" applyAlignment="1">
      <alignment horizontal="center" vertical="center"/>
    </xf>
    <xf numFmtId="1" fontId="49" fillId="0" borderId="5" xfId="0" applyNumberFormat="1" applyFont="1" applyBorder="1" applyAlignment="1">
      <alignment horizontal="center" vertical="center" wrapText="1"/>
    </xf>
    <xf numFmtId="17" fontId="5" fillId="0" borderId="1" xfId="0" applyNumberFormat="1" applyFont="1" applyBorder="1"/>
    <xf numFmtId="14" fontId="5" fillId="0" borderId="1" xfId="0" applyNumberFormat="1" applyFont="1" applyBorder="1"/>
    <xf numFmtId="14" fontId="4" fillId="0" borderId="0" xfId="0" applyNumberFormat="1" applyFont="1"/>
    <xf numFmtId="0" fontId="122" fillId="2" borderId="1" xfId="0" applyFont="1" applyFill="1" applyBorder="1"/>
    <xf numFmtId="0" fontId="122" fillId="2" borderId="1" xfId="0" applyFont="1" applyFill="1" applyBorder="1" applyAlignment="1">
      <alignment horizontal="center"/>
    </xf>
    <xf numFmtId="0" fontId="107" fillId="7" borderId="1" xfId="0" applyFont="1" applyFill="1" applyBorder="1" applyAlignment="1">
      <alignment horizontal="left" vertical="center"/>
    </xf>
    <xf numFmtId="14" fontId="14" fillId="0" borderId="0" xfId="0" applyNumberFormat="1" applyFont="1"/>
    <xf numFmtId="0" fontId="83" fillId="4" borderId="63" xfId="0" applyFont="1" applyFill="1" applyBorder="1" applyAlignment="1">
      <alignment horizontal="center" vertical="center"/>
    </xf>
    <xf numFmtId="0" fontId="83" fillId="4" borderId="64" xfId="0" applyFont="1" applyFill="1" applyBorder="1" applyAlignment="1">
      <alignment horizontal="center" vertical="center"/>
    </xf>
    <xf numFmtId="0" fontId="83" fillId="4" borderId="65" xfId="0" applyFont="1" applyFill="1" applyBorder="1" applyAlignment="1">
      <alignment horizontal="center" vertical="center"/>
    </xf>
    <xf numFmtId="0" fontId="83" fillId="4" borderId="47" xfId="0" applyFont="1" applyFill="1" applyBorder="1" applyAlignment="1">
      <alignment horizontal="center" vertical="center"/>
    </xf>
    <xf numFmtId="0" fontId="83" fillId="4" borderId="65" xfId="0" applyFont="1" applyFill="1" applyBorder="1" applyAlignment="1">
      <alignment horizontal="center" vertical="center" wrapText="1"/>
    </xf>
    <xf numFmtId="0" fontId="83" fillId="4" borderId="47" xfId="0" applyFont="1" applyFill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left"/>
    </xf>
    <xf numFmtId="0" fontId="51" fillId="0" borderId="1" xfId="0" applyFont="1" applyBorder="1" applyAlignment="1">
      <alignment horizontal="right"/>
    </xf>
    <xf numFmtId="164" fontId="107" fillId="7" borderId="1" xfId="0" applyNumberFormat="1" applyFont="1" applyFill="1" applyBorder="1" applyAlignment="1">
      <alignment horizontal="center" vertical="center"/>
    </xf>
    <xf numFmtId="1" fontId="0" fillId="0" borderId="6" xfId="0" applyNumberFormat="1" applyBorder="1"/>
    <xf numFmtId="0" fontId="148" fillId="14" borderId="1" xfId="0" applyFont="1" applyFill="1" applyBorder="1" applyAlignment="1">
      <alignment vertical="top" wrapText="1"/>
    </xf>
    <xf numFmtId="0" fontId="48" fillId="0" borderId="2" xfId="0" applyFont="1" applyBorder="1" applyAlignment="1">
      <alignment wrapText="1"/>
    </xf>
    <xf numFmtId="0" fontId="102" fillId="0" borderId="2" xfId="0" applyFont="1" applyBorder="1" applyAlignment="1">
      <alignment wrapText="1"/>
    </xf>
    <xf numFmtId="0" fontId="48" fillId="0" borderId="5" xfId="0" applyFont="1" applyBorder="1" applyAlignment="1">
      <alignment vertical="center"/>
    </xf>
    <xf numFmtId="0" fontId="48" fillId="0" borderId="8" xfId="0" applyFont="1" applyBorder="1" applyAlignment="1">
      <alignment vertical="center"/>
    </xf>
    <xf numFmtId="164" fontId="153" fillId="20" borderId="1" xfId="0" applyNumberFormat="1" applyFont="1" applyFill="1" applyBorder="1" applyAlignment="1">
      <alignment horizontal="center"/>
    </xf>
    <xf numFmtId="2" fontId="153" fillId="20" borderId="1" xfId="0" applyNumberFormat="1" applyFont="1" applyFill="1" applyBorder="1" applyAlignment="1">
      <alignment horizontal="center"/>
    </xf>
    <xf numFmtId="2" fontId="153" fillId="20" borderId="1" xfId="0" applyNumberFormat="1" applyFont="1" applyFill="1" applyBorder="1" applyAlignment="1">
      <alignment horizontal="center" wrapText="1"/>
    </xf>
    <xf numFmtId="2" fontId="153" fillId="20" borderId="3" xfId="0" applyNumberFormat="1" applyFont="1" applyFill="1" applyBorder="1" applyAlignment="1">
      <alignment horizontal="center"/>
    </xf>
    <xf numFmtId="1" fontId="49" fillId="0" borderId="1" xfId="0" applyNumberFormat="1" applyFont="1" applyBorder="1" applyAlignment="1">
      <alignment vertical="center"/>
    </xf>
    <xf numFmtId="1" fontId="49" fillId="0" borderId="5" xfId="0" applyNumberFormat="1" applyFont="1" applyBorder="1" applyAlignment="1">
      <alignment vertical="center"/>
    </xf>
    <xf numFmtId="1" fontId="49" fillId="0" borderId="7" xfId="0" applyNumberFormat="1" applyFont="1" applyBorder="1" applyAlignment="1">
      <alignment vertical="center"/>
    </xf>
    <xf numFmtId="1" fontId="49" fillId="0" borderId="6" xfId="0" applyNumberFormat="1" applyFont="1" applyBorder="1" applyAlignment="1">
      <alignment vertical="center"/>
    </xf>
    <xf numFmtId="0" fontId="71" fillId="9" borderId="47" xfId="0" applyFont="1" applyFill="1" applyBorder="1" applyAlignment="1">
      <alignment horizontal="center" vertical="center" wrapText="1"/>
    </xf>
    <xf numFmtId="17" fontId="4" fillId="0" borderId="1" xfId="0" applyNumberFormat="1" applyFont="1" applyBorder="1"/>
    <xf numFmtId="1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2" fontId="65" fillId="0" borderId="1" xfId="0" applyNumberFormat="1" applyFont="1" applyBorder="1" applyAlignment="1">
      <alignment horizontal="center" vertical="center"/>
    </xf>
    <xf numFmtId="0" fontId="72" fillId="0" borderId="47" xfId="0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/>
    </xf>
    <xf numFmtId="0" fontId="6" fillId="0" borderId="1" xfId="0" applyFont="1" applyBorder="1"/>
    <xf numFmtId="2" fontId="94" fillId="4" borderId="1" xfId="0" applyNumberFormat="1" applyFont="1" applyFill="1" applyBorder="1" applyAlignment="1">
      <alignment horizontal="center"/>
    </xf>
    <xf numFmtId="14" fontId="94" fillId="4" borderId="1" xfId="0" applyNumberFormat="1" applyFont="1" applyFill="1" applyBorder="1"/>
    <xf numFmtId="2" fontId="93" fillId="4" borderId="1" xfId="0" applyNumberFormat="1" applyFont="1" applyFill="1" applyBorder="1" applyAlignment="1">
      <alignment horizontal="center"/>
    </xf>
    <xf numFmtId="0" fontId="143" fillId="0" borderId="0" xfId="0" applyFont="1"/>
    <xf numFmtId="0" fontId="160" fillId="0" borderId="0" xfId="0" applyFont="1"/>
    <xf numFmtId="2" fontId="39" fillId="4" borderId="1" xfId="0" applyNumberFormat="1" applyFont="1" applyFill="1" applyBorder="1" applyAlignment="1">
      <alignment horizontal="center" vertical="center"/>
    </xf>
    <xf numFmtId="2" fontId="19" fillId="0" borderId="1" xfId="0" applyNumberFormat="1" applyFont="1" applyBorder="1" applyAlignment="1">
      <alignment horizontal="center"/>
    </xf>
    <xf numFmtId="164" fontId="19" fillId="0" borderId="1" xfId="0" applyNumberFormat="1" applyFont="1" applyBorder="1" applyAlignment="1">
      <alignment horizontal="center"/>
    </xf>
    <xf numFmtId="1" fontId="39" fillId="0" borderId="0" xfId="0" applyNumberFormat="1" applyFont="1"/>
    <xf numFmtId="0" fontId="153" fillId="20" borderId="1" xfId="0" applyFont="1" applyFill="1" applyBorder="1" applyAlignment="1">
      <alignment horizontal="center" vertical="center" wrapText="1"/>
    </xf>
    <xf numFmtId="0" fontId="107" fillId="0" borderId="32" xfId="0" applyFont="1" applyBorder="1" applyAlignment="1">
      <alignment horizontal="left" vertical="center" wrapText="1"/>
    </xf>
    <xf numFmtId="1" fontId="14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/>
    </xf>
    <xf numFmtId="0" fontId="161" fillId="0" borderId="0" xfId="0" applyFont="1" applyAlignment="1">
      <alignment horizontal="center"/>
    </xf>
    <xf numFmtId="2" fontId="50" fillId="4" borderId="4" xfId="0" applyNumberFormat="1" applyFont="1" applyFill="1" applyBorder="1" applyAlignment="1">
      <alignment horizontal="center" vertical="center"/>
    </xf>
    <xf numFmtId="164" fontId="140" fillId="4" borderId="1" xfId="0" applyNumberFormat="1" applyFont="1" applyFill="1" applyBorder="1" applyAlignment="1">
      <alignment horizontal="center" vertical="center"/>
    </xf>
    <xf numFmtId="2" fontId="53" fillId="4" borderId="1" xfId="0" applyNumberFormat="1" applyFont="1" applyFill="1" applyBorder="1" applyAlignment="1">
      <alignment horizontal="center" vertical="center"/>
    </xf>
    <xf numFmtId="2" fontId="91" fillId="4" borderId="1" xfId="0" applyNumberFormat="1" applyFont="1" applyFill="1" applyBorder="1" applyAlignment="1">
      <alignment horizontal="center" vertical="center"/>
    </xf>
    <xf numFmtId="0" fontId="49" fillId="0" borderId="1" xfId="0" applyFont="1" applyBorder="1" applyAlignment="1">
      <alignment vertical="center" wrapText="1"/>
    </xf>
    <xf numFmtId="0" fontId="159" fillId="14" borderId="1" xfId="0" applyFont="1" applyFill="1" applyBorder="1" applyAlignment="1">
      <alignment vertical="top" wrapText="1"/>
    </xf>
    <xf numFmtId="1" fontId="163" fillId="0" borderId="0" xfId="0" applyNumberFormat="1" applyFont="1" applyAlignment="1">
      <alignment horizontal="center"/>
    </xf>
    <xf numFmtId="0" fontId="159" fillId="0" borderId="0" xfId="0" applyFont="1"/>
    <xf numFmtId="1" fontId="100" fillId="2" borderId="1" xfId="0" applyNumberFormat="1" applyFont="1" applyFill="1" applyBorder="1"/>
    <xf numFmtId="1" fontId="159" fillId="0" borderId="1" xfId="0" applyNumberFormat="1" applyFont="1" applyBorder="1"/>
    <xf numFmtId="1" fontId="100" fillId="11" borderId="66" xfId="0" applyNumberFormat="1" applyFont="1" applyFill="1" applyBorder="1" applyAlignment="1">
      <alignment vertical="top" wrapText="1"/>
    </xf>
    <xf numFmtId="0" fontId="158" fillId="4" borderId="1" xfId="0" applyFont="1" applyFill="1" applyBorder="1" applyAlignment="1">
      <alignment horizontal="center" vertical="center"/>
    </xf>
    <xf numFmtId="2" fontId="158" fillId="4" borderId="1" xfId="0" applyNumberFormat="1" applyFont="1" applyFill="1" applyBorder="1" applyAlignment="1">
      <alignment horizontal="center" vertical="center"/>
    </xf>
    <xf numFmtId="0" fontId="144" fillId="4" borderId="1" xfId="0" applyFont="1" applyFill="1" applyBorder="1" applyAlignment="1">
      <alignment horizontal="center" vertical="center"/>
    </xf>
    <xf numFmtId="0" fontId="144" fillId="4" borderId="1" xfId="0" applyFont="1" applyFill="1" applyBorder="1" applyAlignment="1">
      <alignment horizontal="center" vertical="center" wrapText="1"/>
    </xf>
    <xf numFmtId="0" fontId="144" fillId="4" borderId="1" xfId="0" applyFont="1" applyFill="1" applyBorder="1" applyAlignment="1">
      <alignment horizontal="center"/>
    </xf>
    <xf numFmtId="17" fontId="144" fillId="4" borderId="1" xfId="0" applyNumberFormat="1" applyFont="1" applyFill="1" applyBorder="1" applyAlignment="1">
      <alignment horizontal="center" vertical="center" wrapText="1"/>
    </xf>
    <xf numFmtId="2" fontId="144" fillId="4" borderId="1" xfId="0" applyNumberFormat="1" applyFont="1" applyFill="1" applyBorder="1" applyAlignment="1">
      <alignment horizontal="center"/>
    </xf>
    <xf numFmtId="2" fontId="143" fillId="4" borderId="1" xfId="0" applyNumberFormat="1" applyFont="1" applyFill="1" applyBorder="1" applyAlignment="1">
      <alignment horizontal="center" vertical="center"/>
    </xf>
    <xf numFmtId="0" fontId="144" fillId="4" borderId="1" xfId="0" applyFont="1" applyFill="1" applyBorder="1"/>
    <xf numFmtId="2" fontId="143" fillId="4" borderId="1" xfId="0" applyNumberFormat="1" applyFont="1" applyFill="1" applyBorder="1" applyAlignment="1">
      <alignment horizontal="center"/>
    </xf>
    <xf numFmtId="2" fontId="143" fillId="0" borderId="0" xfId="0" applyNumberFormat="1" applyFont="1"/>
    <xf numFmtId="0" fontId="143" fillId="0" borderId="0" xfId="0" applyFont="1" applyAlignment="1">
      <alignment horizontal="center"/>
    </xf>
    <xf numFmtId="164" fontId="165" fillId="4" borderId="1" xfId="0" applyNumberFormat="1" applyFont="1" applyFill="1" applyBorder="1" applyAlignment="1">
      <alignment horizontal="center" vertical="center"/>
    </xf>
    <xf numFmtId="164" fontId="165" fillId="4" borderId="1" xfId="0" applyNumberFormat="1" applyFont="1" applyFill="1" applyBorder="1" applyAlignment="1">
      <alignment horizontal="center"/>
    </xf>
    <xf numFmtId="164" fontId="165" fillId="0" borderId="1" xfId="0" applyNumberFormat="1" applyFont="1" applyBorder="1" applyAlignment="1">
      <alignment horizontal="center"/>
    </xf>
    <xf numFmtId="164" fontId="164" fillId="4" borderId="1" xfId="0" applyNumberFormat="1" applyFont="1" applyFill="1" applyBorder="1" applyAlignment="1">
      <alignment horizontal="center" vertical="center"/>
    </xf>
    <xf numFmtId="164" fontId="164" fillId="4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 vertical="center"/>
    </xf>
    <xf numFmtId="164" fontId="144" fillId="4" borderId="1" xfId="0" applyNumberFormat="1" applyFont="1" applyFill="1" applyBorder="1" applyAlignment="1">
      <alignment horizontal="center"/>
    </xf>
    <xf numFmtId="164" fontId="143" fillId="0" borderId="1" xfId="0" applyNumberFormat="1" applyFont="1" applyBorder="1" applyAlignment="1">
      <alignment horizontal="center"/>
    </xf>
    <xf numFmtId="0" fontId="143" fillId="4" borderId="1" xfId="0" applyFont="1" applyFill="1" applyBorder="1" applyAlignment="1">
      <alignment horizontal="center"/>
    </xf>
    <xf numFmtId="0" fontId="143" fillId="4" borderId="1" xfId="0" applyFont="1" applyFill="1" applyBorder="1" applyAlignment="1">
      <alignment horizontal="center" vertical="center"/>
    </xf>
    <xf numFmtId="0" fontId="143" fillId="4" borderId="1" xfId="0" applyFont="1" applyFill="1" applyBorder="1"/>
    <xf numFmtId="0" fontId="143" fillId="4" borderId="1" xfId="0" applyFont="1" applyFill="1" applyBorder="1" applyAlignment="1">
      <alignment vertical="center"/>
    </xf>
    <xf numFmtId="2" fontId="143" fillId="0" borderId="1" xfId="0" applyNumberFormat="1" applyFont="1" applyBorder="1"/>
    <xf numFmtId="0" fontId="143" fillId="0" borderId="1" xfId="0" applyFont="1" applyBorder="1"/>
    <xf numFmtId="0" fontId="83" fillId="4" borderId="58" xfId="0" applyFont="1" applyFill="1" applyBorder="1" applyAlignment="1">
      <alignment horizontal="center" vertical="center"/>
    </xf>
    <xf numFmtId="0" fontId="83" fillId="4" borderId="59" xfId="0" applyFont="1" applyFill="1" applyBorder="1" applyAlignment="1">
      <alignment horizontal="center" vertical="center"/>
    </xf>
    <xf numFmtId="0" fontId="83" fillId="4" borderId="60" xfId="0" applyFont="1" applyFill="1" applyBorder="1" applyAlignment="1">
      <alignment horizontal="center" vertical="center"/>
    </xf>
    <xf numFmtId="0" fontId="163" fillId="0" borderId="1" xfId="0" applyFont="1" applyBorder="1" applyAlignment="1">
      <alignment horizontal="center" vertical="center" wrapText="1"/>
    </xf>
    <xf numFmtId="0" fontId="107" fillId="0" borderId="1" xfId="0" applyFont="1" applyBorder="1" applyAlignment="1">
      <alignment horizontal="left" vertical="center" wrapText="1"/>
    </xf>
    <xf numFmtId="1" fontId="107" fillId="7" borderId="1" xfId="0" applyNumberFormat="1" applyFont="1" applyFill="1" applyBorder="1" applyAlignment="1">
      <alignment horizontal="left" vertical="center"/>
    </xf>
    <xf numFmtId="1" fontId="107" fillId="7" borderId="1" xfId="0" applyNumberFormat="1" applyFont="1" applyFill="1" applyBorder="1" applyAlignment="1">
      <alignment horizontal="center" vertical="center" wrapText="1"/>
    </xf>
    <xf numFmtId="0" fontId="107" fillId="7" borderId="1" xfId="0" applyFont="1" applyFill="1" applyBorder="1" applyAlignment="1">
      <alignment horizontal="center" vertical="center" wrapText="1"/>
    </xf>
    <xf numFmtId="1" fontId="113" fillId="7" borderId="5" xfId="0" applyNumberFormat="1" applyFont="1" applyFill="1" applyBorder="1" applyAlignment="1">
      <alignment horizontal="center" vertical="center" wrapText="1"/>
    </xf>
    <xf numFmtId="0" fontId="113" fillId="7" borderId="99" xfId="0" applyFont="1" applyFill="1" applyBorder="1" applyAlignment="1">
      <alignment horizontal="center" vertical="center" wrapText="1"/>
    </xf>
    <xf numFmtId="1" fontId="113" fillId="7" borderId="1" xfId="0" applyNumberFormat="1" applyFont="1" applyFill="1" applyBorder="1" applyAlignment="1">
      <alignment horizontal="center" vertical="center" wrapText="1"/>
    </xf>
    <xf numFmtId="0" fontId="113" fillId="7" borderId="1" xfId="0" applyFont="1" applyFill="1" applyBorder="1" applyAlignment="1">
      <alignment horizontal="center" vertical="center" wrapText="1"/>
    </xf>
    <xf numFmtId="0" fontId="49" fillId="7" borderId="1" xfId="0" applyFont="1" applyFill="1" applyBorder="1" applyAlignment="1">
      <alignment vertical="center" wrapText="1"/>
    </xf>
    <xf numFmtId="0" fontId="52" fillId="7" borderId="1" xfId="0" applyFont="1" applyFill="1" applyBorder="1" applyAlignment="1">
      <alignment vertical="center"/>
    </xf>
    <xf numFmtId="0" fontId="49" fillId="4" borderId="1" xfId="0" applyFont="1" applyFill="1" applyBorder="1" applyAlignment="1">
      <alignment vertical="center"/>
    </xf>
    <xf numFmtId="2" fontId="78" fillId="4" borderId="1" xfId="0" applyNumberFormat="1" applyFont="1" applyFill="1" applyBorder="1" applyAlignment="1">
      <alignment horizontal="center" vertical="center"/>
    </xf>
    <xf numFmtId="2" fontId="60" fillId="0" borderId="1" xfId="0" applyNumberFormat="1" applyFont="1" applyBorder="1" applyAlignment="1">
      <alignment horizontal="center" vertical="center"/>
    </xf>
    <xf numFmtId="0" fontId="136" fillId="20" borderId="1" xfId="0" applyFont="1" applyFill="1" applyBorder="1" applyAlignment="1">
      <alignment vertical="center"/>
    </xf>
    <xf numFmtId="2" fontId="62" fillId="0" borderId="1" xfId="0" applyNumberFormat="1" applyFont="1" applyBorder="1" applyAlignment="1">
      <alignment horizontal="center" vertical="center"/>
    </xf>
    <xf numFmtId="0" fontId="48" fillId="0" borderId="2" xfId="0" applyFont="1" applyBorder="1" applyAlignment="1">
      <alignment horizontal="left"/>
    </xf>
    <xf numFmtId="0" fontId="54" fillId="7" borderId="12" xfId="0" applyFont="1" applyFill="1" applyBorder="1"/>
    <xf numFmtId="0" fontId="49" fillId="0" borderId="7" xfId="0" applyFont="1" applyBorder="1" applyAlignment="1">
      <alignment vertical="center"/>
    </xf>
    <xf numFmtId="0" fontId="49" fillId="0" borderId="6" xfId="0" applyFont="1" applyBorder="1" applyAlignment="1">
      <alignment vertical="center"/>
    </xf>
    <xf numFmtId="166" fontId="122" fillId="2" borderId="1" xfId="0" applyNumberFormat="1" applyFont="1" applyFill="1" applyBorder="1"/>
    <xf numFmtId="0" fontId="1" fillId="0" borderId="2" xfId="0" applyFont="1" applyBorder="1"/>
    <xf numFmtId="1" fontId="1" fillId="0" borderId="3" xfId="0" applyNumberFormat="1" applyFont="1" applyBorder="1"/>
    <xf numFmtId="0" fontId="1" fillId="0" borderId="3" xfId="0" applyFont="1" applyBorder="1"/>
    <xf numFmtId="0" fontId="1" fillId="8" borderId="1" xfId="0" applyFont="1" applyFill="1" applyBorder="1"/>
    <xf numFmtId="0" fontId="0" fillId="8" borderId="1" xfId="0" applyFill="1" applyBorder="1"/>
    <xf numFmtId="0" fontId="168" fillId="0" borderId="20" xfId="0" applyFont="1" applyBorder="1" applyAlignment="1">
      <alignment horizontal="center" vertical="center"/>
    </xf>
    <xf numFmtId="0" fontId="94" fillId="8" borderId="1" xfId="0" applyFont="1" applyFill="1" applyBorder="1" applyAlignment="1">
      <alignment horizontal="center" vertical="center"/>
    </xf>
    <xf numFmtId="2" fontId="100" fillId="2" borderId="1" xfId="0" applyNumberFormat="1" applyFont="1" applyFill="1" applyBorder="1"/>
    <xf numFmtId="2" fontId="93" fillId="8" borderId="38" xfId="0" applyNumberFormat="1" applyFont="1" applyFill="1" applyBorder="1" applyAlignment="1">
      <alignment horizontal="center" vertical="center"/>
    </xf>
    <xf numFmtId="164" fontId="94" fillId="4" borderId="0" xfId="0" applyNumberFormat="1" applyFont="1" applyFill="1" applyAlignment="1">
      <alignment horizontal="center" vertical="center"/>
    </xf>
    <xf numFmtId="164" fontId="93" fillId="8" borderId="38" xfId="0" applyNumberFormat="1" applyFont="1" applyFill="1" applyBorder="1" applyAlignment="1">
      <alignment horizontal="center" vertical="center"/>
    </xf>
    <xf numFmtId="0" fontId="169" fillId="9" borderId="20" xfId="0" applyFont="1" applyFill="1" applyBorder="1" applyAlignment="1">
      <alignment horizontal="center" vertical="center"/>
    </xf>
    <xf numFmtId="0" fontId="170" fillId="9" borderId="20" xfId="0" applyFont="1" applyFill="1" applyBorder="1" applyAlignment="1">
      <alignment horizontal="center" vertical="center"/>
    </xf>
    <xf numFmtId="0" fontId="171" fillId="9" borderId="20" xfId="0" applyFont="1" applyFill="1" applyBorder="1" applyAlignment="1">
      <alignment horizontal="center" vertical="center"/>
    </xf>
    <xf numFmtId="164" fontId="1" fillId="0" borderId="0" xfId="0" applyNumberFormat="1" applyFont="1"/>
    <xf numFmtId="0" fontId="172" fillId="9" borderId="20" xfId="0" applyFont="1" applyFill="1" applyBorder="1" applyAlignment="1">
      <alignment horizontal="center" vertical="center"/>
    </xf>
    <xf numFmtId="164" fontId="50" fillId="4" borderId="4" xfId="0" applyNumberFormat="1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164" fontId="54" fillId="7" borderId="0" xfId="0" applyNumberFormat="1" applyFont="1" applyFill="1" applyAlignment="1">
      <alignment horizontal="center"/>
    </xf>
    <xf numFmtId="164" fontId="142" fillId="0" borderId="0" xfId="0" applyNumberFormat="1" applyFont="1" applyAlignment="1">
      <alignment horizontal="center" vertical="center" wrapText="1"/>
    </xf>
    <xf numFmtId="164" fontId="140" fillId="4" borderId="0" xfId="0" applyNumberFormat="1" applyFont="1" applyFill="1" applyAlignment="1">
      <alignment horizontal="center" vertical="center"/>
    </xf>
    <xf numFmtId="164" fontId="78" fillId="7" borderId="0" xfId="0" applyNumberFormat="1" applyFont="1" applyFill="1" applyAlignment="1">
      <alignment horizontal="center" vertical="center"/>
    </xf>
    <xf numFmtId="164" fontId="139" fillId="0" borderId="0" xfId="0" applyNumberFormat="1" applyFont="1" applyAlignment="1">
      <alignment horizontal="center" vertical="center"/>
    </xf>
    <xf numFmtId="0" fontId="4" fillId="3" borderId="0" xfId="0" applyFont="1" applyFill="1" applyAlignment="1">
      <alignment horizontal="center" vertical="center" wrapText="1"/>
    </xf>
    <xf numFmtId="0" fontId="49" fillId="3" borderId="0" xfId="0" applyFont="1" applyFill="1" applyAlignment="1">
      <alignment horizontal="left" vertical="center" wrapText="1"/>
    </xf>
    <xf numFmtId="164" fontId="51" fillId="0" borderId="0" xfId="0" applyNumberFormat="1" applyFont="1" applyAlignment="1">
      <alignment horizontal="center"/>
    </xf>
    <xf numFmtId="0" fontId="49" fillId="3" borderId="0" xfId="0" applyFont="1" applyFill="1" applyAlignment="1">
      <alignment horizontal="center" vertical="center" wrapText="1"/>
    </xf>
    <xf numFmtId="164" fontId="50" fillId="0" borderId="0" xfId="0" applyNumberFormat="1" applyFont="1" applyAlignment="1">
      <alignment horizontal="center" vertical="center"/>
    </xf>
    <xf numFmtId="164" fontId="4" fillId="7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vertical="center" wrapText="1"/>
    </xf>
    <xf numFmtId="17" fontId="4" fillId="0" borderId="0" xfId="0" applyNumberFormat="1" applyFont="1"/>
    <xf numFmtId="2" fontId="52" fillId="7" borderId="6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wrapText="1"/>
    </xf>
    <xf numFmtId="0" fontId="5" fillId="4" borderId="1" xfId="0" applyFont="1" applyFill="1" applyBorder="1" applyAlignment="1">
      <alignment horizontal="center"/>
    </xf>
    <xf numFmtId="1" fontId="88" fillId="8" borderId="1" xfId="0" applyNumberFormat="1" applyFont="1" applyFill="1" applyBorder="1"/>
    <xf numFmtId="0" fontId="48" fillId="4" borderId="1" xfId="0" applyFont="1" applyFill="1" applyBorder="1" applyAlignment="1">
      <alignment horizontal="center"/>
    </xf>
    <xf numFmtId="1" fontId="48" fillId="4" borderId="1" xfId="0" applyNumberFormat="1" applyFont="1" applyFill="1" applyBorder="1" applyAlignment="1">
      <alignment horizontal="center"/>
    </xf>
    <xf numFmtId="0" fontId="48" fillId="4" borderId="1" xfId="0" applyFont="1" applyFill="1" applyBorder="1" applyAlignment="1">
      <alignment horizontal="center" vertical="center" wrapText="1"/>
    </xf>
    <xf numFmtId="0" fontId="49" fillId="4" borderId="5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9" fillId="4" borderId="5" xfId="0" applyFont="1" applyFill="1" applyBorder="1" applyAlignment="1">
      <alignment vertical="center"/>
    </xf>
    <xf numFmtId="0" fontId="49" fillId="4" borderId="7" xfId="0" applyFont="1" applyFill="1" applyBorder="1" applyAlignment="1">
      <alignment vertical="center"/>
    </xf>
    <xf numFmtId="0" fontId="49" fillId="4" borderId="6" xfId="0" applyFont="1" applyFill="1" applyBorder="1" applyAlignment="1">
      <alignment vertical="center"/>
    </xf>
    <xf numFmtId="0" fontId="5" fillId="4" borderId="0" xfId="0" applyFont="1" applyFill="1" applyAlignment="1">
      <alignment horizontal="center"/>
    </xf>
    <xf numFmtId="0" fontId="6" fillId="4" borderId="1" xfId="0" applyFont="1" applyFill="1" applyBorder="1" applyAlignment="1">
      <alignment horizontal="center"/>
    </xf>
    <xf numFmtId="1" fontId="5" fillId="4" borderId="0" xfId="0" applyNumberFormat="1" applyFont="1" applyFill="1"/>
    <xf numFmtId="1" fontId="5" fillId="4" borderId="0" xfId="0" applyNumberFormat="1" applyFont="1" applyFill="1" applyAlignment="1">
      <alignment horizontal="center"/>
    </xf>
    <xf numFmtId="2" fontId="5" fillId="4" borderId="0" xfId="0" applyNumberFormat="1" applyFont="1" applyFill="1" applyAlignment="1">
      <alignment horizontal="center"/>
    </xf>
    <xf numFmtId="0" fontId="5" fillId="4" borderId="0" xfId="0" applyFont="1" applyFill="1"/>
    <xf numFmtId="1" fontId="102" fillId="4" borderId="0" xfId="0" applyNumberFormat="1" applyFont="1" applyFill="1" applyAlignment="1">
      <alignment horizontal="center"/>
    </xf>
    <xf numFmtId="0" fontId="173" fillId="4" borderId="7" xfId="0" applyFont="1" applyFill="1" applyBorder="1" applyAlignment="1">
      <alignment horizontal="center" vertical="center"/>
    </xf>
    <xf numFmtId="2" fontId="173" fillId="4" borderId="1" xfId="0" applyNumberFormat="1" applyFont="1" applyFill="1" applyBorder="1" applyAlignment="1">
      <alignment horizontal="center" vertical="center"/>
    </xf>
    <xf numFmtId="0" fontId="14" fillId="6" borderId="0" xfId="0" applyFont="1" applyFill="1" applyAlignment="1">
      <alignment horizontal="center"/>
    </xf>
    <xf numFmtId="0" fontId="1" fillId="16" borderId="0" xfId="0" applyFont="1" applyFill="1" applyAlignment="1">
      <alignment horizontal="center"/>
    </xf>
    <xf numFmtId="2" fontId="87" fillId="4" borderId="1" xfId="0" applyNumberFormat="1" applyFont="1" applyFill="1" applyBorder="1" applyAlignment="1">
      <alignment horizontal="center" vertical="center"/>
    </xf>
    <xf numFmtId="2" fontId="49" fillId="4" borderId="1" xfId="0" applyNumberFormat="1" applyFont="1" applyFill="1" applyBorder="1" applyAlignment="1">
      <alignment horizontal="center"/>
    </xf>
    <xf numFmtId="0" fontId="174" fillId="20" borderId="48" xfId="0" applyFont="1" applyFill="1" applyBorder="1" applyAlignment="1">
      <alignment vertical="center" wrapText="1"/>
    </xf>
    <xf numFmtId="0" fontId="175" fillId="20" borderId="7" xfId="0" applyFont="1" applyFill="1" applyBorder="1" applyAlignment="1">
      <alignment horizontal="center" vertical="center"/>
    </xf>
    <xf numFmtId="0" fontId="174" fillId="20" borderId="7" xfId="0" applyFont="1" applyFill="1" applyBorder="1" applyAlignment="1">
      <alignment vertical="center"/>
    </xf>
    <xf numFmtId="2" fontId="175" fillId="20" borderId="1" xfId="0" applyNumberFormat="1" applyFont="1" applyFill="1" applyBorder="1" applyAlignment="1">
      <alignment horizontal="center" vertical="center"/>
    </xf>
    <xf numFmtId="164" fontId="174" fillId="20" borderId="1" xfId="0" applyNumberFormat="1" applyFont="1" applyFill="1" applyBorder="1" applyAlignment="1">
      <alignment horizontal="center"/>
    </xf>
    <xf numFmtId="2" fontId="174" fillId="20" borderId="1" xfId="0" applyNumberFormat="1" applyFont="1" applyFill="1" applyBorder="1" applyAlignment="1">
      <alignment horizontal="center"/>
    </xf>
    <xf numFmtId="2" fontId="174" fillId="20" borderId="1" xfId="0" applyNumberFormat="1" applyFont="1" applyFill="1" applyBorder="1" applyAlignment="1">
      <alignment horizontal="center" wrapText="1"/>
    </xf>
    <xf numFmtId="2" fontId="174" fillId="20" borderId="3" xfId="0" applyNumberFormat="1" applyFont="1" applyFill="1" applyBorder="1" applyAlignment="1">
      <alignment horizontal="center"/>
    </xf>
    <xf numFmtId="0" fontId="102" fillId="0" borderId="4" xfId="0" applyFont="1" applyBorder="1"/>
    <xf numFmtId="0" fontId="102" fillId="0" borderId="0" xfId="0" applyFont="1"/>
    <xf numFmtId="14" fontId="102" fillId="0" borderId="0" xfId="0" applyNumberFormat="1" applyFont="1"/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17" fontId="4" fillId="3" borderId="1" xfId="0" applyNumberFormat="1" applyFont="1" applyFill="1" applyBorder="1" applyAlignment="1">
      <alignment horizontal="center" vertical="center" wrapText="1"/>
    </xf>
    <xf numFmtId="17" fontId="61" fillId="0" borderId="1" xfId="0" applyNumberFormat="1" applyFont="1" applyBorder="1" applyAlignment="1">
      <alignment horizontal="center" vertical="center" wrapText="1"/>
    </xf>
    <xf numFmtId="2" fontId="140" fillId="4" borderId="4" xfId="0" applyNumberFormat="1" applyFont="1" applyFill="1" applyBorder="1" applyAlignment="1">
      <alignment horizontal="center" vertical="center"/>
    </xf>
    <xf numFmtId="2" fontId="78" fillId="7" borderId="1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1" fontId="5" fillId="4" borderId="1" xfId="0" applyNumberFormat="1" applyFont="1" applyFill="1" applyBorder="1"/>
    <xf numFmtId="1" fontId="163" fillId="0" borderId="1" xfId="0" applyNumberFormat="1" applyFont="1" applyBorder="1" applyAlignment="1">
      <alignment horizontal="center"/>
    </xf>
    <xf numFmtId="1" fontId="5" fillId="4" borderId="1" xfId="0" applyNumberFormat="1" applyFont="1" applyFill="1" applyBorder="1" applyAlignment="1">
      <alignment horizontal="center"/>
    </xf>
    <xf numFmtId="2" fontId="5" fillId="4" borderId="1" xfId="0" applyNumberFormat="1" applyFont="1" applyFill="1" applyBorder="1" applyAlignment="1">
      <alignment horizontal="center"/>
    </xf>
    <xf numFmtId="0" fontId="100" fillId="11" borderId="1" xfId="0" applyFont="1" applyFill="1" applyBorder="1" applyAlignment="1">
      <alignment vertical="top" wrapText="1"/>
    </xf>
    <xf numFmtId="1" fontId="102" fillId="4" borderId="1" xfId="0" applyNumberFormat="1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164" fontId="5" fillId="0" borderId="5" xfId="0" applyNumberFormat="1" applyFont="1" applyBorder="1"/>
    <xf numFmtId="0" fontId="102" fillId="0" borderId="1" xfId="0" applyFont="1" applyBorder="1"/>
    <xf numFmtId="14" fontId="102" fillId="0" borderId="1" xfId="0" applyNumberFormat="1" applyFont="1" applyBorder="1"/>
    <xf numFmtId="0" fontId="159" fillId="0" borderId="1" xfId="0" applyFont="1" applyBorder="1"/>
    <xf numFmtId="164" fontId="105" fillId="0" borderId="1" xfId="0" applyNumberFormat="1" applyFont="1" applyBorder="1" applyAlignment="1">
      <alignment horizontal="center"/>
    </xf>
    <xf numFmtId="1" fontId="163" fillId="0" borderId="1" xfId="0" applyNumberFormat="1" applyFont="1" applyBorder="1"/>
    <xf numFmtId="1" fontId="162" fillId="4" borderId="1" xfId="0" applyNumberFormat="1" applyFont="1" applyFill="1" applyBorder="1" applyAlignment="1">
      <alignment horizontal="center"/>
    </xf>
    <xf numFmtId="1" fontId="100" fillId="0" borderId="0" xfId="0" applyNumberFormat="1" applyFont="1" applyAlignment="1">
      <alignment horizontal="center"/>
    </xf>
    <xf numFmtId="1" fontId="100" fillId="11" borderId="66" xfId="0" applyNumberFormat="1" applyFont="1" applyFill="1" applyBorder="1" applyAlignment="1">
      <alignment horizontal="center" vertical="top" wrapText="1"/>
    </xf>
    <xf numFmtId="2" fontId="177" fillId="4" borderId="1" xfId="0" applyNumberFormat="1" applyFont="1" applyFill="1" applyBorder="1" applyAlignment="1">
      <alignment horizontal="center" vertical="center"/>
    </xf>
    <xf numFmtId="2" fontId="178" fillId="0" borderId="1" xfId="0" applyNumberFormat="1" applyFont="1" applyBorder="1" applyAlignment="1">
      <alignment horizontal="center" vertical="center"/>
    </xf>
    <xf numFmtId="0" fontId="163" fillId="0" borderId="2" xfId="0" applyFont="1" applyBorder="1" applyAlignment="1">
      <alignment wrapText="1"/>
    </xf>
    <xf numFmtId="0" fontId="4" fillId="0" borderId="18" xfId="0" applyFont="1" applyBorder="1" applyAlignment="1">
      <alignment horizontal="center" vertical="center"/>
    </xf>
    <xf numFmtId="0" fontId="113" fillId="21" borderId="8" xfId="0" applyFont="1" applyFill="1" applyBorder="1" applyAlignment="1">
      <alignment horizontal="center" vertical="center" wrapText="1"/>
    </xf>
    <xf numFmtId="1" fontId="113" fillId="21" borderId="1" xfId="0" applyNumberFormat="1" applyFont="1" applyFill="1" applyBorder="1" applyAlignment="1">
      <alignment horizontal="center" vertical="center" wrapText="1"/>
    </xf>
    <xf numFmtId="0" fontId="113" fillId="21" borderId="1" xfId="0" applyFont="1" applyFill="1" applyBorder="1" applyAlignment="1">
      <alignment horizontal="center" vertical="center" wrapText="1"/>
    </xf>
    <xf numFmtId="49" fontId="4" fillId="0" borderId="18" xfId="0" applyNumberFormat="1" applyFont="1" applyBorder="1" applyAlignment="1">
      <alignment horizontal="left" vertical="center" wrapText="1"/>
    </xf>
    <xf numFmtId="1" fontId="4" fillId="0" borderId="18" xfId="0" applyNumberFormat="1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  <xf numFmtId="1" fontId="5" fillId="2" borderId="1" xfId="0" applyNumberFormat="1" applyFont="1" applyFill="1" applyBorder="1" applyAlignment="1">
      <alignment horizontal="center"/>
    </xf>
    <xf numFmtId="1" fontId="5" fillId="2" borderId="1" xfId="0" applyNumberFormat="1" applyFont="1" applyFill="1" applyBorder="1" applyAlignment="1">
      <alignment horizontal="center" vertical="center"/>
    </xf>
    <xf numFmtId="2" fontId="175" fillId="20" borderId="1" xfId="0" applyNumberFormat="1" applyFont="1" applyFill="1" applyBorder="1" applyAlignment="1">
      <alignment horizontal="center"/>
    </xf>
    <xf numFmtId="1" fontId="176" fillId="4" borderId="1" xfId="0" applyNumberFormat="1" applyFont="1" applyFill="1" applyBorder="1" applyAlignment="1">
      <alignment horizontal="center"/>
    </xf>
    <xf numFmtId="164" fontId="93" fillId="8" borderId="1" xfId="0" applyNumberFormat="1" applyFont="1" applyFill="1" applyBorder="1" applyAlignment="1">
      <alignment horizontal="center" vertical="center"/>
    </xf>
    <xf numFmtId="2" fontId="49" fillId="3" borderId="1" xfId="0" applyNumberFormat="1" applyFont="1" applyFill="1" applyBorder="1" applyAlignment="1">
      <alignment horizontal="center"/>
    </xf>
    <xf numFmtId="164" fontId="50" fillId="3" borderId="1" xfId="0" applyNumberFormat="1" applyFont="1" applyFill="1" applyBorder="1" applyAlignment="1">
      <alignment horizontal="center"/>
    </xf>
    <xf numFmtId="2" fontId="0" fillId="8" borderId="1" xfId="0" applyNumberFormat="1" applyFill="1" applyBorder="1"/>
    <xf numFmtId="20" fontId="5" fillId="0" borderId="0" xfId="0" applyNumberFormat="1" applyFont="1" applyAlignment="1">
      <alignment horizontal="center"/>
    </xf>
    <xf numFmtId="1" fontId="93" fillId="8" borderId="1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" fontId="5" fillId="0" borderId="2" xfId="0" applyNumberFormat="1" applyFont="1" applyBorder="1" applyAlignment="1">
      <alignment horizontal="center" vertical="center"/>
    </xf>
    <xf numFmtId="0" fontId="5" fillId="0" borderId="2" xfId="0" applyFont="1" applyBorder="1"/>
    <xf numFmtId="0" fontId="148" fillId="14" borderId="106" xfId="0" applyFont="1" applyFill="1" applyBorder="1" applyAlignment="1">
      <alignment vertical="top" wrapText="1"/>
    </xf>
    <xf numFmtId="0" fontId="100" fillId="14" borderId="2" xfId="0" applyFont="1" applyFill="1" applyBorder="1" applyAlignment="1">
      <alignment vertical="top" wrapText="1"/>
    </xf>
    <xf numFmtId="0" fontId="100" fillId="0" borderId="2" xfId="0" applyFont="1" applyBorder="1"/>
    <xf numFmtId="0" fontId="100" fillId="11" borderId="2" xfId="0" applyFont="1" applyFill="1" applyBorder="1" applyAlignment="1">
      <alignment vertical="top" wrapText="1"/>
    </xf>
    <xf numFmtId="1" fontId="102" fillId="0" borderId="2" xfId="0" applyNumberFormat="1" applyFont="1" applyBorder="1" applyAlignment="1">
      <alignment horizontal="center"/>
    </xf>
    <xf numFmtId="1" fontId="88" fillId="0" borderId="1" xfId="0" applyNumberFormat="1" applyFont="1" applyBorder="1"/>
    <xf numFmtId="1" fontId="88" fillId="14" borderId="1" xfId="0" applyNumberFormat="1" applyFont="1" applyFill="1" applyBorder="1" applyAlignment="1">
      <alignment vertical="top" wrapText="1"/>
    </xf>
    <xf numFmtId="1" fontId="100" fillId="0" borderId="1" xfId="0" applyNumberFormat="1" applyFont="1" applyBorder="1" applyAlignment="1">
      <alignment horizontal="center"/>
    </xf>
    <xf numFmtId="1" fontId="100" fillId="11" borderId="1" xfId="0" applyNumberFormat="1" applyFont="1" applyFill="1" applyBorder="1" applyAlignment="1">
      <alignment horizontal="center" vertical="top" wrapText="1"/>
    </xf>
    <xf numFmtId="2" fontId="1" fillId="0" borderId="18" xfId="0" applyNumberFormat="1" applyFont="1" applyBorder="1"/>
    <xf numFmtId="164" fontId="39" fillId="0" borderId="1" xfId="0" applyNumberFormat="1" applyFont="1" applyBorder="1"/>
    <xf numFmtId="0" fontId="113" fillId="21" borderId="5" xfId="0" applyFont="1" applyFill="1" applyBorder="1" applyAlignment="1">
      <alignment horizontal="center" vertical="center" wrapText="1"/>
    </xf>
    <xf numFmtId="164" fontId="112" fillId="0" borderId="6" xfId="0" applyNumberFormat="1" applyFont="1" applyBorder="1" applyAlignment="1">
      <alignment horizontal="center" vertical="center"/>
    </xf>
    <xf numFmtId="2" fontId="107" fillId="0" borderId="2" xfId="0" applyNumberFormat="1" applyFont="1" applyBorder="1" applyAlignment="1">
      <alignment horizontal="center" vertical="center"/>
    </xf>
    <xf numFmtId="2" fontId="152" fillId="20" borderId="1" xfId="0" applyNumberFormat="1" applyFont="1" applyFill="1" applyBorder="1" applyAlignment="1">
      <alignment horizontal="center"/>
    </xf>
    <xf numFmtId="0" fontId="39" fillId="0" borderId="1" xfId="0" applyFont="1" applyBorder="1" applyAlignment="1">
      <alignment wrapText="1"/>
    </xf>
    <xf numFmtId="165" fontId="39" fillId="0" borderId="1" xfId="0" applyNumberFormat="1" applyFont="1" applyBorder="1"/>
    <xf numFmtId="2" fontId="0" fillId="0" borderId="0" xfId="0" applyNumberFormat="1" applyAlignment="1">
      <alignment vertical="center"/>
    </xf>
    <xf numFmtId="165" fontId="1" fillId="0" borderId="0" xfId="0" applyNumberFormat="1" applyFont="1"/>
    <xf numFmtId="2" fontId="179" fillId="4" borderId="1" xfId="0" applyNumberFormat="1" applyFont="1" applyFill="1" applyBorder="1" applyAlignment="1">
      <alignment horizontal="center" vertical="center"/>
    </xf>
    <xf numFmtId="164" fontId="39" fillId="0" borderId="0" xfId="0" applyNumberFormat="1" applyFont="1"/>
    <xf numFmtId="49" fontId="4" fillId="0" borderId="1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9" fillId="7" borderId="1" xfId="0" applyFont="1" applyFill="1" applyBorder="1" applyAlignment="1">
      <alignment horizontal="left" vertical="center" wrapText="1"/>
    </xf>
    <xf numFmtId="0" fontId="155" fillId="20" borderId="48" xfId="0" applyFont="1" applyFill="1" applyBorder="1" applyAlignment="1">
      <alignment vertical="center" wrapText="1"/>
    </xf>
    <xf numFmtId="0" fontId="180" fillId="20" borderId="7" xfId="0" applyFont="1" applyFill="1" applyBorder="1" applyAlignment="1">
      <alignment horizontal="center" vertical="center"/>
    </xf>
    <xf numFmtId="0" fontId="155" fillId="20" borderId="7" xfId="0" applyFont="1" applyFill="1" applyBorder="1" applyAlignment="1">
      <alignment vertical="center"/>
    </xf>
    <xf numFmtId="2" fontId="180" fillId="20" borderId="1" xfId="0" applyNumberFormat="1" applyFont="1" applyFill="1" applyBorder="1" applyAlignment="1">
      <alignment horizontal="center" vertical="center"/>
    </xf>
    <xf numFmtId="164" fontId="155" fillId="20" borderId="1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2" fontId="155" fillId="20" borderId="1" xfId="0" applyNumberFormat="1" applyFont="1" applyFill="1" applyBorder="1" applyAlignment="1">
      <alignment horizontal="center"/>
    </xf>
    <xf numFmtId="2" fontId="180" fillId="20" borderId="1" xfId="0" applyNumberFormat="1" applyFont="1" applyFill="1" applyBorder="1" applyAlignment="1">
      <alignment horizontal="center"/>
    </xf>
    <xf numFmtId="2" fontId="155" fillId="20" borderId="1" xfId="0" applyNumberFormat="1" applyFont="1" applyFill="1" applyBorder="1" applyAlignment="1">
      <alignment horizontal="center" wrapText="1"/>
    </xf>
    <xf numFmtId="2" fontId="155" fillId="20" borderId="3" xfId="0" applyNumberFormat="1" applyFont="1" applyFill="1" applyBorder="1" applyAlignment="1">
      <alignment horizontal="center"/>
    </xf>
    <xf numFmtId="0" fontId="5" fillId="0" borderId="4" xfId="0" applyFont="1" applyBorder="1"/>
    <xf numFmtId="0" fontId="49" fillId="7" borderId="1" xfId="0" applyFont="1" applyFill="1" applyBorder="1" applyAlignment="1">
      <alignment horizontal="center" vertical="center" wrapText="1"/>
    </xf>
    <xf numFmtId="17" fontId="142" fillId="7" borderId="1" xfId="0" applyNumberFormat="1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left" vertical="center" wrapText="1"/>
    </xf>
    <xf numFmtId="17" fontId="4" fillId="7" borderId="1" xfId="0" applyNumberFormat="1" applyFont="1" applyFill="1" applyBorder="1" applyAlignment="1">
      <alignment horizontal="center" vertical="center" wrapText="1"/>
    </xf>
    <xf numFmtId="0" fontId="181" fillId="2" borderId="1" xfId="0" applyFont="1" applyFill="1" applyBorder="1" applyAlignment="1">
      <alignment horizontal="center" vertical="center"/>
    </xf>
    <xf numFmtId="164" fontId="78" fillId="4" borderId="1" xfId="0" applyNumberFormat="1" applyFont="1" applyFill="1" applyBorder="1" applyAlignment="1">
      <alignment horizontal="center" vertical="center"/>
    </xf>
    <xf numFmtId="0" fontId="182" fillId="0" borderId="0" xfId="0" applyFont="1"/>
    <xf numFmtId="0" fontId="182" fillId="14" borderId="66" xfId="0" applyFont="1" applyFill="1" applyBorder="1" applyAlignment="1">
      <alignment vertical="top" wrapText="1"/>
    </xf>
    <xf numFmtId="0" fontId="182" fillId="11" borderId="66" xfId="0" applyFont="1" applyFill="1" applyBorder="1" applyAlignment="1">
      <alignment vertical="top" wrapText="1"/>
    </xf>
    <xf numFmtId="1" fontId="6" fillId="0" borderId="1" xfId="0" applyNumberFormat="1" applyFont="1" applyBorder="1" applyAlignment="1">
      <alignment horizontal="center" vertical="center"/>
    </xf>
    <xf numFmtId="1" fontId="161" fillId="4" borderId="1" xfId="0" applyNumberFormat="1" applyFont="1" applyFill="1" applyBorder="1" applyAlignment="1">
      <alignment horizontal="center"/>
    </xf>
    <xf numFmtId="1" fontId="161" fillId="0" borderId="1" xfId="0" applyNumberFormat="1" applyFont="1" applyBorder="1" applyAlignment="1">
      <alignment horizontal="center"/>
    </xf>
    <xf numFmtId="1" fontId="6" fillId="4" borderId="1" xfId="0" applyNumberFormat="1" applyFont="1" applyFill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2" fontId="183" fillId="0" borderId="0" xfId="0" applyNumberFormat="1" applyFont="1"/>
    <xf numFmtId="1" fontId="5" fillId="0" borderId="2" xfId="0" applyNumberFormat="1" applyFont="1" applyBorder="1" applyAlignment="1">
      <alignment horizontal="center"/>
    </xf>
    <xf numFmtId="0" fontId="184" fillId="0" borderId="1" xfId="0" applyFont="1" applyBorder="1" applyAlignment="1">
      <alignment horizontal="center" vertical="center"/>
    </xf>
    <xf numFmtId="2" fontId="185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184" fillId="0" borderId="1" xfId="0" applyNumberFormat="1" applyFont="1" applyBorder="1" applyAlignment="1">
      <alignment horizontal="center" vertical="center"/>
    </xf>
    <xf numFmtId="0" fontId="185" fillId="0" borderId="1" xfId="0" applyFont="1" applyBorder="1" applyAlignment="1">
      <alignment horizontal="center" vertical="center"/>
    </xf>
    <xf numFmtId="164" fontId="185" fillId="0" borderId="1" xfId="0" applyNumberFormat="1" applyFont="1" applyBorder="1" applyAlignment="1">
      <alignment horizontal="center" vertical="center"/>
    </xf>
    <xf numFmtId="0" fontId="1" fillId="0" borderId="34" xfId="0" applyFont="1" applyBorder="1"/>
    <xf numFmtId="0" fontId="1" fillId="0" borderId="35" xfId="0" applyFont="1" applyBorder="1"/>
    <xf numFmtId="2" fontId="0" fillId="0" borderId="6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 vertical="center"/>
    </xf>
    <xf numFmtId="164" fontId="0" fillId="0" borderId="52" xfId="0" applyNumberFormat="1" applyBorder="1" applyAlignment="1">
      <alignment horizontal="center" vertical="center"/>
    </xf>
    <xf numFmtId="2" fontId="0" fillId="0" borderId="52" xfId="0" applyNumberFormat="1" applyBorder="1" applyAlignment="1">
      <alignment horizontal="center" vertical="center"/>
    </xf>
    <xf numFmtId="0" fontId="0" fillId="0" borderId="8" xfId="0" applyBorder="1"/>
    <xf numFmtId="164" fontId="0" fillId="0" borderId="5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0" fontId="1" fillId="0" borderId="75" xfId="0" applyFont="1" applyBorder="1"/>
    <xf numFmtId="0" fontId="1" fillId="0" borderId="93" xfId="0" applyFont="1" applyBorder="1"/>
    <xf numFmtId="2" fontId="0" fillId="0" borderId="51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33" xfId="0" applyNumberFormat="1" applyBorder="1" applyAlignment="1">
      <alignment horizontal="center"/>
    </xf>
    <xf numFmtId="164" fontId="0" fillId="0" borderId="33" xfId="0" applyNumberFormat="1" applyBorder="1" applyAlignment="1">
      <alignment horizontal="center"/>
    </xf>
    <xf numFmtId="2" fontId="0" fillId="0" borderId="33" xfId="0" applyNumberFormat="1" applyBorder="1" applyAlignment="1">
      <alignment horizontal="center" vertical="center"/>
    </xf>
    <xf numFmtId="0" fontId="0" fillId="0" borderId="53" xfId="0" applyBorder="1"/>
    <xf numFmtId="0" fontId="0" fillId="0" borderId="38" xfId="0" applyBorder="1"/>
    <xf numFmtId="0" fontId="0" fillId="0" borderId="56" xfId="0" applyBorder="1"/>
    <xf numFmtId="2" fontId="0" fillId="0" borderId="57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6" fillId="0" borderId="0" xfId="0" applyNumberFormat="1" applyFont="1" applyAlignment="1">
      <alignment horizontal="center" vertical="center"/>
    </xf>
    <xf numFmtId="0" fontId="5" fillId="0" borderId="6" xfId="0" applyFont="1" applyBorder="1" applyAlignment="1">
      <alignment horizontal="center"/>
    </xf>
    <xf numFmtId="1" fontId="5" fillId="0" borderId="6" xfId="0" applyNumberFormat="1" applyFont="1" applyBorder="1" applyAlignment="1">
      <alignment horizontal="center"/>
    </xf>
    <xf numFmtId="0" fontId="6" fillId="0" borderId="6" xfId="0" applyFont="1" applyBorder="1"/>
    <xf numFmtId="1" fontId="122" fillId="2" borderId="1" xfId="0" applyNumberFormat="1" applyFont="1" applyFill="1" applyBorder="1"/>
    <xf numFmtId="2" fontId="186" fillId="0" borderId="52" xfId="0" applyNumberFormat="1" applyFont="1" applyBorder="1" applyAlignment="1">
      <alignment horizontal="center" vertical="center"/>
    </xf>
    <xf numFmtId="164" fontId="186" fillId="0" borderId="52" xfId="0" applyNumberFormat="1" applyFont="1" applyBorder="1" applyAlignment="1">
      <alignment horizontal="center" vertical="center"/>
    </xf>
    <xf numFmtId="2" fontId="186" fillId="0" borderId="6" xfId="0" applyNumberFormat="1" applyFont="1" applyBorder="1" applyAlignment="1">
      <alignment horizontal="center" vertical="center"/>
    </xf>
    <xf numFmtId="0" fontId="123" fillId="0" borderId="75" xfId="0" applyFont="1" applyBorder="1"/>
    <xf numFmtId="0" fontId="123" fillId="0" borderId="35" xfId="0" applyFont="1" applyBorder="1"/>
    <xf numFmtId="0" fontId="123" fillId="0" borderId="36" xfId="0" applyFont="1" applyBorder="1"/>
    <xf numFmtId="2" fontId="186" fillId="0" borderId="1" xfId="0" applyNumberFormat="1" applyFont="1" applyBorder="1" applyAlignment="1">
      <alignment horizontal="center" vertical="center"/>
    </xf>
    <xf numFmtId="2" fontId="186" fillId="0" borderId="33" xfId="0" applyNumberFormat="1" applyFont="1" applyBorder="1" applyAlignment="1">
      <alignment horizontal="center" vertical="center"/>
    </xf>
    <xf numFmtId="2" fontId="186" fillId="0" borderId="52" xfId="0" applyNumberFormat="1" applyFont="1" applyBorder="1" applyAlignment="1">
      <alignment horizontal="center"/>
    </xf>
    <xf numFmtId="2" fontId="186" fillId="0" borderId="33" xfId="0" applyNumberFormat="1" applyFont="1" applyBorder="1" applyAlignment="1">
      <alignment horizontal="center"/>
    </xf>
    <xf numFmtId="164" fontId="186" fillId="0" borderId="52" xfId="0" applyNumberFormat="1" applyFont="1" applyBorder="1" applyAlignment="1">
      <alignment horizontal="center"/>
    </xf>
    <xf numFmtId="164" fontId="186" fillId="0" borderId="33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4" xfId="0" applyFont="1" applyBorder="1"/>
    <xf numFmtId="1" fontId="102" fillId="0" borderId="4" xfId="0" applyNumberFormat="1" applyFont="1" applyBorder="1" applyAlignment="1">
      <alignment horizontal="center"/>
    </xf>
    <xf numFmtId="0" fontId="60" fillId="0" borderId="1" xfId="0" applyFont="1" applyBorder="1"/>
    <xf numFmtId="1" fontId="4" fillId="0" borderId="2" xfId="0" applyNumberFormat="1" applyFont="1" applyBorder="1" applyAlignment="1">
      <alignment horizontal="center" vertical="center"/>
    </xf>
    <xf numFmtId="0" fontId="4" fillId="0" borderId="2" xfId="0" applyFont="1" applyBorder="1"/>
    <xf numFmtId="1" fontId="5" fillId="4" borderId="6" xfId="0" applyNumberFormat="1" applyFont="1" applyFill="1" applyBorder="1"/>
    <xf numFmtId="1" fontId="5" fillId="0" borderId="6" xfId="0" applyNumberFormat="1" applyFont="1" applyBorder="1" applyAlignment="1">
      <alignment horizontal="center" vertical="center"/>
    </xf>
    <xf numFmtId="0" fontId="100" fillId="11" borderId="6" xfId="0" applyFont="1" applyFill="1" applyBorder="1" applyAlignment="1">
      <alignment vertical="top" wrapText="1"/>
    </xf>
    <xf numFmtId="0" fontId="100" fillId="0" borderId="6" xfId="0" applyFont="1" applyBorder="1"/>
    <xf numFmtId="0" fontId="5" fillId="2" borderId="1" xfId="0" applyFont="1" applyFill="1" applyBorder="1" applyAlignment="1">
      <alignment horizontal="center"/>
    </xf>
    <xf numFmtId="1" fontId="5" fillId="0" borderId="4" xfId="0" applyNumberFormat="1" applyFont="1" applyBorder="1" applyAlignment="1">
      <alignment horizontal="center"/>
    </xf>
    <xf numFmtId="165" fontId="137" fillId="0" borderId="1" xfId="0" applyNumberFormat="1" applyFont="1" applyBorder="1" applyAlignment="1">
      <alignment horizontal="center"/>
    </xf>
    <xf numFmtId="0" fontId="48" fillId="0" borderId="3" xfId="0" applyFont="1" applyBorder="1" applyAlignment="1">
      <alignment horizontal="left"/>
    </xf>
    <xf numFmtId="164" fontId="13" fillId="0" borderId="6" xfId="0" applyNumberFormat="1" applyFont="1" applyBorder="1" applyAlignment="1">
      <alignment horizontal="center" vertical="center"/>
    </xf>
    <xf numFmtId="164" fontId="13" fillId="0" borderId="52" xfId="0" applyNumberFormat="1" applyFont="1" applyBorder="1" applyAlignment="1">
      <alignment horizontal="center" vertical="center"/>
    </xf>
    <xf numFmtId="164" fontId="13" fillId="0" borderId="7" xfId="0" applyNumberFormat="1" applyFont="1" applyBorder="1" applyAlignment="1">
      <alignment horizontal="center" vertical="center"/>
    </xf>
    <xf numFmtId="164" fontId="13" fillId="0" borderId="80" xfId="0" applyNumberFormat="1" applyFont="1" applyBorder="1" applyAlignment="1">
      <alignment horizontal="center" vertical="center"/>
    </xf>
    <xf numFmtId="2" fontId="13" fillId="0" borderId="6" xfId="0" applyNumberFormat="1" applyFont="1" applyBorder="1" applyAlignment="1">
      <alignment horizontal="center" vertical="center"/>
    </xf>
    <xf numFmtId="2" fontId="13" fillId="0" borderId="52" xfId="0" applyNumberFormat="1" applyFont="1" applyBorder="1" applyAlignment="1">
      <alignment horizontal="center" vertical="center"/>
    </xf>
    <xf numFmtId="2" fontId="13" fillId="0" borderId="7" xfId="0" applyNumberFormat="1" applyFont="1" applyBorder="1" applyAlignment="1">
      <alignment horizontal="center" vertical="center"/>
    </xf>
    <xf numFmtId="2" fontId="13" fillId="0" borderId="80" xfId="0" applyNumberFormat="1" applyFont="1" applyBorder="1" applyAlignment="1">
      <alignment horizontal="center" vertical="center"/>
    </xf>
    <xf numFmtId="2" fontId="13" fillId="0" borderId="33" xfId="0" applyNumberFormat="1" applyFont="1" applyBorder="1" applyAlignment="1">
      <alignment horizontal="center"/>
    </xf>
    <xf numFmtId="2" fontId="13" fillId="0" borderId="99" xfId="0" applyNumberFormat="1" applyFont="1" applyBorder="1" applyAlignment="1">
      <alignment horizontal="center"/>
    </xf>
    <xf numFmtId="164" fontId="13" fillId="0" borderId="33" xfId="0" applyNumberFormat="1" applyFont="1" applyBorder="1" applyAlignment="1">
      <alignment horizontal="center"/>
    </xf>
    <xf numFmtId="164" fontId="13" fillId="0" borderId="99" xfId="0" applyNumberFormat="1" applyFont="1" applyBorder="1" applyAlignment="1">
      <alignment horizontal="center"/>
    </xf>
    <xf numFmtId="2" fontId="13" fillId="0" borderId="1" xfId="0" applyNumberFormat="1" applyFont="1" applyBorder="1" applyAlignment="1">
      <alignment horizontal="center" vertical="center"/>
    </xf>
    <xf numFmtId="2" fontId="13" fillId="0" borderId="33" xfId="0" applyNumberFormat="1" applyFont="1" applyBorder="1" applyAlignment="1">
      <alignment horizontal="center" vertical="center"/>
    </xf>
    <xf numFmtId="2" fontId="13" fillId="0" borderId="5" xfId="0" applyNumberFormat="1" applyFont="1" applyBorder="1" applyAlignment="1">
      <alignment horizontal="center" vertical="center"/>
    </xf>
    <xf numFmtId="2" fontId="13" fillId="0" borderId="99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164" fontId="0" fillId="0" borderId="32" xfId="0" applyNumberFormat="1" applyBorder="1" applyAlignment="1">
      <alignment horizontal="center"/>
    </xf>
    <xf numFmtId="0" fontId="123" fillId="0" borderId="72" xfId="0" applyFont="1" applyBorder="1"/>
    <xf numFmtId="164" fontId="186" fillId="0" borderId="12" xfId="0" applyNumberFormat="1" applyFont="1" applyBorder="1" applyAlignment="1">
      <alignment horizontal="center"/>
    </xf>
    <xf numFmtId="164" fontId="186" fillId="0" borderId="2" xfId="0" applyNumberFormat="1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13" fillId="0" borderId="2" xfId="0" applyNumberFormat="1" applyFont="1" applyBorder="1" applyAlignment="1">
      <alignment horizontal="center"/>
    </xf>
    <xf numFmtId="164" fontId="13" fillId="0" borderId="8" xfId="0" applyNumberFormat="1" applyFont="1" applyBorder="1" applyAlignment="1">
      <alignment horizontal="center"/>
    </xf>
    <xf numFmtId="0" fontId="1" fillId="0" borderId="79" xfId="0" applyFont="1" applyBorder="1"/>
    <xf numFmtId="164" fontId="0" fillId="0" borderId="1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" fontId="186" fillId="0" borderId="6" xfId="0" applyNumberFormat="1" applyFon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186" fillId="0" borderId="52" xfId="0" applyNumberFormat="1" applyFont="1" applyBorder="1" applyAlignment="1">
      <alignment horizontal="center" vertical="center"/>
    </xf>
    <xf numFmtId="1" fontId="0" fillId="0" borderId="52" xfId="0" applyNumberFormat="1" applyBorder="1" applyAlignment="1">
      <alignment horizontal="center" vertical="center"/>
    </xf>
    <xf numFmtId="0" fontId="1" fillId="0" borderId="5" xfId="0" applyFont="1" applyBorder="1"/>
    <xf numFmtId="1" fontId="60" fillId="0" borderId="1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49" fontId="4" fillId="0" borderId="18" xfId="0" applyNumberFormat="1" applyFont="1" applyBorder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0" fontId="136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1" fontId="187" fillId="0" borderId="1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7" fontId="4" fillId="0" borderId="0" xfId="0" applyNumberFormat="1" applyFont="1"/>
    <xf numFmtId="1" fontId="5" fillId="0" borderId="18" xfId="0" applyNumberFormat="1" applyFont="1" applyBorder="1" applyAlignment="1">
      <alignment horizontal="center" vertical="center"/>
    </xf>
    <xf numFmtId="1" fontId="139" fillId="0" borderId="1" xfId="0" applyNumberFormat="1" applyFont="1" applyBorder="1" applyAlignment="1">
      <alignment horizontal="center" vertical="center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78" xfId="0" applyFont="1" applyBorder="1" applyAlignment="1">
      <alignment horizontal="center"/>
    </xf>
    <xf numFmtId="0" fontId="1" fillId="0" borderId="32" xfId="0" applyFont="1" applyBorder="1"/>
    <xf numFmtId="0" fontId="123" fillId="0" borderId="33" xfId="0" applyFont="1" applyBorder="1"/>
    <xf numFmtId="1" fontId="4" fillId="7" borderId="2" xfId="0" applyNumberFormat="1" applyFont="1" applyFill="1" applyBorder="1" applyAlignment="1">
      <alignment horizontal="center" vertical="center"/>
    </xf>
    <xf numFmtId="0" fontId="4" fillId="7" borderId="2" xfId="0" applyFont="1" applyFill="1" applyBorder="1" applyAlignment="1">
      <alignment vertical="center"/>
    </xf>
    <xf numFmtId="2" fontId="189" fillId="4" borderId="1" xfId="0" applyNumberFormat="1" applyFont="1" applyFill="1" applyBorder="1" applyAlignment="1">
      <alignment horizontal="center" vertical="center"/>
    </xf>
    <xf numFmtId="2" fontId="9" fillId="4" borderId="4" xfId="0" applyNumberFormat="1" applyFont="1" applyFill="1" applyBorder="1" applyAlignment="1">
      <alignment horizontal="center" vertical="center"/>
    </xf>
    <xf numFmtId="2" fontId="4" fillId="4" borderId="1" xfId="0" applyNumberFormat="1" applyFont="1" applyFill="1" applyBorder="1" applyAlignment="1">
      <alignment horizontal="center" vertical="center"/>
    </xf>
    <xf numFmtId="164" fontId="9" fillId="4" borderId="1" xfId="0" applyNumberFormat="1" applyFont="1" applyFill="1" applyBorder="1" applyAlignment="1">
      <alignment horizontal="center" vertical="center"/>
    </xf>
    <xf numFmtId="0" fontId="4" fillId="0" borderId="12" xfId="0" applyFont="1" applyBorder="1" applyAlignment="1">
      <alignment vertical="center"/>
    </xf>
    <xf numFmtId="2" fontId="180" fillId="20" borderId="6" xfId="0" applyNumberFormat="1" applyFont="1" applyFill="1" applyBorder="1" applyAlignment="1">
      <alignment horizontal="center" vertical="center"/>
    </xf>
    <xf numFmtId="1" fontId="4" fillId="7" borderId="1" xfId="0" applyNumberFormat="1" applyFont="1" applyFill="1" applyBorder="1" applyAlignment="1">
      <alignment horizontal="center" vertical="center"/>
    </xf>
    <xf numFmtId="0" fontId="4" fillId="7" borderId="2" xfId="0" applyFont="1" applyFill="1" applyBorder="1" applyAlignment="1">
      <alignment vertical="center" wrapText="1"/>
    </xf>
    <xf numFmtId="2" fontId="180" fillId="20" borderId="1" xfId="0" applyNumberFormat="1" applyFont="1" applyFill="1" applyBorder="1" applyAlignment="1">
      <alignment horizontal="center" vertical="center" wrapText="1"/>
    </xf>
    <xf numFmtId="2" fontId="190" fillId="4" borderId="1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2" fontId="4" fillId="7" borderId="1" xfId="0" applyNumberFormat="1" applyFont="1" applyFill="1" applyBorder="1" applyAlignment="1">
      <alignment horizontal="center" vertical="center"/>
    </xf>
    <xf numFmtId="164" fontId="9" fillId="7" borderId="1" xfId="0" applyNumberFormat="1" applyFont="1" applyFill="1" applyBorder="1" applyAlignment="1">
      <alignment horizontal="center" vertical="center"/>
    </xf>
    <xf numFmtId="2" fontId="191" fillId="0" borderId="1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2" fontId="9" fillId="4" borderId="1" xfId="0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2" fontId="4" fillId="0" borderId="5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left"/>
    </xf>
    <xf numFmtId="164" fontId="192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vertical="center" wrapText="1"/>
    </xf>
    <xf numFmtId="1" fontId="4" fillId="0" borderId="5" xfId="0" applyNumberFormat="1" applyFont="1" applyBorder="1" applyAlignment="1">
      <alignment horizontal="center" vertical="center" wrapText="1"/>
    </xf>
    <xf numFmtId="164" fontId="4" fillId="0" borderId="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2" fontId="4" fillId="4" borderId="1" xfId="0" applyNumberFormat="1" applyFont="1" applyFill="1" applyBorder="1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8" fillId="0" borderId="1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/>
    </xf>
    <xf numFmtId="0" fontId="193" fillId="0" borderId="1" xfId="0" applyFont="1" applyBorder="1" applyAlignment="1">
      <alignment horizontal="center" vertical="center"/>
    </xf>
    <xf numFmtId="1" fontId="193" fillId="0" borderId="1" xfId="0" applyNumberFormat="1" applyFont="1" applyBorder="1" applyAlignment="1">
      <alignment horizontal="center" vertical="center"/>
    </xf>
    <xf numFmtId="164" fontId="193" fillId="0" borderId="1" xfId="0" applyNumberFormat="1" applyFont="1" applyBorder="1" applyAlignment="1">
      <alignment horizontal="center" vertical="center"/>
    </xf>
    <xf numFmtId="2" fontId="193" fillId="0" borderId="1" xfId="0" applyNumberFormat="1" applyFont="1" applyBorder="1" applyAlignment="1">
      <alignment horizontal="center" vertical="center"/>
    </xf>
    <xf numFmtId="0" fontId="68" fillId="0" borderId="1" xfId="0" applyFont="1" applyBorder="1" applyAlignment="1">
      <alignment horizontal="center" wrapText="1"/>
    </xf>
    <xf numFmtId="2" fontId="68" fillId="0" borderId="1" xfId="0" applyNumberFormat="1" applyFont="1" applyBorder="1" applyAlignment="1">
      <alignment horizontal="center" vertical="center"/>
    </xf>
    <xf numFmtId="1" fontId="68" fillId="0" borderId="1" xfId="0" applyNumberFormat="1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2" fontId="36" fillId="0" borderId="1" xfId="0" applyNumberFormat="1" applyFont="1" applyBorder="1" applyAlignment="1">
      <alignment horizontal="center" vertical="center"/>
    </xf>
    <xf numFmtId="2" fontId="14" fillId="0" borderId="1" xfId="0" applyNumberFormat="1" applyFont="1" applyBorder="1" applyAlignment="1">
      <alignment horizontal="center" vertical="center"/>
    </xf>
    <xf numFmtId="164" fontId="36" fillId="0" borderId="1" xfId="0" applyNumberFormat="1" applyFont="1" applyBorder="1" applyAlignment="1">
      <alignment horizontal="center" vertical="center"/>
    </xf>
    <xf numFmtId="1" fontId="36" fillId="0" borderId="1" xfId="0" applyNumberFormat="1" applyFont="1" applyBorder="1" applyAlignment="1">
      <alignment horizontal="center" vertical="center"/>
    </xf>
    <xf numFmtId="1" fontId="88" fillId="4" borderId="1" xfId="0" applyNumberFormat="1" applyFont="1" applyFill="1" applyBorder="1" applyAlignment="1">
      <alignment vertical="top" wrapText="1"/>
    </xf>
    <xf numFmtId="164" fontId="195" fillId="0" borderId="1" xfId="0" applyNumberFormat="1" applyFont="1" applyBorder="1" applyAlignment="1">
      <alignment horizontal="center"/>
    </xf>
    <xf numFmtId="0" fontId="195" fillId="0" borderId="0" xfId="0" applyFont="1" applyAlignment="1">
      <alignment horizontal="center"/>
    </xf>
    <xf numFmtId="17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" fontId="1" fillId="0" borderId="52" xfId="0" applyNumberFormat="1" applyFont="1" applyBorder="1" applyAlignment="1">
      <alignment horizontal="center" vertical="center"/>
    </xf>
    <xf numFmtId="2" fontId="1" fillId="0" borderId="52" xfId="0" applyNumberFormat="1" applyFont="1" applyBorder="1" applyAlignment="1">
      <alignment horizontal="center" vertical="center"/>
    </xf>
    <xf numFmtId="164" fontId="1" fillId="0" borderId="52" xfId="0" applyNumberFormat="1" applyFont="1" applyBorder="1" applyAlignment="1">
      <alignment horizontal="center" vertical="center"/>
    </xf>
    <xf numFmtId="0" fontId="1" fillId="0" borderId="38" xfId="0" applyFont="1" applyBorder="1"/>
    <xf numFmtId="2" fontId="1" fillId="0" borderId="32" xfId="0" applyNumberFormat="1" applyFont="1" applyBorder="1" applyAlignment="1">
      <alignment horizontal="center"/>
    </xf>
    <xf numFmtId="2" fontId="1" fillId="0" borderId="33" xfId="0" applyNumberFormat="1" applyFont="1" applyBorder="1" applyAlignment="1">
      <alignment horizontal="center"/>
    </xf>
    <xf numFmtId="0" fontId="1" fillId="0" borderId="57" xfId="0" applyFont="1" applyBorder="1"/>
    <xf numFmtId="0" fontId="1" fillId="3" borderId="58" xfId="0" applyFont="1" applyFill="1" applyBorder="1"/>
    <xf numFmtId="2" fontId="1" fillId="3" borderId="58" xfId="0" applyNumberFormat="1" applyFont="1" applyFill="1" applyBorder="1" applyAlignment="1">
      <alignment horizontal="center" vertical="center"/>
    </xf>
    <xf numFmtId="2" fontId="1" fillId="3" borderId="59" xfId="0" applyNumberFormat="1" applyFont="1" applyFill="1" applyBorder="1" applyAlignment="1">
      <alignment horizontal="center" vertical="center"/>
    </xf>
    <xf numFmtId="2" fontId="13" fillId="3" borderId="59" xfId="0" applyNumberFormat="1" applyFont="1" applyFill="1" applyBorder="1" applyAlignment="1">
      <alignment horizontal="center"/>
    </xf>
    <xf numFmtId="164" fontId="1" fillId="3" borderId="59" xfId="0" applyNumberFormat="1" applyFont="1" applyFill="1" applyBorder="1" applyAlignment="1">
      <alignment horizontal="center" vertical="center"/>
    </xf>
    <xf numFmtId="164" fontId="13" fillId="3" borderId="107" xfId="0" applyNumberFormat="1" applyFont="1" applyFill="1" applyBorder="1" applyAlignment="1">
      <alignment horizontal="center"/>
    </xf>
    <xf numFmtId="164" fontId="186" fillId="3" borderId="93" xfId="0" applyNumberFormat="1" applyFont="1" applyFill="1" applyBorder="1" applyAlignment="1">
      <alignment horizontal="center"/>
    </xf>
    <xf numFmtId="2" fontId="1" fillId="3" borderId="92" xfId="0" applyNumberFormat="1" applyFont="1" applyFill="1" applyBorder="1" applyAlignment="1">
      <alignment horizontal="center" vertical="center"/>
    </xf>
    <xf numFmtId="164" fontId="13" fillId="3" borderId="60" xfId="0" applyNumberFormat="1" applyFont="1" applyFill="1" applyBorder="1" applyAlignment="1">
      <alignment horizontal="center"/>
    </xf>
    <xf numFmtId="2" fontId="1" fillId="3" borderId="100" xfId="0" applyNumberFormat="1" applyFont="1" applyFill="1" applyBorder="1" applyAlignment="1">
      <alignment horizontal="center" vertical="center"/>
    </xf>
    <xf numFmtId="2" fontId="0" fillId="3" borderId="59" xfId="0" applyNumberFormat="1" applyFill="1" applyBorder="1" applyAlignment="1">
      <alignment horizontal="center" vertical="center"/>
    </xf>
    <xf numFmtId="2" fontId="13" fillId="3" borderId="59" xfId="0" applyNumberFormat="1" applyFont="1" applyFill="1" applyBorder="1" applyAlignment="1">
      <alignment horizontal="center" vertical="center"/>
    </xf>
    <xf numFmtId="2" fontId="13" fillId="3" borderId="60" xfId="0" applyNumberFormat="1" applyFont="1" applyFill="1" applyBorder="1" applyAlignment="1">
      <alignment horizontal="center" vertical="center"/>
    </xf>
    <xf numFmtId="0" fontId="1" fillId="3" borderId="70" xfId="0" applyFont="1" applyFill="1" applyBorder="1"/>
    <xf numFmtId="164" fontId="0" fillId="3" borderId="59" xfId="0" applyNumberFormat="1" applyFill="1" applyBorder="1" applyAlignment="1">
      <alignment horizontal="center" vertical="center"/>
    </xf>
    <xf numFmtId="164" fontId="0" fillId="3" borderId="60" xfId="0" applyNumberFormat="1" applyFill="1" applyBorder="1" applyAlignment="1">
      <alignment horizontal="center" vertical="center"/>
    </xf>
    <xf numFmtId="2" fontId="0" fillId="3" borderId="60" xfId="0" applyNumberFormat="1" applyFill="1" applyBorder="1" applyAlignment="1">
      <alignment horizontal="center" vertical="center"/>
    </xf>
    <xf numFmtId="164" fontId="13" fillId="3" borderId="59" xfId="0" applyNumberFormat="1" applyFont="1" applyFill="1" applyBorder="1" applyAlignment="1">
      <alignment horizontal="center"/>
    </xf>
    <xf numFmtId="17" fontId="5" fillId="0" borderId="1" xfId="0" applyNumberFormat="1" applyFont="1" applyBorder="1" applyAlignment="1">
      <alignment horizontal="center" vertical="center"/>
    </xf>
    <xf numFmtId="164" fontId="50" fillId="0" borderId="1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164" fontId="140" fillId="21" borderId="1" xfId="0" applyNumberFormat="1" applyFont="1" applyFill="1" applyBorder="1" applyAlignment="1">
      <alignment horizontal="center" vertical="center"/>
    </xf>
    <xf numFmtId="17" fontId="176" fillId="4" borderId="1" xfId="0" applyNumberFormat="1" applyFont="1" applyFill="1" applyBorder="1" applyAlignment="1">
      <alignment horizontal="center" vertical="center" wrapText="1"/>
    </xf>
    <xf numFmtId="0" fontId="192" fillId="0" borderId="0" xfId="0" applyFont="1"/>
    <xf numFmtId="0" fontId="192" fillId="0" borderId="0" xfId="0" applyFont="1" applyAlignment="1">
      <alignment horizontal="center" vertical="center"/>
    </xf>
    <xf numFmtId="0" fontId="192" fillId="0" borderId="1" xfId="0" applyFont="1" applyBorder="1" applyAlignment="1">
      <alignment horizontal="left"/>
    </xf>
    <xf numFmtId="2" fontId="139" fillId="0" borderId="1" xfId="0" applyNumberFormat="1" applyFont="1" applyBorder="1" applyAlignment="1">
      <alignment horizontal="center" vertical="center"/>
    </xf>
    <xf numFmtId="164" fontId="139" fillId="0" borderId="1" xfId="0" applyNumberFormat="1" applyFont="1" applyBorder="1" applyAlignment="1">
      <alignment horizontal="center"/>
    </xf>
    <xf numFmtId="2" fontId="196" fillId="0" borderId="1" xfId="0" applyNumberFormat="1" applyFont="1" applyBorder="1"/>
    <xf numFmtId="2" fontId="197" fillId="0" borderId="1" xfId="0" applyNumberFormat="1" applyFont="1" applyBorder="1"/>
    <xf numFmtId="2" fontId="192" fillId="0" borderId="1" xfId="0" applyNumberFormat="1" applyFont="1" applyBorder="1"/>
    <xf numFmtId="0" fontId="192" fillId="0" borderId="0" xfId="0" applyFont="1" applyAlignment="1">
      <alignment horizontal="left"/>
    </xf>
    <xf numFmtId="2" fontId="6" fillId="0" borderId="0" xfId="0" applyNumberFormat="1" applyFont="1" applyAlignment="1">
      <alignment horizontal="center"/>
    </xf>
    <xf numFmtId="0" fontId="71" fillId="0" borderId="1" xfId="0" applyFont="1" applyBorder="1" applyAlignment="1">
      <alignment horizontal="center" vertical="center" wrapText="1"/>
    </xf>
    <xf numFmtId="0" fontId="72" fillId="0" borderId="1" xfId="0" applyFont="1" applyBorder="1" applyAlignment="1">
      <alignment horizontal="center" vertical="center" wrapText="1"/>
    </xf>
    <xf numFmtId="164" fontId="71" fillId="0" borderId="1" xfId="0" applyNumberFormat="1" applyFont="1" applyBorder="1" applyAlignment="1">
      <alignment horizontal="center" vertical="center" wrapText="1"/>
    </xf>
    <xf numFmtId="164" fontId="72" fillId="0" borderId="1" xfId="0" applyNumberFormat="1" applyFont="1" applyBorder="1" applyAlignment="1">
      <alignment horizontal="center" vertical="center" wrapText="1"/>
    </xf>
    <xf numFmtId="2" fontId="81" fillId="0" borderId="1" xfId="0" applyNumberFormat="1" applyFont="1" applyBorder="1" applyAlignment="1">
      <alignment horizontal="center" vertical="center"/>
    </xf>
    <xf numFmtId="2" fontId="198" fillId="4" borderId="1" xfId="0" applyNumberFormat="1" applyFont="1" applyFill="1" applyBorder="1" applyAlignment="1">
      <alignment horizontal="center" vertical="center"/>
    </xf>
    <xf numFmtId="2" fontId="199" fillId="4" borderId="1" xfId="0" applyNumberFormat="1" applyFont="1" applyFill="1" applyBorder="1" applyAlignment="1">
      <alignment horizontal="center" vertical="center"/>
    </xf>
    <xf numFmtId="2" fontId="165" fillId="0" borderId="1" xfId="0" applyNumberFormat="1" applyFont="1" applyBorder="1" applyAlignment="1">
      <alignment horizontal="center" vertical="center"/>
    </xf>
    <xf numFmtId="2" fontId="164" fillId="0" borderId="1" xfId="0" applyNumberFormat="1" applyFont="1" applyBorder="1" applyAlignment="1">
      <alignment horizontal="center" vertical="center"/>
    </xf>
    <xf numFmtId="0" fontId="97" fillId="7" borderId="1" xfId="0" applyFont="1" applyFill="1" applyBorder="1" applyAlignment="1">
      <alignment vertical="center"/>
    </xf>
    <xf numFmtId="0" fontId="97" fillId="0" borderId="1" xfId="0" applyFont="1" applyBorder="1" applyAlignment="1">
      <alignment vertical="center"/>
    </xf>
    <xf numFmtId="0" fontId="97" fillId="7" borderId="1" xfId="0" applyFont="1" applyFill="1" applyBorder="1" applyAlignment="1">
      <alignment vertical="center" wrapText="1"/>
    </xf>
    <xf numFmtId="0" fontId="144" fillId="0" borderId="1" xfId="0" applyFont="1" applyBorder="1" applyAlignment="1">
      <alignment vertical="center" wrapText="1"/>
    </xf>
    <xf numFmtId="0" fontId="143" fillId="0" borderId="0" xfId="0" applyFont="1" applyAlignment="1">
      <alignment vertical="center"/>
    </xf>
    <xf numFmtId="0" fontId="165" fillId="0" borderId="0" xfId="0" applyFont="1"/>
    <xf numFmtId="2" fontId="143" fillId="0" borderId="1" xfId="0" applyNumberFormat="1" applyFont="1" applyBorder="1" applyAlignment="1">
      <alignment horizontal="center"/>
    </xf>
    <xf numFmtId="2" fontId="97" fillId="7" borderId="1" xfId="0" applyNumberFormat="1" applyFont="1" applyFill="1" applyBorder="1" applyAlignment="1">
      <alignment horizontal="center" vertical="center"/>
    </xf>
    <xf numFmtId="0" fontId="200" fillId="7" borderId="1" xfId="0" applyFont="1" applyFill="1" applyBorder="1" applyAlignment="1">
      <alignment vertical="center"/>
    </xf>
    <xf numFmtId="2" fontId="200" fillId="4" borderId="1" xfId="0" applyNumberFormat="1" applyFont="1" applyFill="1" applyBorder="1" applyAlignment="1">
      <alignment horizontal="center" vertical="center"/>
    </xf>
    <xf numFmtId="2" fontId="201" fillId="0" borderId="1" xfId="0" applyNumberFormat="1" applyFont="1" applyBorder="1" applyAlignment="1">
      <alignment horizontal="center" vertical="center"/>
    </xf>
    <xf numFmtId="0" fontId="202" fillId="0" borderId="1" xfId="0" applyFont="1" applyBorder="1" applyAlignment="1">
      <alignment vertical="center"/>
    </xf>
    <xf numFmtId="17" fontId="202" fillId="0" borderId="1" xfId="0" applyNumberFormat="1" applyFont="1" applyBorder="1" applyAlignment="1">
      <alignment horizontal="center" vertical="center" wrapText="1"/>
    </xf>
    <xf numFmtId="2" fontId="97" fillId="7" borderId="1" xfId="0" applyNumberFormat="1" applyFont="1" applyFill="1" applyBorder="1" applyAlignment="1">
      <alignment vertical="center"/>
    </xf>
    <xf numFmtId="2" fontId="97" fillId="0" borderId="1" xfId="0" applyNumberFormat="1" applyFont="1" applyBorder="1" applyAlignment="1">
      <alignment vertical="center"/>
    </xf>
    <xf numFmtId="2" fontId="97" fillId="7" borderId="1" xfId="0" applyNumberFormat="1" applyFont="1" applyFill="1" applyBorder="1" applyAlignment="1">
      <alignment vertical="center" wrapText="1"/>
    </xf>
    <xf numFmtId="0" fontId="144" fillId="0" borderId="1" xfId="0" applyFont="1" applyBorder="1"/>
    <xf numFmtId="0" fontId="203" fillId="0" borderId="1" xfId="0" applyFont="1" applyBorder="1" applyAlignment="1">
      <alignment horizontal="center" vertical="center" wrapText="1"/>
    </xf>
    <xf numFmtId="0" fontId="202" fillId="0" borderId="1" xfId="0" applyFont="1" applyBorder="1" applyAlignment="1">
      <alignment vertical="center" wrapText="1"/>
    </xf>
    <xf numFmtId="17" fontId="204" fillId="0" borderId="1" xfId="0" applyNumberFormat="1" applyFont="1" applyBorder="1" applyAlignment="1">
      <alignment horizontal="center" vertical="center" wrapText="1"/>
    </xf>
    <xf numFmtId="2" fontId="204" fillId="0" borderId="1" xfId="0" applyNumberFormat="1" applyFont="1" applyBorder="1" applyAlignment="1">
      <alignment horizontal="center" vertical="center"/>
    </xf>
    <xf numFmtId="2" fontId="204" fillId="4" borderId="1" xfId="0" applyNumberFormat="1" applyFont="1" applyFill="1" applyBorder="1" applyAlignment="1">
      <alignment horizontal="center" vertical="center"/>
    </xf>
    <xf numFmtId="2" fontId="204" fillId="7" borderId="1" xfId="0" applyNumberFormat="1" applyFont="1" applyFill="1" applyBorder="1" applyAlignment="1">
      <alignment horizontal="center" vertical="center"/>
    </xf>
    <xf numFmtId="0" fontId="205" fillId="0" borderId="0" xfId="0" applyFont="1"/>
    <xf numFmtId="2" fontId="205" fillId="0" borderId="1" xfId="0" applyNumberFormat="1" applyFont="1" applyBorder="1" applyAlignment="1">
      <alignment horizontal="center"/>
    </xf>
    <xf numFmtId="0" fontId="1" fillId="0" borderId="0" xfId="0" applyFont="1" applyAlignment="1">
      <alignment vertical="center"/>
    </xf>
    <xf numFmtId="0" fontId="206" fillId="0" borderId="1" xfId="0" applyFont="1" applyBorder="1" applyAlignment="1">
      <alignment horizontal="center" vertical="center" wrapText="1"/>
    </xf>
    <xf numFmtId="2" fontId="207" fillId="0" borderId="1" xfId="0" applyNumberFormat="1" applyFont="1" applyBorder="1" applyAlignment="1">
      <alignment horizontal="center" vertical="center"/>
    </xf>
    <xf numFmtId="17" fontId="9" fillId="0" borderId="1" xfId="0" applyNumberFormat="1" applyFont="1" applyBorder="1" applyAlignment="1">
      <alignment horizontal="center" vertical="center" wrapText="1"/>
    </xf>
    <xf numFmtId="17" fontId="162" fillId="7" borderId="1" xfId="0" applyNumberFormat="1" applyFont="1" applyFill="1" applyBorder="1" applyAlignment="1">
      <alignment horizontal="center" vertical="center" wrapText="1"/>
    </xf>
    <xf numFmtId="0" fontId="162" fillId="7" borderId="1" xfId="0" applyFont="1" applyFill="1" applyBorder="1" applyAlignment="1">
      <alignment horizontal="left" vertical="center" wrapText="1"/>
    </xf>
    <xf numFmtId="0" fontId="208" fillId="4" borderId="1" xfId="0" applyFont="1" applyFill="1" applyBorder="1" applyAlignment="1">
      <alignment horizontal="center" vertical="center"/>
    </xf>
    <xf numFmtId="0" fontId="131" fillId="8" borderId="1" xfId="0" applyFont="1" applyFill="1" applyBorder="1" applyAlignment="1">
      <alignment horizontal="center" vertical="center"/>
    </xf>
    <xf numFmtId="0" fontId="209" fillId="0" borderId="0" xfId="0" applyFont="1"/>
    <xf numFmtId="1" fontId="139" fillId="0" borderId="1" xfId="0" applyNumberFormat="1" applyFont="1" applyBorder="1" applyAlignment="1">
      <alignment horizontal="center"/>
    </xf>
    <xf numFmtId="164" fontId="140" fillId="0" borderId="5" xfId="0" applyNumberFormat="1" applyFont="1" applyBorder="1" applyAlignment="1">
      <alignment horizontal="center" vertical="center"/>
    </xf>
    <xf numFmtId="2" fontId="50" fillId="3" borderId="1" xfId="0" applyNumberFormat="1" applyFont="1" applyFill="1" applyBorder="1" applyAlignment="1">
      <alignment horizontal="center"/>
    </xf>
    <xf numFmtId="1" fontId="5" fillId="4" borderId="1" xfId="0" applyNumberFormat="1" applyFont="1" applyFill="1" applyBorder="1" applyAlignment="1">
      <alignment horizontal="center" vertical="center"/>
    </xf>
    <xf numFmtId="0" fontId="195" fillId="0" borderId="1" xfId="0" applyFont="1" applyBorder="1" applyAlignment="1">
      <alignment horizontal="center"/>
    </xf>
    <xf numFmtId="0" fontId="210" fillId="22" borderId="1" xfId="0" applyFont="1" applyFill="1" applyBorder="1" applyAlignment="1">
      <alignment horizontal="left" vertical="center"/>
    </xf>
    <xf numFmtId="0" fontId="210" fillId="22" borderId="1" xfId="0" applyFont="1" applyFill="1" applyBorder="1" applyAlignment="1">
      <alignment horizontal="center" vertical="center"/>
    </xf>
    <xf numFmtId="2" fontId="210" fillId="22" borderId="1" xfId="0" applyNumberFormat="1" applyFont="1" applyFill="1" applyBorder="1" applyAlignment="1">
      <alignment horizontal="center" vertical="center"/>
    </xf>
    <xf numFmtId="0" fontId="147" fillId="22" borderId="1" xfId="0" applyFont="1" applyFill="1" applyBorder="1" applyAlignment="1">
      <alignment horizontal="center" vertical="center"/>
    </xf>
    <xf numFmtId="2" fontId="39" fillId="0" borderId="1" xfId="0" applyNumberFormat="1" applyFont="1" applyBorder="1"/>
    <xf numFmtId="2" fontId="0" fillId="0" borderId="51" xfId="0" applyNumberFormat="1" applyBorder="1" applyAlignment="1">
      <alignment horizontal="center" vertical="center"/>
    </xf>
    <xf numFmtId="2" fontId="0" fillId="0" borderId="32" xfId="0" applyNumberFormat="1" applyBorder="1" applyAlignment="1">
      <alignment horizontal="center" vertical="center"/>
    </xf>
    <xf numFmtId="2" fontId="0" fillId="0" borderId="57" xfId="0" applyNumberFormat="1" applyBorder="1" applyAlignment="1">
      <alignment horizontal="center" vertical="center"/>
    </xf>
    <xf numFmtId="2" fontId="107" fillId="0" borderId="1" xfId="0" applyNumberFormat="1" applyFont="1" applyBorder="1"/>
    <xf numFmtId="0" fontId="0" fillId="0" borderId="1" xfId="0" applyBorder="1" applyAlignment="1">
      <alignment wrapText="1"/>
    </xf>
    <xf numFmtId="2" fontId="0" fillId="0" borderId="1" xfId="0" applyNumberFormat="1" applyBorder="1" applyAlignment="1">
      <alignment vertical="center"/>
    </xf>
    <xf numFmtId="0" fontId="211" fillId="0" borderId="0" xfId="0" applyFont="1"/>
    <xf numFmtId="0" fontId="9" fillId="0" borderId="0" xfId="0" applyFont="1"/>
    <xf numFmtId="0" fontId="9" fillId="0" borderId="0" xfId="0" applyFont="1" applyAlignment="1">
      <alignment horizontal="center" vertical="center"/>
    </xf>
    <xf numFmtId="165" fontId="93" fillId="8" borderId="1" xfId="0" applyNumberFormat="1" applyFont="1" applyFill="1" applyBorder="1" applyAlignment="1">
      <alignment horizontal="center" vertical="center"/>
    </xf>
    <xf numFmtId="165" fontId="212" fillId="0" borderId="1" xfId="0" applyNumberFormat="1" applyFont="1" applyBorder="1" applyAlignment="1">
      <alignment horizontal="center"/>
    </xf>
    <xf numFmtId="2" fontId="50" fillId="3" borderId="1" xfId="0" applyNumberFormat="1" applyFont="1" applyFill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164" fontId="210" fillId="2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2" fontId="1" fillId="3" borderId="1" xfId="0" applyNumberFormat="1" applyFont="1" applyFill="1" applyBorder="1" applyAlignment="1">
      <alignment horizontal="center" vertical="center"/>
    </xf>
    <xf numFmtId="9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59" fillId="14" borderId="66" xfId="0" applyFont="1" applyFill="1" applyBorder="1" applyAlignment="1">
      <alignment vertical="top" wrapText="1"/>
    </xf>
    <xf numFmtId="164" fontId="94" fillId="4" borderId="1" xfId="0" applyNumberFormat="1" applyFont="1" applyFill="1" applyBorder="1" applyAlignment="1">
      <alignment horizontal="center" vertical="center"/>
    </xf>
    <xf numFmtId="17" fontId="0" fillId="0" borderId="0" xfId="0" applyNumberFormat="1"/>
    <xf numFmtId="16" fontId="0" fillId="0" borderId="0" xfId="0" applyNumberFormat="1"/>
    <xf numFmtId="0" fontId="93" fillId="4" borderId="6" xfId="0" applyFont="1" applyFill="1" applyBorder="1" applyAlignment="1">
      <alignment horizontal="center" vertical="center"/>
    </xf>
    <xf numFmtId="2" fontId="191" fillId="0" borderId="1" xfId="0" applyNumberFormat="1" applyFont="1" applyBorder="1" applyAlignment="1">
      <alignment horizontal="center" vertical="center" wrapText="1"/>
    </xf>
    <xf numFmtId="2" fontId="94" fillId="4" borderId="7" xfId="0" applyNumberFormat="1" applyFont="1" applyFill="1" applyBorder="1" applyAlignment="1">
      <alignment horizontal="center" vertical="center"/>
    </xf>
    <xf numFmtId="2" fontId="93" fillId="4" borderId="1" xfId="0" applyNumberFormat="1" applyFont="1" applyFill="1" applyBorder="1" applyAlignment="1">
      <alignment horizontal="center" vertical="center" wrapText="1"/>
    </xf>
    <xf numFmtId="1" fontId="62" fillId="0" borderId="1" xfId="0" applyNumberFormat="1" applyFont="1" applyBorder="1" applyAlignment="1">
      <alignment horizontal="center" vertical="center" wrapText="1"/>
    </xf>
    <xf numFmtId="2" fontId="214" fillId="4" borderId="1" xfId="0" applyNumberFormat="1" applyFont="1" applyFill="1" applyBorder="1" applyAlignment="1">
      <alignment horizontal="center" vertical="center"/>
    </xf>
    <xf numFmtId="2" fontId="162" fillId="7" borderId="1" xfId="0" applyNumberFormat="1" applyFont="1" applyFill="1" applyBorder="1" applyAlignment="1">
      <alignment horizontal="center" vertical="center" wrapText="1"/>
    </xf>
    <xf numFmtId="2" fontId="4" fillId="4" borderId="1" xfId="0" applyNumberFormat="1" applyFont="1" applyFill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/>
    </xf>
    <xf numFmtId="0" fontId="54" fillId="0" borderId="1" xfId="0" applyFont="1" applyBorder="1" applyAlignment="1">
      <alignment horizontal="center" vertical="center" wrapText="1"/>
    </xf>
    <xf numFmtId="2" fontId="173" fillId="4" borderId="1" xfId="0" applyNumberFormat="1" applyFont="1" applyFill="1" applyBorder="1" applyAlignment="1">
      <alignment horizontal="center" vertical="center" wrapText="1"/>
    </xf>
    <xf numFmtId="2" fontId="9" fillId="4" borderId="4" xfId="0" applyNumberFormat="1" applyFont="1" applyFill="1" applyBorder="1" applyAlignment="1">
      <alignment horizontal="center" vertical="center" wrapText="1"/>
    </xf>
    <xf numFmtId="164" fontId="215" fillId="4" borderId="1" xfId="0" applyNumberFormat="1" applyFont="1" applyFill="1" applyBorder="1" applyAlignment="1">
      <alignment horizontal="center" vertical="center"/>
    </xf>
    <xf numFmtId="164" fontId="216" fillId="7" borderId="1" xfId="0" applyNumberFormat="1" applyFont="1" applyFill="1" applyBorder="1" applyAlignment="1">
      <alignment horizontal="center" vertical="center"/>
    </xf>
    <xf numFmtId="164" fontId="215" fillId="0" borderId="1" xfId="0" applyNumberFormat="1" applyFont="1" applyBorder="1" applyAlignment="1">
      <alignment horizontal="center" vertical="center"/>
    </xf>
    <xf numFmtId="2" fontId="215" fillId="4" borderId="1" xfId="0" applyNumberFormat="1" applyFont="1" applyFill="1" applyBorder="1" applyAlignment="1">
      <alignment horizontal="center" vertical="center"/>
    </xf>
    <xf numFmtId="2" fontId="216" fillId="7" borderId="1" xfId="0" applyNumberFormat="1" applyFont="1" applyFill="1" applyBorder="1" applyAlignment="1">
      <alignment horizontal="center" vertical="center"/>
    </xf>
    <xf numFmtId="2" fontId="217" fillId="4" borderId="4" xfId="0" applyNumberFormat="1" applyFont="1" applyFill="1" applyBorder="1" applyAlignment="1">
      <alignment horizontal="center" vertical="center"/>
    </xf>
    <xf numFmtId="2" fontId="218" fillId="4" borderId="1" xfId="0" applyNumberFormat="1" applyFont="1" applyFill="1" applyBorder="1" applyAlignment="1">
      <alignment horizontal="center" vertical="center"/>
    </xf>
    <xf numFmtId="2" fontId="79" fillId="7" borderId="1" xfId="0" applyNumberFormat="1" applyFont="1" applyFill="1" applyBorder="1" applyAlignment="1">
      <alignment horizontal="center" vertical="center"/>
    </xf>
    <xf numFmtId="2" fontId="91" fillId="4" borderId="4" xfId="0" applyNumberFormat="1" applyFont="1" applyFill="1" applyBorder="1" applyAlignment="1">
      <alignment horizontal="center" vertical="center"/>
    </xf>
    <xf numFmtId="164" fontId="217" fillId="4" borderId="1" xfId="0" applyNumberFormat="1" applyFont="1" applyFill="1" applyBorder="1" applyAlignment="1">
      <alignment horizontal="center" vertical="center"/>
    </xf>
    <xf numFmtId="164" fontId="79" fillId="4" borderId="1" xfId="0" applyNumberFormat="1" applyFont="1" applyFill="1" applyBorder="1" applyAlignment="1">
      <alignment horizontal="center" vertical="center"/>
    </xf>
    <xf numFmtId="2" fontId="217" fillId="4" borderId="4" xfId="0" applyNumberFormat="1" applyFont="1" applyFill="1" applyBorder="1" applyAlignment="1">
      <alignment horizontal="center" vertical="center" wrapText="1"/>
    </xf>
    <xf numFmtId="164" fontId="219" fillId="4" borderId="1" xfId="0" applyNumberFormat="1" applyFont="1" applyFill="1" applyBorder="1" applyAlignment="1">
      <alignment horizontal="center" vertical="center"/>
    </xf>
    <xf numFmtId="164" fontId="220" fillId="7" borderId="1" xfId="0" applyNumberFormat="1" applyFont="1" applyFill="1" applyBorder="1" applyAlignment="1">
      <alignment horizontal="center" vertical="center"/>
    </xf>
    <xf numFmtId="164" fontId="219" fillId="0" borderId="1" xfId="0" applyNumberFormat="1" applyFont="1" applyBorder="1" applyAlignment="1">
      <alignment horizontal="center" vertical="center"/>
    </xf>
    <xf numFmtId="164" fontId="220" fillId="4" borderId="1" xfId="0" applyNumberFormat="1" applyFont="1" applyFill="1" applyBorder="1" applyAlignment="1">
      <alignment horizontal="center" vertical="center"/>
    </xf>
    <xf numFmtId="164" fontId="221" fillId="0" borderId="1" xfId="0" applyNumberFormat="1" applyFont="1" applyBorder="1" applyAlignment="1">
      <alignment horizontal="center"/>
    </xf>
    <xf numFmtId="164" fontId="215" fillId="0" borderId="5" xfId="0" applyNumberFormat="1" applyFont="1" applyBorder="1" applyAlignment="1">
      <alignment horizontal="center" vertical="center"/>
    </xf>
    <xf numFmtId="164" fontId="215" fillId="3" borderId="1" xfId="0" applyNumberFormat="1" applyFont="1" applyFill="1" applyBorder="1" applyAlignment="1">
      <alignment horizontal="center"/>
    </xf>
    <xf numFmtId="164" fontId="221" fillId="0" borderId="1" xfId="0" applyNumberFormat="1" applyFont="1" applyBorder="1" applyAlignment="1">
      <alignment horizontal="center" vertical="center"/>
    </xf>
    <xf numFmtId="164" fontId="91" fillId="3" borderId="1" xfId="0" applyNumberFormat="1" applyFont="1" applyFill="1" applyBorder="1" applyAlignment="1">
      <alignment horizontal="center"/>
    </xf>
    <xf numFmtId="164" fontId="222" fillId="0" borderId="1" xfId="0" applyNumberFormat="1" applyFont="1" applyBorder="1" applyAlignment="1">
      <alignment horizontal="center"/>
    </xf>
    <xf numFmtId="164" fontId="222" fillId="0" borderId="1" xfId="0" applyNumberFormat="1" applyFont="1" applyBorder="1" applyAlignment="1">
      <alignment horizontal="center" vertical="center"/>
    </xf>
    <xf numFmtId="165" fontId="223" fillId="0" borderId="0" xfId="0" applyNumberFormat="1" applyFont="1" applyAlignment="1">
      <alignment horizontal="center"/>
    </xf>
    <xf numFmtId="164" fontId="224" fillId="0" borderId="1" xfId="0" applyNumberFormat="1" applyFont="1" applyBorder="1" applyAlignment="1">
      <alignment horizontal="center"/>
    </xf>
    <xf numFmtId="164" fontId="217" fillId="0" borderId="5" xfId="0" applyNumberFormat="1" applyFont="1" applyBorder="1" applyAlignment="1">
      <alignment horizontal="center" vertical="center"/>
    </xf>
    <xf numFmtId="0" fontId="100" fillId="0" borderId="1" xfId="0" applyFont="1" applyBorder="1" applyAlignment="1">
      <alignment horizontal="center"/>
    </xf>
    <xf numFmtId="0" fontId="162" fillId="7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" fontId="1" fillId="8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226" fillId="4" borderId="1" xfId="0" applyFont="1" applyFill="1" applyBorder="1" applyAlignment="1">
      <alignment vertical="top" wrapText="1"/>
    </xf>
    <xf numFmtId="0" fontId="0" fillId="4" borderId="4" xfId="0" applyFill="1" applyBorder="1"/>
    <xf numFmtId="164" fontId="1" fillId="0" borderId="0" xfId="0" applyNumberFormat="1" applyFont="1" applyAlignment="1">
      <alignment horizontal="center" vertical="center"/>
    </xf>
    <xf numFmtId="164" fontId="14" fillId="0" borderId="10" xfId="0" applyNumberFormat="1" applyFont="1" applyBorder="1" applyAlignment="1">
      <alignment horizontal="center" vertical="center"/>
    </xf>
    <xf numFmtId="164" fontId="14" fillId="6" borderId="0" xfId="0" applyNumberFormat="1" applyFont="1" applyFill="1" applyAlignment="1">
      <alignment horizontal="center" vertical="center"/>
    </xf>
    <xf numFmtId="164" fontId="1" fillId="16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116" fillId="0" borderId="0" xfId="0" applyNumberFormat="1" applyFont="1" applyAlignment="1">
      <alignment horizontal="center" vertical="center"/>
    </xf>
    <xf numFmtId="164" fontId="91" fillId="4" borderId="1" xfId="0" applyNumberFormat="1" applyFont="1" applyFill="1" applyBorder="1" applyAlignment="1">
      <alignment horizontal="center" vertical="center"/>
    </xf>
    <xf numFmtId="1" fontId="100" fillId="14" borderId="66" xfId="0" applyNumberFormat="1" applyFont="1" applyFill="1" applyBorder="1" applyAlignment="1">
      <alignment vertical="top" wrapText="1"/>
    </xf>
    <xf numFmtId="164" fontId="1" fillId="0" borderId="3" xfId="0" applyNumberFormat="1" applyFont="1" applyBorder="1"/>
    <xf numFmtId="0" fontId="104" fillId="0" borderId="0" xfId="0" applyFont="1"/>
    <xf numFmtId="0" fontId="142" fillId="7" borderId="1" xfId="0" applyFont="1" applyFill="1" applyBorder="1" applyAlignment="1">
      <alignment horizontal="center" vertical="center" wrapText="1"/>
    </xf>
    <xf numFmtId="2" fontId="227" fillId="0" borderId="1" xfId="0" applyNumberFormat="1" applyFont="1" applyBorder="1"/>
    <xf numFmtId="2" fontId="228" fillId="0" borderId="1" xfId="0" applyNumberFormat="1" applyFont="1" applyBorder="1"/>
    <xf numFmtId="2" fontId="51" fillId="0" borderId="5" xfId="0" applyNumberFormat="1" applyFont="1" applyBorder="1" applyAlignment="1">
      <alignment horizontal="center" vertical="center"/>
    </xf>
    <xf numFmtId="2" fontId="51" fillId="0" borderId="6" xfId="0" applyNumberFormat="1" applyFont="1" applyBorder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1" fontId="113" fillId="0" borderId="1" xfId="0" applyNumberFormat="1" applyFont="1" applyBorder="1" applyAlignment="1">
      <alignment horizontal="center" vertical="center"/>
    </xf>
    <xf numFmtId="1" fontId="112" fillId="0" borderId="1" xfId="0" applyNumberFormat="1" applyFont="1" applyBorder="1" applyAlignment="1">
      <alignment horizontal="center" vertical="center"/>
    </xf>
    <xf numFmtId="1" fontId="113" fillId="7" borderId="1" xfId="0" applyNumberFormat="1" applyFont="1" applyFill="1" applyBorder="1" applyAlignment="1">
      <alignment horizontal="center" vertical="center"/>
    </xf>
    <xf numFmtId="0" fontId="0" fillId="9" borderId="0" xfId="0" applyFill="1"/>
    <xf numFmtId="0" fontId="100" fillId="14" borderId="0" xfId="0" applyFont="1" applyFill="1" applyAlignment="1">
      <alignment vertical="top" wrapText="1"/>
    </xf>
    <xf numFmtId="0" fontId="100" fillId="23" borderId="108" xfId="0" applyFont="1" applyFill="1" applyBorder="1" applyAlignment="1">
      <alignment vertical="top" wrapText="1"/>
    </xf>
    <xf numFmtId="0" fontId="100" fillId="9" borderId="109" xfId="0" applyFont="1" applyFill="1" applyBorder="1" applyAlignment="1">
      <alignment vertical="top" wrapText="1"/>
    </xf>
    <xf numFmtId="0" fontId="100" fillId="9" borderId="110" xfId="0" applyFont="1" applyFill="1" applyBorder="1" applyAlignment="1">
      <alignment vertical="top" wrapText="1"/>
    </xf>
    <xf numFmtId="0" fontId="100" fillId="23" borderId="111" xfId="0" applyFont="1" applyFill="1" applyBorder="1" applyAlignment="1">
      <alignment vertical="top" wrapText="1"/>
    </xf>
    <xf numFmtId="0" fontId="100" fillId="14" borderId="102" xfId="0" applyFont="1" applyFill="1" applyBorder="1" applyAlignment="1">
      <alignment vertical="top" wrapText="1"/>
    </xf>
    <xf numFmtId="0" fontId="100" fillId="14" borderId="103" xfId="0" applyFont="1" applyFill="1" applyBorder="1" applyAlignment="1">
      <alignment vertical="top" wrapText="1"/>
    </xf>
    <xf numFmtId="2" fontId="39" fillId="0" borderId="0" xfId="0" applyNumberFormat="1" applyFont="1"/>
    <xf numFmtId="0" fontId="100" fillId="4" borderId="1" xfId="0" applyFont="1" applyFill="1" applyBorder="1" applyAlignment="1">
      <alignment horizontal="center" vertical="center"/>
    </xf>
    <xf numFmtId="0" fontId="100" fillId="0" borderId="1" xfId="0" applyFont="1" applyBorder="1" applyAlignment="1">
      <alignment horizontal="center" vertical="center"/>
    </xf>
    <xf numFmtId="0" fontId="157" fillId="0" borderId="18" xfId="0" applyFont="1" applyBorder="1"/>
    <xf numFmtId="0" fontId="5" fillId="0" borderId="1" xfId="0" applyFont="1" applyBorder="1" applyAlignment="1">
      <alignment vertical="center"/>
    </xf>
    <xf numFmtId="0" fontId="100" fillId="0" borderId="1" xfId="0" applyFont="1" applyBorder="1" applyAlignment="1">
      <alignment vertical="top" wrapText="1"/>
    </xf>
    <xf numFmtId="0" fontId="54" fillId="7" borderId="18" xfId="0" applyFont="1" applyFill="1" applyBorder="1" applyAlignment="1">
      <alignment horizontal="center"/>
    </xf>
    <xf numFmtId="2" fontId="9" fillId="4" borderId="9" xfId="0" applyNumberFormat="1" applyFont="1" applyFill="1" applyBorder="1" applyAlignment="1">
      <alignment horizontal="center" vertical="center" wrapText="1"/>
    </xf>
    <xf numFmtId="0" fontId="54" fillId="0" borderId="6" xfId="0" applyFont="1" applyBorder="1" applyAlignment="1">
      <alignment horizontal="center"/>
    </xf>
    <xf numFmtId="2" fontId="51" fillId="0" borderId="5" xfId="0" applyNumberFormat="1" applyFont="1" applyBorder="1" applyAlignment="1">
      <alignment horizontal="center"/>
    </xf>
    <xf numFmtId="2" fontId="51" fillId="0" borderId="7" xfId="0" applyNumberFormat="1" applyFont="1" applyBorder="1" applyAlignment="1">
      <alignment horizontal="center"/>
    </xf>
    <xf numFmtId="2" fontId="51" fillId="0" borderId="6" xfId="0" applyNumberFormat="1" applyFont="1" applyBorder="1" applyAlignment="1">
      <alignment horizontal="center"/>
    </xf>
    <xf numFmtId="0" fontId="157" fillId="0" borderId="0" xfId="0" applyFont="1"/>
    <xf numFmtId="164" fontId="100" fillId="0" borderId="1" xfId="0" applyNumberFormat="1" applyFont="1" applyBorder="1" applyAlignment="1">
      <alignment horizontal="center" vertical="top" wrapText="1"/>
    </xf>
    <xf numFmtId="164" fontId="211" fillId="0" borderId="1" xfId="0" applyNumberFormat="1" applyFont="1" applyBorder="1" applyAlignment="1">
      <alignment horizontal="center" vertical="top" wrapText="1"/>
    </xf>
    <xf numFmtId="0" fontId="100" fillId="0" borderId="4" xfId="0" applyFont="1" applyBorder="1" applyAlignment="1">
      <alignment vertical="top" wrapText="1"/>
    </xf>
    <xf numFmtId="17" fontId="4" fillId="0" borderId="1" xfId="0" applyNumberFormat="1" applyFont="1" applyBorder="1" applyAlignment="1">
      <alignment horizontal="center"/>
    </xf>
    <xf numFmtId="0" fontId="231" fillId="0" borderId="0" xfId="0" applyFont="1"/>
    <xf numFmtId="2" fontId="1" fillId="0" borderId="3" xfId="0" applyNumberFormat="1" applyFont="1" applyBorder="1"/>
    <xf numFmtId="2" fontId="142" fillId="4" borderId="1" xfId="0" applyNumberFormat="1" applyFont="1" applyFill="1" applyBorder="1" applyAlignment="1">
      <alignment horizontal="center" vertical="center" wrapText="1"/>
    </xf>
    <xf numFmtId="0" fontId="97" fillId="4" borderId="1" xfId="0" applyFont="1" applyFill="1" applyBorder="1" applyAlignment="1">
      <alignment horizontal="center" vertical="center"/>
    </xf>
    <xf numFmtId="165" fontId="19" fillId="0" borderId="1" xfId="0" applyNumberFormat="1" applyFont="1" applyBorder="1" applyAlignment="1">
      <alignment horizontal="center" vertical="center"/>
    </xf>
    <xf numFmtId="2" fontId="19" fillId="0" borderId="1" xfId="0" applyNumberFormat="1" applyFont="1" applyBorder="1" applyAlignment="1">
      <alignment horizontal="center" vertical="center"/>
    </xf>
    <xf numFmtId="1" fontId="232" fillId="22" borderId="1" xfId="0" applyNumberFormat="1" applyFont="1" applyFill="1" applyBorder="1" applyAlignment="1">
      <alignment horizontal="center" vertical="center"/>
    </xf>
    <xf numFmtId="0" fontId="167" fillId="0" borderId="0" xfId="0" applyFont="1"/>
    <xf numFmtId="0" fontId="5" fillId="0" borderId="5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2" fontId="28" fillId="0" borderId="1" xfId="0" applyNumberFormat="1" applyFont="1" applyBorder="1" applyAlignment="1">
      <alignment horizontal="center"/>
    </xf>
    <xf numFmtId="0" fontId="5" fillId="0" borderId="7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left"/>
    </xf>
    <xf numFmtId="2" fontId="5" fillId="0" borderId="9" xfId="0" applyNumberFormat="1" applyFont="1" applyBorder="1" applyAlignment="1">
      <alignment horizontal="right"/>
    </xf>
    <xf numFmtId="0" fontId="5" fillId="0" borderId="11" xfId="0" applyFont="1" applyBorder="1" applyAlignment="1">
      <alignment horizontal="right"/>
    </xf>
    <xf numFmtId="2" fontId="1" fillId="0" borderId="2" xfId="0" applyNumberFormat="1" applyFont="1" applyBorder="1" applyAlignment="1">
      <alignment horizontal="left"/>
    </xf>
    <xf numFmtId="2" fontId="1" fillId="0" borderId="3" xfId="0" applyNumberFormat="1" applyFont="1" applyBorder="1" applyAlignment="1">
      <alignment horizontal="left"/>
    </xf>
    <xf numFmtId="2" fontId="1" fillId="0" borderId="4" xfId="0" applyNumberFormat="1" applyFont="1" applyBorder="1" applyAlignment="1">
      <alignment horizontal="left"/>
    </xf>
    <xf numFmtId="2" fontId="5" fillId="0" borderId="10" xfId="0" applyNumberFormat="1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right" vertical="center"/>
    </xf>
    <xf numFmtId="1" fontId="5" fillId="0" borderId="5" xfId="0" applyNumberFormat="1" applyFont="1" applyBorder="1" applyAlignment="1">
      <alignment horizontal="center"/>
    </xf>
    <xf numFmtId="1" fontId="5" fillId="0" borderId="7" xfId="0" applyNumberFormat="1" applyFont="1" applyBorder="1" applyAlignment="1">
      <alignment horizontal="center"/>
    </xf>
    <xf numFmtId="1" fontId="5" fillId="0" borderId="6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0" fillId="0" borderId="2" xfId="0" applyFont="1" applyBorder="1" applyAlignment="1">
      <alignment horizontal="left" indent="1"/>
    </xf>
    <xf numFmtId="0" fontId="10" fillId="0" borderId="3" xfId="0" applyFont="1" applyBorder="1" applyAlignment="1">
      <alignment horizontal="left" indent="1"/>
    </xf>
    <xf numFmtId="0" fontId="10" fillId="0" borderId="4" xfId="0" applyFont="1" applyBorder="1" applyAlignment="1">
      <alignment horizontal="left" indent="1"/>
    </xf>
    <xf numFmtId="164" fontId="5" fillId="0" borderId="5" xfId="0" applyNumberFormat="1" applyFont="1" applyBorder="1" applyAlignment="1">
      <alignment horizontal="center"/>
    </xf>
    <xf numFmtId="164" fontId="5" fillId="0" borderId="7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/>
    </xf>
    <xf numFmtId="0" fontId="10" fillId="0" borderId="2" xfId="0" applyFont="1" applyBorder="1" applyAlignment="1">
      <alignment horizontal="right" indent="1"/>
    </xf>
    <xf numFmtId="0" fontId="10" fillId="0" borderId="3" xfId="0" applyFont="1" applyBorder="1" applyAlignment="1">
      <alignment horizontal="right" indent="1"/>
    </xf>
    <xf numFmtId="0" fontId="10" fillId="0" borderId="4" xfId="0" applyFont="1" applyBorder="1" applyAlignment="1">
      <alignment horizontal="right" indent="1"/>
    </xf>
    <xf numFmtId="164" fontId="5" fillId="0" borderId="5" xfId="0" applyNumberFormat="1" applyFont="1" applyBorder="1" applyAlignment="1">
      <alignment horizontal="left" indent="1"/>
    </xf>
    <xf numFmtId="164" fontId="5" fillId="0" borderId="7" xfId="0" applyNumberFormat="1" applyFont="1" applyBorder="1" applyAlignment="1">
      <alignment horizontal="left" indent="1"/>
    </xf>
    <xf numFmtId="164" fontId="5" fillId="0" borderId="6" xfId="0" applyNumberFormat="1" applyFont="1" applyBorder="1" applyAlignment="1">
      <alignment horizontal="left" indent="1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4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164" fontId="4" fillId="0" borderId="5" xfId="0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9" fillId="0" borderId="2" xfId="0" applyFont="1" applyBorder="1" applyAlignment="1">
      <alignment horizontal="left" indent="1"/>
    </xf>
    <xf numFmtId="0" fontId="9" fillId="0" borderId="3" xfId="0" applyFont="1" applyBorder="1" applyAlignment="1">
      <alignment horizontal="left" indent="1"/>
    </xf>
    <xf numFmtId="0" fontId="9" fillId="0" borderId="4" xfId="0" applyFont="1" applyBorder="1" applyAlignment="1">
      <alignment horizontal="left" indent="1"/>
    </xf>
    <xf numFmtId="0" fontId="1" fillId="4" borderId="1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14" fillId="4" borderId="12" xfId="0" applyFont="1" applyFill="1" applyBorder="1" applyAlignment="1">
      <alignment horizontal="center" vertical="center"/>
    </xf>
    <xf numFmtId="0" fontId="14" fillId="4" borderId="13" xfId="0" applyFont="1" applyFill="1" applyBorder="1" applyAlignment="1">
      <alignment horizontal="center" vertical="center"/>
    </xf>
    <xf numFmtId="0" fontId="49" fillId="0" borderId="2" xfId="0" applyFont="1" applyBorder="1" applyAlignment="1">
      <alignment horizontal="left"/>
    </xf>
    <xf numFmtId="0" fontId="49" fillId="0" borderId="3" xfId="0" applyFont="1" applyBorder="1" applyAlignment="1">
      <alignment horizontal="left"/>
    </xf>
    <xf numFmtId="0" fontId="49" fillId="0" borderId="4" xfId="0" applyFont="1" applyBorder="1" applyAlignment="1">
      <alignment horizontal="left"/>
    </xf>
    <xf numFmtId="0" fontId="54" fillId="0" borderId="5" xfId="0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/>
    </xf>
    <xf numFmtId="0" fontId="54" fillId="0" borderId="6" xfId="0" applyFont="1" applyBorder="1" applyAlignment="1">
      <alignment horizontal="center" vertical="center"/>
    </xf>
    <xf numFmtId="0" fontId="48" fillId="0" borderId="2" xfId="0" applyFont="1" applyBorder="1" applyAlignment="1">
      <alignment horizontal="left"/>
    </xf>
    <xf numFmtId="0" fontId="48" fillId="0" borderId="4" xfId="0" applyFont="1" applyBorder="1" applyAlignment="1">
      <alignment horizontal="left"/>
    </xf>
    <xf numFmtId="0" fontId="49" fillId="0" borderId="5" xfId="0" applyFont="1" applyBorder="1" applyAlignment="1">
      <alignment horizontal="left" vertical="center"/>
    </xf>
    <xf numFmtId="0" fontId="49" fillId="0" borderId="7" xfId="0" applyFont="1" applyBorder="1" applyAlignment="1">
      <alignment horizontal="left" vertical="center"/>
    </xf>
    <xf numFmtId="0" fontId="49" fillId="0" borderId="6" xfId="0" applyFont="1" applyBorder="1" applyAlignment="1">
      <alignment horizontal="left" vertical="center"/>
    </xf>
    <xf numFmtId="0" fontId="49" fillId="0" borderId="2" xfId="0" applyFont="1" applyBorder="1" applyAlignment="1">
      <alignment horizontal="left" wrapText="1"/>
    </xf>
    <xf numFmtId="0" fontId="49" fillId="0" borderId="3" xfId="0" applyFont="1" applyBorder="1" applyAlignment="1">
      <alignment horizontal="left" wrapText="1"/>
    </xf>
    <xf numFmtId="0" fontId="49" fillId="0" borderId="4" xfId="0" applyFont="1" applyBorder="1" applyAlignment="1">
      <alignment horizontal="left" wrapText="1"/>
    </xf>
    <xf numFmtId="1" fontId="54" fillId="0" borderId="5" xfId="0" applyNumberFormat="1" applyFont="1" applyBorder="1" applyAlignment="1">
      <alignment horizontal="center" vertical="center"/>
    </xf>
    <xf numFmtId="1" fontId="54" fillId="0" borderId="7" xfId="0" applyNumberFormat="1" applyFont="1" applyBorder="1" applyAlignment="1">
      <alignment horizontal="center" vertical="center"/>
    </xf>
    <xf numFmtId="1" fontId="54" fillId="0" borderId="6" xfId="0" applyNumberFormat="1" applyFont="1" applyBorder="1" applyAlignment="1">
      <alignment horizontal="center" vertical="center"/>
    </xf>
    <xf numFmtId="0" fontId="48" fillId="0" borderId="2" xfId="0" applyFont="1" applyBorder="1" applyAlignment="1">
      <alignment horizontal="left" wrapText="1"/>
    </xf>
    <xf numFmtId="0" fontId="48" fillId="0" borderId="3" xfId="0" applyFont="1" applyBorder="1" applyAlignment="1">
      <alignment horizontal="left" wrapText="1"/>
    </xf>
    <xf numFmtId="0" fontId="48" fillId="0" borderId="3" xfId="0" applyFont="1" applyBorder="1" applyAlignment="1">
      <alignment horizontal="left"/>
    </xf>
    <xf numFmtId="1" fontId="54" fillId="0" borderId="1" xfId="0" applyNumberFormat="1" applyFont="1" applyBorder="1" applyAlignment="1">
      <alignment horizontal="center" vertical="center"/>
    </xf>
    <xf numFmtId="0" fontId="49" fillId="7" borderId="2" xfId="0" applyFont="1" applyFill="1" applyBorder="1" applyAlignment="1">
      <alignment horizontal="left" vertical="center" wrapText="1"/>
    </xf>
    <xf numFmtId="0" fontId="49" fillId="7" borderId="3" xfId="0" applyFont="1" applyFill="1" applyBorder="1" applyAlignment="1">
      <alignment horizontal="left" vertical="center" wrapText="1"/>
    </xf>
    <xf numFmtId="0" fontId="49" fillId="7" borderId="4" xfId="0" applyFont="1" applyFill="1" applyBorder="1" applyAlignment="1">
      <alignment horizontal="left" vertical="center" wrapText="1"/>
    </xf>
    <xf numFmtId="0" fontId="48" fillId="0" borderId="5" xfId="0" applyFont="1" applyBorder="1" applyAlignment="1">
      <alignment horizontal="center" vertical="center"/>
    </xf>
    <xf numFmtId="0" fontId="48" fillId="0" borderId="7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64" fontId="51" fillId="0" borderId="5" xfId="0" applyNumberFormat="1" applyFont="1" applyBorder="1" applyAlignment="1">
      <alignment horizontal="center" vertical="center"/>
    </xf>
    <xf numFmtId="164" fontId="51" fillId="0" borderId="7" xfId="0" applyNumberFormat="1" applyFont="1" applyBorder="1" applyAlignment="1">
      <alignment horizontal="center" vertical="center"/>
    </xf>
    <xf numFmtId="164" fontId="51" fillId="0" borderId="6" xfId="0" applyNumberFormat="1" applyFont="1" applyBorder="1" applyAlignment="1">
      <alignment horizontal="center" vertical="center"/>
    </xf>
    <xf numFmtId="0" fontId="48" fillId="0" borderId="4" xfId="0" applyFont="1" applyBorder="1" applyAlignment="1">
      <alignment horizontal="left" wrapText="1"/>
    </xf>
    <xf numFmtId="0" fontId="52" fillId="0" borderId="18" xfId="0" applyFont="1" applyBorder="1" applyAlignment="1">
      <alignment horizontal="center" vertical="center"/>
    </xf>
    <xf numFmtId="0" fontId="49" fillId="0" borderId="21" xfId="0" applyFont="1" applyBorder="1" applyAlignment="1">
      <alignment horizontal="center" vertical="center"/>
    </xf>
    <xf numFmtId="0" fontId="49" fillId="0" borderId="22" xfId="0" applyFont="1" applyBorder="1" applyAlignment="1">
      <alignment horizontal="center" vertical="center"/>
    </xf>
    <xf numFmtId="0" fontId="49" fillId="0" borderId="23" xfId="0" applyFont="1" applyBorder="1" applyAlignment="1">
      <alignment horizontal="center" vertical="center"/>
    </xf>
    <xf numFmtId="1" fontId="54" fillId="0" borderId="7" xfId="0" applyNumberFormat="1" applyFont="1" applyBorder="1" applyAlignment="1">
      <alignment horizontal="center" vertical="center" wrapText="1"/>
    </xf>
    <xf numFmtId="1" fontId="54" fillId="0" borderId="6" xfId="0" applyNumberFormat="1" applyFont="1" applyBorder="1" applyAlignment="1">
      <alignment horizontal="center" vertical="center" wrapText="1"/>
    </xf>
    <xf numFmtId="0" fontId="49" fillId="7" borderId="12" xfId="0" applyFont="1" applyFill="1" applyBorder="1" applyAlignment="1">
      <alignment horizontal="center"/>
    </xf>
    <xf numFmtId="0" fontId="49" fillId="7" borderId="13" xfId="0" applyFont="1" applyFill="1" applyBorder="1" applyAlignment="1">
      <alignment horizontal="center"/>
    </xf>
    <xf numFmtId="164" fontId="49" fillId="7" borderId="12" xfId="0" applyNumberFormat="1" applyFont="1" applyFill="1" applyBorder="1" applyAlignment="1">
      <alignment horizontal="center"/>
    </xf>
    <xf numFmtId="164" fontId="49" fillId="7" borderId="13" xfId="0" applyNumberFormat="1" applyFont="1" applyFill="1" applyBorder="1" applyAlignment="1">
      <alignment horizontal="center"/>
    </xf>
    <xf numFmtId="164" fontId="49" fillId="0" borderId="5" xfId="0" applyNumberFormat="1" applyFont="1" applyBorder="1" applyAlignment="1">
      <alignment horizontal="center" vertical="center" wrapText="1"/>
    </xf>
    <xf numFmtId="164" fontId="49" fillId="0" borderId="6" xfId="0" applyNumberFormat="1" applyFont="1" applyBorder="1" applyAlignment="1">
      <alignment horizontal="center" vertical="center" wrapText="1"/>
    </xf>
    <xf numFmtId="0" fontId="49" fillId="0" borderId="2" xfId="0" applyFont="1" applyBorder="1" applyAlignment="1">
      <alignment horizontal="center"/>
    </xf>
    <xf numFmtId="0" fontId="49" fillId="0" borderId="4" xfId="0" applyFont="1" applyBorder="1" applyAlignment="1">
      <alignment horizontal="center"/>
    </xf>
    <xf numFmtId="0" fontId="49" fillId="0" borderId="27" xfId="0" applyFont="1" applyBorder="1" applyAlignment="1">
      <alignment horizontal="center" vertical="center"/>
    </xf>
    <xf numFmtId="0" fontId="49" fillId="0" borderId="28" xfId="0" applyFont="1" applyBorder="1" applyAlignment="1">
      <alignment horizontal="center" vertical="center"/>
    </xf>
    <xf numFmtId="0" fontId="49" fillId="0" borderId="10" xfId="0" applyFont="1" applyBorder="1" applyAlignment="1">
      <alignment horizontal="center" vertical="center"/>
    </xf>
    <xf numFmtId="0" fontId="49" fillId="0" borderId="11" xfId="0" applyFont="1" applyBorder="1" applyAlignment="1">
      <alignment horizontal="center" vertical="center"/>
    </xf>
    <xf numFmtId="0" fontId="49" fillId="7" borderId="1" xfId="0" applyFont="1" applyFill="1" applyBorder="1" applyAlignment="1">
      <alignment horizontal="left" vertical="center"/>
    </xf>
    <xf numFmtId="0" fontId="49" fillId="0" borderId="12" xfId="0" applyFont="1" applyBorder="1" applyAlignment="1">
      <alignment horizontal="left" vertical="center"/>
    </xf>
    <xf numFmtId="0" fontId="49" fillId="0" borderId="13" xfId="0" applyFont="1" applyBorder="1" applyAlignment="1">
      <alignment horizontal="left" vertical="center"/>
    </xf>
    <xf numFmtId="0" fontId="49" fillId="0" borderId="2" xfId="0" applyFont="1" applyBorder="1" applyAlignment="1">
      <alignment horizontal="left" vertical="center"/>
    </xf>
    <xf numFmtId="0" fontId="49" fillId="0" borderId="4" xfId="0" applyFont="1" applyBorder="1" applyAlignment="1">
      <alignment horizontal="left" vertical="center"/>
    </xf>
    <xf numFmtId="0" fontId="52" fillId="7" borderId="2" xfId="0" applyFont="1" applyFill="1" applyBorder="1" applyAlignment="1">
      <alignment horizontal="left" vertical="center"/>
    </xf>
    <xf numFmtId="0" fontId="52" fillId="7" borderId="4" xfId="0" applyFont="1" applyFill="1" applyBorder="1" applyAlignment="1">
      <alignment horizontal="left" vertical="center"/>
    </xf>
    <xf numFmtId="0" fontId="49" fillId="0" borderId="42" xfId="0" applyFont="1" applyBorder="1" applyAlignment="1">
      <alignment horizontal="center" vertical="center" wrapText="1"/>
    </xf>
    <xf numFmtId="0" fontId="49" fillId="0" borderId="43" xfId="0" applyFont="1" applyBorder="1" applyAlignment="1">
      <alignment horizontal="center" vertical="center" wrapText="1"/>
    </xf>
    <xf numFmtId="0" fontId="52" fillId="0" borderId="12" xfId="0" applyFont="1" applyBorder="1" applyAlignment="1">
      <alignment horizontal="center" vertical="center" wrapText="1"/>
    </xf>
    <xf numFmtId="0" fontId="52" fillId="0" borderId="18" xfId="0" applyFont="1" applyBorder="1" applyAlignment="1">
      <alignment horizontal="center" vertical="center" wrapText="1"/>
    </xf>
    <xf numFmtId="0" fontId="52" fillId="0" borderId="13" xfId="0" applyFont="1" applyBorder="1" applyAlignment="1">
      <alignment horizontal="center" vertical="center" wrapText="1"/>
    </xf>
    <xf numFmtId="1" fontId="4" fillId="0" borderId="8" xfId="0" applyNumberFormat="1" applyFont="1" applyBorder="1" applyAlignment="1">
      <alignment horizontal="center" vertical="center"/>
    </xf>
    <xf numFmtId="1" fontId="4" fillId="0" borderId="19" xfId="0" applyNumberFormat="1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2" fontId="50" fillId="0" borderId="5" xfId="0" applyNumberFormat="1" applyFont="1" applyBorder="1" applyAlignment="1">
      <alignment horizontal="center" vertical="center"/>
    </xf>
    <xf numFmtId="2" fontId="50" fillId="0" borderId="6" xfId="0" applyNumberFormat="1" applyFont="1" applyBorder="1" applyAlignment="1">
      <alignment horizontal="center" vertical="center"/>
    </xf>
    <xf numFmtId="0" fontId="50" fillId="0" borderId="5" xfId="0" applyFont="1" applyBorder="1" applyAlignment="1">
      <alignment horizontal="center" vertical="center"/>
    </xf>
    <xf numFmtId="0" fontId="50" fillId="0" borderId="6" xfId="0" applyFont="1" applyBorder="1" applyAlignment="1">
      <alignment horizontal="center" vertical="center"/>
    </xf>
    <xf numFmtId="0" fontId="48" fillId="0" borderId="5" xfId="0" applyFont="1" applyBorder="1" applyAlignment="1">
      <alignment horizontal="left" vertical="center"/>
    </xf>
    <xf numFmtId="0" fontId="48" fillId="0" borderId="6" xfId="0" applyFont="1" applyBorder="1" applyAlignment="1">
      <alignment horizontal="left" vertical="center"/>
    </xf>
    <xf numFmtId="0" fontId="48" fillId="0" borderId="1" xfId="0" applyFont="1" applyBorder="1" applyAlignment="1">
      <alignment horizontal="left"/>
    </xf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5" xfId="0" applyFont="1" applyBorder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/>
    </xf>
    <xf numFmtId="0" fontId="33" fillId="0" borderId="0" xfId="0" applyFont="1" applyAlignment="1">
      <alignment horizont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1" fillId="0" borderId="1" xfId="0" applyFont="1" applyBorder="1" applyAlignment="1">
      <alignment horizontal="left"/>
    </xf>
    <xf numFmtId="0" fontId="20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left" vertical="center"/>
    </xf>
    <xf numFmtId="0" fontId="46" fillId="0" borderId="1" xfId="0" applyFont="1" applyBorder="1" applyAlignment="1">
      <alignment horizontal="center"/>
    </xf>
    <xf numFmtId="0" fontId="44" fillId="6" borderId="1" xfId="0" applyFont="1" applyFill="1" applyBorder="1" applyAlignment="1">
      <alignment horizontal="left" vertical="center"/>
    </xf>
    <xf numFmtId="0" fontId="44" fillId="6" borderId="2" xfId="0" applyFont="1" applyFill="1" applyBorder="1" applyAlignment="1">
      <alignment horizontal="left" vertical="center"/>
    </xf>
    <xf numFmtId="0" fontId="44" fillId="6" borderId="5" xfId="0" applyFont="1" applyFill="1" applyBorder="1" applyAlignment="1">
      <alignment horizontal="center"/>
    </xf>
    <xf numFmtId="0" fontId="54" fillId="0" borderId="21" xfId="0" applyFont="1" applyBorder="1" applyAlignment="1">
      <alignment horizontal="center" vertical="center"/>
    </xf>
    <xf numFmtId="0" fontId="54" fillId="0" borderId="22" xfId="0" applyFont="1" applyBorder="1" applyAlignment="1">
      <alignment horizontal="center" vertical="center"/>
    </xf>
    <xf numFmtId="0" fontId="54" fillId="0" borderId="23" xfId="0" applyFont="1" applyBorder="1" applyAlignment="1">
      <alignment horizontal="center" vertical="center"/>
    </xf>
    <xf numFmtId="0" fontId="49" fillId="7" borderId="2" xfId="0" applyFont="1" applyFill="1" applyBorder="1" applyAlignment="1">
      <alignment horizontal="center" vertical="center"/>
    </xf>
    <xf numFmtId="0" fontId="49" fillId="7" borderId="4" xfId="0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9" fillId="0" borderId="4" xfId="0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22" xfId="0" applyNumberFormat="1" applyFont="1" applyBorder="1" applyAlignment="1">
      <alignment horizontal="center" vertical="center"/>
    </xf>
    <xf numFmtId="1" fontId="4" fillId="0" borderId="23" xfId="0" applyNumberFormat="1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54" fillId="0" borderId="27" xfId="0" applyFont="1" applyBorder="1" applyAlignment="1">
      <alignment horizontal="center" vertical="center"/>
    </xf>
    <xf numFmtId="0" fontId="54" fillId="0" borderId="28" xfId="0" applyFont="1" applyBorder="1" applyAlignment="1">
      <alignment horizontal="center" vertical="center"/>
    </xf>
    <xf numFmtId="0" fontId="54" fillId="0" borderId="10" xfId="0" applyFont="1" applyBorder="1" applyAlignment="1">
      <alignment horizontal="center" vertical="center"/>
    </xf>
    <xf numFmtId="0" fontId="54" fillId="0" borderId="11" xfId="0" applyFont="1" applyBorder="1" applyAlignment="1">
      <alignment horizontal="center" vertical="center"/>
    </xf>
    <xf numFmtId="0" fontId="54" fillId="7" borderId="12" xfId="0" applyFont="1" applyFill="1" applyBorder="1" applyAlignment="1">
      <alignment horizontal="center"/>
    </xf>
    <xf numFmtId="0" fontId="54" fillId="7" borderId="13" xfId="0" applyFont="1" applyFill="1" applyBorder="1" applyAlignment="1">
      <alignment horizontal="center"/>
    </xf>
    <xf numFmtId="164" fontId="54" fillId="7" borderId="12" xfId="0" applyNumberFormat="1" applyFont="1" applyFill="1" applyBorder="1" applyAlignment="1">
      <alignment horizontal="center"/>
    </xf>
    <xf numFmtId="164" fontId="54" fillId="7" borderId="13" xfId="0" applyNumberFormat="1" applyFont="1" applyFill="1" applyBorder="1" applyAlignment="1">
      <alignment horizontal="center"/>
    </xf>
    <xf numFmtId="164" fontId="54" fillId="0" borderId="5" xfId="0" applyNumberFormat="1" applyFont="1" applyBorder="1" applyAlignment="1">
      <alignment horizontal="center" vertical="center" wrapText="1"/>
    </xf>
    <xf numFmtId="164" fontId="54" fillId="0" borderId="6" xfId="0" applyNumberFormat="1" applyFont="1" applyBorder="1" applyAlignment="1">
      <alignment horizontal="center" vertical="center" wrapText="1"/>
    </xf>
    <xf numFmtId="0" fontId="54" fillId="7" borderId="2" xfId="0" applyFont="1" applyFill="1" applyBorder="1" applyAlignment="1">
      <alignment horizontal="center" vertical="center"/>
    </xf>
    <xf numFmtId="0" fontId="54" fillId="7" borderId="4" xfId="0" applyFont="1" applyFill="1" applyBorder="1" applyAlignment="1">
      <alignment horizontal="center" vertical="center"/>
    </xf>
    <xf numFmtId="0" fontId="49" fillId="0" borderId="4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49" fillId="7" borderId="2" xfId="0" applyFont="1" applyFill="1" applyBorder="1" applyAlignment="1">
      <alignment horizontal="left" vertical="center"/>
    </xf>
    <xf numFmtId="0" fontId="49" fillId="7" borderId="4" xfId="0" applyFont="1" applyFill="1" applyBorder="1" applyAlignment="1">
      <alignment horizontal="left" vertical="center"/>
    </xf>
    <xf numFmtId="0" fontId="61" fillId="0" borderId="21" xfId="0" applyFont="1" applyBorder="1" applyAlignment="1">
      <alignment horizontal="center" vertical="center"/>
    </xf>
    <xf numFmtId="0" fontId="61" fillId="0" borderId="22" xfId="0" applyFont="1" applyBorder="1" applyAlignment="1">
      <alignment horizontal="center" vertical="center"/>
    </xf>
    <xf numFmtId="0" fontId="61" fillId="0" borderId="2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3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3" fillId="4" borderId="58" xfId="0" applyFont="1" applyFill="1" applyBorder="1" applyAlignment="1">
      <alignment horizontal="center" vertical="center"/>
    </xf>
    <xf numFmtId="0" fontId="83" fillId="4" borderId="59" xfId="0" applyFont="1" applyFill="1" applyBorder="1" applyAlignment="1">
      <alignment horizontal="center" vertical="center"/>
    </xf>
    <xf numFmtId="0" fontId="83" fillId="4" borderId="60" xfId="0" applyFont="1" applyFill="1" applyBorder="1" applyAlignment="1">
      <alignment horizontal="center" vertical="center"/>
    </xf>
    <xf numFmtId="0" fontId="83" fillId="4" borderId="63" xfId="0" applyFont="1" applyFill="1" applyBorder="1" applyAlignment="1">
      <alignment horizontal="center" vertical="center"/>
    </xf>
    <xf numFmtId="0" fontId="83" fillId="4" borderId="64" xfId="0" applyFont="1" applyFill="1" applyBorder="1" applyAlignment="1">
      <alignment horizontal="center" vertical="center"/>
    </xf>
    <xf numFmtId="0" fontId="83" fillId="4" borderId="65" xfId="0" applyFont="1" applyFill="1" applyBorder="1" applyAlignment="1">
      <alignment horizontal="center" vertical="center"/>
    </xf>
    <xf numFmtId="0" fontId="83" fillId="4" borderId="47" xfId="0" applyFont="1" applyFill="1" applyBorder="1" applyAlignment="1">
      <alignment horizontal="center" vertical="center"/>
    </xf>
    <xf numFmtId="0" fontId="83" fillId="4" borderId="65" xfId="0" applyFont="1" applyFill="1" applyBorder="1" applyAlignment="1">
      <alignment horizontal="center" vertical="center" wrapText="1"/>
    </xf>
    <xf numFmtId="0" fontId="83" fillId="4" borderId="47" xfId="0" applyFont="1" applyFill="1" applyBorder="1" applyAlignment="1">
      <alignment horizontal="center" vertical="center" wrapText="1"/>
    </xf>
    <xf numFmtId="0" fontId="81" fillId="0" borderId="54" xfId="0" applyFont="1" applyBorder="1" applyAlignment="1">
      <alignment horizontal="center" vertical="center"/>
    </xf>
    <xf numFmtId="0" fontId="81" fillId="0" borderId="55" xfId="0" applyFont="1" applyBorder="1" applyAlignment="1">
      <alignment horizontal="center" vertical="center"/>
    </xf>
    <xf numFmtId="0" fontId="81" fillId="0" borderId="29" xfId="0" applyFont="1" applyBorder="1" applyAlignment="1">
      <alignment horizontal="center" vertical="center"/>
    </xf>
    <xf numFmtId="0" fontId="81" fillId="0" borderId="30" xfId="0" applyFont="1" applyBorder="1" applyAlignment="1">
      <alignment horizontal="center" vertical="center"/>
    </xf>
    <xf numFmtId="0" fontId="81" fillId="0" borderId="31" xfId="0" applyFont="1" applyBorder="1" applyAlignment="1">
      <alignment horizontal="center" vertical="center"/>
    </xf>
    <xf numFmtId="0" fontId="81" fillId="0" borderId="37" xfId="0" applyFont="1" applyBorder="1" applyAlignment="1">
      <alignment horizontal="center" vertical="center"/>
    </xf>
    <xf numFmtId="0" fontId="81" fillId="0" borderId="39" xfId="0" applyFont="1" applyBorder="1" applyAlignment="1">
      <alignment horizontal="center" vertical="center"/>
    </xf>
    <xf numFmtId="169" fontId="26" fillId="0" borderId="1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center" vertical="center" wrapText="1"/>
    </xf>
    <xf numFmtId="2" fontId="26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164" fontId="26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wrapText="1"/>
    </xf>
    <xf numFmtId="0" fontId="26" fillId="0" borderId="19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2" fontId="51" fillId="0" borderId="5" xfId="0" applyNumberFormat="1" applyFont="1" applyBorder="1" applyAlignment="1">
      <alignment horizontal="center" vertical="center"/>
    </xf>
    <xf numFmtId="2" fontId="51" fillId="0" borderId="6" xfId="0" applyNumberFormat="1" applyFont="1" applyBorder="1" applyAlignment="1">
      <alignment horizontal="center" vertical="center"/>
    </xf>
    <xf numFmtId="0" fontId="63" fillId="0" borderId="18" xfId="0" applyFont="1" applyBorder="1" applyAlignment="1">
      <alignment horizontal="center" vertical="center"/>
    </xf>
    <xf numFmtId="0" fontId="54" fillId="0" borderId="2" xfId="0" applyFont="1" applyBorder="1" applyAlignment="1">
      <alignment horizontal="center"/>
    </xf>
    <xf numFmtId="0" fontId="54" fillId="0" borderId="4" xfId="0" applyFont="1" applyBorder="1" applyAlignment="1">
      <alignment horizontal="center"/>
    </xf>
    <xf numFmtId="0" fontId="49" fillId="0" borderId="2" xfId="0" applyFont="1" applyBorder="1" applyAlignment="1">
      <alignment horizontal="left" vertical="center" wrapText="1"/>
    </xf>
    <xf numFmtId="0" fontId="49" fillId="0" borderId="3" xfId="0" applyFont="1" applyBorder="1" applyAlignment="1">
      <alignment horizontal="left" vertical="center" wrapText="1"/>
    </xf>
    <xf numFmtId="0" fontId="49" fillId="0" borderId="4" xfId="0" applyFont="1" applyBorder="1" applyAlignment="1">
      <alignment horizontal="left" vertical="center" wrapText="1"/>
    </xf>
    <xf numFmtId="0" fontId="51" fillId="0" borderId="5" xfId="0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0" fontId="62" fillId="7" borderId="2" xfId="0" applyFont="1" applyFill="1" applyBorder="1" applyAlignment="1">
      <alignment horizontal="left" vertical="center"/>
    </xf>
    <xf numFmtId="0" fontId="62" fillId="7" borderId="4" xfId="0" applyFont="1" applyFill="1" applyBorder="1" applyAlignment="1">
      <alignment horizontal="left" vertical="center"/>
    </xf>
    <xf numFmtId="2" fontId="50" fillId="0" borderId="1" xfId="0" applyNumberFormat="1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 wrapText="1"/>
    </xf>
    <xf numFmtId="0" fontId="63" fillId="0" borderId="18" xfId="0" applyFont="1" applyBorder="1" applyAlignment="1">
      <alignment horizontal="center" vertical="center" wrapText="1"/>
    </xf>
    <xf numFmtId="0" fontId="63" fillId="0" borderId="13" xfId="0" applyFont="1" applyBorder="1" applyAlignment="1">
      <alignment horizontal="center" vertical="center" wrapText="1"/>
    </xf>
    <xf numFmtId="0" fontId="99" fillId="0" borderId="1" xfId="0" applyFont="1" applyBorder="1" applyAlignment="1">
      <alignment vertical="center"/>
    </xf>
    <xf numFmtId="0" fontId="99" fillId="0" borderId="1" xfId="0" applyFont="1" applyBorder="1" applyAlignment="1">
      <alignment vertical="center" wrapText="1"/>
    </xf>
    <xf numFmtId="164" fontId="99" fillId="0" borderId="1" xfId="0" applyNumberFormat="1" applyFont="1" applyBorder="1" applyAlignment="1">
      <alignment vertical="center" wrapText="1"/>
    </xf>
    <xf numFmtId="0" fontId="97" fillId="0" borderId="2" xfId="0" applyFont="1" applyBorder="1" applyAlignment="1">
      <alignment horizontal="center" vertical="center"/>
    </xf>
    <xf numFmtId="0" fontId="97" fillId="0" borderId="4" xfId="0" applyFont="1" applyBorder="1" applyAlignment="1">
      <alignment horizontal="center" vertical="center"/>
    </xf>
    <xf numFmtId="0" fontId="98" fillId="0" borderId="1" xfId="0" applyFont="1" applyBorder="1" applyAlignment="1">
      <alignment vertical="center"/>
    </xf>
    <xf numFmtId="0" fontId="98" fillId="0" borderId="1" xfId="0" applyFont="1" applyBorder="1" applyAlignment="1">
      <alignment horizontal="center" vertical="center"/>
    </xf>
    <xf numFmtId="0" fontId="98" fillId="0" borderId="1" xfId="0" applyFont="1" applyBorder="1" applyAlignment="1">
      <alignment horizontal="center" vertical="center" wrapText="1"/>
    </xf>
    <xf numFmtId="0" fontId="96" fillId="0" borderId="0" xfId="0" applyFont="1" applyAlignment="1">
      <alignment horizontal="center"/>
    </xf>
    <xf numFmtId="0" fontId="96" fillId="0" borderId="18" xfId="0" applyFont="1" applyBorder="1" applyAlignment="1">
      <alignment horizontal="center"/>
    </xf>
    <xf numFmtId="0" fontId="96" fillId="0" borderId="4" xfId="0" applyFont="1" applyBorder="1" applyAlignment="1">
      <alignment horizontal="center"/>
    </xf>
    <xf numFmtId="0" fontId="96" fillId="0" borderId="1" xfId="0" applyFont="1" applyBorder="1" applyAlignment="1">
      <alignment horizontal="center"/>
    </xf>
    <xf numFmtId="0" fontId="97" fillId="4" borderId="1" xfId="0" applyFont="1" applyFill="1" applyBorder="1" applyAlignment="1">
      <alignment horizontal="center" vertical="center"/>
    </xf>
    <xf numFmtId="164" fontId="101" fillId="0" borderId="5" xfId="0" applyNumberFormat="1" applyFont="1" applyBorder="1" applyAlignment="1">
      <alignment horizontal="center" vertical="center" wrapText="1"/>
    </xf>
    <xf numFmtId="164" fontId="101" fillId="0" borderId="6" xfId="0" applyNumberFormat="1" applyFont="1" applyBorder="1" applyAlignment="1">
      <alignment horizontal="center" vertical="center" wrapText="1"/>
    </xf>
    <xf numFmtId="0" fontId="103" fillId="4" borderId="29" xfId="0" applyFont="1" applyFill="1" applyBorder="1" applyAlignment="1">
      <alignment horizontal="center" vertical="center"/>
    </xf>
    <xf numFmtId="0" fontId="103" fillId="4" borderId="34" xfId="0" applyFont="1" applyFill="1" applyBorder="1" applyAlignment="1">
      <alignment horizontal="center" vertical="center"/>
    </xf>
    <xf numFmtId="0" fontId="103" fillId="4" borderId="30" xfId="0" applyFont="1" applyFill="1" applyBorder="1" applyAlignment="1">
      <alignment horizontal="center" vertical="center"/>
    </xf>
    <xf numFmtId="0" fontId="103" fillId="4" borderId="31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78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8" xfId="0" applyBorder="1" applyAlignment="1">
      <alignment horizontal="center"/>
    </xf>
    <xf numFmtId="0" fontId="68" fillId="0" borderId="81" xfId="0" applyFont="1" applyBorder="1" applyAlignment="1">
      <alignment horizontal="center"/>
    </xf>
    <xf numFmtId="0" fontId="106" fillId="0" borderId="18" xfId="0" applyFont="1" applyBorder="1" applyAlignment="1">
      <alignment horizontal="center" vertical="center"/>
    </xf>
    <xf numFmtId="0" fontId="50" fillId="0" borderId="27" xfId="0" applyFont="1" applyBorder="1" applyAlignment="1">
      <alignment horizontal="center" vertical="center"/>
    </xf>
    <xf numFmtId="0" fontId="50" fillId="0" borderId="28" xfId="0" applyFont="1" applyBorder="1" applyAlignment="1">
      <alignment horizontal="center" vertical="center"/>
    </xf>
    <xf numFmtId="0" fontId="50" fillId="0" borderId="10" xfId="0" applyFont="1" applyBorder="1" applyAlignment="1">
      <alignment horizontal="center" vertical="center"/>
    </xf>
    <xf numFmtId="0" fontId="50" fillId="0" borderId="11" xfId="0" applyFont="1" applyBorder="1" applyAlignment="1">
      <alignment horizontal="center" vertical="center"/>
    </xf>
    <xf numFmtId="164" fontId="50" fillId="0" borderId="5" xfId="0" applyNumberFormat="1" applyFont="1" applyBorder="1" applyAlignment="1">
      <alignment horizontal="center" vertical="center"/>
    </xf>
    <xf numFmtId="164" fontId="50" fillId="0" borderId="6" xfId="0" applyNumberFormat="1" applyFont="1" applyBorder="1" applyAlignment="1">
      <alignment horizontal="center" vertical="center"/>
    </xf>
    <xf numFmtId="0" fontId="49" fillId="4" borderId="12" xfId="0" applyFont="1" applyFill="1" applyBorder="1" applyAlignment="1">
      <alignment horizontal="left" vertical="center"/>
    </xf>
    <xf numFmtId="0" fontId="49" fillId="4" borderId="13" xfId="0" applyFont="1" applyFill="1" applyBorder="1" applyAlignment="1">
      <alignment horizontal="left" vertical="center"/>
    </xf>
    <xf numFmtId="0" fontId="49" fillId="4" borderId="2" xfId="0" applyFont="1" applyFill="1" applyBorder="1" applyAlignment="1">
      <alignment horizontal="left" vertical="center"/>
    </xf>
    <xf numFmtId="0" fontId="49" fillId="4" borderId="4" xfId="0" applyFont="1" applyFill="1" applyBorder="1" applyAlignment="1">
      <alignment horizontal="left" vertical="center"/>
    </xf>
    <xf numFmtId="0" fontId="114" fillId="0" borderId="2" xfId="0" applyFont="1" applyBorder="1" applyAlignment="1">
      <alignment horizontal="left" vertical="center" wrapText="1"/>
    </xf>
    <xf numFmtId="0" fontId="114" fillId="0" borderId="4" xfId="0" applyFont="1" applyBorder="1" applyAlignment="1">
      <alignment horizontal="left" vertical="center" wrapText="1"/>
    </xf>
    <xf numFmtId="0" fontId="114" fillId="7" borderId="2" xfId="0" applyFont="1" applyFill="1" applyBorder="1" applyAlignment="1">
      <alignment horizontal="left" vertical="center" wrapText="1"/>
    </xf>
    <xf numFmtId="0" fontId="114" fillId="7" borderId="3" xfId="0" applyFont="1" applyFill="1" applyBorder="1" applyAlignment="1">
      <alignment horizontal="left" vertical="center" wrapText="1"/>
    </xf>
    <xf numFmtId="0" fontId="114" fillId="7" borderId="4" xfId="0" applyFont="1" applyFill="1" applyBorder="1" applyAlignment="1">
      <alignment horizontal="left" vertical="center" wrapText="1"/>
    </xf>
    <xf numFmtId="0" fontId="75" fillId="10" borderId="2" xfId="2" applyBorder="1" applyAlignment="1">
      <alignment horizontal="center" vertical="center"/>
    </xf>
    <xf numFmtId="0" fontId="75" fillId="10" borderId="4" xfId="2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1" fillId="0" borderId="3" xfId="0" applyFont="1" applyBorder="1" applyAlignment="1">
      <alignment horizontal="left" vertical="center"/>
    </xf>
    <xf numFmtId="0" fontId="50" fillId="7" borderId="2" xfId="0" applyFont="1" applyFill="1" applyBorder="1" applyAlignment="1">
      <alignment horizontal="left" vertical="center"/>
    </xf>
    <xf numFmtId="0" fontId="50" fillId="7" borderId="3" xfId="0" applyFont="1" applyFill="1" applyBorder="1" applyAlignment="1">
      <alignment horizontal="left" vertical="center"/>
    </xf>
    <xf numFmtId="0" fontId="50" fillId="7" borderId="4" xfId="0" applyFont="1" applyFill="1" applyBorder="1" applyAlignment="1">
      <alignment horizontal="left" vertical="center"/>
    </xf>
    <xf numFmtId="0" fontId="51" fillId="0" borderId="4" xfId="0" applyFont="1" applyBorder="1" applyAlignment="1">
      <alignment horizontal="left" vertical="center"/>
    </xf>
    <xf numFmtId="0" fontId="51" fillId="0" borderId="5" xfId="0" applyFont="1" applyBorder="1" applyAlignment="1">
      <alignment horizontal="left" vertical="center"/>
    </xf>
    <xf numFmtId="0" fontId="51" fillId="0" borderId="6" xfId="0" applyFont="1" applyBorder="1" applyAlignment="1">
      <alignment horizontal="left" vertical="center"/>
    </xf>
    <xf numFmtId="0" fontId="51" fillId="0" borderId="7" xfId="0" applyFont="1" applyBorder="1" applyAlignment="1">
      <alignment horizontal="center" vertical="center"/>
    </xf>
    <xf numFmtId="0" fontId="50" fillId="7" borderId="2" xfId="0" applyFont="1" applyFill="1" applyBorder="1" applyAlignment="1">
      <alignment horizontal="left" vertical="center" wrapText="1"/>
    </xf>
    <xf numFmtId="0" fontId="50" fillId="7" borderId="3" xfId="0" applyFont="1" applyFill="1" applyBorder="1" applyAlignment="1">
      <alignment horizontal="left" vertical="center" wrapText="1"/>
    </xf>
    <xf numFmtId="0" fontId="50" fillId="7" borderId="4" xfId="0" applyFont="1" applyFill="1" applyBorder="1" applyAlignment="1">
      <alignment horizontal="left" vertical="center" wrapText="1"/>
    </xf>
    <xf numFmtId="0" fontId="50" fillId="0" borderId="5" xfId="0" applyFont="1" applyBorder="1" applyAlignment="1">
      <alignment horizontal="left" vertical="center"/>
    </xf>
    <xf numFmtId="0" fontId="50" fillId="0" borderId="7" xfId="0" applyFont="1" applyBorder="1" applyAlignment="1">
      <alignment horizontal="left" vertical="center"/>
    </xf>
    <xf numFmtId="0" fontId="50" fillId="0" borderId="6" xfId="0" applyFont="1" applyBorder="1" applyAlignment="1">
      <alignment horizontal="left" vertical="center"/>
    </xf>
    <xf numFmtId="0" fontId="50" fillId="0" borderId="2" xfId="0" applyFont="1" applyBorder="1" applyAlignment="1">
      <alignment horizontal="left"/>
    </xf>
    <xf numFmtId="0" fontId="50" fillId="0" borderId="3" xfId="0" applyFont="1" applyBorder="1" applyAlignment="1">
      <alignment horizontal="left"/>
    </xf>
    <xf numFmtId="0" fontId="50" fillId="0" borderId="4" xfId="0" applyFont="1" applyBorder="1" applyAlignment="1">
      <alignment horizontal="left"/>
    </xf>
    <xf numFmtId="0" fontId="50" fillId="0" borderId="2" xfId="0" applyFont="1" applyBorder="1" applyAlignment="1">
      <alignment horizontal="left" wrapText="1"/>
    </xf>
    <xf numFmtId="0" fontId="50" fillId="0" borderId="3" xfId="0" applyFont="1" applyBorder="1" applyAlignment="1">
      <alignment horizontal="left" wrapText="1"/>
    </xf>
    <xf numFmtId="0" fontId="50" fillId="0" borderId="4" xfId="0" applyFont="1" applyBorder="1" applyAlignment="1">
      <alignment horizontal="left" wrapText="1"/>
    </xf>
    <xf numFmtId="0" fontId="78" fillId="0" borderId="21" xfId="0" applyFont="1" applyBorder="1" applyAlignment="1">
      <alignment horizontal="center" vertical="center"/>
    </xf>
    <xf numFmtId="0" fontId="78" fillId="0" borderId="22" xfId="0" applyFont="1" applyBorder="1" applyAlignment="1">
      <alignment horizontal="center" vertical="center"/>
    </xf>
    <xf numFmtId="0" fontId="78" fillId="0" borderId="23" xfId="0" applyFont="1" applyBorder="1" applyAlignment="1">
      <alignment horizontal="center" vertical="center"/>
    </xf>
    <xf numFmtId="0" fontId="49" fillId="7" borderId="12" xfId="0" applyFont="1" applyFill="1" applyBorder="1" applyAlignment="1">
      <alignment horizontal="center" vertical="center"/>
    </xf>
    <xf numFmtId="0" fontId="49" fillId="7" borderId="13" xfId="0" applyFont="1" applyFill="1" applyBorder="1" applyAlignment="1">
      <alignment horizontal="center" vertical="center"/>
    </xf>
    <xf numFmtId="0" fontId="49" fillId="0" borderId="49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121" fillId="8" borderId="5" xfId="0" applyFont="1" applyFill="1" applyBorder="1" applyAlignment="1">
      <alignment horizontal="center" vertical="center" wrapText="1"/>
    </xf>
    <xf numFmtId="0" fontId="121" fillId="8" borderId="6" xfId="0" applyFont="1" applyFill="1" applyBorder="1" applyAlignment="1">
      <alignment horizontal="center" vertical="center" wrapText="1"/>
    </xf>
    <xf numFmtId="0" fontId="121" fillId="8" borderId="1" xfId="0" applyFont="1" applyFill="1" applyBorder="1" applyAlignment="1">
      <alignment horizontal="center" vertical="center" wrapText="1"/>
    </xf>
    <xf numFmtId="0" fontId="121" fillId="8" borderId="1" xfId="0" applyFont="1" applyFill="1" applyBorder="1" applyAlignment="1">
      <alignment horizontal="left" vertical="center" wrapText="1" indent="7"/>
    </xf>
    <xf numFmtId="0" fontId="121" fillId="8" borderId="1" xfId="0" applyFont="1" applyFill="1" applyBorder="1" applyAlignment="1">
      <alignment horizontal="left" vertical="center" wrapText="1" indent="6"/>
    </xf>
    <xf numFmtId="2" fontId="50" fillId="2" borderId="5" xfId="0" applyNumberFormat="1" applyFont="1" applyFill="1" applyBorder="1" applyAlignment="1">
      <alignment horizontal="center" vertical="center"/>
    </xf>
    <xf numFmtId="2" fontId="50" fillId="2" borderId="6" xfId="0" applyNumberFormat="1" applyFont="1" applyFill="1" applyBorder="1" applyAlignment="1">
      <alignment horizontal="center" vertical="center"/>
    </xf>
    <xf numFmtId="0" fontId="72" fillId="0" borderId="89" xfId="0" applyFont="1" applyBorder="1" applyAlignment="1">
      <alignment horizontal="center" vertical="center"/>
    </xf>
    <xf numFmtId="0" fontId="72" fillId="0" borderId="85" xfId="0" applyFont="1" applyBorder="1" applyAlignment="1">
      <alignment horizontal="center" vertical="center"/>
    </xf>
    <xf numFmtId="0" fontId="72" fillId="0" borderId="84" xfId="0" applyFont="1" applyBorder="1" applyAlignment="1">
      <alignment horizontal="center" vertical="center"/>
    </xf>
    <xf numFmtId="0" fontId="72" fillId="0" borderId="90" xfId="0" applyFont="1" applyBorder="1" applyAlignment="1">
      <alignment horizontal="center" vertical="center"/>
    </xf>
    <xf numFmtId="0" fontId="72" fillId="0" borderId="86" xfId="0" applyFont="1" applyBorder="1" applyAlignment="1">
      <alignment horizontal="center" vertical="center"/>
    </xf>
    <xf numFmtId="0" fontId="93" fillId="4" borderId="5" xfId="0" applyFont="1" applyFill="1" applyBorder="1" applyAlignment="1">
      <alignment horizontal="center" vertical="center"/>
    </xf>
    <xf numFmtId="0" fontId="93" fillId="4" borderId="6" xfId="0" applyFont="1" applyFill="1" applyBorder="1" applyAlignment="1">
      <alignment horizontal="center" vertical="center"/>
    </xf>
    <xf numFmtId="0" fontId="93" fillId="4" borderId="69" xfId="0" applyFont="1" applyFill="1" applyBorder="1" applyAlignment="1">
      <alignment horizontal="center" vertical="center"/>
    </xf>
    <xf numFmtId="0" fontId="93" fillId="4" borderId="52" xfId="0" applyFont="1" applyFill="1" applyBorder="1" applyAlignment="1">
      <alignment horizontal="center" vertical="center"/>
    </xf>
    <xf numFmtId="0" fontId="93" fillId="4" borderId="5" xfId="0" applyFont="1" applyFill="1" applyBorder="1" applyAlignment="1">
      <alignment horizontal="center" vertical="center" wrapText="1"/>
    </xf>
    <xf numFmtId="0" fontId="93" fillId="4" borderId="6" xfId="0" applyFont="1" applyFill="1" applyBorder="1" applyAlignment="1">
      <alignment horizontal="center" vertical="center" wrapText="1"/>
    </xf>
    <xf numFmtId="0" fontId="93" fillId="0" borderId="1" xfId="0" applyFont="1" applyBorder="1" applyAlignment="1">
      <alignment horizontal="center"/>
    </xf>
    <xf numFmtId="0" fontId="93" fillId="4" borderId="53" xfId="0" applyFont="1" applyFill="1" applyBorder="1" applyAlignment="1">
      <alignment horizontal="center" vertical="center"/>
    </xf>
    <xf numFmtId="0" fontId="93" fillId="4" borderId="38" xfId="0" applyFont="1" applyFill="1" applyBorder="1" applyAlignment="1">
      <alignment horizontal="center" vertical="center"/>
    </xf>
    <xf numFmtId="0" fontId="93" fillId="4" borderId="51" xfId="0" applyFont="1" applyFill="1" applyBorder="1" applyAlignment="1">
      <alignment horizontal="center" vertical="center"/>
    </xf>
    <xf numFmtId="0" fontId="93" fillId="4" borderId="29" xfId="0" applyFont="1" applyFill="1" applyBorder="1" applyAlignment="1">
      <alignment horizontal="center" vertical="center"/>
    </xf>
    <xf numFmtId="0" fontId="93" fillId="4" borderId="32" xfId="0" applyFont="1" applyFill="1" applyBorder="1" applyAlignment="1">
      <alignment horizontal="center" vertical="center"/>
    </xf>
    <xf numFmtId="0" fontId="93" fillId="4" borderId="4" xfId="0" applyFont="1" applyFill="1" applyBorder="1" applyAlignment="1">
      <alignment horizontal="center" vertical="center" wrapText="1"/>
    </xf>
    <xf numFmtId="0" fontId="93" fillId="4" borderId="1" xfId="0" applyFont="1" applyFill="1" applyBorder="1" applyAlignment="1">
      <alignment horizontal="center" vertical="center"/>
    </xf>
    <xf numFmtId="0" fontId="93" fillId="0" borderId="2" xfId="0" applyFont="1" applyBorder="1" applyAlignment="1">
      <alignment horizontal="center"/>
    </xf>
    <xf numFmtId="0" fontId="93" fillId="0" borderId="3" xfId="0" applyFont="1" applyBorder="1" applyAlignment="1">
      <alignment horizontal="center"/>
    </xf>
    <xf numFmtId="0" fontId="93" fillId="0" borderId="4" xfId="0" applyFont="1" applyBorder="1" applyAlignment="1">
      <alignment horizontal="center"/>
    </xf>
    <xf numFmtId="0" fontId="93" fillId="4" borderId="2" xfId="0" applyFont="1" applyFill="1" applyBorder="1" applyAlignment="1">
      <alignment horizontal="center" vertical="center"/>
    </xf>
    <xf numFmtId="0" fontId="93" fillId="4" borderId="3" xfId="0" applyFont="1" applyFill="1" applyBorder="1" applyAlignment="1">
      <alignment horizontal="center" vertical="center"/>
    </xf>
    <xf numFmtId="0" fontId="93" fillId="4" borderId="4" xfId="0" applyFont="1" applyFill="1" applyBorder="1" applyAlignment="1">
      <alignment horizontal="center" vertical="center"/>
    </xf>
    <xf numFmtId="0" fontId="93" fillId="4" borderId="91" xfId="0" applyFont="1" applyFill="1" applyBorder="1" applyAlignment="1">
      <alignment horizontal="center" vertical="center"/>
    </xf>
    <xf numFmtId="0" fontId="93" fillId="4" borderId="64" xfId="0" applyFont="1" applyFill="1" applyBorder="1" applyAlignment="1">
      <alignment horizontal="center" vertical="center"/>
    </xf>
    <xf numFmtId="0" fontId="93" fillId="4" borderId="92" xfId="0" applyFont="1" applyFill="1" applyBorder="1" applyAlignment="1">
      <alignment horizontal="center" vertical="center"/>
    </xf>
    <xf numFmtId="0" fontId="93" fillId="4" borderId="75" xfId="0" applyFont="1" applyFill="1" applyBorder="1" applyAlignment="1">
      <alignment horizontal="center" vertical="center"/>
    </xf>
    <xf numFmtId="0" fontId="93" fillId="4" borderId="93" xfId="0" applyFont="1" applyFill="1" applyBorder="1" applyAlignment="1">
      <alignment horizontal="center" vertical="center"/>
    </xf>
    <xf numFmtId="0" fontId="93" fillId="4" borderId="61" xfId="0" applyFont="1" applyFill="1" applyBorder="1" applyAlignment="1">
      <alignment horizontal="center" vertical="center"/>
    </xf>
    <xf numFmtId="0" fontId="93" fillId="4" borderId="47" xfId="0" applyFont="1" applyFill="1" applyBorder="1" applyAlignment="1">
      <alignment horizontal="center" vertical="center"/>
    </xf>
    <xf numFmtId="0" fontId="93" fillId="4" borderId="61" xfId="0" applyFont="1" applyFill="1" applyBorder="1" applyAlignment="1">
      <alignment horizontal="center" vertical="center" wrapText="1"/>
    </xf>
    <xf numFmtId="0" fontId="93" fillId="4" borderId="47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1" fontId="4" fillId="0" borderId="40" xfId="0" applyNumberFormat="1" applyFont="1" applyBorder="1" applyAlignment="1">
      <alignment horizontal="center" vertical="center"/>
    </xf>
    <xf numFmtId="1" fontId="4" fillId="0" borderId="67" xfId="0" applyNumberFormat="1" applyFont="1" applyBorder="1" applyAlignment="1">
      <alignment horizontal="center" vertical="center"/>
    </xf>
    <xf numFmtId="0" fontId="78" fillId="0" borderId="19" xfId="0" applyFont="1" applyBorder="1" applyAlignment="1">
      <alignment horizontal="center" vertical="center"/>
    </xf>
    <xf numFmtId="0" fontId="78" fillId="0" borderId="9" xfId="0" applyFont="1" applyBorder="1" applyAlignment="1">
      <alignment horizontal="center" vertical="center"/>
    </xf>
    <xf numFmtId="0" fontId="49" fillId="7" borderId="70" xfId="0" applyFont="1" applyFill="1" applyBorder="1" applyAlignment="1">
      <alignment horizontal="center" vertical="center"/>
    </xf>
    <xf numFmtId="0" fontId="49" fillId="7" borderId="71" xfId="0" applyFont="1" applyFill="1" applyBorder="1" applyAlignment="1">
      <alignment horizontal="center" vertical="center"/>
    </xf>
    <xf numFmtId="164" fontId="49" fillId="7" borderId="70" xfId="0" applyNumberFormat="1" applyFont="1" applyFill="1" applyBorder="1" applyAlignment="1">
      <alignment horizontal="center"/>
    </xf>
    <xf numFmtId="164" fontId="49" fillId="7" borderId="71" xfId="0" applyNumberFormat="1" applyFont="1" applyFill="1" applyBorder="1" applyAlignment="1">
      <alignment horizontal="center"/>
    </xf>
    <xf numFmtId="164" fontId="49" fillId="0" borderId="73" xfId="0" applyNumberFormat="1" applyFont="1" applyBorder="1" applyAlignment="1">
      <alignment horizontal="center" vertical="center" wrapText="1"/>
    </xf>
    <xf numFmtId="164" fontId="49" fillId="0" borderId="51" xfId="0" applyNumberFormat="1" applyFont="1" applyBorder="1" applyAlignment="1">
      <alignment horizontal="center" vertical="center" wrapText="1"/>
    </xf>
    <xf numFmtId="164" fontId="49" fillId="0" borderId="69" xfId="0" applyNumberFormat="1" applyFont="1" applyBorder="1" applyAlignment="1">
      <alignment horizontal="center" vertical="center" wrapText="1"/>
    </xf>
    <xf numFmtId="164" fontId="49" fillId="0" borderId="52" xfId="0" applyNumberFormat="1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/>
    </xf>
    <xf numFmtId="0" fontId="115" fillId="0" borderId="1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15" fillId="0" borderId="1" xfId="0" applyFont="1" applyBorder="1" applyAlignment="1">
      <alignment horizontal="center" vertical="center"/>
    </xf>
    <xf numFmtId="2" fontId="1" fillId="0" borderId="18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49" fillId="3" borderId="2" xfId="0" applyFont="1" applyFill="1" applyBorder="1" applyAlignment="1">
      <alignment horizontal="left" vertical="center" wrapText="1"/>
    </xf>
    <xf numFmtId="0" fontId="49" fillId="3" borderId="3" xfId="0" applyFont="1" applyFill="1" applyBorder="1" applyAlignment="1">
      <alignment horizontal="left" vertical="center" wrapText="1"/>
    </xf>
    <xf numFmtId="0" fontId="49" fillId="3" borderId="4" xfId="0" applyFont="1" applyFill="1" applyBorder="1" applyAlignment="1">
      <alignment horizontal="left" vertical="center" wrapText="1"/>
    </xf>
    <xf numFmtId="0" fontId="49" fillId="3" borderId="1" xfId="0" applyFont="1" applyFill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143" fillId="0" borderId="1" xfId="0" applyFont="1" applyBorder="1" applyAlignment="1">
      <alignment horizontal="center" vertical="center"/>
    </xf>
    <xf numFmtId="164" fontId="144" fillId="0" borderId="1" xfId="0" applyNumberFormat="1" applyFont="1" applyBorder="1" applyAlignment="1">
      <alignment horizontal="center" vertical="center"/>
    </xf>
    <xf numFmtId="164" fontId="143" fillId="0" borderId="1" xfId="0" applyNumberFormat="1" applyFont="1" applyBorder="1" applyAlignment="1">
      <alignment horizontal="center" vertical="center"/>
    </xf>
    <xf numFmtId="0" fontId="144" fillId="0" borderId="3" xfId="0" applyFont="1" applyBorder="1" applyAlignment="1">
      <alignment horizontal="center" vertical="center"/>
    </xf>
    <xf numFmtId="0" fontId="145" fillId="0" borderId="18" xfId="0" applyFont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 wrapText="1"/>
    </xf>
    <xf numFmtId="0" fontId="49" fillId="3" borderId="3" xfId="0" applyFont="1" applyFill="1" applyBorder="1" applyAlignment="1">
      <alignment horizontal="center" vertical="center" wrapText="1"/>
    </xf>
    <xf numFmtId="0" fontId="49" fillId="3" borderId="4" xfId="0" applyFont="1" applyFill="1" applyBorder="1" applyAlignment="1">
      <alignment horizontal="center" vertical="center" wrapText="1"/>
    </xf>
    <xf numFmtId="0" fontId="49" fillId="0" borderId="96" xfId="0" applyFont="1" applyBorder="1" applyAlignment="1">
      <alignment horizontal="center" vertical="center" wrapText="1"/>
    </xf>
    <xf numFmtId="0" fontId="49" fillId="0" borderId="97" xfId="0" applyFont="1" applyBorder="1" applyAlignment="1">
      <alignment horizontal="center" vertical="center" wrapText="1"/>
    </xf>
    <xf numFmtId="0" fontId="52" fillId="0" borderId="0" xfId="0" applyFont="1" applyAlignment="1">
      <alignment horizontal="center" vertical="center"/>
    </xf>
    <xf numFmtId="0" fontId="188" fillId="0" borderId="18" xfId="0" applyFont="1" applyBorder="1" applyAlignment="1">
      <alignment horizontal="center" vertical="center"/>
    </xf>
    <xf numFmtId="0" fontId="176" fillId="0" borderId="21" xfId="0" applyFont="1" applyBorder="1" applyAlignment="1">
      <alignment horizontal="right" vertical="center"/>
    </xf>
    <xf numFmtId="0" fontId="176" fillId="0" borderId="22" xfId="0" applyFont="1" applyBorder="1" applyAlignment="1">
      <alignment horizontal="right" vertical="center"/>
    </xf>
    <xf numFmtId="0" fontId="176" fillId="0" borderId="23" xfId="0" applyFont="1" applyBorder="1" applyAlignment="1">
      <alignment horizontal="right" vertical="center"/>
    </xf>
    <xf numFmtId="164" fontId="142" fillId="0" borderId="5" xfId="0" applyNumberFormat="1" applyFont="1" applyBorder="1" applyAlignment="1">
      <alignment horizontal="center" vertical="center" wrapText="1"/>
    </xf>
    <xf numFmtId="164" fontId="142" fillId="0" borderId="6" xfId="0" applyNumberFormat="1" applyFont="1" applyBorder="1" applyAlignment="1">
      <alignment horizontal="center" vertical="center" wrapText="1"/>
    </xf>
    <xf numFmtId="0" fontId="180" fillId="20" borderId="5" xfId="0" applyFont="1" applyFill="1" applyBorder="1" applyAlignment="1">
      <alignment horizontal="center" vertical="center"/>
    </xf>
    <xf numFmtId="0" fontId="180" fillId="20" borderId="6" xfId="0" applyFont="1" applyFill="1" applyBorder="1" applyAlignment="1">
      <alignment horizontal="center" vertical="center"/>
    </xf>
    <xf numFmtId="164" fontId="176" fillId="0" borderId="5" xfId="0" applyNumberFormat="1" applyFont="1" applyBorder="1" applyAlignment="1">
      <alignment horizontal="center" vertical="center" wrapText="1"/>
    </xf>
    <xf numFmtId="164" fontId="176" fillId="0" borderId="6" xfId="0" applyNumberFormat="1" applyFont="1" applyBorder="1" applyAlignment="1">
      <alignment horizontal="center" vertical="center" wrapText="1"/>
    </xf>
    <xf numFmtId="0" fontId="152" fillId="20" borderId="5" xfId="0" applyFont="1" applyFill="1" applyBorder="1" applyAlignment="1">
      <alignment horizontal="center" vertical="center"/>
    </xf>
    <xf numFmtId="0" fontId="152" fillId="20" borderId="6" xfId="0" applyFont="1" applyFill="1" applyBorder="1" applyAlignment="1">
      <alignment horizontal="center" vertical="center"/>
    </xf>
    <xf numFmtId="0" fontId="61" fillId="4" borderId="48" xfId="0" applyFont="1" applyFill="1" applyBorder="1" applyAlignment="1">
      <alignment horizontal="center"/>
    </xf>
    <xf numFmtId="0" fontId="61" fillId="4" borderId="105" xfId="0" applyFont="1" applyFill="1" applyBorder="1" applyAlignment="1">
      <alignment horizontal="center"/>
    </xf>
    <xf numFmtId="0" fontId="52" fillId="0" borderId="18" xfId="0" applyFont="1" applyBorder="1" applyAlignment="1">
      <alignment horizontal="center"/>
    </xf>
    <xf numFmtId="0" fontId="157" fillId="0" borderId="49" xfId="0" applyFont="1" applyBorder="1" applyAlignment="1">
      <alignment horizontal="center" vertical="center"/>
    </xf>
    <xf numFmtId="0" fontId="157" fillId="0" borderId="7" xfId="0" applyFont="1" applyBorder="1" applyAlignment="1">
      <alignment horizontal="center" vertical="center"/>
    </xf>
    <xf numFmtId="0" fontId="157" fillId="0" borderId="6" xfId="0" applyFont="1" applyBorder="1" applyAlignment="1">
      <alignment horizontal="center" vertical="center"/>
    </xf>
    <xf numFmtId="0" fontId="149" fillId="0" borderId="18" xfId="0" applyFont="1" applyBorder="1" applyAlignment="1">
      <alignment horizontal="center" vertical="center"/>
    </xf>
    <xf numFmtId="0" fontId="54" fillId="0" borderId="21" xfId="0" applyFont="1" applyBorder="1" applyAlignment="1">
      <alignment vertical="center"/>
    </xf>
    <xf numFmtId="0" fontId="54" fillId="0" borderId="22" xfId="0" applyFont="1" applyBorder="1" applyAlignment="1">
      <alignment vertical="center"/>
    </xf>
    <xf numFmtId="0" fontId="54" fillId="0" borderId="23" xfId="0" applyFont="1" applyBorder="1" applyAlignment="1">
      <alignment vertical="center"/>
    </xf>
    <xf numFmtId="1" fontId="4" fillId="0" borderId="8" xfId="0" applyNumberFormat="1" applyFont="1" applyBorder="1" applyAlignment="1">
      <alignment vertical="center"/>
    </xf>
    <xf numFmtId="1" fontId="4" fillId="0" borderId="19" xfId="0" applyNumberFormat="1" applyFont="1" applyBorder="1" applyAlignment="1">
      <alignment vertical="center"/>
    </xf>
    <xf numFmtId="1" fontId="4" fillId="0" borderId="9" xfId="0" applyNumberFormat="1" applyFont="1" applyBorder="1" applyAlignment="1">
      <alignment vertical="center"/>
    </xf>
    <xf numFmtId="0" fontId="4" fillId="0" borderId="12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9" fillId="13" borderId="12" xfId="0" applyFont="1" applyFill="1" applyBorder="1" applyAlignment="1">
      <alignment horizontal="center" vertical="center" wrapText="1"/>
    </xf>
    <xf numFmtId="0" fontId="49" fillId="13" borderId="18" xfId="0" applyFont="1" applyFill="1" applyBorder="1" applyAlignment="1">
      <alignment horizontal="center" vertical="center" wrapText="1"/>
    </xf>
    <xf numFmtId="0" fontId="49" fillId="13" borderId="13" xfId="0" applyFont="1" applyFill="1" applyBorder="1" applyAlignment="1">
      <alignment horizontal="center" vertical="center" wrapText="1"/>
    </xf>
    <xf numFmtId="1" fontId="49" fillId="0" borderId="7" xfId="0" applyNumberFormat="1" applyFont="1" applyBorder="1" applyAlignment="1">
      <alignment horizontal="center" vertical="center" wrapText="1"/>
    </xf>
    <xf numFmtId="1" fontId="49" fillId="0" borderId="6" xfId="0" applyNumberFormat="1" applyFont="1" applyBorder="1" applyAlignment="1">
      <alignment horizontal="center" vertical="center" wrapText="1"/>
    </xf>
    <xf numFmtId="1" fontId="4" fillId="0" borderId="7" xfId="0" applyNumberFormat="1" applyFont="1" applyBorder="1" applyAlignment="1">
      <alignment vertical="center" wrapText="1"/>
    </xf>
    <xf numFmtId="1" fontId="4" fillId="0" borderId="6" xfId="0" applyNumberFormat="1" applyFont="1" applyBorder="1" applyAlignment="1">
      <alignment vertical="center" wrapText="1"/>
    </xf>
    <xf numFmtId="0" fontId="61" fillId="0" borderId="2" xfId="0" applyFont="1" applyBorder="1" applyAlignment="1">
      <alignment horizontal="center"/>
    </xf>
    <xf numFmtId="0" fontId="61" fillId="0" borderId="4" xfId="0" applyFont="1" applyBorder="1" applyAlignment="1">
      <alignment horizontal="center"/>
    </xf>
    <xf numFmtId="0" fontId="4" fillId="7" borderId="1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9" fillId="0" borderId="5" xfId="0" applyFont="1" applyBorder="1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0" fontId="49" fillId="7" borderId="2" xfId="0" applyFont="1" applyFill="1" applyBorder="1" applyAlignment="1">
      <alignment horizontal="center" vertical="center" wrapText="1"/>
    </xf>
    <xf numFmtId="0" fontId="49" fillId="7" borderId="3" xfId="0" applyFont="1" applyFill="1" applyBorder="1" applyAlignment="1">
      <alignment horizontal="center" vertical="center" wrapText="1"/>
    </xf>
    <xf numFmtId="0" fontId="49" fillId="7" borderId="4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9" fillId="7" borderId="2" xfId="0" applyFont="1" applyFill="1" applyBorder="1" applyAlignment="1">
      <alignment vertical="center" wrapText="1"/>
    </xf>
    <xf numFmtId="0" fontId="49" fillId="7" borderId="3" xfId="0" applyFont="1" applyFill="1" applyBorder="1" applyAlignment="1">
      <alignment vertical="center" wrapText="1"/>
    </xf>
    <xf numFmtId="0" fontId="49" fillId="7" borderId="4" xfId="0" applyFont="1" applyFill="1" applyBorder="1" applyAlignment="1">
      <alignment vertical="center" wrapText="1"/>
    </xf>
    <xf numFmtId="2" fontId="87" fillId="4" borderId="5" xfId="0" applyNumberFormat="1" applyFont="1" applyFill="1" applyBorder="1" applyAlignment="1">
      <alignment horizontal="center" vertical="center"/>
    </xf>
    <xf numFmtId="2" fontId="87" fillId="4" borderId="6" xfId="0" applyNumberFormat="1" applyFont="1" applyFill="1" applyBorder="1" applyAlignment="1">
      <alignment horizontal="center" vertical="center"/>
    </xf>
    <xf numFmtId="1" fontId="4" fillId="0" borderId="5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/>
    </xf>
    <xf numFmtId="1" fontId="4" fillId="0" borderId="6" xfId="0" applyNumberFormat="1" applyFont="1" applyBorder="1" applyAlignment="1">
      <alignment horizontal="center" vertical="center"/>
    </xf>
    <xf numFmtId="1" fontId="49" fillId="0" borderId="5" xfId="0" applyNumberFormat="1" applyFont="1" applyBorder="1" applyAlignment="1">
      <alignment horizontal="center" vertical="center"/>
    </xf>
    <xf numFmtId="1" fontId="49" fillId="0" borderId="7" xfId="0" applyNumberFormat="1" applyFont="1" applyBorder="1" applyAlignment="1">
      <alignment horizontal="center" vertical="center"/>
    </xf>
    <xf numFmtId="1" fontId="49" fillId="0" borderId="6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" fontId="49" fillId="0" borderId="1" xfId="0" applyNumberFormat="1" applyFont="1" applyBorder="1" applyAlignment="1">
      <alignment horizontal="center" vertical="center"/>
    </xf>
    <xf numFmtId="1" fontId="144" fillId="4" borderId="1" xfId="0" applyNumberFormat="1" applyFont="1" applyFill="1" applyBorder="1" applyAlignment="1">
      <alignment horizontal="center" vertical="center" wrapText="1"/>
    </xf>
    <xf numFmtId="0" fontId="144" fillId="4" borderId="1" xfId="0" applyFont="1" applyFill="1" applyBorder="1" applyAlignment="1">
      <alignment horizontal="center" vertical="center"/>
    </xf>
    <xf numFmtId="164" fontId="144" fillId="4" borderId="1" xfId="0" applyNumberFormat="1" applyFont="1" applyFill="1" applyBorder="1" applyAlignment="1">
      <alignment horizontal="center" vertical="center" wrapText="1"/>
    </xf>
    <xf numFmtId="164" fontId="144" fillId="4" borderId="1" xfId="0" applyNumberFormat="1" applyFont="1" applyFill="1" applyBorder="1" applyAlignment="1">
      <alignment horizontal="center"/>
    </xf>
    <xf numFmtId="0" fontId="164" fillId="4" borderId="5" xfId="0" applyFont="1" applyFill="1" applyBorder="1" applyAlignment="1">
      <alignment horizontal="center" vertical="center"/>
    </xf>
    <xf numFmtId="0" fontId="164" fillId="4" borderId="6" xfId="0" applyFont="1" applyFill="1" applyBorder="1" applyAlignment="1">
      <alignment horizontal="center" vertical="center"/>
    </xf>
    <xf numFmtId="0" fontId="144" fillId="4" borderId="2" xfId="0" applyFont="1" applyFill="1" applyBorder="1" applyAlignment="1">
      <alignment horizontal="center"/>
    </xf>
    <xf numFmtId="0" fontId="144" fillId="4" borderId="3" xfId="0" applyFont="1" applyFill="1" applyBorder="1" applyAlignment="1">
      <alignment horizontal="center"/>
    </xf>
    <xf numFmtId="0" fontId="144" fillId="4" borderId="4" xfId="0" applyFont="1" applyFill="1" applyBorder="1" applyAlignment="1">
      <alignment horizontal="center"/>
    </xf>
    <xf numFmtId="0" fontId="144" fillId="4" borderId="1" xfId="0" applyFont="1" applyFill="1" applyBorder="1" applyAlignment="1">
      <alignment horizontal="left" vertical="center" wrapText="1"/>
    </xf>
    <xf numFmtId="2" fontId="165" fillId="4" borderId="1" xfId="0" applyNumberFormat="1" applyFont="1" applyFill="1" applyBorder="1" applyAlignment="1">
      <alignment horizontal="center" vertical="center"/>
    </xf>
    <xf numFmtId="0" fontId="143" fillId="4" borderId="1" xfId="0" applyFont="1" applyFill="1" applyBorder="1" applyAlignment="1">
      <alignment horizontal="left"/>
    </xf>
    <xf numFmtId="0" fontId="143" fillId="4" borderId="1" xfId="0" applyFont="1" applyFill="1" applyBorder="1" applyAlignment="1">
      <alignment horizontal="left" vertical="center"/>
    </xf>
    <xf numFmtId="0" fontId="143" fillId="4" borderId="2" xfId="0" applyFont="1" applyFill="1" applyBorder="1" applyAlignment="1">
      <alignment horizontal="center"/>
    </xf>
    <xf numFmtId="0" fontId="143" fillId="4" borderId="4" xfId="0" applyFont="1" applyFill="1" applyBorder="1" applyAlignment="1">
      <alignment horizontal="center"/>
    </xf>
    <xf numFmtId="2" fontId="144" fillId="4" borderId="1" xfId="0" applyNumberFormat="1" applyFont="1" applyFill="1" applyBorder="1" applyAlignment="1">
      <alignment horizontal="center" vertical="center"/>
    </xf>
    <xf numFmtId="0" fontId="144" fillId="4" borderId="5" xfId="0" applyFont="1" applyFill="1" applyBorder="1" applyAlignment="1">
      <alignment horizontal="center" vertical="center"/>
    </xf>
    <xf numFmtId="0" fontId="144" fillId="4" borderId="6" xfId="0" applyFont="1" applyFill="1" applyBorder="1" applyAlignment="1">
      <alignment horizontal="center" vertical="center"/>
    </xf>
    <xf numFmtId="2" fontId="144" fillId="4" borderId="5" xfId="0" applyNumberFormat="1" applyFont="1" applyFill="1" applyBorder="1" applyAlignment="1">
      <alignment horizontal="center" vertical="center"/>
    </xf>
    <xf numFmtId="2" fontId="144" fillId="4" borderId="6" xfId="0" applyNumberFormat="1" applyFont="1" applyFill="1" applyBorder="1" applyAlignment="1">
      <alignment horizontal="center" vertical="center"/>
    </xf>
    <xf numFmtId="0" fontId="71" fillId="9" borderId="65" xfId="0" applyFont="1" applyFill="1" applyBorder="1" applyAlignment="1">
      <alignment horizontal="center" vertical="center" wrapText="1"/>
    </xf>
    <xf numFmtId="0" fontId="71" fillId="9" borderId="47" xfId="0" applyFont="1" applyFill="1" applyBorder="1" applyAlignment="1">
      <alignment horizontal="center" vertical="center" wrapText="1"/>
    </xf>
    <xf numFmtId="16" fontId="71" fillId="9" borderId="65" xfId="0" applyNumberFormat="1" applyFont="1" applyFill="1" applyBorder="1" applyAlignment="1">
      <alignment horizontal="center" vertical="center" wrapText="1"/>
    </xf>
    <xf numFmtId="16" fontId="71" fillId="9" borderId="47" xfId="0" applyNumberFormat="1" applyFont="1" applyFill="1" applyBorder="1" applyAlignment="1">
      <alignment horizontal="center" vertical="center" wrapText="1"/>
    </xf>
    <xf numFmtId="0" fontId="132" fillId="2" borderId="1" xfId="0" applyFont="1" applyFill="1" applyBorder="1" applyAlignment="1">
      <alignment horizontal="center" vertical="center"/>
    </xf>
    <xf numFmtId="0" fontId="93" fillId="4" borderId="54" xfId="0" applyFont="1" applyFill="1" applyBorder="1" applyAlignment="1">
      <alignment horizontal="center" vertical="center"/>
    </xf>
    <xf numFmtId="0" fontId="93" fillId="4" borderId="55" xfId="0" applyFont="1" applyFill="1" applyBorder="1" applyAlignment="1">
      <alignment horizontal="center" vertical="center"/>
    </xf>
    <xf numFmtId="0" fontId="93" fillId="4" borderId="30" xfId="0" applyFont="1" applyFill="1" applyBorder="1" applyAlignment="1">
      <alignment horizontal="center" vertical="center"/>
    </xf>
    <xf numFmtId="0" fontId="93" fillId="4" borderId="3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9" fillId="2" borderId="18" xfId="0" applyFont="1" applyFill="1" applyBorder="1" applyAlignment="1">
      <alignment horizontal="center"/>
    </xf>
    <xf numFmtId="0" fontId="132" fillId="13" borderId="1" xfId="0" applyFont="1" applyFill="1" applyBorder="1" applyAlignment="1">
      <alignment horizontal="center" vertical="center"/>
    </xf>
    <xf numFmtId="0" fontId="48" fillId="0" borderId="1" xfId="0" applyFont="1" applyBorder="1"/>
    <xf numFmtId="0" fontId="48" fillId="0" borderId="1" xfId="0" applyFont="1" applyBorder="1" applyAlignment="1">
      <alignment vertical="center"/>
    </xf>
    <xf numFmtId="0" fontId="102" fillId="0" borderId="2" xfId="0" applyFont="1" applyBorder="1" applyAlignment="1">
      <alignment horizontal="left" wrapText="1"/>
    </xf>
    <xf numFmtId="0" fontId="102" fillId="0" borderId="3" xfId="0" applyFont="1" applyBorder="1" applyAlignment="1">
      <alignment horizontal="left" wrapText="1"/>
    </xf>
    <xf numFmtId="0" fontId="102" fillId="0" borderId="4" xfId="0" applyFont="1" applyBorder="1" applyAlignment="1">
      <alignment horizontal="left" wrapText="1"/>
    </xf>
    <xf numFmtId="0" fontId="49" fillId="7" borderId="1" xfId="0" applyFont="1" applyFill="1" applyBorder="1" applyAlignment="1">
      <alignment horizontal="left" vertical="center" wrapText="1"/>
    </xf>
    <xf numFmtId="0" fontId="49" fillId="0" borderId="1" xfId="0" applyFont="1" applyBorder="1" applyAlignment="1">
      <alignment horizontal="left" vertical="center"/>
    </xf>
    <xf numFmtId="0" fontId="52" fillId="7" borderId="1" xfId="0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0" fontId="49" fillId="0" borderId="4" xfId="0" applyFont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18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 wrapText="1"/>
    </xf>
    <xf numFmtId="0" fontId="157" fillId="0" borderId="1" xfId="0" applyFont="1" applyBorder="1" applyAlignment="1">
      <alignment horizontal="left" vertical="center"/>
    </xf>
    <xf numFmtId="0" fontId="5" fillId="0" borderId="0" xfId="0" applyFont="1" applyAlignment="1">
      <alignment horizontal="center"/>
    </xf>
    <xf numFmtId="0" fontId="142" fillId="0" borderId="12" xfId="0" applyFont="1" applyBorder="1" applyAlignment="1">
      <alignment horizontal="center" vertical="center" wrapText="1"/>
    </xf>
    <xf numFmtId="0" fontId="142" fillId="0" borderId="18" xfId="0" applyFont="1" applyBorder="1" applyAlignment="1">
      <alignment horizontal="center" vertical="center" wrapText="1"/>
    </xf>
    <xf numFmtId="0" fontId="142" fillId="0" borderId="13" xfId="0" applyFont="1" applyBorder="1" applyAlignment="1">
      <alignment horizontal="center" vertical="center" wrapText="1"/>
    </xf>
    <xf numFmtId="0" fontId="49" fillId="3" borderId="2" xfId="0" applyFont="1" applyFill="1" applyBorder="1" applyAlignment="1">
      <alignment vertical="center" wrapText="1"/>
    </xf>
    <xf numFmtId="0" fontId="49" fillId="3" borderId="3" xfId="0" applyFont="1" applyFill="1" applyBorder="1" applyAlignment="1">
      <alignment vertical="center" wrapText="1"/>
    </xf>
    <xf numFmtId="0" fontId="49" fillId="3" borderId="4" xfId="0" applyFont="1" applyFill="1" applyBorder="1" applyAlignment="1">
      <alignment vertical="center" wrapText="1"/>
    </xf>
    <xf numFmtId="164" fontId="162" fillId="0" borderId="5" xfId="0" applyNumberFormat="1" applyFont="1" applyBorder="1" applyAlignment="1">
      <alignment horizontal="center" vertical="center" wrapText="1"/>
    </xf>
    <xf numFmtId="164" fontId="162" fillId="0" borderId="6" xfId="0" applyNumberFormat="1" applyFont="1" applyBorder="1" applyAlignment="1">
      <alignment horizontal="center" vertical="center" wrapText="1"/>
    </xf>
    <xf numFmtId="0" fontId="54" fillId="0" borderId="19" xfId="0" applyFont="1" applyBorder="1" applyAlignment="1">
      <alignment horizontal="center" vertical="center"/>
    </xf>
    <xf numFmtId="0" fontId="54" fillId="7" borderId="12" xfId="0" applyFont="1" applyFill="1" applyBorder="1"/>
    <xf numFmtId="0" fontId="54" fillId="7" borderId="13" xfId="0" applyFont="1" applyFill="1" applyBorder="1"/>
    <xf numFmtId="0" fontId="52" fillId="0" borderId="0" xfId="0" applyFont="1" applyAlignment="1">
      <alignment horizontal="center"/>
    </xf>
    <xf numFmtId="0" fontId="155" fillId="20" borderId="48" xfId="0" applyFont="1" applyFill="1" applyBorder="1" applyAlignment="1">
      <alignment horizontal="center" vertical="center" wrapText="1"/>
    </xf>
    <xf numFmtId="0" fontId="155" fillId="20" borderId="105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left" vertical="center"/>
    </xf>
    <xf numFmtId="0" fontId="29" fillId="2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left" vertical="center"/>
    </xf>
    <xf numFmtId="0" fontId="29" fillId="0" borderId="1" xfId="0" applyFont="1" applyBorder="1" applyAlignment="1">
      <alignment horizontal="center"/>
    </xf>
    <xf numFmtId="0" fontId="20" fillId="0" borderId="5" xfId="0" applyFont="1" applyBorder="1" applyAlignment="1">
      <alignment horizontal="left" vertical="center"/>
    </xf>
    <xf numFmtId="0" fontId="20" fillId="0" borderId="6" xfId="0" applyFont="1" applyBorder="1" applyAlignment="1">
      <alignment horizontal="left" vertical="center"/>
    </xf>
    <xf numFmtId="0" fontId="20" fillId="0" borderId="1" xfId="0" applyFont="1" applyBorder="1" applyAlignment="1">
      <alignment horizontal="center"/>
    </xf>
    <xf numFmtId="0" fontId="68" fillId="0" borderId="18" xfId="0" applyFont="1" applyBorder="1" applyAlignment="1">
      <alignment horizont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0" fillId="0" borderId="0" xfId="0"/>
    <xf numFmtId="0" fontId="49" fillId="0" borderId="96" xfId="0" applyFont="1" applyBorder="1" applyAlignment="1">
      <alignment vertical="center" wrapText="1"/>
    </xf>
    <xf numFmtId="0" fontId="49" fillId="0" borderId="97" xfId="0" applyFont="1" applyBorder="1" applyAlignment="1">
      <alignment vertical="center" wrapText="1"/>
    </xf>
    <xf numFmtId="0" fontId="52" fillId="0" borderId="12" xfId="0" applyFont="1" applyBorder="1" applyAlignment="1">
      <alignment vertical="center" wrapText="1"/>
    </xf>
    <xf numFmtId="0" fontId="52" fillId="0" borderId="18" xfId="0" applyFont="1" applyBorder="1" applyAlignment="1">
      <alignment vertical="center" wrapText="1"/>
    </xf>
    <xf numFmtId="0" fontId="52" fillId="0" borderId="13" xfId="0" applyFont="1" applyBorder="1" applyAlignment="1">
      <alignment vertical="center" wrapText="1"/>
    </xf>
    <xf numFmtId="0" fontId="54" fillId="0" borderId="5" xfId="0" applyFont="1" applyBorder="1" applyAlignment="1">
      <alignment vertical="center"/>
    </xf>
    <xf numFmtId="0" fontId="54" fillId="0" borderId="7" xfId="0" applyFont="1" applyBorder="1" applyAlignment="1">
      <alignment vertical="center"/>
    </xf>
    <xf numFmtId="0" fontId="54" fillId="0" borderId="6" xfId="0" applyFont="1" applyBorder="1" applyAlignment="1">
      <alignment vertical="center"/>
    </xf>
    <xf numFmtId="0" fontId="48" fillId="0" borderId="2" xfId="0" applyFont="1" applyBorder="1"/>
    <xf numFmtId="0" fontId="48" fillId="0" borderId="4" xfId="0" applyFont="1" applyBorder="1"/>
    <xf numFmtId="2" fontId="50" fillId="0" borderId="1" xfId="0" applyNumberFormat="1" applyFont="1" applyBorder="1" applyAlignment="1">
      <alignment vertical="center"/>
    </xf>
    <xf numFmtId="0" fontId="50" fillId="0" borderId="1" xfId="0" applyFont="1" applyBorder="1" applyAlignment="1">
      <alignment vertical="center"/>
    </xf>
    <xf numFmtId="0" fontId="49" fillId="7" borderId="1" xfId="0" applyFont="1" applyFill="1" applyBorder="1" applyAlignment="1">
      <alignment vertical="center"/>
    </xf>
    <xf numFmtId="0" fontId="49" fillId="0" borderId="12" xfId="0" applyFont="1" applyBorder="1" applyAlignment="1">
      <alignment vertical="center"/>
    </xf>
    <xf numFmtId="0" fontId="49" fillId="0" borderId="13" xfId="0" applyFont="1" applyBorder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4" xfId="0" applyFont="1" applyBorder="1" applyAlignment="1">
      <alignment vertical="center"/>
    </xf>
    <xf numFmtId="0" fontId="52" fillId="7" borderId="2" xfId="0" applyFont="1" applyFill="1" applyBorder="1" applyAlignment="1">
      <alignment vertical="center"/>
    </xf>
    <xf numFmtId="0" fontId="52" fillId="7" borderId="4" xfId="0" applyFont="1" applyFill="1" applyBorder="1" applyAlignment="1">
      <alignment vertical="center"/>
    </xf>
    <xf numFmtId="1" fontId="54" fillId="0" borderId="7" xfId="0" applyNumberFormat="1" applyFont="1" applyBorder="1" applyAlignment="1">
      <alignment vertical="center" wrapText="1"/>
    </xf>
    <xf numFmtId="1" fontId="54" fillId="0" borderId="6" xfId="0" applyNumberFormat="1" applyFont="1" applyBorder="1" applyAlignment="1">
      <alignment vertical="center" wrapText="1"/>
    </xf>
    <xf numFmtId="0" fontId="49" fillId="0" borderId="27" xfId="0" applyFont="1" applyBorder="1" applyAlignment="1">
      <alignment vertical="center"/>
    </xf>
    <xf numFmtId="0" fontId="49" fillId="0" borderId="28" xfId="0" applyFont="1" applyBorder="1" applyAlignment="1">
      <alignment vertical="center"/>
    </xf>
    <xf numFmtId="0" fontId="49" fillId="0" borderId="10" xfId="0" applyFont="1" applyBorder="1" applyAlignment="1">
      <alignment vertical="center"/>
    </xf>
    <xf numFmtId="0" fontId="49" fillId="0" borderId="11" xfId="0" applyFont="1" applyBorder="1" applyAlignment="1">
      <alignment vertical="center"/>
    </xf>
    <xf numFmtId="164" fontId="54" fillId="7" borderId="12" xfId="0" applyNumberFormat="1" applyFont="1" applyFill="1" applyBorder="1"/>
    <xf numFmtId="164" fontId="54" fillId="7" borderId="13" xfId="0" applyNumberFormat="1" applyFont="1" applyFill="1" applyBorder="1"/>
    <xf numFmtId="0" fontId="54" fillId="0" borderId="2" xfId="0" applyFont="1" applyBorder="1"/>
    <xf numFmtId="0" fontId="54" fillId="0" borderId="4" xfId="0" applyFont="1" applyBorder="1"/>
    <xf numFmtId="0" fontId="49" fillId="7" borderId="1" xfId="0" applyFont="1" applyFill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7" borderId="2" xfId="0" applyFont="1" applyFill="1" applyBorder="1" applyAlignment="1">
      <alignment horizontal="left" vertical="center" wrapText="1"/>
    </xf>
    <xf numFmtId="0" fontId="4" fillId="7" borderId="3" xfId="0" applyFont="1" applyFill="1" applyBorder="1" applyAlignment="1">
      <alignment horizontal="left" vertical="center" wrapText="1"/>
    </xf>
    <xf numFmtId="0" fontId="4" fillId="7" borderId="4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5" xfId="0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164" fontId="5" fillId="0" borderId="7" xfId="0" applyNumberFormat="1" applyFont="1" applyBorder="1" applyAlignment="1">
      <alignment horizontal="center" vertical="center"/>
    </xf>
    <xf numFmtId="164" fontId="5" fillId="0" borderId="6" xfId="0" applyNumberFormat="1" applyFont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 vertical="center"/>
    </xf>
    <xf numFmtId="2" fontId="4" fillId="0" borderId="6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2" fontId="9" fillId="4" borderId="5" xfId="0" applyNumberFormat="1" applyFont="1" applyFill="1" applyBorder="1" applyAlignment="1">
      <alignment horizontal="center" vertical="center"/>
    </xf>
    <xf numFmtId="2" fontId="9" fillId="4" borderId="6" xfId="0" applyNumberFormat="1" applyFont="1" applyFill="1" applyBorder="1" applyAlignment="1">
      <alignment horizontal="center" vertical="center"/>
    </xf>
    <xf numFmtId="2" fontId="5" fillId="0" borderId="5" xfId="0" applyNumberFormat="1" applyFont="1" applyBorder="1" applyAlignment="1">
      <alignment horizontal="center" vertical="center"/>
    </xf>
    <xf numFmtId="2" fontId="5" fillId="0" borderId="6" xfId="0" applyNumberFormat="1" applyFont="1" applyBorder="1" applyAlignment="1">
      <alignment horizontal="center" vertical="center"/>
    </xf>
    <xf numFmtId="164" fontId="4" fillId="7" borderId="12" xfId="0" applyNumberFormat="1" applyFont="1" applyFill="1" applyBorder="1" applyAlignment="1">
      <alignment horizontal="center"/>
    </xf>
    <xf numFmtId="164" fontId="4" fillId="7" borderId="13" xfId="0" applyNumberFormat="1" applyFont="1" applyFill="1" applyBorder="1" applyAlignment="1">
      <alignment horizontal="center"/>
    </xf>
    <xf numFmtId="0" fontId="4" fillId="13" borderId="12" xfId="0" applyFont="1" applyFill="1" applyBorder="1" applyAlignment="1">
      <alignment horizontal="center" vertical="center" wrapText="1"/>
    </xf>
    <xf numFmtId="0" fontId="4" fillId="13" borderId="18" xfId="0" applyFont="1" applyFill="1" applyBorder="1" applyAlignment="1">
      <alignment horizontal="center" vertical="center" wrapText="1"/>
    </xf>
    <xf numFmtId="0" fontId="4" fillId="13" borderId="13" xfId="0" applyFont="1" applyFill="1" applyBorder="1" applyAlignment="1">
      <alignment horizontal="center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1" fontId="4" fillId="0" borderId="6" xfId="0" applyNumberFormat="1" applyFont="1" applyBorder="1" applyAlignment="1">
      <alignment horizontal="center" vertical="center" wrapText="1"/>
    </xf>
    <xf numFmtId="0" fontId="4" fillId="0" borderId="49" xfId="0" applyFont="1" applyBorder="1" applyAlignment="1">
      <alignment horizontal="center" vertical="center"/>
    </xf>
    <xf numFmtId="0" fontId="4" fillId="7" borderId="12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0" borderId="21" xfId="0" applyFont="1" applyBorder="1" applyAlignment="1">
      <alignment vertical="center"/>
    </xf>
    <xf numFmtId="0" fontId="4" fillId="0" borderId="22" xfId="0" applyFont="1" applyBorder="1" applyAlignment="1">
      <alignment vertical="center"/>
    </xf>
    <xf numFmtId="0" fontId="4" fillId="0" borderId="23" xfId="0" applyFont="1" applyBorder="1" applyAlignment="1">
      <alignment vertical="center"/>
    </xf>
    <xf numFmtId="164" fontId="221" fillId="0" borderId="5" xfId="0" applyNumberFormat="1" applyFont="1" applyBorder="1" applyAlignment="1">
      <alignment horizontal="center" vertical="center"/>
    </xf>
    <xf numFmtId="164" fontId="221" fillId="0" borderId="6" xfId="0" applyNumberFormat="1" applyFont="1" applyBorder="1" applyAlignment="1">
      <alignment horizontal="center" vertical="center"/>
    </xf>
    <xf numFmtId="2" fontId="221" fillId="0" borderId="5" xfId="0" applyNumberFormat="1" applyFont="1" applyBorder="1" applyAlignment="1">
      <alignment horizontal="center" vertical="center"/>
    </xf>
    <xf numFmtId="2" fontId="221" fillId="0" borderId="6" xfId="0" applyNumberFormat="1" applyFont="1" applyBorder="1" applyAlignment="1">
      <alignment horizontal="center" vertical="center"/>
    </xf>
    <xf numFmtId="0" fontId="54" fillId="0" borderId="2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164" fontId="222" fillId="0" borderId="5" xfId="0" applyNumberFormat="1" applyFont="1" applyBorder="1" applyAlignment="1">
      <alignment horizontal="center" vertical="center"/>
    </xf>
    <xf numFmtId="164" fontId="222" fillId="0" borderId="6" xfId="0" applyNumberFormat="1" applyFont="1" applyBorder="1" applyAlignment="1">
      <alignment horizontal="center" vertical="center"/>
    </xf>
    <xf numFmtId="0" fontId="1" fillId="0" borderId="18" xfId="0" applyFont="1" applyBorder="1" applyAlignment="1">
      <alignment horizontal="center"/>
    </xf>
    <xf numFmtId="0" fontId="1" fillId="13" borderId="2" xfId="0" applyFont="1" applyFill="1" applyBorder="1" applyAlignment="1">
      <alignment horizontal="center"/>
    </xf>
    <xf numFmtId="0" fontId="1" fillId="13" borderId="3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4" fillId="12" borderId="2" xfId="0" applyFont="1" applyFill="1" applyBorder="1" applyAlignment="1">
      <alignment horizontal="center"/>
    </xf>
    <xf numFmtId="0" fontId="14" fillId="12" borderId="3" xfId="0" applyFont="1" applyFill="1" applyBorder="1" applyAlignment="1">
      <alignment horizontal="center"/>
    </xf>
    <xf numFmtId="0" fontId="14" fillId="12" borderId="4" xfId="0" applyFont="1" applyFill="1" applyBorder="1" applyAlignment="1">
      <alignment horizontal="center"/>
    </xf>
    <xf numFmtId="0" fontId="14" fillId="6" borderId="18" xfId="0" applyFont="1" applyFill="1" applyBorder="1" applyAlignment="1">
      <alignment horizontal="center"/>
    </xf>
    <xf numFmtId="0" fontId="1" fillId="16" borderId="18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25" fillId="13" borderId="1" xfId="0" applyFont="1" applyFill="1" applyBorder="1" applyAlignment="1">
      <alignment horizontal="center" vertical="center"/>
    </xf>
    <xf numFmtId="0" fontId="62" fillId="0" borderId="1" xfId="0" applyFont="1" applyBorder="1" applyAlignment="1">
      <alignment horizontal="center"/>
    </xf>
    <xf numFmtId="0" fontId="136" fillId="0" borderId="18" xfId="0" applyFont="1" applyBorder="1" applyAlignment="1">
      <alignment horizontal="center"/>
    </xf>
    <xf numFmtId="0" fontId="107" fillId="0" borderId="18" xfId="0" applyFont="1" applyBorder="1" applyAlignment="1">
      <alignment horizontal="center" vertical="center"/>
    </xf>
    <xf numFmtId="0" fontId="136" fillId="0" borderId="18" xfId="0" applyFont="1" applyBorder="1" applyAlignment="1">
      <alignment horizontal="left"/>
    </xf>
    <xf numFmtId="1" fontId="0" fillId="0" borderId="1" xfId="0" applyNumberForma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02" fillId="0" borderId="1" xfId="0" applyFont="1" applyBorder="1" applyAlignment="1">
      <alignment horizontal="center" vertical="center" wrapText="1"/>
    </xf>
    <xf numFmtId="0" fontId="230" fillId="0" borderId="1" xfId="0" applyFont="1" applyBorder="1" applyAlignment="1">
      <alignment horizontal="center"/>
    </xf>
    <xf numFmtId="0" fontId="93" fillId="0" borderId="0" xfId="0" applyFont="1" applyAlignment="1">
      <alignment horizontal="center"/>
    </xf>
    <xf numFmtId="0" fontId="93" fillId="4" borderId="63" xfId="0" applyFont="1" applyFill="1" applyBorder="1" applyAlignment="1">
      <alignment horizontal="center" vertical="center"/>
    </xf>
    <xf numFmtId="0" fontId="93" fillId="4" borderId="58" xfId="0" applyFont="1" applyFill="1" applyBorder="1" applyAlignment="1">
      <alignment horizontal="center" vertical="center"/>
    </xf>
    <xf numFmtId="0" fontId="93" fillId="4" borderId="59" xfId="0" applyFont="1" applyFill="1" applyBorder="1" applyAlignment="1">
      <alignment horizontal="center" vertical="center"/>
    </xf>
    <xf numFmtId="0" fontId="93" fillId="4" borderId="60" xfId="0" applyFont="1" applyFill="1" applyBorder="1" applyAlignment="1">
      <alignment horizontal="center" vertical="center"/>
    </xf>
    <xf numFmtId="0" fontId="93" fillId="4" borderId="65" xfId="0" applyFont="1" applyFill="1" applyBorder="1" applyAlignment="1">
      <alignment horizontal="center" vertical="center"/>
    </xf>
    <xf numFmtId="0" fontId="93" fillId="4" borderId="65" xfId="0" applyFont="1" applyFill="1" applyBorder="1" applyAlignment="1">
      <alignment horizontal="center" vertical="center" wrapText="1"/>
    </xf>
    <xf numFmtId="1" fontId="14" fillId="0" borderId="2" xfId="0" applyNumberFormat="1" applyFont="1" applyBorder="1" applyAlignment="1">
      <alignment horizontal="center"/>
    </xf>
    <xf numFmtId="1" fontId="14" fillId="0" borderId="3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" fontId="14" fillId="0" borderId="4" xfId="0" applyNumberFormat="1" applyFont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3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1" fontId="1" fillId="0" borderId="10" xfId="0" applyNumberFormat="1" applyFont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32" fillId="0" borderId="0" xfId="0" applyFont="1" applyAlignment="1">
      <alignment horizontal="center"/>
    </xf>
    <xf numFmtId="0" fontId="93" fillId="4" borderId="1" xfId="0" applyFont="1" applyFill="1" applyBorder="1" applyAlignment="1">
      <alignment horizontal="center" vertical="center" wrapText="1"/>
    </xf>
    <xf numFmtId="0" fontId="144" fillId="0" borderId="1" xfId="0" applyFont="1" applyBorder="1" applyAlignment="1">
      <alignment horizontal="center" vertical="center"/>
    </xf>
    <xf numFmtId="0" fontId="144" fillId="0" borderId="1" xfId="0" applyFont="1" applyBorder="1" applyAlignment="1">
      <alignment horizontal="center" vertical="center" wrapText="1"/>
    </xf>
    <xf numFmtId="0" fontId="72" fillId="0" borderId="2" xfId="0" applyFont="1" applyBorder="1" applyAlignment="1">
      <alignment horizontal="center" vertical="center" wrapText="1"/>
    </xf>
    <xf numFmtId="0" fontId="72" fillId="0" borderId="4" xfId="0" applyFont="1" applyBorder="1" applyAlignment="1">
      <alignment horizontal="center" vertical="center" wrapText="1"/>
    </xf>
    <xf numFmtId="164" fontId="72" fillId="0" borderId="5" xfId="0" applyNumberFormat="1" applyFont="1" applyBorder="1" applyAlignment="1">
      <alignment horizontal="center" vertical="center" wrapText="1"/>
    </xf>
    <xf numFmtId="164" fontId="72" fillId="0" borderId="6" xfId="0" applyNumberFormat="1" applyFont="1" applyBorder="1" applyAlignment="1">
      <alignment horizontal="center" vertical="center" wrapText="1"/>
    </xf>
    <xf numFmtId="0" fontId="72" fillId="0" borderId="3" xfId="0" applyFont="1" applyBorder="1" applyAlignment="1">
      <alignment horizontal="center" vertical="center" wrapText="1"/>
    </xf>
    <xf numFmtId="0" fontId="167" fillId="0" borderId="0" xfId="0" applyFont="1" applyAlignment="1">
      <alignment horizontal="center"/>
    </xf>
    <xf numFmtId="0" fontId="107" fillId="0" borderId="1" xfId="0" applyFont="1" applyBorder="1" applyAlignment="1">
      <alignment horizontal="center" vertical="center"/>
    </xf>
    <xf numFmtId="0" fontId="113" fillId="21" borderId="1" xfId="0" applyFont="1" applyFill="1" applyBorder="1" applyAlignment="1">
      <alignment horizontal="center" vertical="center"/>
    </xf>
    <xf numFmtId="0" fontId="107" fillId="7" borderId="1" xfId="0" applyFont="1" applyFill="1" applyBorder="1" applyAlignment="1">
      <alignment horizontal="center" vertical="center"/>
    </xf>
    <xf numFmtId="0" fontId="229" fillId="8" borderId="0" xfId="0" applyFont="1" applyFill="1" applyAlignment="1">
      <alignment horizontal="center"/>
    </xf>
    <xf numFmtId="0" fontId="113" fillId="21" borderId="30" xfId="0" applyFont="1" applyFill="1" applyBorder="1" applyAlignment="1">
      <alignment horizontal="center" vertical="center"/>
    </xf>
    <xf numFmtId="0" fontId="113" fillId="21" borderId="68" xfId="0" applyFont="1" applyFill="1" applyBorder="1" applyAlignment="1">
      <alignment horizontal="center" vertical="center"/>
    </xf>
    <xf numFmtId="0" fontId="229" fillId="0" borderId="0" xfId="0" applyFont="1" applyAlignment="1">
      <alignment horizontal="center"/>
    </xf>
    <xf numFmtId="0" fontId="107" fillId="7" borderId="2" xfId="0" applyFont="1" applyFill="1" applyBorder="1" applyAlignment="1">
      <alignment horizontal="center" vertical="center"/>
    </xf>
    <xf numFmtId="0" fontId="107" fillId="7" borderId="3" xfId="0" applyFont="1" applyFill="1" applyBorder="1" applyAlignment="1">
      <alignment horizontal="center" vertical="center"/>
    </xf>
    <xf numFmtId="0" fontId="107" fillId="7" borderId="4" xfId="0" applyFont="1" applyFill="1" applyBorder="1" applyAlignment="1">
      <alignment horizontal="center" vertical="center"/>
    </xf>
    <xf numFmtId="0" fontId="113" fillId="7" borderId="30" xfId="0" applyFont="1" applyFill="1" applyBorder="1" applyAlignment="1">
      <alignment horizontal="center" vertical="center"/>
    </xf>
    <xf numFmtId="0" fontId="113" fillId="7" borderId="31" xfId="0" applyFont="1" applyFill="1" applyBorder="1" applyAlignment="1">
      <alignment horizontal="center" vertical="center"/>
    </xf>
    <xf numFmtId="0" fontId="113" fillId="7" borderId="1" xfId="0" applyFont="1" applyFill="1" applyBorder="1" applyAlignment="1">
      <alignment horizontal="center" vertical="center"/>
    </xf>
    <xf numFmtId="0" fontId="108" fillId="0" borderId="0" xfId="0" applyFont="1" applyAlignment="1">
      <alignment horizontal="center"/>
    </xf>
    <xf numFmtId="0" fontId="113" fillId="0" borderId="29" xfId="0" applyFont="1" applyBorder="1" applyAlignment="1">
      <alignment horizontal="center" vertical="center"/>
    </xf>
    <xf numFmtId="0" fontId="113" fillId="0" borderId="30" xfId="0" applyFont="1" applyBorder="1" applyAlignment="1">
      <alignment horizontal="center" vertical="center"/>
    </xf>
    <xf numFmtId="0" fontId="113" fillId="0" borderId="31" xfId="0" applyFont="1" applyBorder="1" applyAlignment="1">
      <alignment horizontal="center" vertical="center"/>
    </xf>
    <xf numFmtId="0" fontId="107" fillId="0" borderId="29" xfId="0" applyFont="1" applyBorder="1" applyAlignment="1">
      <alignment horizontal="center" vertical="center"/>
    </xf>
    <xf numFmtId="0" fontId="107" fillId="0" borderId="30" xfId="0" applyFont="1" applyBorder="1" applyAlignment="1">
      <alignment horizontal="center" vertical="center"/>
    </xf>
    <xf numFmtId="0" fontId="107" fillId="0" borderId="3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/>
    </xf>
    <xf numFmtId="0" fontId="44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94" fillId="0" borderId="0" xfId="0" applyFont="1" applyAlignment="1">
      <alignment horizontal="center"/>
    </xf>
    <xf numFmtId="0" fontId="194" fillId="0" borderId="18" xfId="0" applyFont="1" applyBorder="1" applyAlignment="1">
      <alignment horizontal="center"/>
    </xf>
    <xf numFmtId="0" fontId="68" fillId="0" borderId="1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/>
    </xf>
    <xf numFmtId="0" fontId="213" fillId="0" borderId="81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63" xfId="0" applyFont="1" applyBorder="1" applyAlignment="1">
      <alignment horizontal="center"/>
    </xf>
    <xf numFmtId="0" fontId="1" fillId="0" borderId="92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58" xfId="0" applyFont="1" applyBorder="1" applyAlignment="1">
      <alignment horizontal="center"/>
    </xf>
    <xf numFmtId="0" fontId="1" fillId="0" borderId="59" xfId="0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95" fillId="0" borderId="1" xfId="0" applyFont="1" applyBorder="1" applyAlignment="1">
      <alignment horizontal="center"/>
    </xf>
    <xf numFmtId="0" fontId="1" fillId="0" borderId="68" xfId="0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1" fontId="196" fillId="0" borderId="1" xfId="0" applyNumberFormat="1" applyFont="1" applyBorder="1" applyAlignment="1">
      <alignment horizontal="center"/>
    </xf>
  </cellXfs>
  <cellStyles count="5">
    <cellStyle name="Comma" xfId="3" builtinId="3"/>
    <cellStyle name="Good" xfId="2" builtinId="26"/>
    <cellStyle name="Linked Cell" xfId="1" builtinId="24"/>
    <cellStyle name="Normal" xfId="0" builtinId="0"/>
    <cellStyle name="Normal 4" xfId="4" xr:uid="{B366AAE0-8470-4D79-BF3C-16466AE25D57}"/>
  </cellStyles>
  <dxfs count="3"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externalLink" Target="externalLinks/externalLink2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externalLink" Target="externalLinks/externalLink3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2"/>
    </mc:Choice>
    <mc:Fallback>
      <c:style val="3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-19-20'!$R$35</c:f>
              <c:strCache>
                <c:ptCount val="1"/>
                <c:pt idx="0">
                  <c:v>PASSENGER TREND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'total -19-20'!$Q$36:$Q$42</c:f>
              <c:strCache>
                <c:ptCount val="7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 
UPTO JULY </c:v>
                </c:pt>
              </c:strCache>
            </c:strRef>
          </c:cat>
          <c:val>
            <c:numRef>
              <c:f>'total -19-20'!$R$36:$R$42</c:f>
              <c:numCache>
                <c:formatCode>General</c:formatCode>
                <c:ptCount val="7"/>
                <c:pt idx="0">
                  <c:v>351.84</c:v>
                </c:pt>
                <c:pt idx="1">
                  <c:v>358.35</c:v>
                </c:pt>
                <c:pt idx="2">
                  <c:v>340.41</c:v>
                </c:pt>
                <c:pt idx="3">
                  <c:v>341.5</c:v>
                </c:pt>
                <c:pt idx="4">
                  <c:v>355.15</c:v>
                </c:pt>
                <c:pt idx="5">
                  <c:v>4.7</c:v>
                </c:pt>
                <c:pt idx="6">
                  <c:v>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D-4E3C-99C3-293BBF7B46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208902016"/>
        <c:axId val="209384192"/>
      </c:barChart>
      <c:catAx>
        <c:axId val="2089020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09384192"/>
        <c:crosses val="autoZero"/>
        <c:auto val="1"/>
        <c:lblAlgn val="ctr"/>
        <c:lblOffset val="100"/>
        <c:noMultiLvlLbl val="0"/>
      </c:catAx>
      <c:valAx>
        <c:axId val="209384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0890201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b="1">
              <a:solidFill>
                <a:srgbClr val="FF0000"/>
              </a:solidFill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TICKET</a:t>
            </a:r>
            <a:r>
              <a:rPr lang="en-IN" baseline="0"/>
              <a:t> CHECKING REVENUE PERFORMANCE</a:t>
            </a:r>
            <a:endParaRPr lang="en-I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389349940026468E-2"/>
          <c:y val="0.13636910610138009"/>
          <c:w val="0.90338587103256274"/>
          <c:h val="0.6667928863183783"/>
        </c:manualLayout>
      </c:layout>
      <c:lineChart>
        <c:grouping val="stacked"/>
        <c:varyColors val="0"/>
        <c:ser>
          <c:idx val="0"/>
          <c:order val="0"/>
          <c:tx>
            <c:strRef>
              <c:f>Sheet6!$O$22</c:f>
              <c:strCache>
                <c:ptCount val="1"/>
                <c:pt idx="0">
                  <c:v>TARGET 21-22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Sheet6!$N$23:$N$34</c:f>
              <c:strCache>
                <c:ptCount val="12"/>
                <c:pt idx="0">
                  <c:v>Apr-21</c:v>
                </c:pt>
                <c:pt idx="1">
                  <c:v>May-21</c:v>
                </c:pt>
                <c:pt idx="2">
                  <c:v>Jun-21</c:v>
                </c:pt>
                <c:pt idx="3">
                  <c:v>Jul-21</c:v>
                </c:pt>
                <c:pt idx="4">
                  <c:v>Aug-21</c:v>
                </c:pt>
                <c:pt idx="5">
                  <c:v>Sep-21</c:v>
                </c:pt>
                <c:pt idx="6">
                  <c:v>Oct-21</c:v>
                </c:pt>
                <c:pt idx="7">
                  <c:v>Nov-21</c:v>
                </c:pt>
                <c:pt idx="8">
                  <c:v>Dec-21</c:v>
                </c:pt>
                <c:pt idx="9">
                  <c:v>Jan-22</c:v>
                </c:pt>
                <c:pt idx="10">
                  <c:v>Feb-22</c:v>
                </c:pt>
                <c:pt idx="11">
                  <c:v>UPTO FEB</c:v>
                </c:pt>
              </c:strCache>
            </c:strRef>
          </c:cat>
          <c:val>
            <c:numRef>
              <c:f>Sheet6!$O$23:$O$34</c:f>
              <c:numCache>
                <c:formatCode>General</c:formatCode>
                <c:ptCount val="1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F-4107-9D7E-0EC9D863635C}"/>
            </c:ext>
          </c:extLst>
        </c:ser>
        <c:ser>
          <c:idx val="1"/>
          <c:order val="1"/>
          <c:tx>
            <c:strRef>
              <c:f>Sheet6!$P$22</c:f>
              <c:strCache>
                <c:ptCount val="1"/>
                <c:pt idx="0">
                  <c:v>EARNING 21-22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Sheet6!$N$23:$N$34</c:f>
              <c:strCache>
                <c:ptCount val="12"/>
                <c:pt idx="0">
                  <c:v>Apr-21</c:v>
                </c:pt>
                <c:pt idx="1">
                  <c:v>May-21</c:v>
                </c:pt>
                <c:pt idx="2">
                  <c:v>Jun-21</c:v>
                </c:pt>
                <c:pt idx="3">
                  <c:v>Jul-21</c:v>
                </c:pt>
                <c:pt idx="4">
                  <c:v>Aug-21</c:v>
                </c:pt>
                <c:pt idx="5">
                  <c:v>Sep-21</c:v>
                </c:pt>
                <c:pt idx="6">
                  <c:v>Oct-21</c:v>
                </c:pt>
                <c:pt idx="7">
                  <c:v>Nov-21</c:v>
                </c:pt>
                <c:pt idx="8">
                  <c:v>Dec-21</c:v>
                </c:pt>
                <c:pt idx="9">
                  <c:v>Jan-22</c:v>
                </c:pt>
                <c:pt idx="10">
                  <c:v>Feb-22</c:v>
                </c:pt>
                <c:pt idx="11">
                  <c:v>UPTO FEB</c:v>
                </c:pt>
              </c:strCache>
            </c:strRef>
          </c:cat>
          <c:val>
            <c:numRef>
              <c:f>Sheet6!$P$23:$P$34</c:f>
              <c:numCache>
                <c:formatCode>0.00</c:formatCode>
                <c:ptCount val="12"/>
                <c:pt idx="0">
                  <c:v>0.2564168</c:v>
                </c:pt>
                <c:pt idx="1">
                  <c:v>0.17418420000000001</c:v>
                </c:pt>
                <c:pt idx="2">
                  <c:v>0.2937554</c:v>
                </c:pt>
                <c:pt idx="3">
                  <c:v>0.38526060000000001</c:v>
                </c:pt>
                <c:pt idx="4">
                  <c:v>0.44109789999999999</c:v>
                </c:pt>
                <c:pt idx="5">
                  <c:v>0.56586069999999999</c:v>
                </c:pt>
                <c:pt idx="6">
                  <c:v>0.97747280000000003</c:v>
                </c:pt>
                <c:pt idx="7">
                  <c:v>1.4049898999999999</c:v>
                </c:pt>
                <c:pt idx="8">
                  <c:v>1.4544739</c:v>
                </c:pt>
                <c:pt idx="9">
                  <c:v>1.4294363999999999</c:v>
                </c:pt>
                <c:pt idx="10">
                  <c:v>1.5930512999999999</c:v>
                </c:pt>
                <c:pt idx="11">
                  <c:v>8.9759999000000015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F-4107-9D7E-0EC9D86363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1836288"/>
        <c:axId val="211838080"/>
      </c:lineChart>
      <c:catAx>
        <c:axId val="2118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8080"/>
        <c:crosses val="autoZero"/>
        <c:auto val="1"/>
        <c:lblAlgn val="ctr"/>
        <c:lblOffset val="100"/>
        <c:noMultiLvlLbl val="0"/>
      </c:catAx>
      <c:valAx>
        <c:axId val="21183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43" r="0.47" t="0.46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7959-4B7F-BE4D-A217886348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7959-4B7F-BE4D-A217886348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7959-4B7F-BE4D-A217886348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7959-4B7F-BE4D-A2178863487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959-4B7F-BE4D-A21788634878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7959-4B7F-BE4D-A2178863487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7959-4B7F-BE4D-A2178863487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7959-4B7F-BE4D-A2178863487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'MARCH -23 '!$AJ$17:$AJ$20</c:f>
              <c:strCache>
                <c:ptCount val="4"/>
                <c:pt idx="0">
                  <c:v>PASSENGER</c:v>
                </c:pt>
                <c:pt idx="1">
                  <c:v>GOODS</c:v>
                </c:pt>
                <c:pt idx="2">
                  <c:v>OTHER COG</c:v>
                </c:pt>
                <c:pt idx="3">
                  <c:v>SUNDRY</c:v>
                </c:pt>
              </c:strCache>
            </c:strRef>
          </c:cat>
          <c:val>
            <c:numRef>
              <c:f>'MARCH -23 '!$AK$17:$AK$20</c:f>
              <c:numCache>
                <c:formatCode>0.00</c:formatCode>
                <c:ptCount val="4"/>
                <c:pt idx="0">
                  <c:v>1024.2159494</c:v>
                </c:pt>
                <c:pt idx="1">
                  <c:v>403.10200000000003</c:v>
                </c:pt>
                <c:pt idx="2">
                  <c:v>106.68749520000001</c:v>
                </c:pt>
                <c:pt idx="3">
                  <c:v>17.701250099999996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59-4B7F-BE4D-A21788634878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9B44-4C5F-9CEB-B40B1FB61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9B44-4C5F-9CEB-B40B1FB6127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9B44-4C5F-9CEB-B40B1FB6127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9B44-4C5F-9CEB-B40B1FB6127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B44-4C5F-9CEB-B40B1FB6127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B44-4C5F-9CEB-B40B1FB6127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9B44-4C5F-9CEB-B40B1FB61279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9B44-4C5F-9CEB-B40B1FB61279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'MARCH -23 '!$AJ$17:$AJ$20</c:f>
              <c:strCache>
                <c:ptCount val="4"/>
                <c:pt idx="0">
                  <c:v>PASSENGER</c:v>
                </c:pt>
                <c:pt idx="1">
                  <c:v>GOODS</c:v>
                </c:pt>
                <c:pt idx="2">
                  <c:v>OTHER COG</c:v>
                </c:pt>
                <c:pt idx="3">
                  <c:v>SUNDRY</c:v>
                </c:pt>
              </c:strCache>
            </c:strRef>
          </c:cat>
          <c:val>
            <c:numRef>
              <c:f>'MARCH -23 '!$AK$17:$AK$20</c:f>
              <c:numCache>
                <c:formatCode>0.00</c:formatCode>
                <c:ptCount val="4"/>
                <c:pt idx="0">
                  <c:v>1024.2159494</c:v>
                </c:pt>
                <c:pt idx="1">
                  <c:v>403.10200000000003</c:v>
                </c:pt>
                <c:pt idx="2">
                  <c:v>106.68749520000001</c:v>
                </c:pt>
                <c:pt idx="3">
                  <c:v>17.701250099999996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4-4C5F-9CEB-B40B1FB61279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Sundry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1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4B2-4BAE-A5E3-2DF922C8CB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4B2-4BAE-A5E3-2DF922C8CB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4B2-4BAE-A5E3-2DF922C8CBE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4B2-4BAE-A5E3-2DF922C8CBE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4B2-4BAE-A5E3-2DF922C8CBE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4B2-4BAE-A5E3-2DF922C8CBE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D4B2-4BAE-A5E3-2DF922C8CBE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D4B2-4BAE-A5E3-2DF922C8CBE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D4B2-4BAE-A5E3-2DF922C8CBE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D4B2-4BAE-A5E3-2DF922C8CBE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D4B2-4BAE-A5E3-2DF922C8CBE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D4B2-4BAE-A5E3-2DF922C8CBE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'NOV-2023'!$AL$40:$AL$45</c:f>
              <c:strCache>
                <c:ptCount val="6"/>
                <c:pt idx="0">
                  <c:v>Commercial Publicity</c:v>
                </c:pt>
                <c:pt idx="1">
                  <c:v>Pay &amp; Park</c:v>
                </c:pt>
                <c:pt idx="2">
                  <c:v>Catering</c:v>
                </c:pt>
                <c:pt idx="4">
                  <c:v>Pay&amp; Use</c:v>
                </c:pt>
                <c:pt idx="5">
                  <c:v>other sundry</c:v>
                </c:pt>
              </c:strCache>
            </c:strRef>
          </c:cat>
          <c:val>
            <c:numRef>
              <c:f>'NOV-2023'!$AM$40:$AM$45</c:f>
              <c:numCache>
                <c:formatCode>0.00</c:formatCode>
                <c:ptCount val="6"/>
                <c:pt idx="0">
                  <c:v>8.2163185999999993</c:v>
                </c:pt>
                <c:pt idx="1">
                  <c:v>1.5997892</c:v>
                </c:pt>
                <c:pt idx="2">
                  <c:v>1.1298888</c:v>
                </c:pt>
                <c:pt idx="3">
                  <c:v>0</c:v>
                </c:pt>
                <c:pt idx="4">
                  <c:v>0.63322220000000007</c:v>
                </c:pt>
                <c:pt idx="5">
                  <c:v>0.75998880000000002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B2-4BAE-A5E3-2DF922C8CBE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Sundry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1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29E-497B-8CC9-35ADD0EBBF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29E-497B-8CC9-35ADD0EBBF0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29E-497B-8CC9-35ADD0EBBF0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29E-497B-8CC9-35ADD0EBBF0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29E-497B-8CC9-35ADD0EBBF0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29E-497B-8CC9-35ADD0EBBF0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29E-497B-8CC9-35ADD0EBBF0D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29E-497B-8CC9-35ADD0EBBF0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29E-497B-8CC9-35ADD0EBBF0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29E-497B-8CC9-35ADD0EBBF0D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29E-497B-8CC9-35ADD0EBBF0D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29E-497B-8CC9-35ADD0EBBF0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'NOV-2023'!$AL$40:$AL$45</c:f>
              <c:strCache>
                <c:ptCount val="6"/>
                <c:pt idx="0">
                  <c:v>Commercial Publicity</c:v>
                </c:pt>
                <c:pt idx="1">
                  <c:v>Pay &amp; Park</c:v>
                </c:pt>
                <c:pt idx="2">
                  <c:v>Catering</c:v>
                </c:pt>
                <c:pt idx="4">
                  <c:v>Pay&amp; Use</c:v>
                </c:pt>
                <c:pt idx="5">
                  <c:v>other sundry</c:v>
                </c:pt>
              </c:strCache>
            </c:strRef>
          </c:cat>
          <c:val>
            <c:numRef>
              <c:f>'NOV-2023'!$AM$40:$AM$45</c:f>
              <c:numCache>
                <c:formatCode>0.00</c:formatCode>
                <c:ptCount val="6"/>
                <c:pt idx="0">
                  <c:v>8.2163185999999993</c:v>
                </c:pt>
                <c:pt idx="1">
                  <c:v>1.5997892</c:v>
                </c:pt>
                <c:pt idx="2">
                  <c:v>1.1298888</c:v>
                </c:pt>
                <c:pt idx="3">
                  <c:v>0</c:v>
                </c:pt>
                <c:pt idx="4">
                  <c:v>0.63322220000000007</c:v>
                </c:pt>
                <c:pt idx="5">
                  <c:v>0.75998880000000002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29E-497B-8CC9-35ADD0EBBF0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Sundry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1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4E5-4E4F-B3AA-1A6FC48924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4E5-4E4F-B3AA-1A6FC48924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4E5-4E4F-B3AA-1A6FC489241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4E5-4E4F-B3AA-1A6FC489241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4E5-4E4F-B3AA-1A6FC489241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4E5-4E4F-B3AA-1A6FC489241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C4E5-4E4F-B3AA-1A6FC489241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C4E5-4E4F-B3AA-1A6FC4892411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C4E5-4E4F-B3AA-1A6FC4892411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C4E5-4E4F-B3AA-1A6FC489241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C4E5-4E4F-B3AA-1A6FC489241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C4E5-4E4F-B3AA-1A6FC489241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'NOV-2023'!$AL$40:$AL$45</c:f>
              <c:strCache>
                <c:ptCount val="6"/>
                <c:pt idx="0">
                  <c:v>Commercial Publicity</c:v>
                </c:pt>
                <c:pt idx="1">
                  <c:v>Pay &amp; Park</c:v>
                </c:pt>
                <c:pt idx="2">
                  <c:v>Catering</c:v>
                </c:pt>
                <c:pt idx="4">
                  <c:v>Pay&amp; Use</c:v>
                </c:pt>
                <c:pt idx="5">
                  <c:v>other sundry</c:v>
                </c:pt>
              </c:strCache>
            </c:strRef>
          </c:cat>
          <c:val>
            <c:numRef>
              <c:f>'NOV-2023'!$AM$40:$AM$45</c:f>
              <c:numCache>
                <c:formatCode>0.00</c:formatCode>
                <c:ptCount val="6"/>
                <c:pt idx="0">
                  <c:v>8.2163185999999993</c:v>
                </c:pt>
                <c:pt idx="1">
                  <c:v>1.5997892</c:v>
                </c:pt>
                <c:pt idx="2">
                  <c:v>1.1298888</c:v>
                </c:pt>
                <c:pt idx="3">
                  <c:v>0</c:v>
                </c:pt>
                <c:pt idx="4">
                  <c:v>0.63322220000000007</c:v>
                </c:pt>
                <c:pt idx="5">
                  <c:v>0.75998880000000002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E5-4E4F-B3AA-1A6FC4892411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Sundry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1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9B0-440A-909F-B4C773A3A0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9B0-440A-909F-B4C773A3A06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9B0-440A-909F-B4C773A3A06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9B0-440A-909F-B4C773A3A06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9B0-440A-909F-B4C773A3A06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9B0-440A-909F-B4C773A3A06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D9B0-440A-909F-B4C773A3A06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D9B0-440A-909F-B4C773A3A06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D9B0-440A-909F-B4C773A3A06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D9B0-440A-909F-B4C773A3A06C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D9B0-440A-909F-B4C773A3A06C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D9B0-440A-909F-B4C773A3A06C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'NOV-2023'!$AL$40:$AL$45</c:f>
              <c:strCache>
                <c:ptCount val="6"/>
                <c:pt idx="0">
                  <c:v>Commercial Publicity</c:v>
                </c:pt>
                <c:pt idx="1">
                  <c:v>Pay &amp; Park</c:v>
                </c:pt>
                <c:pt idx="2">
                  <c:v>Catering</c:v>
                </c:pt>
                <c:pt idx="4">
                  <c:v>Pay&amp; Use</c:v>
                </c:pt>
                <c:pt idx="5">
                  <c:v>other sundry</c:v>
                </c:pt>
              </c:strCache>
            </c:strRef>
          </c:cat>
          <c:val>
            <c:numRef>
              <c:f>'NOV-2023'!$AM$40:$AM$45</c:f>
              <c:numCache>
                <c:formatCode>0.00</c:formatCode>
                <c:ptCount val="6"/>
                <c:pt idx="0">
                  <c:v>8.2163185999999993</c:v>
                </c:pt>
                <c:pt idx="1">
                  <c:v>1.5997892</c:v>
                </c:pt>
                <c:pt idx="2">
                  <c:v>1.1298888</c:v>
                </c:pt>
                <c:pt idx="3">
                  <c:v>0</c:v>
                </c:pt>
                <c:pt idx="4">
                  <c:v>0.63322220000000007</c:v>
                </c:pt>
                <c:pt idx="5">
                  <c:v>0.75998880000000002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9B0-440A-909F-B4C773A3A06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passenger</a:t>
            </a:r>
            <a:r>
              <a:rPr lang="en-IN" baseline="0"/>
              <a:t> revenue performance </a:t>
            </a:r>
            <a:endParaRPr lang="en-IN"/>
          </a:p>
        </c:rich>
      </c:tx>
      <c:layout>
        <c:manualLayout>
          <c:xMode val="edge"/>
          <c:yMode val="edge"/>
          <c:x val="0.30622337766478186"/>
          <c:y val="1.7817371937639197E-2"/>
        </c:manualLayout>
      </c:layout>
      <c:overlay val="0"/>
      <c:spPr>
        <a:noFill/>
        <a:ln w="412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'Meeting data'!$CK$5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'Meeting data'!$CJ$6:$CJ$12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'Meeting data'!$CK$6:$CK$12</c:f>
              <c:numCache>
                <c:formatCode>0.00</c:formatCode>
                <c:ptCount val="7"/>
                <c:pt idx="0">
                  <c:v>33.700000000000003</c:v>
                </c:pt>
                <c:pt idx="1">
                  <c:v>36.900000000000006</c:v>
                </c:pt>
                <c:pt idx="2">
                  <c:v>38.5</c:v>
                </c:pt>
                <c:pt idx="3">
                  <c:v>42</c:v>
                </c:pt>
                <c:pt idx="4">
                  <c:v>45</c:v>
                </c:pt>
                <c:pt idx="5">
                  <c:v>48.9</c:v>
                </c:pt>
                <c:pt idx="6">
                  <c:v>48.300000000000004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4-4393-A890-D97CE998E95F}"/>
            </c:ext>
          </c:extLst>
        </c:ser>
        <c:ser>
          <c:idx val="1"/>
          <c:order val="1"/>
          <c:tx>
            <c:strRef>
              <c:f>'Meeting data'!$CL$5</c:f>
              <c:strCache>
                <c:ptCount val="1"/>
                <c:pt idx="0">
                  <c:v>2022-23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'Meeting data'!$CJ$6:$CJ$12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'Meeting data'!$CL$6:$CL$12</c:f>
              <c:numCache>
                <c:formatCode>0.00</c:formatCode>
                <c:ptCount val="7"/>
                <c:pt idx="0">
                  <c:v>29.13111</c:v>
                </c:pt>
                <c:pt idx="1">
                  <c:v>31.91386</c:v>
                </c:pt>
                <c:pt idx="2">
                  <c:v>33.091099999999997</c:v>
                </c:pt>
                <c:pt idx="3">
                  <c:v>36.372059999999998</c:v>
                </c:pt>
                <c:pt idx="4">
                  <c:v>38.737099999999998</c:v>
                </c:pt>
                <c:pt idx="5">
                  <c:v>42.093180000000004</c:v>
                </c:pt>
                <c:pt idx="6">
                  <c:v>41.556479999999993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04-4393-A890-D97CE998E95F}"/>
            </c:ext>
          </c:extLst>
        </c:ser>
        <c:ser>
          <c:idx val="2"/>
          <c:order val="2"/>
          <c:tx>
            <c:strRef>
              <c:f>'Meeting data'!$CM$5</c:f>
              <c:strCache>
                <c:ptCount val="1"/>
                <c:pt idx="0">
                  <c:v>2023-24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'Meeting data'!$CJ$6:$CJ$12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'Meeting data'!$CM$6:$CM$12</c:f>
              <c:numCache>
                <c:formatCode>0.00</c:formatCode>
                <c:ptCount val="7"/>
                <c:pt idx="0">
                  <c:v>44.029589999999999</c:v>
                </c:pt>
                <c:pt idx="1">
                  <c:v>46.799399999999999</c:v>
                </c:pt>
                <c:pt idx="2">
                  <c:v>43.931340000000006</c:v>
                </c:pt>
                <c:pt idx="3">
                  <c:v>47.603440000000006</c:v>
                </c:pt>
                <c:pt idx="4">
                  <c:v>49.227000000000004</c:v>
                </c:pt>
                <c:pt idx="5">
                  <c:v>46.398350000000001</c:v>
                </c:pt>
                <c:pt idx="6">
                  <c:v>47.090609999999998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04-4393-A890-D97CE998E9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27975096"/>
        <c:axId val="627976736"/>
      </c:barChart>
      <c:catAx>
        <c:axId val="627975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76736"/>
        <c:crosses val="autoZero"/>
        <c:auto val="1"/>
        <c:lblAlgn val="ctr"/>
        <c:lblOffset val="100"/>
        <c:noMultiLvlLbl val="0"/>
      </c:catAx>
      <c:valAx>
        <c:axId val="627976736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62797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1076325</xdr:colOff>
      <xdr:row>20</xdr:row>
      <xdr:rowOff>66675</xdr:rowOff>
    </xdr:from>
    <xdr:to>
      <xdr:col>21</xdr:col>
      <xdr:colOff>333375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333374</xdr:colOff>
      <xdr:row>20</xdr:row>
      <xdr:rowOff>71436</xdr:rowOff>
    </xdr:from>
    <xdr:to>
      <xdr:col>12</xdr:col>
      <xdr:colOff>323849</xdr:colOff>
      <xdr:row>43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B51EC-D12C-4AE7-82B1-3FA83884D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1524000</xdr:colOff>
      <xdr:row>11</xdr:row>
      <xdr:rowOff>396477</xdr:rowOff>
    </xdr:from>
    <xdr:to>
      <xdr:col>40</xdr:col>
      <xdr:colOff>154781</xdr:colOff>
      <xdr:row>24</xdr:row>
      <xdr:rowOff>20239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DE944-5531-4712-9985-5D69115CF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83343</xdr:colOff>
      <xdr:row>21</xdr:row>
      <xdr:rowOff>75007</xdr:rowOff>
    </xdr:from>
    <xdr:to>
      <xdr:col>38</xdr:col>
      <xdr:colOff>130968</xdr:colOff>
      <xdr:row>40</xdr:row>
      <xdr:rowOff>11905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AC0EC1-7CA9-DCA9-745D-8989427E8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54</xdr:row>
      <xdr:rowOff>0</xdr:rowOff>
    </xdr:from>
    <xdr:to>
      <xdr:col>13</xdr:col>
      <xdr:colOff>533400</xdr:colOff>
      <xdr:row>55</xdr:row>
      <xdr:rowOff>47625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BD14F5C-4FB7-4037-AA0C-8D8F2B2039BB}"/>
            </a:ext>
          </a:extLst>
        </xdr:cNvPr>
        <xdr:cNvSpPr txBox="1"/>
      </xdr:nvSpPr>
      <xdr:spPr>
        <a:xfrm>
          <a:off x="9677400" y="15821025"/>
          <a:ext cx="5334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10.5%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1333500</xdr:colOff>
      <xdr:row>23</xdr:row>
      <xdr:rowOff>20108</xdr:rowOff>
    </xdr:from>
    <xdr:to>
      <xdr:col>40</xdr:col>
      <xdr:colOff>21166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0AA47-27D8-4F7E-9CE5-7F3990A9D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1333500</xdr:colOff>
      <xdr:row>23</xdr:row>
      <xdr:rowOff>20108</xdr:rowOff>
    </xdr:from>
    <xdr:to>
      <xdr:col>41</xdr:col>
      <xdr:colOff>21166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57FEAE-34E8-4A57-AA84-303FEFF8A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1333500</xdr:colOff>
      <xdr:row>23</xdr:row>
      <xdr:rowOff>20108</xdr:rowOff>
    </xdr:from>
    <xdr:to>
      <xdr:col>40</xdr:col>
      <xdr:colOff>21166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57F75-4289-430A-B957-B80F268EB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1333500</xdr:colOff>
      <xdr:row>23</xdr:row>
      <xdr:rowOff>20108</xdr:rowOff>
    </xdr:from>
    <xdr:to>
      <xdr:col>40</xdr:col>
      <xdr:colOff>21166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78F24-7F5D-444C-9951-AF4E90EA5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535779</xdr:colOff>
      <xdr:row>1</xdr:row>
      <xdr:rowOff>235743</xdr:rowOff>
    </xdr:from>
    <xdr:to>
      <xdr:col>107</xdr:col>
      <xdr:colOff>238123</xdr:colOff>
      <xdr:row>13</xdr:row>
      <xdr:rowOff>238124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60D9E3-B9A1-2D94-6741-217BF386C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%20D/CURRENT%20STATISTICS/MONTHWISE/2019-20/APR%2019/MM-APR-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%20D/CURRENT%20STATISTICS/MONTHWISE/2019-20/MM%20FY%2019-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%20D/CURRENT%20STATISTICS/MONTHWISE/2019-20/MM%20FY%2019-20%20(Autosav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RIL-19"/>
      <sheetName val="MAY-19"/>
    </sheetNames>
    <sheetDataSet>
      <sheetData sheetId="0">
        <row r="11">
          <cell r="S11">
            <v>1.5061820760000002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RIL-19"/>
      <sheetName val="MAY-19"/>
      <sheetName val="up to may 19"/>
      <sheetName val="JUNE-19"/>
      <sheetName val="UP TO JUNE"/>
      <sheetName val="JULY 19"/>
      <sheetName val="AUG-19"/>
      <sheetName val="SUMMARY "/>
      <sheetName val="Sheet2"/>
      <sheetName val="Sep"/>
      <sheetName val="Sheet1"/>
    </sheetNames>
    <sheetDataSet>
      <sheetData sheetId="0">
        <row r="293">
          <cell r="AP293">
            <v>0.293794</v>
          </cell>
          <cell r="AQ293">
            <v>0.50234599999999996</v>
          </cell>
        </row>
      </sheetData>
      <sheetData sheetId="1">
        <row r="11">
          <cell r="S11">
            <v>1.517568115</v>
          </cell>
        </row>
        <row r="40">
          <cell r="K40">
            <v>3.0289752999999999</v>
          </cell>
        </row>
        <row r="297">
          <cell r="Y297">
            <v>0.17385999999999999</v>
          </cell>
        </row>
        <row r="300">
          <cell r="AP300">
            <v>0.31804399999999999</v>
          </cell>
          <cell r="AQ300">
            <v>0.51465000000000005</v>
          </cell>
        </row>
      </sheetData>
      <sheetData sheetId="2"/>
      <sheetData sheetId="3">
        <row r="37">
          <cell r="K37">
            <v>2.5945591000000001</v>
          </cell>
          <cell r="L37">
            <v>2.2949074999999999</v>
          </cell>
        </row>
        <row r="292">
          <cell r="AQ292">
            <v>0.387928</v>
          </cell>
        </row>
      </sheetData>
      <sheetData sheetId="4"/>
      <sheetData sheetId="5">
        <row r="38">
          <cell r="L38">
            <v>2.2733504</v>
          </cell>
        </row>
      </sheetData>
      <sheetData sheetId="6">
        <row r="40">
          <cell r="K40">
            <v>2.9302381</v>
          </cell>
          <cell r="L40">
            <v>2.4249013000000001</v>
          </cell>
        </row>
        <row r="299">
          <cell r="AQ299">
            <v>0.26474300000000001</v>
          </cell>
        </row>
      </sheetData>
      <sheetData sheetId="7"/>
      <sheetData sheetId="8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RIL-19"/>
      <sheetName val="MAY-19"/>
      <sheetName val="up to may 19"/>
      <sheetName val="JUNE-19"/>
      <sheetName val="UP TO JUNE"/>
      <sheetName val="JULY 19"/>
      <sheetName val="AUG-19"/>
      <sheetName val="Sep-19"/>
      <sheetName val="oct -19"/>
      <sheetName val="SUMMARY "/>
      <sheetName val="Sheet2"/>
      <sheetName val="oct -19 (2)"/>
      <sheetName val="Sheet1"/>
      <sheetName val="NOV 19"/>
      <sheetName val="DEC 2019"/>
      <sheetName val="jan 2020"/>
      <sheetName val="FEB 20"/>
      <sheetName val="MARCH20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8">
          <cell r="K48">
            <v>2.3209849</v>
          </cell>
          <cell r="L48">
            <v>2.3288118</v>
          </cell>
        </row>
        <row r="308">
          <cell r="AU308">
            <v>0.13284599999999999</v>
          </cell>
          <cell r="AV308">
            <v>0.23346500000000001</v>
          </cell>
        </row>
      </sheetData>
      <sheetData sheetId="8"/>
      <sheetData sheetId="9"/>
      <sheetData sheetId="10"/>
      <sheetData sheetId="11">
        <row r="48">
          <cell r="K48">
            <v>3.2747733999999999</v>
          </cell>
          <cell r="L48">
            <v>2.6664062999999998</v>
          </cell>
        </row>
      </sheetData>
      <sheetData sheetId="12"/>
      <sheetData sheetId="13">
        <row r="49">
          <cell r="K49">
            <v>2.6809745</v>
          </cell>
          <cell r="L49">
            <v>2.6838267999999998</v>
          </cell>
        </row>
      </sheetData>
      <sheetData sheetId="14"/>
      <sheetData sheetId="15">
        <row r="319">
          <cell r="AT319">
            <v>4.9486000000000002E-2</v>
          </cell>
          <cell r="AU319">
            <v>0.22577700000000001</v>
          </cell>
        </row>
      </sheetData>
      <sheetData sheetId="16"/>
      <sheetData sheetId="17">
        <row r="16">
          <cell r="AN16">
            <v>13.103320699999999</v>
          </cell>
          <cell r="AO16">
            <v>11.734179900000001</v>
          </cell>
        </row>
        <row r="17">
          <cell r="AN17">
            <v>30.851465600000001</v>
          </cell>
          <cell r="AO17">
            <v>60.705323900000003</v>
          </cell>
        </row>
        <row r="23">
          <cell r="AD23">
            <v>1.5318480000000001</v>
          </cell>
          <cell r="AE23">
            <v>1.9066129999999999</v>
          </cell>
        </row>
        <row r="24">
          <cell r="AD24">
            <v>0.41641400000000001</v>
          </cell>
          <cell r="AE24">
            <v>0.74273199999999995</v>
          </cell>
        </row>
        <row r="46">
          <cell r="L46">
            <v>2.6859126999999998</v>
          </cell>
        </row>
      </sheetData>
      <sheetData sheetId="18"/>
    </sheetDataSet>
  </externalBook>
</externalLink>
</file>

<file path=xl/theme/theme1.xml><?xml version="1.0" encoding="utf-8"?>
<a:theme xmlns:a="http://schemas.openxmlformats.org/drawingml/2006/main" name="Theme1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C9C506F-BF5C-4DDD-9E14-EF628669DBE9}">
  <we:reference id="wa200004935" version="5.0.0.0" store="en-US" storeType="OMEX"/>
  <we:alternateReferences>
    <we:reference id="WA200004935" version="5.0.0.0" store="WA200004935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_xldudf_FORMULABOT_CLASSIFY</we:customFunctionIds>
        <we:customFunctionIds>_xldudf_FORMULABOT_EXTRACT</we:customFunctionIds>
        <we:customFunctionIds>_xldudf_FORMULABOT_SENTIMENT</we:customFunctionIds>
        <we:customFunctionIds>_xldudf_FORMULABOT_INFO</we:customFunctionIds>
        <we:customFunctionIds>_xldudf_FORMULABOT_FREEFORM</we:customFunctionIds>
        <we:customFunctionIds>_xldudf_FORMULABOT_INFER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50"/>
  <sheetViews>
    <sheetView topLeftCell="EO33" zoomScale="90" zoomScaleNormal="90" workbookViewId="0">
      <selection activeCell="E19" sqref="E19"/>
    </sheetView>
  </sheetViews>
  <sheetFormatPr defaultColWidth="9.1328125" defaultRowHeight="13.5" x14ac:dyDescent="0.35"/>
  <cols>
    <col min="1" max="1" width="7.1328125" style="5" customWidth="1"/>
    <col min="2" max="2" width="27.59765625" style="5" customWidth="1"/>
    <col min="3" max="3" width="9.1328125" style="5" customWidth="1"/>
    <col min="4" max="4" width="12.73046875" style="5" customWidth="1"/>
    <col min="5" max="6" width="12.3984375" style="5" customWidth="1"/>
    <col min="7" max="7" width="9.1328125" style="5" customWidth="1"/>
    <col min="8" max="8" width="7.86328125" style="5" customWidth="1"/>
    <col min="9" max="10" width="9.1328125" style="5"/>
    <col min="11" max="11" width="10.1328125" style="5" customWidth="1"/>
    <col min="12" max="13" width="9.1328125" style="5"/>
    <col min="14" max="14" width="10.1328125" style="5" customWidth="1"/>
    <col min="15" max="15" width="9.1328125" style="5"/>
    <col min="16" max="17" width="10.1328125" style="5" customWidth="1"/>
    <col min="18" max="16384" width="9.1328125" style="5"/>
  </cols>
  <sheetData>
    <row r="1" spans="1:17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7" ht="13.9" x14ac:dyDescent="0.4">
      <c r="A2" s="1938" t="s">
        <v>78</v>
      </c>
      <c r="B2" s="1938"/>
      <c r="C2" s="1938"/>
      <c r="D2" s="1938"/>
      <c r="E2" s="1938"/>
      <c r="F2" s="1938"/>
      <c r="G2" s="1938"/>
      <c r="H2" s="1938"/>
    </row>
    <row r="3" spans="1:17" ht="13.9" x14ac:dyDescent="0.4">
      <c r="A3" s="9" t="s">
        <v>6</v>
      </c>
      <c r="B3" s="9" t="s">
        <v>7</v>
      </c>
      <c r="C3" s="1939" t="s">
        <v>8</v>
      </c>
      <c r="D3" s="1939"/>
      <c r="E3" s="1939" t="s">
        <v>10</v>
      </c>
      <c r="F3" s="1939"/>
      <c r="G3" s="1939" t="s">
        <v>11</v>
      </c>
      <c r="H3" s="1939"/>
    </row>
    <row r="4" spans="1:17" ht="30.75" customHeight="1" x14ac:dyDescent="0.4">
      <c r="A4" s="9"/>
      <c r="B4" s="9"/>
      <c r="C4" s="9" t="s">
        <v>9</v>
      </c>
      <c r="D4" s="139">
        <f>E4</f>
        <v>43556</v>
      </c>
      <c r="E4" s="139">
        <v>43556</v>
      </c>
      <c r="F4" s="139">
        <f>E4</f>
        <v>43556</v>
      </c>
      <c r="G4" s="25" t="s">
        <v>12</v>
      </c>
      <c r="H4" s="25" t="s">
        <v>13</v>
      </c>
    </row>
    <row r="5" spans="1:17" x14ac:dyDescent="0.35">
      <c r="A5" s="6"/>
      <c r="B5" s="6"/>
      <c r="C5" s="1934" t="s">
        <v>77</v>
      </c>
      <c r="D5" s="1934"/>
      <c r="E5" s="85" t="s">
        <v>66</v>
      </c>
      <c r="F5" s="85" t="s">
        <v>77</v>
      </c>
      <c r="G5" s="6"/>
      <c r="H5" s="6"/>
    </row>
    <row r="6" spans="1:17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17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17" x14ac:dyDescent="0.35">
      <c r="A8" s="6">
        <v>1.1000000000000001</v>
      </c>
      <c r="B8" s="6" t="s">
        <v>16</v>
      </c>
      <c r="C8" s="160">
        <f>'TARGET 2019-20'!E8</f>
        <v>1.66</v>
      </c>
      <c r="D8" s="27">
        <v>1.66</v>
      </c>
      <c r="E8" s="27">
        <f>'[1]APRIL-19'!$S$11</f>
        <v>1.5061820760000002</v>
      </c>
      <c r="F8" s="27">
        <v>1.5</v>
      </c>
      <c r="G8" s="31">
        <f>(F8-D8)/D8*100</f>
        <v>-9.6385542168674654</v>
      </c>
      <c r="H8" s="31">
        <f>(F8-E8)/E8*100</f>
        <v>-0.41044679116206673</v>
      </c>
      <c r="J8" s="12"/>
    </row>
    <row r="9" spans="1:17" x14ac:dyDescent="0.35">
      <c r="A9" s="6">
        <v>1.2</v>
      </c>
      <c r="B9" s="6" t="s">
        <v>15</v>
      </c>
      <c r="C9" s="160">
        <f>'TARGET 2019-20'!F8</f>
        <v>70.87</v>
      </c>
      <c r="D9" s="27">
        <v>70.87</v>
      </c>
      <c r="E9" s="27">
        <v>67.09</v>
      </c>
      <c r="F9" s="27">
        <v>73.849999999999994</v>
      </c>
      <c r="G9" s="31">
        <f>(F9-D9)/D9*100</f>
        <v>4.2048821786369261</v>
      </c>
      <c r="H9" s="31">
        <f>(F9-E9)/E9*100</f>
        <v>10.076017290207171</v>
      </c>
    </row>
    <row r="10" spans="1:17" x14ac:dyDescent="0.35">
      <c r="A10" s="6">
        <v>1.3</v>
      </c>
      <c r="B10" s="6" t="s">
        <v>17</v>
      </c>
      <c r="C10" s="160">
        <f>SUM(C8:C9)</f>
        <v>72.53</v>
      </c>
      <c r="D10" s="27">
        <f>SUM(D8:D9)</f>
        <v>72.53</v>
      </c>
      <c r="E10" s="27">
        <f>SUM(E8:E9)</f>
        <v>68.596182076000005</v>
      </c>
      <c r="F10" s="27">
        <f>SUM(F8:F9)</f>
        <v>75.349999999999994</v>
      </c>
      <c r="G10" s="31">
        <f>(F10-D10)/D10*100</f>
        <v>3.8880463256583391</v>
      </c>
      <c r="H10" s="31">
        <f>(F10-E10)/E10*100</f>
        <v>9.8457635973343365</v>
      </c>
    </row>
    <row r="11" spans="1:17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17" x14ac:dyDescent="0.35">
      <c r="A12" s="6">
        <v>2.1</v>
      </c>
      <c r="B12" s="6" t="s">
        <v>19</v>
      </c>
      <c r="C12" s="161">
        <f>'TARGET 2019-20'!P8</f>
        <v>9.57</v>
      </c>
      <c r="D12" s="1941">
        <v>9.57</v>
      </c>
      <c r="E12" s="27">
        <v>8.7799999999999994</v>
      </c>
      <c r="F12" s="27">
        <v>10.36</v>
      </c>
      <c r="G12" s="31">
        <f>(F12-D12)/D12*100</f>
        <v>8.254963427377211</v>
      </c>
      <c r="H12" s="31">
        <f>(F12-E12)/E12*100</f>
        <v>17.995444191343964</v>
      </c>
    </row>
    <row r="13" spans="1:17" hidden="1" x14ac:dyDescent="0.35">
      <c r="A13" s="6">
        <v>2.2000000000000002</v>
      </c>
      <c r="B13" s="6" t="s">
        <v>20</v>
      </c>
      <c r="C13" s="162"/>
      <c r="D13" s="1942"/>
      <c r="E13" s="27"/>
      <c r="F13" s="27"/>
      <c r="G13" s="31" t="e">
        <f>(F13-D13)/D13*100</f>
        <v>#DIV/0!</v>
      </c>
      <c r="H13" s="31" t="e">
        <f>(F13-E13)/E13*100</f>
        <v>#DIV/0!</v>
      </c>
    </row>
    <row r="14" spans="1:17" x14ac:dyDescent="0.35">
      <c r="A14" s="6">
        <v>2.2999999999999998</v>
      </c>
      <c r="B14" s="6" t="s">
        <v>21</v>
      </c>
      <c r="C14" s="160">
        <f>SUM(C12)</f>
        <v>9.57</v>
      </c>
      <c r="D14" s="87">
        <f>SUM(D12)</f>
        <v>9.57</v>
      </c>
      <c r="E14" s="27">
        <f>SUM(E12:E13)</f>
        <v>8.7799999999999994</v>
      </c>
      <c r="F14" s="27">
        <f>SUM(F12:F13)</f>
        <v>10.36</v>
      </c>
      <c r="G14" s="31">
        <f>(F14-D14)/D14*100</f>
        <v>8.254963427377211</v>
      </c>
      <c r="H14" s="31">
        <f>(F14-E14)/E14*100</f>
        <v>17.995444191343964</v>
      </c>
      <c r="P14" s="5" t="s">
        <v>107</v>
      </c>
      <c r="Q14" s="5" t="s">
        <v>126</v>
      </c>
    </row>
    <row r="15" spans="1:17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  <c r="O15" s="5" t="s">
        <v>124</v>
      </c>
      <c r="P15" s="5">
        <v>19624487</v>
      </c>
      <c r="Q15" s="5">
        <v>20139015</v>
      </c>
    </row>
    <row r="16" spans="1:17" x14ac:dyDescent="0.35">
      <c r="A16" s="6">
        <v>3.1</v>
      </c>
      <c r="B16" s="6" t="s">
        <v>2</v>
      </c>
      <c r="C16" s="6"/>
      <c r="D16" s="27">
        <v>1.8</v>
      </c>
      <c r="E16" s="27">
        <f>20404188/10000000</f>
        <v>2.0404187999999999</v>
      </c>
      <c r="F16" s="27">
        <f>20704316/10000000</f>
        <v>2.0704316</v>
      </c>
      <c r="G16" s="31">
        <f>(F16-D16)/D16*100</f>
        <v>15.023977777777779</v>
      </c>
      <c r="H16" s="31">
        <f t="shared" ref="H16:H22" si="0">(F16-E16)/E16*100</f>
        <v>1.4709137163409871</v>
      </c>
      <c r="O16" s="5" t="s">
        <v>125</v>
      </c>
      <c r="P16" s="5">
        <v>2393538</v>
      </c>
      <c r="Q16" s="5">
        <v>1884375</v>
      </c>
    </row>
    <row r="17" spans="1:18" x14ac:dyDescent="0.35">
      <c r="A17" s="6">
        <v>3.2</v>
      </c>
      <c r="B17" s="6" t="s">
        <v>23</v>
      </c>
      <c r="C17" s="20"/>
      <c r="D17" s="193">
        <v>2.25</v>
      </c>
      <c r="E17" s="27">
        <f>1.97</f>
        <v>1.97</v>
      </c>
      <c r="F17" s="27">
        <v>2.0099999999999998</v>
      </c>
      <c r="G17" s="31">
        <f>(F17-D17)/D17*100</f>
        <v>-10.666666666666675</v>
      </c>
      <c r="H17" s="31">
        <f t="shared" si="0"/>
        <v>2.0304568527918687</v>
      </c>
    </row>
    <row r="18" spans="1:18" ht="13.9" x14ac:dyDescent="0.4">
      <c r="A18" s="6">
        <v>3.3</v>
      </c>
      <c r="B18" s="6" t="s">
        <v>1</v>
      </c>
      <c r="C18" s="1936"/>
      <c r="D18" s="194">
        <v>0.53</v>
      </c>
      <c r="E18" s="27">
        <f>P19</f>
        <v>0.23935380000000001</v>
      </c>
      <c r="F18" s="27">
        <v>0.188</v>
      </c>
      <c r="G18" s="31">
        <f>(F18-D18)/D18*100</f>
        <v>-64.528301886792448</v>
      </c>
      <c r="H18" s="31">
        <f t="shared" si="0"/>
        <v>-21.455184751610378</v>
      </c>
      <c r="K18" s="137" t="s">
        <v>123</v>
      </c>
      <c r="L18" s="137"/>
      <c r="P18" s="13">
        <f>P15/10000000</f>
        <v>1.9624486999999999</v>
      </c>
      <c r="Q18" s="13">
        <f>Q15/10000000</f>
        <v>2.0139014999999998</v>
      </c>
    </row>
    <row r="19" spans="1:18" ht="13.9" x14ac:dyDescent="0.4">
      <c r="A19" s="6">
        <v>3.4</v>
      </c>
      <c r="B19" s="6" t="s">
        <v>24</v>
      </c>
      <c r="C19" s="1936"/>
      <c r="D19" s="129"/>
      <c r="E19" s="27">
        <f>'[2]APRIL-19'!$AQ$293</f>
        <v>0.50234599999999996</v>
      </c>
      <c r="F19" s="27">
        <f>'[2]APRIL-19'!$AP$293</f>
        <v>0.293794</v>
      </c>
      <c r="G19" s="10"/>
      <c r="H19" s="31">
        <f t="shared" si="0"/>
        <v>-41.515608763680802</v>
      </c>
      <c r="K19" s="137" t="s">
        <v>66</v>
      </c>
      <c r="L19" s="137" t="s">
        <v>77</v>
      </c>
      <c r="P19" s="13">
        <f>P16/10000000</f>
        <v>0.23935380000000001</v>
      </c>
      <c r="Q19" s="13">
        <f>Q16/10000000</f>
        <v>0.18843750000000001</v>
      </c>
    </row>
    <row r="20" spans="1:18" ht="30.75" customHeight="1" x14ac:dyDescent="0.35">
      <c r="A20" s="6">
        <v>3.5</v>
      </c>
      <c r="B20" s="24" t="s">
        <v>25</v>
      </c>
      <c r="C20" s="1936"/>
      <c r="D20" s="129"/>
      <c r="E20" s="6">
        <v>0.86</v>
      </c>
      <c r="F20" s="27">
        <f>0.4988</f>
        <v>0.49880000000000002</v>
      </c>
      <c r="G20" s="10"/>
      <c r="H20" s="7">
        <f t="shared" si="0"/>
        <v>-42</v>
      </c>
      <c r="K20" s="5">
        <v>6608800</v>
      </c>
      <c r="L20" s="5">
        <v>2110370</v>
      </c>
    </row>
    <row r="21" spans="1:18" ht="35.25" customHeight="1" x14ac:dyDescent="0.35">
      <c r="A21" s="6">
        <v>3.6</v>
      </c>
      <c r="B21" s="23" t="s">
        <v>26</v>
      </c>
      <c r="C21" s="1937"/>
      <c r="D21" s="130"/>
      <c r="E21" s="27">
        <v>1.34</v>
      </c>
      <c r="F21" s="27">
        <v>2.93</v>
      </c>
      <c r="G21" s="45"/>
      <c r="H21" s="31">
        <f t="shared" si="0"/>
        <v>118.65671641791045</v>
      </c>
      <c r="K21" s="5">
        <v>1746430</v>
      </c>
      <c r="L21" s="5">
        <v>2716490</v>
      </c>
    </row>
    <row r="22" spans="1:18" ht="27" customHeight="1" x14ac:dyDescent="0.35">
      <c r="A22" s="6">
        <v>3.7</v>
      </c>
      <c r="B22" s="23" t="s">
        <v>58</v>
      </c>
      <c r="C22" s="160">
        <f>'TARGET 2019-20'!L8</f>
        <v>10.75</v>
      </c>
      <c r="D22" s="27">
        <v>10.75</v>
      </c>
      <c r="E22" s="27">
        <f>SUM(E16:E21)</f>
        <v>6.9521186000000004</v>
      </c>
      <c r="F22" s="27">
        <f>SUM(F16:F21)</f>
        <v>7.9910256000000004</v>
      </c>
      <c r="G22" s="31">
        <f>(F22-D22)/D22*100</f>
        <v>-25.664878139534881</v>
      </c>
      <c r="H22" s="31">
        <f t="shared" si="0"/>
        <v>14.94374678820928</v>
      </c>
      <c r="K22" s="5">
        <v>272396</v>
      </c>
      <c r="L22" s="5">
        <v>162000</v>
      </c>
      <c r="O22" s="5">
        <f>87000</f>
        <v>87000</v>
      </c>
      <c r="P22" s="5">
        <v>37500</v>
      </c>
      <c r="Q22" s="5">
        <v>37500</v>
      </c>
      <c r="R22" s="5">
        <f>SUM(O22:Q22)</f>
        <v>162000</v>
      </c>
    </row>
    <row r="23" spans="1:18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  <c r="K23" s="5">
        <f>SUM(K20:K22)</f>
        <v>8627626</v>
      </c>
      <c r="L23" s="5">
        <f>SUM(L20:L22)</f>
        <v>4988860</v>
      </c>
    </row>
    <row r="24" spans="1:18" x14ac:dyDescent="0.35">
      <c r="A24" s="6">
        <v>4.0999999999999996</v>
      </c>
      <c r="B24" s="6" t="s">
        <v>27</v>
      </c>
      <c r="C24" s="163">
        <v>1.3258333333333334</v>
      </c>
      <c r="D24" s="12">
        <v>0.83333333333333326</v>
      </c>
      <c r="E24" s="30">
        <v>0.39917580000000003</v>
      </c>
      <c r="F24" s="30">
        <v>0.59</v>
      </c>
      <c r="G24" s="31">
        <f>(F24-D24)/D24*100</f>
        <v>-29.2</v>
      </c>
      <c r="H24" s="31">
        <f t="shared" ref="H24:H31" si="1">(F24-E24)/E24*100</f>
        <v>47.804551277908111</v>
      </c>
      <c r="J24" s="5">
        <f>0.19+0.4</f>
        <v>0.59000000000000008</v>
      </c>
      <c r="K24" s="5">
        <f>K23/10000000</f>
        <v>0.86276260000000005</v>
      </c>
      <c r="L24" s="5">
        <f>L23/10000000</f>
        <v>0.498886</v>
      </c>
      <c r="N24" s="5">
        <f>8-7.33</f>
        <v>0.66999999999999993</v>
      </c>
      <c r="O24" s="5">
        <f>8.23-6.94</f>
        <v>1.29</v>
      </c>
    </row>
    <row r="25" spans="1:18" x14ac:dyDescent="0.35">
      <c r="A25" s="6">
        <v>4.2</v>
      </c>
      <c r="B25" s="6" t="s">
        <v>28</v>
      </c>
      <c r="C25" s="163">
        <v>0.48166666666666669</v>
      </c>
      <c r="D25" s="12">
        <v>0.31225833333333336</v>
      </c>
      <c r="E25" s="30">
        <v>0.4113716</v>
      </c>
      <c r="F25" s="27">
        <v>0.83299999999999996</v>
      </c>
      <c r="G25" s="31">
        <f>(F25-D25)/D25*100</f>
        <v>166.76629927143657</v>
      </c>
      <c r="H25" s="31">
        <f t="shared" si="1"/>
        <v>102.49331747743402</v>
      </c>
      <c r="N25" s="12">
        <f>F21-N24</f>
        <v>2.2600000000000002</v>
      </c>
      <c r="O25" s="12">
        <f>E21-O24</f>
        <v>5.0000000000000044E-2</v>
      </c>
    </row>
    <row r="26" spans="1:18" x14ac:dyDescent="0.35">
      <c r="A26" s="6">
        <v>4.3</v>
      </c>
      <c r="B26" s="6" t="s">
        <v>4</v>
      </c>
      <c r="C26" s="73"/>
      <c r="D26" s="6">
        <v>0</v>
      </c>
      <c r="E26" s="30">
        <v>0</v>
      </c>
      <c r="F26" s="6">
        <v>0</v>
      </c>
      <c r="G26" s="6"/>
      <c r="H26" s="31" t="e">
        <f t="shared" si="1"/>
        <v>#DIV/0!</v>
      </c>
    </row>
    <row r="27" spans="1:18" x14ac:dyDescent="0.35">
      <c r="A27" s="6">
        <v>4.4000000000000004</v>
      </c>
      <c r="B27" s="6" t="s">
        <v>29</v>
      </c>
      <c r="C27" s="73"/>
      <c r="D27" s="6"/>
      <c r="E27" s="30">
        <v>1.3372E-3</v>
      </c>
      <c r="F27" s="40">
        <v>0</v>
      </c>
      <c r="G27" s="6"/>
      <c r="H27" s="31">
        <f t="shared" si="1"/>
        <v>-100</v>
      </c>
      <c r="O27" s="5">
        <f>2.26+1.29</f>
        <v>3.55</v>
      </c>
      <c r="Q27" s="5">
        <f>2.67+0.67</f>
        <v>3.34</v>
      </c>
    </row>
    <row r="28" spans="1:18" ht="15" customHeight="1" x14ac:dyDescent="0.35">
      <c r="A28" s="6">
        <v>4.5</v>
      </c>
      <c r="B28" s="6" t="s">
        <v>64</v>
      </c>
      <c r="C28" s="1935">
        <v>0.125</v>
      </c>
      <c r="D28" s="177"/>
      <c r="E28" s="30">
        <v>3.6346E-3</v>
      </c>
      <c r="F28" s="30">
        <v>0</v>
      </c>
      <c r="G28" s="1934"/>
      <c r="H28" s="31">
        <f t="shared" si="1"/>
        <v>-100</v>
      </c>
      <c r="K28" s="13">
        <f>E29+E28+E27</f>
        <v>2.8971800000000002E-2</v>
      </c>
    </row>
    <row r="29" spans="1:18" x14ac:dyDescent="0.35">
      <c r="A29" s="6">
        <v>4.7</v>
      </c>
      <c r="B29" s="6" t="s">
        <v>68</v>
      </c>
      <c r="C29" s="1935"/>
      <c r="D29" s="178">
        <v>0.13583333333333333</v>
      </c>
      <c r="E29" s="27">
        <v>2.4E-2</v>
      </c>
      <c r="F29" s="12">
        <f>(1781949)/10000000</f>
        <v>0.17819489999999999</v>
      </c>
      <c r="G29" s="1934"/>
      <c r="H29" s="31">
        <f t="shared" si="1"/>
        <v>642.47874999999999</v>
      </c>
      <c r="N29" s="5">
        <f>2.67+0.67</f>
        <v>3.34</v>
      </c>
    </row>
    <row r="30" spans="1:18" hidden="1" x14ac:dyDescent="0.35">
      <c r="A30" s="6">
        <v>4.8</v>
      </c>
      <c r="B30" s="6" t="s">
        <v>31</v>
      </c>
      <c r="C30" s="164"/>
      <c r="D30" s="22"/>
      <c r="E30" s="6"/>
      <c r="F30" s="6"/>
      <c r="G30" s="6"/>
      <c r="H30" s="31" t="e">
        <f t="shared" si="1"/>
        <v>#DIV/0!</v>
      </c>
    </row>
    <row r="31" spans="1:18" x14ac:dyDescent="0.35">
      <c r="A31" s="6">
        <v>4.9000000000000004</v>
      </c>
      <c r="B31" s="6" t="s">
        <v>32</v>
      </c>
      <c r="C31" s="163">
        <f>C28+C25+C24</f>
        <v>1.9325000000000001</v>
      </c>
      <c r="D31" s="27">
        <f>SUM(D24:D30)</f>
        <v>1.2814249999999998</v>
      </c>
      <c r="E31" s="27">
        <f>SUM(E24:E30)</f>
        <v>0.83951920000000013</v>
      </c>
      <c r="F31" s="27">
        <f>SUM(F24:F30)</f>
        <v>1.6011949000000001</v>
      </c>
      <c r="G31" s="7"/>
      <c r="H31" s="31">
        <f t="shared" si="1"/>
        <v>90.727609326862307</v>
      </c>
      <c r="K31" s="5">
        <f>135445+41860+10864+36346+4113716</f>
        <v>4338231</v>
      </c>
    </row>
    <row r="32" spans="1:18" ht="13.9" x14ac:dyDescent="0.4">
      <c r="A32" s="9">
        <v>5</v>
      </c>
      <c r="B32" s="9" t="s">
        <v>33</v>
      </c>
      <c r="C32" s="163">
        <f>C31+C22+C14+C10</f>
        <v>94.782499999999999</v>
      </c>
      <c r="D32" s="48">
        <f>D10+D14+D22+D31+D29</f>
        <v>94.267258333333331</v>
      </c>
      <c r="E32" s="28">
        <f>E10+E14+E22+E31</f>
        <v>85.16781987600001</v>
      </c>
      <c r="F32" s="28">
        <f>F10+F14+F22+F31</f>
        <v>95.30222049999999</v>
      </c>
      <c r="G32" s="31">
        <f>(F32-D32)/D32*100</f>
        <v>1.0979020552469934</v>
      </c>
      <c r="H32" s="7">
        <f>(F32-E32)/E32*100</f>
        <v>11.899330802121211</v>
      </c>
      <c r="N32" s="5">
        <f>1781949+8335593</f>
        <v>10117542</v>
      </c>
    </row>
    <row r="33" spans="1:13" ht="14.25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</row>
    <row r="34" spans="1:13" x14ac:dyDescent="0.35">
      <c r="A34" s="6">
        <v>6.1</v>
      </c>
      <c r="B34" s="6" t="s">
        <v>16</v>
      </c>
      <c r="C34" s="165">
        <v>26.8</v>
      </c>
      <c r="D34" s="27">
        <v>26.8</v>
      </c>
      <c r="E34" s="27">
        <v>26.09</v>
      </c>
      <c r="F34" s="27">
        <v>25.07</v>
      </c>
      <c r="G34" s="31">
        <f>(F34-D34)/D34*100</f>
        <v>-6.4552238805970159</v>
      </c>
      <c r="H34" s="31">
        <f>(F34-E34)/E34*100</f>
        <v>-3.9095438865465679</v>
      </c>
      <c r="M34" s="5">
        <f>1.5/12</f>
        <v>0.125</v>
      </c>
    </row>
    <row r="35" spans="1:13" x14ac:dyDescent="0.35">
      <c r="A35" s="6">
        <v>6.2</v>
      </c>
      <c r="B35" s="6" t="s">
        <v>15</v>
      </c>
      <c r="C35" s="165">
        <v>36.1</v>
      </c>
      <c r="D35" s="27">
        <v>36.1</v>
      </c>
      <c r="E35" s="27">
        <v>35.909999999999997</v>
      </c>
      <c r="F35" s="27">
        <v>38.020000000000003</v>
      </c>
      <c r="G35" s="31">
        <f>(F35-D35)/D35*100</f>
        <v>5.3185595567867079</v>
      </c>
      <c r="H35" s="31">
        <f>(F35-E35)/E35*100</f>
        <v>5.8758006126427373</v>
      </c>
      <c r="K35" s="5">
        <f>1781949+8335593</f>
        <v>10117542</v>
      </c>
    </row>
    <row r="36" spans="1:13" x14ac:dyDescent="0.35">
      <c r="A36" s="6">
        <v>6.3</v>
      </c>
      <c r="B36" s="6" t="s">
        <v>34</v>
      </c>
      <c r="C36" s="165">
        <f>SUM(C34:C35)</f>
        <v>62.900000000000006</v>
      </c>
      <c r="D36" s="6">
        <f>SUM(D34:D35)</f>
        <v>62.900000000000006</v>
      </c>
      <c r="E36" s="27">
        <f>SUM(E34:E35)</f>
        <v>62</v>
      </c>
      <c r="F36" s="27">
        <f>SUM(F34:F35)</f>
        <v>63.09</v>
      </c>
      <c r="G36" s="31">
        <f>(F36-D36)/D36*100</f>
        <v>0.30206677265500431</v>
      </c>
      <c r="H36" s="31">
        <f>(F36-E36)/E36*100</f>
        <v>1.758064516129038</v>
      </c>
    </row>
    <row r="37" spans="1:13" ht="14.25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</row>
    <row r="38" spans="1:13" x14ac:dyDescent="0.35">
      <c r="A38" s="6">
        <v>7.1</v>
      </c>
      <c r="B38" s="6" t="s">
        <v>16</v>
      </c>
      <c r="C38" s="14"/>
      <c r="D38" s="15"/>
      <c r="E38" s="6">
        <v>25.67</v>
      </c>
      <c r="F38" s="6">
        <v>25.07</v>
      </c>
      <c r="G38" s="1925"/>
      <c r="H38" s="31">
        <f>(F38-E38)/E38*100</f>
        <v>-2.3373587845734374</v>
      </c>
    </row>
    <row r="39" spans="1:13" x14ac:dyDescent="0.35">
      <c r="A39" s="6">
        <v>7.2</v>
      </c>
      <c r="B39" s="6" t="s">
        <v>15</v>
      </c>
      <c r="C39" s="16"/>
      <c r="D39" s="17"/>
      <c r="E39" s="6">
        <v>322.89</v>
      </c>
      <c r="F39" s="6">
        <v>384.27</v>
      </c>
      <c r="G39" s="1926"/>
      <c r="H39" s="31">
        <f>(F39-E39)/E39*100</f>
        <v>19.009569822540186</v>
      </c>
    </row>
    <row r="40" spans="1:13" x14ac:dyDescent="0.35">
      <c r="A40" s="6">
        <v>7.3</v>
      </c>
      <c r="B40" s="6" t="s">
        <v>35</v>
      </c>
      <c r="C40" s="21"/>
      <c r="D40" s="22"/>
      <c r="E40" s="6">
        <f>SUM(E38:E39)</f>
        <v>348.56</v>
      </c>
      <c r="F40" s="6">
        <f>SUM(F38:F39)</f>
        <v>409.34</v>
      </c>
      <c r="G40" s="1927"/>
      <c r="H40" s="31">
        <f>(F40-E40)/E40*100</f>
        <v>17.437456965802152</v>
      </c>
    </row>
    <row r="41" spans="1:13" ht="14.25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13" x14ac:dyDescent="0.35">
      <c r="A42" s="6">
        <v>8.1</v>
      </c>
      <c r="B42" s="6" t="s">
        <v>41</v>
      </c>
      <c r="C42" s="6"/>
      <c r="D42" s="6">
        <v>70000</v>
      </c>
      <c r="E42" s="6">
        <v>36269</v>
      </c>
      <c r="F42" s="6">
        <v>37779</v>
      </c>
      <c r="G42" s="31">
        <f>(F42-D42)/D42*100</f>
        <v>-46.03</v>
      </c>
      <c r="H42" s="7">
        <f>(F42-E42)/E42*100</f>
        <v>4.163335079544515</v>
      </c>
    </row>
    <row r="43" spans="1:13" ht="14.25" x14ac:dyDescent="0.45">
      <c r="A43" s="9">
        <v>9</v>
      </c>
      <c r="B43" s="1931" t="s">
        <v>67</v>
      </c>
      <c r="C43" s="1932"/>
      <c r="D43" s="1932"/>
      <c r="E43" s="1932"/>
      <c r="F43" s="1932"/>
      <c r="G43" s="1932"/>
      <c r="H43" s="1933"/>
    </row>
    <row r="44" spans="1:13" x14ac:dyDescent="0.35">
      <c r="A44" s="6">
        <v>9.1</v>
      </c>
      <c r="B44" s="6" t="s">
        <v>36</v>
      </c>
      <c r="C44" s="14"/>
      <c r="D44" s="15"/>
      <c r="E44" s="78">
        <v>116.97</v>
      </c>
      <c r="F44" s="78">
        <v>152.41999999999999</v>
      </c>
      <c r="G44" s="1925"/>
      <c r="H44" s="79">
        <f>(F44-E44)/E44*100</f>
        <v>30.306916303325632</v>
      </c>
    </row>
    <row r="45" spans="1:13" x14ac:dyDescent="0.35">
      <c r="A45" s="6">
        <v>9.1999999999999993</v>
      </c>
      <c r="B45" s="6" t="s">
        <v>37</v>
      </c>
      <c r="C45" s="16"/>
      <c r="D45" s="17"/>
      <c r="E45" s="78">
        <v>9.59</v>
      </c>
      <c r="F45" s="78">
        <v>14.32</v>
      </c>
      <c r="G45" s="1926"/>
      <c r="H45" s="79">
        <f>(F45-E45)/E45*100</f>
        <v>49.322210636079255</v>
      </c>
    </row>
    <row r="46" spans="1:13" x14ac:dyDescent="0.35">
      <c r="A46" s="6">
        <v>9.3000000000000007</v>
      </c>
      <c r="B46" s="6" t="s">
        <v>38</v>
      </c>
      <c r="C46" s="21"/>
      <c r="D46" s="22"/>
      <c r="E46" s="27">
        <f>SUM(E44:E45)</f>
        <v>126.56</v>
      </c>
      <c r="F46" s="27">
        <f>SUM(F44:F45)</f>
        <v>166.73999999999998</v>
      </c>
      <c r="G46" s="1927"/>
      <c r="H46" s="79">
        <f>(F46-E46)/E46*100</f>
        <v>31.747787610619447</v>
      </c>
    </row>
    <row r="47" spans="1:13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3" x14ac:dyDescent="0.3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>(E48-F48)/F48*100</f>
        <v>#DIV/0!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>(E49-F49)/F49*100</f>
        <v>#DIV/0!</v>
      </c>
    </row>
    <row r="50" spans="1:8" x14ac:dyDescent="0.35">
      <c r="A50" s="6">
        <v>10.3</v>
      </c>
      <c r="B50" s="6" t="s">
        <v>0</v>
      </c>
      <c r="C50" s="21"/>
      <c r="D50" s="22"/>
      <c r="E50" s="6"/>
      <c r="F50" s="6">
        <f>SUM(F48:F49)</f>
        <v>0</v>
      </c>
      <c r="G50" s="1927"/>
      <c r="H50" s="7" t="e">
        <f>(E50-F50)/F50*100</f>
        <v>#DIV/0!</v>
      </c>
    </row>
  </sheetData>
  <mergeCells count="22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D12:D13"/>
    <mergeCell ref="B15:H15"/>
    <mergeCell ref="G48:G50"/>
    <mergeCell ref="B23:H23"/>
    <mergeCell ref="B33:H33"/>
    <mergeCell ref="B37:H37"/>
    <mergeCell ref="G38:G40"/>
    <mergeCell ref="B41:H41"/>
    <mergeCell ref="B43:H43"/>
    <mergeCell ref="G44:G46"/>
    <mergeCell ref="B47:H47"/>
    <mergeCell ref="G28:G29"/>
    <mergeCell ref="C28:C29"/>
  </mergeCells>
  <printOptions horizontalCentered="1" verticalCentered="1"/>
  <pageMargins left="0" right="0" top="0" bottom="0" header="0.31496062992125984" footer="0.31496062992125984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D8281-7F1D-4157-9326-10E93942A61E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0"/>
  <sheetViews>
    <sheetView topLeftCell="A5" workbookViewId="0">
      <selection activeCell="S5" sqref="S5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4" width="9.1328125" style="5" customWidth="1"/>
    <col min="5" max="5" width="12.3984375" style="5" customWidth="1"/>
    <col min="6" max="6" width="13" style="5" customWidth="1"/>
    <col min="7" max="7" width="9.1328125" style="5" customWidth="1"/>
    <col min="8" max="8" width="8" style="5" customWidth="1"/>
    <col min="9" max="15" width="9.1328125" style="5"/>
    <col min="16" max="16" width="10.59765625" style="5" customWidth="1"/>
    <col min="17" max="16384" width="9.1328125" style="5"/>
  </cols>
  <sheetData>
    <row r="1" spans="1:17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7" ht="13.9" x14ac:dyDescent="0.4">
      <c r="A2" s="1938" t="s">
        <v>148</v>
      </c>
      <c r="B2" s="1938"/>
      <c r="C2" s="1938"/>
      <c r="D2" s="1938"/>
      <c r="E2" s="1938"/>
      <c r="F2" s="1938"/>
      <c r="G2" s="1938"/>
      <c r="H2" s="1938"/>
    </row>
    <row r="3" spans="1:17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17" ht="30.75" customHeight="1" x14ac:dyDescent="0.4">
      <c r="A4" s="6"/>
      <c r="B4" s="6"/>
      <c r="C4" s="6" t="s">
        <v>9</v>
      </c>
      <c r="D4" s="6" t="s">
        <v>49</v>
      </c>
      <c r="E4" s="6" t="s">
        <v>49</v>
      </c>
      <c r="F4" s="6" t="s">
        <v>49</v>
      </c>
      <c r="G4" s="25" t="s">
        <v>12</v>
      </c>
      <c r="H4" s="25" t="s">
        <v>13</v>
      </c>
    </row>
    <row r="5" spans="1:17" x14ac:dyDescent="0.35">
      <c r="A5" s="6"/>
      <c r="B5" s="6"/>
      <c r="C5" s="1934" t="s">
        <v>77</v>
      </c>
      <c r="D5" s="1934"/>
      <c r="E5" s="85" t="s">
        <v>66</v>
      </c>
      <c r="F5" s="85" t="s">
        <v>77</v>
      </c>
      <c r="G5" s="6"/>
      <c r="H5" s="6"/>
    </row>
    <row r="6" spans="1:17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17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  <c r="P7" s="5" t="s">
        <v>123</v>
      </c>
    </row>
    <row r="8" spans="1:17" x14ac:dyDescent="0.35">
      <c r="A8" s="6">
        <v>1.1000000000000001</v>
      </c>
      <c r="B8" s="6" t="s">
        <v>16</v>
      </c>
      <c r="C8" s="160">
        <f>'TARGET 2019-20'!D9</f>
        <v>1.67</v>
      </c>
      <c r="D8" s="27">
        <v>1.67</v>
      </c>
      <c r="E8" s="27">
        <f>'[2]MAY-19'!$S$11</f>
        <v>1.517568115</v>
      </c>
      <c r="F8" s="27">
        <v>1.63</v>
      </c>
      <c r="G8" s="7">
        <f>(F8-D8)/D8*100</f>
        <v>-2.3952095808383254</v>
      </c>
      <c r="H8" s="31">
        <f>(F8-E8)/E8*100</f>
        <v>7.408687879555238</v>
      </c>
      <c r="P8" s="5" t="s">
        <v>107</v>
      </c>
      <c r="Q8" s="5" t="s">
        <v>126</v>
      </c>
    </row>
    <row r="9" spans="1:17" x14ac:dyDescent="0.35">
      <c r="A9" s="6">
        <v>1.2</v>
      </c>
      <c r="B9" s="6" t="s">
        <v>15</v>
      </c>
      <c r="C9" s="160">
        <f>'TARGET 2019-20'!F9</f>
        <v>73.040000000000006</v>
      </c>
      <c r="D9" s="27">
        <v>73.040000000000006</v>
      </c>
      <c r="E9" s="27">
        <v>69.09</v>
      </c>
      <c r="F9" s="27">
        <v>73.8</v>
      </c>
      <c r="G9" s="7">
        <f>(F9-D9)/D9*100</f>
        <v>1.0405257393209075</v>
      </c>
      <c r="H9" s="31">
        <f>(F9-E9)/E9*100</f>
        <v>6.8171949630916107</v>
      </c>
      <c r="P9" s="5">
        <v>581042</v>
      </c>
      <c r="Q9" s="5">
        <v>2716490</v>
      </c>
    </row>
    <row r="10" spans="1:17" x14ac:dyDescent="0.35">
      <c r="A10" s="6">
        <v>1.3</v>
      </c>
      <c r="B10" s="6" t="s">
        <v>17</v>
      </c>
      <c r="C10" s="160">
        <f>C8+C9</f>
        <v>74.710000000000008</v>
      </c>
      <c r="D10" s="27">
        <f>SUM(D8:D9)</f>
        <v>74.710000000000008</v>
      </c>
      <c r="E10" s="27">
        <f>SUM(E8:E9)</f>
        <v>70.607568115000007</v>
      </c>
      <c r="F10" s="27">
        <f>SUM(F8:F9)</f>
        <v>75.429999999999993</v>
      </c>
      <c r="G10" s="7">
        <f>(F10-D10)/D10*100</f>
        <v>0.96372640878059768</v>
      </c>
      <c r="H10" s="31">
        <f>(F10-E10)/E10*100</f>
        <v>6.8299079174424921</v>
      </c>
      <c r="P10" s="5">
        <v>6933996</v>
      </c>
      <c r="Q10" s="5">
        <v>1494770</v>
      </c>
    </row>
    <row r="11" spans="1:17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  <c r="P11" s="5">
        <v>16625</v>
      </c>
      <c r="Q11" s="5">
        <v>2548800</v>
      </c>
    </row>
    <row r="12" spans="1:17" x14ac:dyDescent="0.35">
      <c r="A12" s="6">
        <v>2.1</v>
      </c>
      <c r="B12" s="6" t="s">
        <v>19</v>
      </c>
      <c r="C12" s="166">
        <f>'TARGET 2019-20'!P9</f>
        <v>13.47</v>
      </c>
      <c r="D12" s="191">
        <v>13.47</v>
      </c>
      <c r="E12" s="27">
        <v>12.39</v>
      </c>
      <c r="F12" s="27">
        <v>23.25</v>
      </c>
      <c r="G12" s="7">
        <f>(F12-D12)/D12*100</f>
        <v>72.605790645879722</v>
      </c>
      <c r="H12" s="31">
        <f t="shared" ref="H12:H46" si="0">(F12-E12)/E12*100</f>
        <v>87.651331719128322</v>
      </c>
      <c r="P12" s="5">
        <v>16625</v>
      </c>
      <c r="Q12" s="172">
        <f>SUM(Q9:Q11)</f>
        <v>6760060</v>
      </c>
    </row>
    <row r="13" spans="1:17" x14ac:dyDescent="0.35">
      <c r="A13" s="6">
        <v>2.2000000000000002</v>
      </c>
      <c r="B13" s="6" t="s">
        <v>20</v>
      </c>
      <c r="C13" s="164"/>
      <c r="D13" s="192"/>
      <c r="E13" s="27"/>
      <c r="F13" s="27"/>
      <c r="G13" s="7"/>
      <c r="H13" s="7"/>
      <c r="P13" s="5">
        <v>19600</v>
      </c>
    </row>
    <row r="14" spans="1:17" x14ac:dyDescent="0.35">
      <c r="A14" s="6">
        <v>2.2999999999999998</v>
      </c>
      <c r="B14" s="6" t="s">
        <v>21</v>
      </c>
      <c r="C14" s="165">
        <f>SUM(C12:C13)</f>
        <v>13.47</v>
      </c>
      <c r="D14" s="87">
        <f>SUM(D12)</f>
        <v>13.47</v>
      </c>
      <c r="E14" s="27">
        <f>SUM(E12:E13)</f>
        <v>12.39</v>
      </c>
      <c r="F14" s="27">
        <f>SUM(F12:F13)</f>
        <v>23.25</v>
      </c>
      <c r="G14" s="7">
        <f>(F14-D14)/D14*100</f>
        <v>72.605790645879722</v>
      </c>
      <c r="H14" s="31">
        <f t="shared" si="0"/>
        <v>87.651331719128322</v>
      </c>
      <c r="P14" s="5">
        <v>19600</v>
      </c>
    </row>
    <row r="15" spans="1:17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  <c r="P15" s="5">
        <v>31080</v>
      </c>
    </row>
    <row r="16" spans="1:17" x14ac:dyDescent="0.35">
      <c r="A16" s="6">
        <v>3.1</v>
      </c>
      <c r="B16" s="6" t="s">
        <v>2</v>
      </c>
      <c r="C16" s="6"/>
      <c r="D16" s="27">
        <v>1.8</v>
      </c>
      <c r="E16" s="27">
        <f>12369447/10000000</f>
        <v>1.2369447</v>
      </c>
      <c r="F16" s="27">
        <f>20136130/10000000</f>
        <v>2.0136129999999999</v>
      </c>
      <c r="G16" s="7">
        <f>(F16-D16)/D16*100</f>
        <v>11.867388888888879</v>
      </c>
      <c r="H16" s="31">
        <f t="shared" ref="H16:H21" si="1">(F16-E16)/E16*100</f>
        <v>62.789249996382203</v>
      </c>
      <c r="P16" s="5">
        <v>30710</v>
      </c>
    </row>
    <row r="17" spans="1:22" x14ac:dyDescent="0.35">
      <c r="A17" s="6">
        <v>3.2</v>
      </c>
      <c r="B17" s="6" t="s">
        <v>23</v>
      </c>
      <c r="C17" s="20"/>
      <c r="D17" s="193">
        <v>2.2999999999999998</v>
      </c>
      <c r="E17" s="27">
        <v>2.0535999999999999</v>
      </c>
      <c r="F17" s="27">
        <v>2.0112999999999999</v>
      </c>
      <c r="G17" s="7">
        <f>(F17-D17)/D17*100</f>
        <v>-12.552173913043477</v>
      </c>
      <c r="H17" s="7">
        <f t="shared" si="1"/>
        <v>-2.0597974289053371</v>
      </c>
      <c r="P17" s="5">
        <v>30710</v>
      </c>
    </row>
    <row r="18" spans="1:22" x14ac:dyDescent="0.35">
      <c r="A18" s="6">
        <v>3.3</v>
      </c>
      <c r="B18" s="6" t="s">
        <v>1</v>
      </c>
      <c r="C18" s="1936"/>
      <c r="D18" s="194">
        <v>0.44</v>
      </c>
      <c r="E18" s="30">
        <v>0.20300000000000001</v>
      </c>
      <c r="F18" s="30">
        <f>'[2]MAY-19'!$Y$297</f>
        <v>0.17385999999999999</v>
      </c>
      <c r="G18" s="7">
        <f>(F18-D18)/D18*100</f>
        <v>-60.486363636363649</v>
      </c>
      <c r="H18" s="7">
        <f t="shared" si="1"/>
        <v>-14.354679802955678</v>
      </c>
      <c r="P18" s="5">
        <v>2473280</v>
      </c>
    </row>
    <row r="19" spans="1:22" x14ac:dyDescent="0.35">
      <c r="A19" s="6">
        <v>3.4</v>
      </c>
      <c r="B19" s="6" t="s">
        <v>24</v>
      </c>
      <c r="C19" s="1936"/>
      <c r="D19" s="129"/>
      <c r="E19" s="30">
        <f>'[2]MAY-19'!$AQ$300</f>
        <v>0.51465000000000005</v>
      </c>
      <c r="F19" s="30">
        <f>'[2]MAY-19'!$AP$300</f>
        <v>0.31804399999999999</v>
      </c>
      <c r="G19" s="10"/>
      <c r="H19" s="7">
        <f t="shared" si="1"/>
        <v>-38.201884776061405</v>
      </c>
      <c r="P19" s="172">
        <f>SUM(P9:P18)</f>
        <v>10153268</v>
      </c>
    </row>
    <row r="20" spans="1:22" ht="30.75" customHeight="1" x14ac:dyDescent="0.35">
      <c r="A20" s="6">
        <v>3.5</v>
      </c>
      <c r="B20" s="173" t="s">
        <v>25</v>
      </c>
      <c r="C20" s="1936"/>
      <c r="D20" s="129"/>
      <c r="E20" s="27">
        <v>0.69</v>
      </c>
      <c r="F20" s="27">
        <f>0.676+0.24</f>
        <v>0.91600000000000004</v>
      </c>
      <c r="G20" s="10"/>
      <c r="H20" s="7">
        <f t="shared" si="1"/>
        <v>32.753623188405811</v>
      </c>
      <c r="J20" s="5">
        <f>24000+581042+6933996</f>
        <v>7539038</v>
      </c>
      <c r="K20" s="172">
        <f>2716490+1494770+2548800</f>
        <v>6760060</v>
      </c>
      <c r="N20" s="5">
        <f>J20/10000000</f>
        <v>0.75390380000000001</v>
      </c>
      <c r="O20" s="5">
        <f>K20/10000000</f>
        <v>0.676006</v>
      </c>
      <c r="P20" s="5">
        <f>P19/10000000</f>
        <v>1.0153268</v>
      </c>
    </row>
    <row r="21" spans="1:22" ht="35.25" customHeight="1" x14ac:dyDescent="0.35">
      <c r="A21" s="6">
        <v>3.6</v>
      </c>
      <c r="B21" s="23" t="s">
        <v>26</v>
      </c>
      <c r="C21" s="1937"/>
      <c r="D21" s="130"/>
      <c r="E21" s="27">
        <v>1.6</v>
      </c>
      <c r="F21" s="27">
        <f>'[2]MAY-19'!$K$40</f>
        <v>3.0289752999999999</v>
      </c>
      <c r="G21" s="45"/>
      <c r="H21" s="7">
        <f t="shared" si="1"/>
        <v>89.31095624999999</v>
      </c>
      <c r="J21" s="5">
        <f>19600+16625+19600+31080+30710+30710</f>
        <v>148325</v>
      </c>
    </row>
    <row r="22" spans="1:22" ht="34.5" customHeight="1" x14ac:dyDescent="0.35">
      <c r="A22" s="6">
        <v>3.7</v>
      </c>
      <c r="B22" s="23" t="s">
        <v>58</v>
      </c>
      <c r="C22" s="167">
        <f>'TARGET 2019-20'!L9</f>
        <v>9.6</v>
      </c>
      <c r="D22" s="27">
        <v>9.6</v>
      </c>
      <c r="E22" s="31">
        <v>6</v>
      </c>
      <c r="F22" s="27">
        <f>SUM(F16:F21)</f>
        <v>8.461792299999999</v>
      </c>
      <c r="G22" s="7">
        <f>(F22-D22)/D22*100</f>
        <v>-11.85633020833334</v>
      </c>
      <c r="H22" s="7">
        <f t="shared" si="0"/>
        <v>41.029871666666651</v>
      </c>
      <c r="J22" s="5">
        <f>2473280+57670</f>
        <v>2530950</v>
      </c>
      <c r="R22" s="5">
        <v>477</v>
      </c>
      <c r="S22" s="41">
        <f>244455/1000</f>
        <v>244.45500000000001</v>
      </c>
      <c r="T22" s="41">
        <f>222266/1000</f>
        <v>222.26599999999999</v>
      </c>
      <c r="U22" s="12">
        <f>(S22-R22)/R22*100</f>
        <v>-48.751572327044023</v>
      </c>
      <c r="V22" s="11">
        <f>(S22-T22)/T22*100</f>
        <v>9.9830833325834902</v>
      </c>
    </row>
    <row r="23" spans="1:22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  <c r="Q23" s="5">
        <v>212</v>
      </c>
      <c r="R23" s="5">
        <v>5.9</v>
      </c>
      <c r="S23" s="12">
        <f>65944926/10000000</f>
        <v>6.5944925999999997</v>
      </c>
      <c r="T23" s="12">
        <f>54075946/10000000</f>
        <v>5.4075946000000004</v>
      </c>
      <c r="U23" s="12">
        <f>(S23-R23)/R23*100</f>
        <v>11.771061016949142</v>
      </c>
      <c r="V23" s="11">
        <f>(S23-T23)/T23*100</f>
        <v>21.948723744934565</v>
      </c>
    </row>
    <row r="24" spans="1:22" x14ac:dyDescent="0.35">
      <c r="A24" s="6">
        <v>4.0999999999999996</v>
      </c>
      <c r="B24" s="6" t="s">
        <v>27</v>
      </c>
      <c r="C24" s="163">
        <v>1.3258333333333334</v>
      </c>
      <c r="D24" s="6">
        <v>0.83333333333333326</v>
      </c>
      <c r="E24" s="27">
        <f>485015/10000000</f>
        <v>4.8501500000000003E-2</v>
      </c>
      <c r="F24" s="27">
        <f>4814865/10000000</f>
        <v>0.48148649999999998</v>
      </c>
      <c r="G24" s="7">
        <f>(F24-D24)/D24*100</f>
        <v>-42.221620000000001</v>
      </c>
      <c r="H24" s="7">
        <f t="shared" si="0"/>
        <v>892.72496726905342</v>
      </c>
      <c r="M24" s="32" t="s">
        <v>145</v>
      </c>
      <c r="N24" s="32"/>
      <c r="Q24" s="5">
        <f>Q23/113</f>
        <v>1.8761061946902655</v>
      </c>
    </row>
    <row r="25" spans="1:22" x14ac:dyDescent="0.35">
      <c r="A25" s="6">
        <v>4.2</v>
      </c>
      <c r="B25" s="6" t="s">
        <v>28</v>
      </c>
      <c r="C25" s="163">
        <v>0.48166666666666669</v>
      </c>
      <c r="D25" s="12">
        <v>0.31225833333333336</v>
      </c>
      <c r="E25" s="27">
        <f>1857906/10000000</f>
        <v>0.1857906</v>
      </c>
      <c r="F25" s="27">
        <f>1900781/10000000</f>
        <v>0.1900781</v>
      </c>
      <c r="G25" s="7">
        <f>(E25-D25)/D25*100</f>
        <v>-40.500995436470873</v>
      </c>
      <c r="H25" s="7">
        <f t="shared" si="0"/>
        <v>2.30770555668586</v>
      </c>
      <c r="M25" s="32" t="s">
        <v>107</v>
      </c>
      <c r="N25" s="32" t="s">
        <v>126</v>
      </c>
      <c r="Q25" s="5">
        <f>Q24*121</f>
        <v>227.00884955752213</v>
      </c>
    </row>
    <row r="26" spans="1:22" x14ac:dyDescent="0.35">
      <c r="A26" s="6">
        <v>4.3</v>
      </c>
      <c r="B26" s="6" t="s">
        <v>4</v>
      </c>
      <c r="C26" s="167"/>
      <c r="D26" s="6">
        <v>0</v>
      </c>
      <c r="E26" s="27">
        <f>1877250/10000000</f>
        <v>0.187725</v>
      </c>
      <c r="F26" s="27">
        <f>114010/10000000</f>
        <v>1.1401E-2</v>
      </c>
      <c r="G26" s="1925"/>
      <c r="H26" s="7">
        <f t="shared" si="0"/>
        <v>-93.926754561193235</v>
      </c>
      <c r="M26" s="32">
        <v>266667</v>
      </c>
      <c r="N26" s="32">
        <f>150557</f>
        <v>150557</v>
      </c>
      <c r="Q26" s="5">
        <f>Q24*5</f>
        <v>9.3805309734513269</v>
      </c>
    </row>
    <row r="27" spans="1:22" x14ac:dyDescent="0.35">
      <c r="A27" s="6">
        <v>4.4000000000000004</v>
      </c>
      <c r="B27" s="6" t="s">
        <v>29</v>
      </c>
      <c r="C27" s="167"/>
      <c r="D27" s="6"/>
      <c r="E27" s="27">
        <v>0</v>
      </c>
      <c r="F27" s="27">
        <v>0</v>
      </c>
      <c r="G27" s="1926"/>
      <c r="H27" s="7" t="e">
        <f t="shared" si="0"/>
        <v>#DIV/0!</v>
      </c>
      <c r="M27" s="32">
        <v>115570</v>
      </c>
      <c r="N27" s="32">
        <v>2695380</v>
      </c>
    </row>
    <row r="28" spans="1:22" x14ac:dyDescent="0.35">
      <c r="A28" s="6">
        <v>4.5</v>
      </c>
      <c r="B28" s="6" t="s">
        <v>30</v>
      </c>
      <c r="C28" s="1935">
        <v>0.125</v>
      </c>
      <c r="D28" s="177"/>
      <c r="E28" s="37">
        <f>7163/10000000</f>
        <v>7.1630000000000001E-4</v>
      </c>
      <c r="F28" s="37">
        <v>0</v>
      </c>
      <c r="G28" s="1926"/>
      <c r="H28" s="7">
        <f t="shared" si="0"/>
        <v>-100</v>
      </c>
      <c r="M28" s="32">
        <v>51480</v>
      </c>
      <c r="N28" s="32">
        <v>27928</v>
      </c>
      <c r="P28" s="5">
        <f>365-244</f>
        <v>121</v>
      </c>
    </row>
    <row r="29" spans="1:22" x14ac:dyDescent="0.35">
      <c r="A29" s="6">
        <v>4.7</v>
      </c>
      <c r="B29" s="6" t="s">
        <v>3</v>
      </c>
      <c r="C29" s="1935"/>
      <c r="D29" s="178">
        <v>0.13583333333333333</v>
      </c>
      <c r="E29" s="37">
        <v>4.3371699999999999E-2</v>
      </c>
      <c r="F29" s="37">
        <v>0.31047809999999998</v>
      </c>
      <c r="G29" s="1926"/>
      <c r="H29" s="7">
        <f t="shared" si="0"/>
        <v>615.8541168549998</v>
      </c>
      <c r="M29" s="32"/>
      <c r="N29" s="32">
        <v>67893</v>
      </c>
    </row>
    <row r="30" spans="1:22" hidden="1" x14ac:dyDescent="0.35">
      <c r="A30" s="6">
        <v>4.8</v>
      </c>
      <c r="B30" s="6" t="s">
        <v>31</v>
      </c>
      <c r="C30" s="164"/>
      <c r="D30" s="22"/>
      <c r="E30" s="6"/>
      <c r="F30" s="6"/>
      <c r="G30" s="1927"/>
      <c r="H30" s="7"/>
      <c r="M30" s="32"/>
      <c r="N30" s="32">
        <v>163023</v>
      </c>
    </row>
    <row r="31" spans="1:22" x14ac:dyDescent="0.35">
      <c r="A31" s="6">
        <v>4.9000000000000004</v>
      </c>
      <c r="B31" s="6" t="s">
        <v>32</v>
      </c>
      <c r="C31" s="163">
        <f>C28+C25+C24</f>
        <v>1.9325000000000001</v>
      </c>
      <c r="D31" s="27">
        <f>SUM(D24:D30)</f>
        <v>1.2814249999999998</v>
      </c>
      <c r="E31" s="27">
        <f>SUM(E24:E30)</f>
        <v>0.46610510000000005</v>
      </c>
      <c r="F31" s="27">
        <f>SUM(F24:F30)</f>
        <v>0.99344369999999993</v>
      </c>
      <c r="G31" s="7">
        <f>(F31-D31)/D31*100</f>
        <v>-22.473519714380469</v>
      </c>
      <c r="H31" s="7">
        <f t="shared" si="0"/>
        <v>113.13727311715745</v>
      </c>
      <c r="M31" s="38">
        <f>SUM(M26:M30)</f>
        <v>433717</v>
      </c>
      <c r="N31" s="38">
        <f>SUM(N26:N30)</f>
        <v>3104781</v>
      </c>
    </row>
    <row r="32" spans="1:22" ht="13.9" x14ac:dyDescent="0.4">
      <c r="A32" s="9">
        <v>5</v>
      </c>
      <c r="B32" s="9" t="s">
        <v>33</v>
      </c>
      <c r="C32" s="136">
        <f>C10+C14+C22+C31</f>
        <v>99.712500000000006</v>
      </c>
      <c r="D32" s="48">
        <f>D10+D14+D22+D31+D28</f>
        <v>99.061425</v>
      </c>
      <c r="E32" s="28">
        <f>E10+E14+E22+E31</f>
        <v>89.463673215</v>
      </c>
      <c r="F32" s="28">
        <f>F10+F14+F22+F31</f>
        <v>108.13523599999999</v>
      </c>
      <c r="G32" s="7">
        <f>(F32-D32)/D32*100</f>
        <v>9.1597824279228686</v>
      </c>
      <c r="H32" s="7">
        <f t="shared" si="0"/>
        <v>20.870552386249898</v>
      </c>
      <c r="M32" s="32">
        <f>M31/10000000</f>
        <v>4.3371699999999999E-2</v>
      </c>
      <c r="N32" s="32">
        <f>N31/10000000</f>
        <v>0.31047809999999998</v>
      </c>
      <c r="P32" s="5">
        <f>365-8</f>
        <v>357</v>
      </c>
    </row>
    <row r="33" spans="1:16" ht="14.25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  <c r="M33" s="32"/>
      <c r="N33" s="32"/>
      <c r="P33" s="5">
        <f>P32-239</f>
        <v>118</v>
      </c>
    </row>
    <row r="34" spans="1:16" x14ac:dyDescent="0.35">
      <c r="A34" s="6">
        <v>6.1</v>
      </c>
      <c r="B34" s="27" t="s">
        <v>16</v>
      </c>
      <c r="C34" s="27"/>
      <c r="D34" s="27">
        <v>26</v>
      </c>
      <c r="E34" s="27">
        <v>25.3</v>
      </c>
      <c r="F34" s="27">
        <v>26.98</v>
      </c>
      <c r="G34" s="31">
        <f>(F34-D34)/D34*100</f>
        <v>3.7692307692307705</v>
      </c>
      <c r="H34" s="31">
        <f t="shared" si="0"/>
        <v>6.6403162055335958</v>
      </c>
      <c r="P34" s="5">
        <f>P33+5</f>
        <v>123</v>
      </c>
    </row>
    <row r="35" spans="1:16" x14ac:dyDescent="0.35">
      <c r="A35" s="6">
        <v>6.2</v>
      </c>
      <c r="B35" s="27" t="s">
        <v>15</v>
      </c>
      <c r="C35" s="27"/>
      <c r="D35" s="27">
        <v>38</v>
      </c>
      <c r="E35" s="27">
        <v>37.83</v>
      </c>
      <c r="F35" s="27">
        <v>38.520000000000003</v>
      </c>
      <c r="G35" s="31">
        <f>(F35-D35)/D35*100</f>
        <v>1.3684210526315872</v>
      </c>
      <c r="H35" s="31">
        <f t="shared" si="0"/>
        <v>1.8239492466296721</v>
      </c>
    </row>
    <row r="36" spans="1:16" x14ac:dyDescent="0.35">
      <c r="A36" s="6">
        <v>6.3</v>
      </c>
      <c r="B36" s="27" t="s">
        <v>34</v>
      </c>
      <c r="C36" s="27"/>
      <c r="D36" s="27">
        <f>SUM(D34:D35)</f>
        <v>64</v>
      </c>
      <c r="E36" s="27">
        <f>SUM(E34:E35)</f>
        <v>63.129999999999995</v>
      </c>
      <c r="F36" s="27">
        <f>SUM(F34:F35)</f>
        <v>65.5</v>
      </c>
      <c r="G36" s="31">
        <f>(F36-D36)/D36*100</f>
        <v>2.34375</v>
      </c>
      <c r="H36" s="31">
        <f t="shared" si="0"/>
        <v>3.7541580864882067</v>
      </c>
    </row>
    <row r="37" spans="1:16" ht="14.25" x14ac:dyDescent="0.45">
      <c r="A37" s="9">
        <v>7</v>
      </c>
      <c r="B37" s="1943" t="s">
        <v>46</v>
      </c>
      <c r="C37" s="1944"/>
      <c r="D37" s="1944"/>
      <c r="E37" s="1944"/>
      <c r="F37" s="1944"/>
      <c r="G37" s="1944"/>
      <c r="H37" s="1945"/>
    </row>
    <row r="38" spans="1:16" x14ac:dyDescent="0.35">
      <c r="A38" s="6">
        <v>7.1</v>
      </c>
      <c r="B38" s="6" t="s">
        <v>16</v>
      </c>
      <c r="C38" s="14"/>
      <c r="D38" s="15"/>
      <c r="E38" s="6">
        <v>26.7</v>
      </c>
      <c r="F38" s="6">
        <v>28.94</v>
      </c>
      <c r="G38" s="1925"/>
      <c r="H38" s="7">
        <f t="shared" si="0"/>
        <v>8.3895131086142403</v>
      </c>
    </row>
    <row r="39" spans="1:16" x14ac:dyDescent="0.35">
      <c r="A39" s="6">
        <v>7.2</v>
      </c>
      <c r="B39" s="6" t="s">
        <v>15</v>
      </c>
      <c r="C39" s="16"/>
      <c r="D39" s="17"/>
      <c r="E39" s="6">
        <v>303.52999999999997</v>
      </c>
      <c r="F39" s="31">
        <f>42366473/100000</f>
        <v>423.66473000000002</v>
      </c>
      <c r="G39" s="1926"/>
      <c r="H39" s="7">
        <f t="shared" si="0"/>
        <v>39.579194807762022</v>
      </c>
    </row>
    <row r="40" spans="1:16" x14ac:dyDescent="0.35">
      <c r="A40" s="6">
        <v>7.3</v>
      </c>
      <c r="B40" s="6" t="s">
        <v>35</v>
      </c>
      <c r="C40" s="21"/>
      <c r="D40" s="6"/>
      <c r="E40" s="6">
        <f>SUM(E38:E39)</f>
        <v>330.22999999999996</v>
      </c>
      <c r="F40" s="6">
        <f>SUM(F38:F39)</f>
        <v>452.60473000000002</v>
      </c>
      <c r="G40" s="1927"/>
      <c r="H40" s="7">
        <f t="shared" si="0"/>
        <v>37.057423613844918</v>
      </c>
    </row>
    <row r="41" spans="1:16" ht="14.25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16" x14ac:dyDescent="0.35">
      <c r="A42" s="6">
        <v>8.1</v>
      </c>
      <c r="B42" s="6" t="s">
        <v>41</v>
      </c>
      <c r="C42" s="6"/>
      <c r="D42" s="6">
        <v>70000</v>
      </c>
      <c r="E42" s="6">
        <v>26259</v>
      </c>
      <c r="F42" s="6">
        <v>36756</v>
      </c>
      <c r="G42" s="7">
        <f>(F42-D42)/D42*100</f>
        <v>-47.491428571428571</v>
      </c>
      <c r="H42" s="7">
        <f t="shared" si="0"/>
        <v>39.974865760310749</v>
      </c>
      <c r="J42" s="5">
        <f>689*1000</f>
        <v>689000</v>
      </c>
      <c r="K42" s="5">
        <f>10094+5781</f>
        <v>15875</v>
      </c>
      <c r="L42" s="5">
        <f>14579+7662</f>
        <v>22241</v>
      </c>
    </row>
    <row r="43" spans="1:16" ht="14.25" x14ac:dyDescent="0.45">
      <c r="A43" s="9">
        <v>9</v>
      </c>
      <c r="B43" s="1931" t="s">
        <v>147</v>
      </c>
      <c r="C43" s="1932"/>
      <c r="D43" s="1932"/>
      <c r="E43" s="1932"/>
      <c r="F43" s="1932"/>
      <c r="G43" s="1932"/>
      <c r="H43" s="1933"/>
    </row>
    <row r="44" spans="1:16" x14ac:dyDescent="0.35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 t="shared" si="0"/>
        <v>#DIV/0!</v>
      </c>
      <c r="L44" s="5">
        <f>70000/31</f>
        <v>2258.0645161290322</v>
      </c>
    </row>
    <row r="45" spans="1:16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 t="shared" si="0"/>
        <v>#DIV/0!</v>
      </c>
      <c r="L45" s="5">
        <f>L44*18</f>
        <v>40645.161290322576</v>
      </c>
    </row>
    <row r="46" spans="1:16" x14ac:dyDescent="0.35">
      <c r="A46" s="6">
        <v>9.3000000000000007</v>
      </c>
      <c r="B46" s="6" t="s">
        <v>38</v>
      </c>
      <c r="C46" s="21"/>
      <c r="D46" s="22"/>
      <c r="E46" s="27"/>
      <c r="F46" s="27"/>
      <c r="G46" s="1927"/>
      <c r="H46" s="7" t="e">
        <f t="shared" si="0"/>
        <v>#DIV/0!</v>
      </c>
    </row>
    <row r="47" spans="1:16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6" x14ac:dyDescent="0.3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>(E48-F48)/F48*100</f>
        <v>#DIV/0!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>(E49-F49)/F49*100</f>
        <v>#DIV/0!</v>
      </c>
    </row>
    <row r="50" spans="1:8" x14ac:dyDescent="0.35">
      <c r="A50" s="6">
        <v>10.3</v>
      </c>
      <c r="B50" s="6" t="s">
        <v>0</v>
      </c>
      <c r="C50" s="21"/>
      <c r="D50" s="22"/>
      <c r="E50" s="6"/>
      <c r="F50" s="6">
        <f>SUM(F48:F49)</f>
        <v>0</v>
      </c>
      <c r="G50" s="1927"/>
      <c r="H50" s="7" t="e">
        <f>(E50-F50)/F50*100</f>
        <v>#DIV/0!</v>
      </c>
    </row>
  </sheetData>
  <mergeCells count="21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B15:H15"/>
    <mergeCell ref="G48:G50"/>
    <mergeCell ref="B23:H23"/>
    <mergeCell ref="G26:G30"/>
    <mergeCell ref="B33:H33"/>
    <mergeCell ref="B37:H37"/>
    <mergeCell ref="G38:G40"/>
    <mergeCell ref="B41:H41"/>
    <mergeCell ref="B43:H43"/>
    <mergeCell ref="G44:G46"/>
    <mergeCell ref="B47:H47"/>
    <mergeCell ref="C28:C29"/>
  </mergeCells>
  <printOptions horizontalCentered="1"/>
  <pageMargins left="0.31496062992125984" right="0.31496062992125984" top="0.35433070866141736" bottom="0.35433070866141736" header="0.31496062992125984" footer="0.31496062992125984"/>
  <pageSetup scale="10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  <pageSetUpPr fitToPage="1"/>
  </sheetPr>
  <dimension ref="A1:H50"/>
  <sheetViews>
    <sheetView workbookViewId="0">
      <selection activeCell="F14" sqref="F14"/>
    </sheetView>
  </sheetViews>
  <sheetFormatPr defaultColWidth="9.1328125" defaultRowHeight="13.5" x14ac:dyDescent="0.35"/>
  <cols>
    <col min="1" max="1" width="7.1328125" style="5" customWidth="1"/>
    <col min="2" max="2" width="27.59765625" style="5" customWidth="1"/>
    <col min="3" max="3" width="9.1328125" style="5" customWidth="1"/>
    <col min="4" max="4" width="12.73046875" style="5" customWidth="1"/>
    <col min="5" max="6" width="12.3984375" style="5" customWidth="1"/>
    <col min="7" max="7" width="9.1328125" style="5" customWidth="1"/>
    <col min="8" max="8" width="7.86328125" style="5" customWidth="1"/>
    <col min="9" max="16384" width="9.1328125" style="5"/>
  </cols>
  <sheetData>
    <row r="1" spans="1:8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8" ht="13.9" x14ac:dyDescent="0.4">
      <c r="A2" s="1938" t="s">
        <v>118</v>
      </c>
      <c r="B2" s="1938"/>
      <c r="C2" s="1938"/>
      <c r="D2" s="1938"/>
      <c r="E2" s="1938"/>
      <c r="F2" s="1938"/>
      <c r="G2" s="1938"/>
      <c r="H2" s="1938"/>
    </row>
    <row r="3" spans="1:8" ht="13.9" x14ac:dyDescent="0.4">
      <c r="A3" s="9" t="s">
        <v>6</v>
      </c>
      <c r="B3" s="9" t="s">
        <v>7</v>
      </c>
      <c r="C3" s="1939" t="s">
        <v>8</v>
      </c>
      <c r="D3" s="1939"/>
      <c r="E3" s="1939" t="s">
        <v>10</v>
      </c>
      <c r="F3" s="1939"/>
      <c r="G3" s="1939" t="s">
        <v>11</v>
      </c>
      <c r="H3" s="1939"/>
    </row>
    <row r="4" spans="1:8" ht="30.75" customHeight="1" x14ac:dyDescent="0.4">
      <c r="A4" s="9"/>
      <c r="B4" s="9"/>
      <c r="C4" s="135" t="s">
        <v>9</v>
      </c>
      <c r="D4" s="135" t="str">
        <f>E4</f>
        <v>UP TO MAY</v>
      </c>
      <c r="E4" s="25" t="s">
        <v>117</v>
      </c>
      <c r="F4" s="25" t="str">
        <f>E4</f>
        <v>UP TO MAY</v>
      </c>
      <c r="G4" s="25" t="s">
        <v>12</v>
      </c>
      <c r="H4" s="25" t="s">
        <v>13</v>
      </c>
    </row>
    <row r="5" spans="1:8" x14ac:dyDescent="0.35">
      <c r="A5" s="6"/>
      <c r="B5" s="6"/>
      <c r="C5" s="1934" t="s">
        <v>77</v>
      </c>
      <c r="D5" s="1934"/>
      <c r="E5" s="85" t="s">
        <v>66</v>
      </c>
      <c r="F5" s="85" t="s">
        <v>77</v>
      </c>
      <c r="G5" s="6"/>
      <c r="H5" s="6"/>
    </row>
    <row r="6" spans="1:8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8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8" x14ac:dyDescent="0.35">
      <c r="A8" s="6">
        <v>1.1000000000000001</v>
      </c>
      <c r="B8" s="6" t="s">
        <v>16</v>
      </c>
      <c r="C8" s="6">
        <f>'apr-19'!C8+'may-19'!C8</f>
        <v>3.33</v>
      </c>
      <c r="D8" s="27">
        <f>'apr-19'!D8+'may-19'!D8</f>
        <v>3.33</v>
      </c>
      <c r="E8" s="27">
        <f>'apr-19'!E8+'may-19'!E8</f>
        <v>3.0237501910000004</v>
      </c>
      <c r="F8" s="27">
        <f>'apr-19'!F8+'may-19'!F8</f>
        <v>3.13</v>
      </c>
      <c r="G8" s="31">
        <f>(F8-D8)/D8*100</f>
        <v>-6.0060060060060119</v>
      </c>
      <c r="H8" s="31">
        <f>(F8-E8)/E8*100</f>
        <v>3.5138421591917628</v>
      </c>
    </row>
    <row r="9" spans="1:8" x14ac:dyDescent="0.35">
      <c r="A9" s="6">
        <v>1.2</v>
      </c>
      <c r="B9" s="6" t="s">
        <v>15</v>
      </c>
      <c r="C9" s="6">
        <f>'apr-19'!C9+'may-19'!C9</f>
        <v>143.91000000000003</v>
      </c>
      <c r="D9" s="27">
        <f>'apr-19'!D9+'may-19'!D9</f>
        <v>143.91000000000003</v>
      </c>
      <c r="E9" s="27">
        <f>'apr-19'!E9+'may-19'!E9</f>
        <v>136.18</v>
      </c>
      <c r="F9" s="27">
        <f>'apr-19'!F9+'may-19'!F9</f>
        <v>147.64999999999998</v>
      </c>
      <c r="G9" s="31">
        <f>(F9-D9)/D9*100</f>
        <v>2.5988465012854922</v>
      </c>
      <c r="H9" s="31">
        <f>(F9-E9)/E9*100</f>
        <v>8.4226758701718101</v>
      </c>
    </row>
    <row r="10" spans="1:8" x14ac:dyDescent="0.35">
      <c r="A10" s="6">
        <v>1.3</v>
      </c>
      <c r="B10" s="6" t="s">
        <v>17</v>
      </c>
      <c r="C10" s="27">
        <f>SUM(C8:C9)</f>
        <v>147.24000000000004</v>
      </c>
      <c r="D10" s="27">
        <f>SUM(D8:D9)</f>
        <v>147.24000000000004</v>
      </c>
      <c r="E10" s="27">
        <f>SUM(E8:E9)</f>
        <v>139.20375019100001</v>
      </c>
      <c r="F10" s="27">
        <f>SUM(F8:F9)</f>
        <v>150.77999999999997</v>
      </c>
      <c r="G10" s="31">
        <f>(F10-D10)/D10*100</f>
        <v>2.4042379788100612</v>
      </c>
      <c r="H10" s="31">
        <f>(F10-E10)/E10*100</f>
        <v>8.316047371652207</v>
      </c>
    </row>
    <row r="11" spans="1:8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8" x14ac:dyDescent="0.35">
      <c r="A12" s="6">
        <v>2.1</v>
      </c>
      <c r="B12" s="6" t="s">
        <v>19</v>
      </c>
      <c r="C12" s="1948">
        <f>'apr-19'!C12+'may-19'!C12</f>
        <v>23.04</v>
      </c>
      <c r="D12" s="1941">
        <f>'apr-19'!D12:D13+'may-19'!D12</f>
        <v>23.04</v>
      </c>
      <c r="E12" s="27">
        <f>'apr-19'!E12+'may-19'!E12</f>
        <v>21.17</v>
      </c>
      <c r="F12" s="27">
        <f>'apr-19'!F12+'may-19'!F12</f>
        <v>33.61</v>
      </c>
      <c r="G12" s="31">
        <f>(F12-D12)/D12*100</f>
        <v>45.876736111111114</v>
      </c>
      <c r="H12" s="31">
        <f>(F12-E12)/E12*100</f>
        <v>58.762399622106742</v>
      </c>
    </row>
    <row r="13" spans="1:8" hidden="1" x14ac:dyDescent="0.35">
      <c r="A13" s="6">
        <v>2.2000000000000002</v>
      </c>
      <c r="B13" s="6" t="s">
        <v>20</v>
      </c>
      <c r="C13" s="1947"/>
      <c r="D13" s="1942"/>
      <c r="E13" s="27">
        <f>'apr-19'!E13+'may-19'!E13</f>
        <v>0</v>
      </c>
      <c r="F13" s="27">
        <f>'apr-19'!F13+'may-19'!F13</f>
        <v>0</v>
      </c>
      <c r="G13" s="31" t="e">
        <f>(F13-D13)/D13*100</f>
        <v>#DIV/0!</v>
      </c>
      <c r="H13" s="31" t="e">
        <f>(F13-E13)/E13*100</f>
        <v>#DIV/0!</v>
      </c>
    </row>
    <row r="14" spans="1:8" x14ac:dyDescent="0.35">
      <c r="A14" s="6">
        <v>2.2999999999999998</v>
      </c>
      <c r="B14" s="6" t="s">
        <v>21</v>
      </c>
      <c r="C14" s="85">
        <f>SUM(C12)</f>
        <v>23.04</v>
      </c>
      <c r="D14" s="87">
        <f>SUM(D12)</f>
        <v>23.04</v>
      </c>
      <c r="E14" s="27">
        <f>'apr-19'!E14+'may-19'!E14</f>
        <v>21.17</v>
      </c>
      <c r="F14" s="27">
        <f>'apr-19'!F14+'may-19'!F14</f>
        <v>33.61</v>
      </c>
      <c r="G14" s="31">
        <f>(F14-D14)/D14*100</f>
        <v>45.876736111111114</v>
      </c>
      <c r="H14" s="31">
        <f>(F14-E14)/E14*100</f>
        <v>58.762399622106742</v>
      </c>
    </row>
    <row r="15" spans="1:8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8" x14ac:dyDescent="0.35">
      <c r="A16" s="6">
        <v>3.1</v>
      </c>
      <c r="B16" s="6" t="s">
        <v>2</v>
      </c>
      <c r="C16" s="6">
        <f>'apr-19'!C16+'may-19'!C16</f>
        <v>0</v>
      </c>
      <c r="D16" s="27">
        <f>'apr-19'!D16+'may-19'!D16</f>
        <v>3.6</v>
      </c>
      <c r="E16" s="27">
        <f>'apr-19'!E16+'may-19'!E16</f>
        <v>3.2773634999999999</v>
      </c>
      <c r="F16" s="27">
        <f>'apr-19'!F16+'may-19'!F16</f>
        <v>4.0840446000000004</v>
      </c>
      <c r="G16" s="7"/>
      <c r="H16" s="31">
        <f t="shared" ref="H16:H22" si="0">(F16-E16)/E16*100</f>
        <v>24.613720754502836</v>
      </c>
    </row>
    <row r="17" spans="1:8" x14ac:dyDescent="0.35">
      <c r="A17" s="6">
        <v>3.2</v>
      </c>
      <c r="B17" s="6" t="s">
        <v>23</v>
      </c>
      <c r="C17" s="20"/>
      <c r="D17" s="27">
        <f>'apr-19'!D17+'may-19'!D17</f>
        <v>4.55</v>
      </c>
      <c r="E17" s="27">
        <f>'apr-19'!E17+'may-19'!E17</f>
        <v>4.0236000000000001</v>
      </c>
      <c r="F17" s="27">
        <f>'apr-19'!F17+'may-19'!F17</f>
        <v>4.0213000000000001</v>
      </c>
      <c r="G17" s="1925"/>
      <c r="H17" s="31">
        <f t="shared" si="0"/>
        <v>-5.7162739834972873E-2</v>
      </c>
    </row>
    <row r="18" spans="1:8" x14ac:dyDescent="0.35">
      <c r="A18" s="6">
        <v>3.3</v>
      </c>
      <c r="B18" s="6" t="s">
        <v>1</v>
      </c>
      <c r="C18" s="1936"/>
      <c r="D18" s="27">
        <f>'apr-19'!D18+'may-19'!D18</f>
        <v>0.97</v>
      </c>
      <c r="E18" s="27">
        <f>'apr-19'!E18+'may-19'!E18</f>
        <v>0.44235380000000002</v>
      </c>
      <c r="F18" s="27">
        <f>'apr-19'!F18+'may-19'!F18</f>
        <v>0.36185999999999996</v>
      </c>
      <c r="G18" s="1926"/>
      <c r="H18" s="31">
        <f t="shared" si="0"/>
        <v>-18.19670137342554</v>
      </c>
    </row>
    <row r="19" spans="1:8" x14ac:dyDescent="0.35">
      <c r="A19" s="6">
        <v>3.4</v>
      </c>
      <c r="B19" s="6" t="s">
        <v>24</v>
      </c>
      <c r="C19" s="1936"/>
      <c r="D19" s="129"/>
      <c r="E19" s="27">
        <f>'apr-19'!E19+'may-19'!E19</f>
        <v>1.016996</v>
      </c>
      <c r="F19" s="27">
        <f>'apr-19'!F19+'may-19'!F19</f>
        <v>0.61183799999999999</v>
      </c>
      <c r="G19" s="1926"/>
      <c r="H19" s="31">
        <f t="shared" si="0"/>
        <v>-39.83870143048744</v>
      </c>
    </row>
    <row r="20" spans="1:8" ht="30.75" customHeight="1" x14ac:dyDescent="0.35">
      <c r="A20" s="6">
        <v>3.5</v>
      </c>
      <c r="B20" s="24" t="s">
        <v>25</v>
      </c>
      <c r="C20" s="1936"/>
      <c r="D20" s="129"/>
      <c r="E20" s="27">
        <f>'apr-19'!E20+'may-19'!E20</f>
        <v>1.5499999999999998</v>
      </c>
      <c r="F20" s="27">
        <f>'apr-19'!F20+'may-19'!F20</f>
        <v>1.4148000000000001</v>
      </c>
      <c r="G20" s="1926"/>
      <c r="H20" s="7">
        <f t="shared" si="0"/>
        <v>-8.7225806451612762</v>
      </c>
    </row>
    <row r="21" spans="1:8" ht="35.25" customHeight="1" x14ac:dyDescent="0.35">
      <c r="A21" s="6">
        <v>3.6</v>
      </c>
      <c r="B21" s="23" t="s">
        <v>26</v>
      </c>
      <c r="C21" s="1937"/>
      <c r="D21" s="130"/>
      <c r="E21" s="27">
        <f>'apr-19'!E21+'may-19'!E21</f>
        <v>2.9400000000000004</v>
      </c>
      <c r="F21" s="27">
        <f>'apr-19'!F21+'may-19'!F21</f>
        <v>5.9589753000000005</v>
      </c>
      <c r="G21" s="1927"/>
      <c r="H21" s="31">
        <f t="shared" si="0"/>
        <v>102.68623469387754</v>
      </c>
    </row>
    <row r="22" spans="1:8" ht="27" customHeight="1" x14ac:dyDescent="0.35">
      <c r="A22" s="6">
        <v>3.7</v>
      </c>
      <c r="B22" s="23" t="s">
        <v>58</v>
      </c>
      <c r="C22" s="27">
        <f>'apr-19'!C22+'may-19'!C22</f>
        <v>20.350000000000001</v>
      </c>
      <c r="D22" s="27">
        <v>29.13</v>
      </c>
      <c r="E22" s="27">
        <f>SUM(E16:E21)</f>
        <v>13.250313300000002</v>
      </c>
      <c r="F22" s="27">
        <f>SUM(F16:F21)</f>
        <v>16.452817899999999</v>
      </c>
      <c r="G22" s="31">
        <f>(F22-D22)/D22*100</f>
        <v>-43.519334363199455</v>
      </c>
      <c r="H22" s="31">
        <f t="shared" si="0"/>
        <v>24.169274548398771</v>
      </c>
    </row>
    <row r="23" spans="1:8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8" x14ac:dyDescent="0.35">
      <c r="A24" s="6">
        <v>4.0999999999999996</v>
      </c>
      <c r="B24" s="6" t="s">
        <v>27</v>
      </c>
      <c r="C24" s="134">
        <f>'apr-19'!C24+'may-19'!C24</f>
        <v>2.6516666666666668</v>
      </c>
      <c r="D24" s="134">
        <f>'apr-19'!D24+'may-19'!D24</f>
        <v>1.6666666666666665</v>
      </c>
      <c r="E24" s="87">
        <f>'apr-19'!E24+'may-19'!E24</f>
        <v>0.44767730000000006</v>
      </c>
      <c r="F24" s="87">
        <f>'apr-19'!F24+'may-19'!F24</f>
        <v>1.0714865</v>
      </c>
      <c r="G24" s="31">
        <f>(F24-D24)/D24*100</f>
        <v>-35.710809999999995</v>
      </c>
      <c r="H24" s="31">
        <f t="shared" ref="H24:H31" si="1">(F24-E24)/E24*100</f>
        <v>139.34349586186298</v>
      </c>
    </row>
    <row r="25" spans="1:8" x14ac:dyDescent="0.35">
      <c r="A25" s="6">
        <v>4.2</v>
      </c>
      <c r="B25" s="6" t="s">
        <v>28</v>
      </c>
      <c r="C25" s="134">
        <f>'apr-19'!C25+'may-19'!C25</f>
        <v>0.96333333333333337</v>
      </c>
      <c r="D25" s="134">
        <f>'apr-19'!D25+'may-19'!D25</f>
        <v>0.62451666666666672</v>
      </c>
      <c r="E25" s="87">
        <f>'apr-19'!E25+'may-19'!E25</f>
        <v>0.59716219999999998</v>
      </c>
      <c r="F25" s="87">
        <f>'apr-19'!F25+'may-19'!F25</f>
        <v>1.0230781</v>
      </c>
      <c r="G25" s="31">
        <f>(F25-D25)/D25*100</f>
        <v>63.81918283472551</v>
      </c>
      <c r="H25" s="31">
        <f t="shared" si="1"/>
        <v>71.323318857087742</v>
      </c>
    </row>
    <row r="26" spans="1:8" x14ac:dyDescent="0.35">
      <c r="A26" s="6">
        <v>4.3</v>
      </c>
      <c r="B26" s="6" t="s">
        <v>4</v>
      </c>
      <c r="C26" s="131"/>
      <c r="D26" s="15"/>
      <c r="E26" s="87">
        <f>'apr-19'!E26+'may-19'!E26</f>
        <v>0.187725</v>
      </c>
      <c r="F26" s="87">
        <f>'apr-19'!F26+'may-19'!F26</f>
        <v>1.1401E-2</v>
      </c>
      <c r="G26" s="44"/>
      <c r="H26" s="31">
        <f t="shared" si="1"/>
        <v>-93.926754561193235</v>
      </c>
    </row>
    <row r="27" spans="1:8" x14ac:dyDescent="0.35">
      <c r="A27" s="6">
        <v>4.4000000000000004</v>
      </c>
      <c r="B27" s="6" t="s">
        <v>29</v>
      </c>
      <c r="C27" s="132"/>
      <c r="D27" s="17"/>
      <c r="E27" s="87">
        <f>'apr-19'!E27+'may-19'!E27</f>
        <v>1.3372E-3</v>
      </c>
      <c r="F27" s="87">
        <f>'apr-19'!F27+'may-19'!F27</f>
        <v>0</v>
      </c>
      <c r="G27" s="10"/>
      <c r="H27" s="31">
        <f t="shared" si="1"/>
        <v>-100</v>
      </c>
    </row>
    <row r="28" spans="1:8" x14ac:dyDescent="0.35">
      <c r="A28" s="6">
        <v>4.5</v>
      </c>
      <c r="B28" s="6" t="s">
        <v>64</v>
      </c>
      <c r="C28" s="1946">
        <f>'apr-19'!C28:C29+'may-19'!C28:C29</f>
        <v>0.25</v>
      </c>
      <c r="D28" s="1946">
        <f>'apr-19'!D28:D29+'may-19'!D28:D29</f>
        <v>0</v>
      </c>
      <c r="E28" s="87">
        <f>'apr-19'!E28+'may-19'!E28</f>
        <v>4.3508999999999996E-3</v>
      </c>
      <c r="F28" s="87">
        <f>'apr-19'!F28+'may-19'!F28</f>
        <v>0</v>
      </c>
      <c r="G28" s="1926"/>
      <c r="H28" s="31">
        <f t="shared" si="1"/>
        <v>-100</v>
      </c>
    </row>
    <row r="29" spans="1:8" x14ac:dyDescent="0.35">
      <c r="A29" s="6">
        <v>4.7</v>
      </c>
      <c r="B29" s="6" t="s">
        <v>68</v>
      </c>
      <c r="C29" s="1947"/>
      <c r="D29" s="1947"/>
      <c r="E29" s="87">
        <f>'apr-19'!E29+'may-19'!E29</f>
        <v>6.7371700000000007E-2</v>
      </c>
      <c r="F29" s="87">
        <f>'apr-19'!F29+'may-19'!F29</f>
        <v>0.48867299999999997</v>
      </c>
      <c r="G29" s="1926"/>
      <c r="H29" s="31">
        <f t="shared" si="1"/>
        <v>625.33868078139619</v>
      </c>
    </row>
    <row r="30" spans="1:8" x14ac:dyDescent="0.35">
      <c r="A30" s="6">
        <v>4.8</v>
      </c>
      <c r="B30" s="6" t="s">
        <v>31</v>
      </c>
      <c r="C30" s="21"/>
      <c r="D30" s="22"/>
      <c r="E30" s="87">
        <f>'apr-19'!E30+'may-19'!E30</f>
        <v>0</v>
      </c>
      <c r="F30" s="87">
        <f>'apr-19'!F30+'may-19'!F30</f>
        <v>0</v>
      </c>
      <c r="G30" s="45"/>
      <c r="H30" s="31" t="e">
        <f t="shared" si="1"/>
        <v>#DIV/0!</v>
      </c>
    </row>
    <row r="31" spans="1:8" x14ac:dyDescent="0.35">
      <c r="A31" s="6">
        <v>4.9000000000000004</v>
      </c>
      <c r="B31" s="6" t="s">
        <v>32</v>
      </c>
      <c r="C31" s="134">
        <f>C28+C25+C24</f>
        <v>3.8650000000000002</v>
      </c>
      <c r="D31" s="27">
        <f>SUM(D24:D30)</f>
        <v>2.2911833333333331</v>
      </c>
      <c r="E31" s="87">
        <f>SUM(E24:E30)</f>
        <v>1.3056243000000001</v>
      </c>
      <c r="F31" s="87">
        <f>SUM(F24:F30)</f>
        <v>2.5946386000000001</v>
      </c>
      <c r="G31" s="31">
        <f>(F31-D31)/D31*100</f>
        <v>13.244477744397015</v>
      </c>
      <c r="H31" s="31">
        <f t="shared" si="1"/>
        <v>98.727811668333686</v>
      </c>
    </row>
    <row r="32" spans="1:8" ht="13.9" x14ac:dyDescent="0.4">
      <c r="A32" s="9">
        <v>5</v>
      </c>
      <c r="B32" s="9" t="s">
        <v>33</v>
      </c>
      <c r="C32" s="28">
        <f>C10+C14+C22+C31</f>
        <v>194.49500000000003</v>
      </c>
      <c r="D32" s="48">
        <f>D10+D14+D22+D31+D28</f>
        <v>201.70118333333335</v>
      </c>
      <c r="E32" s="28">
        <f>E10+E14+E22+E31</f>
        <v>174.92968779100002</v>
      </c>
      <c r="F32" s="28">
        <f>F10+F14+F22+F31</f>
        <v>203.4374565</v>
      </c>
      <c r="G32" s="31">
        <f>(F32-D32)/D32*100</f>
        <v>0.86081456636635933</v>
      </c>
      <c r="H32" s="7">
        <f>(F32-E32)/E32*100</f>
        <v>16.296701302674293</v>
      </c>
    </row>
    <row r="33" spans="1:8" ht="14.25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</row>
    <row r="34" spans="1:8" x14ac:dyDescent="0.35">
      <c r="A34" s="6">
        <v>6.1</v>
      </c>
      <c r="B34" s="6" t="s">
        <v>16</v>
      </c>
      <c r="C34" s="6">
        <f>'apr-19'!C34+'may-19'!C34</f>
        <v>26.8</v>
      </c>
      <c r="D34" s="6">
        <f>'apr-19'!D34+'may-19'!D34</f>
        <v>52.8</v>
      </c>
      <c r="E34" s="27">
        <f>'apr-19'!E34+'may-19'!E34</f>
        <v>51.39</v>
      </c>
      <c r="F34" s="27">
        <f>'apr-19'!F34+'may-19'!F34</f>
        <v>52.05</v>
      </c>
      <c r="G34" s="7">
        <v>0</v>
      </c>
      <c r="H34" s="7">
        <f>(F34-E34)/E34*100</f>
        <v>1.2842965557501393</v>
      </c>
    </row>
    <row r="35" spans="1:8" x14ac:dyDescent="0.35">
      <c r="A35" s="6">
        <v>6.2</v>
      </c>
      <c r="B35" s="6" t="s">
        <v>15</v>
      </c>
      <c r="C35" s="6">
        <f>'apr-19'!C35+'may-19'!C35</f>
        <v>36.1</v>
      </c>
      <c r="D35" s="6">
        <f>'apr-19'!D35+'may-19'!D35</f>
        <v>74.099999999999994</v>
      </c>
      <c r="E35" s="27">
        <f>'apr-19'!E35+'may-19'!E35</f>
        <v>73.739999999999995</v>
      </c>
      <c r="F35" s="27">
        <f>'apr-19'!F35+'may-19'!F35</f>
        <v>76.540000000000006</v>
      </c>
      <c r="G35" s="7">
        <v>0</v>
      </c>
      <c r="H35" s="7">
        <f>(F35-E35)/E35*100</f>
        <v>3.7971250339029177</v>
      </c>
    </row>
    <row r="36" spans="1:8" x14ac:dyDescent="0.35">
      <c r="A36" s="6">
        <v>6.3</v>
      </c>
      <c r="B36" s="6" t="s">
        <v>34</v>
      </c>
      <c r="C36" s="6">
        <f>SUM(C34:C35)</f>
        <v>62.900000000000006</v>
      </c>
      <c r="D36" s="6">
        <f>SUM(D34:D35)</f>
        <v>126.89999999999999</v>
      </c>
      <c r="E36" s="27">
        <f>SUM(E34:E35)</f>
        <v>125.13</v>
      </c>
      <c r="F36" s="27">
        <f>SUM(F34:F35)</f>
        <v>128.59</v>
      </c>
      <c r="G36" s="7">
        <v>0</v>
      </c>
      <c r="H36" s="7">
        <f>(F36-E36)/E36*100</f>
        <v>2.7651242707584176</v>
      </c>
    </row>
    <row r="37" spans="1:8" ht="14.25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</row>
    <row r="38" spans="1:8" x14ac:dyDescent="0.35">
      <c r="A38" s="6">
        <v>7.1</v>
      </c>
      <c r="B38" s="6" t="s">
        <v>16</v>
      </c>
      <c r="C38" s="14"/>
      <c r="D38" s="15"/>
      <c r="E38" s="27">
        <f>'apr-19'!E38+'may-19'!E38</f>
        <v>52.370000000000005</v>
      </c>
      <c r="F38" s="27">
        <f>'apr-19'!F38+'may-19'!F38</f>
        <v>54.010000000000005</v>
      </c>
      <c r="G38" s="1925"/>
      <c r="H38" s="7"/>
    </row>
    <row r="39" spans="1:8" x14ac:dyDescent="0.35">
      <c r="A39" s="6">
        <v>7.2</v>
      </c>
      <c r="B39" s="6" t="s">
        <v>15</v>
      </c>
      <c r="C39" s="16"/>
      <c r="D39" s="17"/>
      <c r="E39" s="27">
        <f>'apr-19'!E39+'may-19'!E39</f>
        <v>626.41999999999996</v>
      </c>
      <c r="F39" s="27">
        <f>'apr-19'!F39+'may-19'!F39</f>
        <v>807.93472999999994</v>
      </c>
      <c r="G39" s="1926"/>
      <c r="H39" s="7"/>
    </row>
    <row r="40" spans="1:8" x14ac:dyDescent="0.35">
      <c r="A40" s="6">
        <v>7.3</v>
      </c>
      <c r="B40" s="6" t="s">
        <v>35</v>
      </c>
      <c r="C40" s="21"/>
      <c r="D40" s="22"/>
      <c r="E40" s="6">
        <f>SUM(E38:E39)</f>
        <v>678.79</v>
      </c>
      <c r="F40" s="6">
        <f>SUM(F38:F39)</f>
        <v>861.94472999999994</v>
      </c>
      <c r="G40" s="1927"/>
      <c r="H40" s="7"/>
    </row>
    <row r="41" spans="1:8" ht="14.25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8" x14ac:dyDescent="0.35">
      <c r="A42" s="6">
        <v>8.1</v>
      </c>
      <c r="B42" s="6" t="s">
        <v>41</v>
      </c>
      <c r="C42" s="6">
        <f>'apr-19'!C42+'may-19'!C42</f>
        <v>0</v>
      </c>
      <c r="D42" s="6">
        <f>'apr-19'!D42+'may-19'!D42</f>
        <v>140000</v>
      </c>
      <c r="E42" s="7">
        <f>'apr-19'!E42+'may-19'!E42</f>
        <v>62528</v>
      </c>
      <c r="F42" s="7">
        <f>'apr-19'!F42+'may-19'!F42</f>
        <v>74535</v>
      </c>
      <c r="G42" s="7">
        <v>0</v>
      </c>
      <c r="H42" s="7">
        <f>(F42-E42)/E42*100</f>
        <v>19.202597236438077</v>
      </c>
    </row>
    <row r="43" spans="1:8" ht="14.25" x14ac:dyDescent="0.45">
      <c r="A43" s="9">
        <v>9</v>
      </c>
      <c r="B43" s="1931" t="s">
        <v>67</v>
      </c>
      <c r="C43" s="1932"/>
      <c r="D43" s="1932"/>
      <c r="E43" s="1932"/>
      <c r="F43" s="1932"/>
      <c r="G43" s="1932"/>
      <c r="H43" s="1933"/>
    </row>
    <row r="44" spans="1:8" x14ac:dyDescent="0.35">
      <c r="A44" s="6">
        <v>9.1</v>
      </c>
      <c r="B44" s="6" t="s">
        <v>36</v>
      </c>
      <c r="C44" s="14"/>
      <c r="D44" s="15"/>
      <c r="E44" s="27"/>
      <c r="F44" s="27"/>
      <c r="G44" s="1925"/>
      <c r="H44" s="7">
        <v>0</v>
      </c>
    </row>
    <row r="45" spans="1:8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>
        <v>0</v>
      </c>
    </row>
    <row r="46" spans="1:8" x14ac:dyDescent="0.35">
      <c r="A46" s="6">
        <v>9.3000000000000007</v>
      </c>
      <c r="B46" s="6" t="s">
        <v>38</v>
      </c>
      <c r="C46" s="21"/>
      <c r="D46" s="22"/>
      <c r="E46" s="27">
        <f>SUM(E44:E45)</f>
        <v>0</v>
      </c>
      <c r="F46" s="27">
        <f>SUM(F44:F45)</f>
        <v>0</v>
      </c>
      <c r="G46" s="1927"/>
      <c r="H46" s="7">
        <v>0</v>
      </c>
    </row>
    <row r="47" spans="1:8" ht="14.25" hidden="1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8" hidden="1" x14ac:dyDescent="0.3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>(E48-F48)/F48*100</f>
        <v>#DIV/0!</v>
      </c>
    </row>
    <row r="49" spans="1:8" hidden="1" x14ac:dyDescent="0.3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>(E49-F49)/F49*100</f>
        <v>#DIV/0!</v>
      </c>
    </row>
    <row r="50" spans="1:8" hidden="1" x14ac:dyDescent="0.35">
      <c r="A50" s="6">
        <v>10.3</v>
      </c>
      <c r="B50" s="6" t="s">
        <v>0</v>
      </c>
      <c r="C50" s="21"/>
      <c r="D50" s="22"/>
      <c r="E50" s="6"/>
      <c r="F50" s="6">
        <f>SUM(F48:F49)</f>
        <v>0</v>
      </c>
      <c r="G50" s="1927"/>
      <c r="H50" s="7" t="e">
        <f>(E50-F50)/F50*100</f>
        <v>#DIV/0!</v>
      </c>
    </row>
  </sheetData>
  <mergeCells count="25">
    <mergeCell ref="G17:G21"/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D12:D13"/>
    <mergeCell ref="B15:H15"/>
    <mergeCell ref="G48:G50"/>
    <mergeCell ref="B23:H23"/>
    <mergeCell ref="D28:D29"/>
    <mergeCell ref="G28:G29"/>
    <mergeCell ref="B33:H33"/>
    <mergeCell ref="B37:H37"/>
    <mergeCell ref="C28:C29"/>
    <mergeCell ref="G38:G40"/>
    <mergeCell ref="B41:H41"/>
    <mergeCell ref="B43:H43"/>
    <mergeCell ref="G44:G46"/>
    <mergeCell ref="B47:H47"/>
  </mergeCells>
  <printOptions horizontalCentered="1"/>
  <pageMargins left="0.11811023622047245" right="0.31496062992125984" top="0.35433070866141736" bottom="0.35433070866141736" header="0.31496062992125984" footer="0.31496062992125984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69"/>
  <sheetViews>
    <sheetView workbookViewId="0">
      <selection activeCell="D4" sqref="D4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4" width="9.1328125" style="5" customWidth="1"/>
    <col min="5" max="5" width="12.3984375" style="5" customWidth="1"/>
    <col min="6" max="6" width="11.265625" style="5" customWidth="1"/>
    <col min="7" max="7" width="9.1328125" style="5" customWidth="1"/>
    <col min="8" max="8" width="7.86328125" style="5" customWidth="1"/>
    <col min="9" max="9" width="9.1328125" style="5" customWidth="1"/>
    <col min="10" max="10" width="10.1328125" style="5" customWidth="1"/>
    <col min="11" max="13" width="9.1328125" style="5"/>
    <col min="14" max="14" width="10.1328125" style="5" customWidth="1"/>
    <col min="15" max="15" width="9.1328125" style="5"/>
    <col min="16" max="16" width="10.1328125" style="5" customWidth="1"/>
    <col min="17" max="16384" width="9.1328125" style="5"/>
  </cols>
  <sheetData>
    <row r="1" spans="1:8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8" ht="13.9" x14ac:dyDescent="0.4">
      <c r="A2" s="1938" t="s">
        <v>146</v>
      </c>
      <c r="B2" s="1938"/>
      <c r="C2" s="1938"/>
      <c r="D2" s="1938"/>
      <c r="E2" s="1938"/>
      <c r="F2" s="1938"/>
      <c r="G2" s="1938"/>
      <c r="H2" s="1938"/>
    </row>
    <row r="3" spans="1:8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8" ht="30.75" customHeight="1" x14ac:dyDescent="0.4">
      <c r="A4" s="6"/>
      <c r="B4" s="6"/>
      <c r="C4" s="6" t="s">
        <v>9</v>
      </c>
      <c r="D4" s="6" t="s">
        <v>50</v>
      </c>
      <c r="E4" s="6" t="s">
        <v>50</v>
      </c>
      <c r="F4" s="6" t="s">
        <v>50</v>
      </c>
      <c r="G4" s="25" t="s">
        <v>12</v>
      </c>
      <c r="H4" s="25" t="s">
        <v>13</v>
      </c>
    </row>
    <row r="5" spans="1:8" x14ac:dyDescent="0.35">
      <c r="A5" s="6"/>
      <c r="B5" s="6"/>
      <c r="C5" s="1934" t="s">
        <v>77</v>
      </c>
      <c r="D5" s="1934"/>
      <c r="E5" s="6" t="s">
        <v>66</v>
      </c>
      <c r="F5" s="6" t="s">
        <v>77</v>
      </c>
      <c r="G5" s="6"/>
      <c r="H5" s="6"/>
    </row>
    <row r="6" spans="1:8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8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8" x14ac:dyDescent="0.35">
      <c r="A8" s="6">
        <v>1.1000000000000001</v>
      </c>
      <c r="B8" s="6" t="s">
        <v>16</v>
      </c>
      <c r="C8" s="6"/>
      <c r="D8" s="27">
        <v>1.77</v>
      </c>
      <c r="E8" s="27">
        <v>1.61</v>
      </c>
      <c r="F8" s="27">
        <v>1.72</v>
      </c>
      <c r="G8" s="31">
        <f>(F8-D8)/D8*100</f>
        <v>-2.8248587570621493</v>
      </c>
      <c r="H8" s="31">
        <f>(F8-E8)/E8*100</f>
        <v>6.8322981366459548</v>
      </c>
    </row>
    <row r="9" spans="1:8" x14ac:dyDescent="0.35">
      <c r="A9" s="6">
        <v>1.2</v>
      </c>
      <c r="B9" s="6" t="s">
        <v>15</v>
      </c>
      <c r="C9" s="6"/>
      <c r="D9" s="27">
        <v>72.069999999999993</v>
      </c>
      <c r="E9" s="27">
        <v>67.83</v>
      </c>
      <c r="F9" s="27">
        <v>79.180000000000007</v>
      </c>
      <c r="G9" s="31">
        <f>(F9-D9)/D9*100</f>
        <v>9.8654086304981465</v>
      </c>
      <c r="H9" s="31">
        <f>(F9-E9)/E9*100</f>
        <v>16.733008993070925</v>
      </c>
    </row>
    <row r="10" spans="1:8" ht="13.9" x14ac:dyDescent="0.4">
      <c r="A10" s="6">
        <v>1.3</v>
      </c>
      <c r="B10" s="6" t="s">
        <v>17</v>
      </c>
      <c r="C10" s="6">
        <f>C8+C9</f>
        <v>0</v>
      </c>
      <c r="D10" s="28">
        <f>SUM(D8:D9)</f>
        <v>73.839999999999989</v>
      </c>
      <c r="E10" s="28">
        <f>SUM(E8:E9)</f>
        <v>69.44</v>
      </c>
      <c r="F10" s="28">
        <f>SUM(F8:F9)</f>
        <v>80.900000000000006</v>
      </c>
      <c r="G10" s="48">
        <f>(F10-D10)/D10*100</f>
        <v>9.5612134344528954</v>
      </c>
      <c r="H10" s="48">
        <f>(F10-E10)/E10*100</f>
        <v>16.503456221198167</v>
      </c>
    </row>
    <row r="11" spans="1:8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8" x14ac:dyDescent="0.35">
      <c r="A12" s="6">
        <v>2.1</v>
      </c>
      <c r="B12" s="6" t="s">
        <v>19</v>
      </c>
      <c r="C12" s="1948"/>
      <c r="D12" s="27">
        <v>21.16</v>
      </c>
      <c r="E12" s="27">
        <v>19.47</v>
      </c>
      <c r="F12" s="27">
        <v>15.96</v>
      </c>
      <c r="G12" s="7">
        <f>(F12-D12)/D12*100</f>
        <v>-24.574669187145552</v>
      </c>
      <c r="H12" s="7">
        <f t="shared" ref="H12:H42" si="0">(F12-E12)/E12*100</f>
        <v>-18.027734976887512</v>
      </c>
    </row>
    <row r="13" spans="1:8" x14ac:dyDescent="0.35">
      <c r="A13" s="6">
        <v>2.2000000000000002</v>
      </c>
      <c r="B13" s="6" t="s">
        <v>20</v>
      </c>
      <c r="C13" s="1947"/>
      <c r="D13" s="6"/>
      <c r="E13" s="27"/>
      <c r="F13" s="27"/>
      <c r="G13" s="7"/>
      <c r="H13" s="7"/>
    </row>
    <row r="14" spans="1:8" ht="13.9" x14ac:dyDescent="0.4">
      <c r="A14" s="6">
        <v>2.2999999999999998</v>
      </c>
      <c r="B14" s="6" t="s">
        <v>21</v>
      </c>
      <c r="C14" s="6"/>
      <c r="D14" s="28">
        <f>SUM(D12:D13)</f>
        <v>21.16</v>
      </c>
      <c r="E14" s="28">
        <f>SUM(E12:E13)</f>
        <v>19.47</v>
      </c>
      <c r="F14" s="28">
        <f>SUM(F12:F13)</f>
        <v>15.96</v>
      </c>
      <c r="G14" s="36">
        <f>(F14-D14)/D14*100</f>
        <v>-24.574669187145552</v>
      </c>
      <c r="H14" s="36">
        <f>(F14-E14)/E14*100</f>
        <v>-18.027734976887512</v>
      </c>
    </row>
    <row r="15" spans="1:8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8" ht="13.9" x14ac:dyDescent="0.4">
      <c r="A16" s="6">
        <v>3.1</v>
      </c>
      <c r="B16" s="6" t="s">
        <v>2</v>
      </c>
      <c r="C16" s="6"/>
      <c r="D16" s="28">
        <v>1.43</v>
      </c>
      <c r="E16" s="28">
        <v>1.4</v>
      </c>
      <c r="F16" s="28">
        <v>1.3</v>
      </c>
      <c r="G16" s="36">
        <f>(F16-D16)/D16*100</f>
        <v>-9.0909090909090846</v>
      </c>
      <c r="H16" s="36">
        <f>(F16-E16)/E16*100</f>
        <v>-7.1428571428571344</v>
      </c>
    </row>
    <row r="17" spans="1:15" ht="13.9" x14ac:dyDescent="0.4">
      <c r="A17" s="6">
        <v>3.2</v>
      </c>
      <c r="B17" s="6" t="s">
        <v>23</v>
      </c>
      <c r="C17" s="20"/>
      <c r="D17" s="193">
        <v>2.0299999999999998</v>
      </c>
      <c r="E17" s="27">
        <v>1.8116000000000001</v>
      </c>
      <c r="F17" s="27">
        <v>1.8556999999999999</v>
      </c>
      <c r="G17" s="36">
        <f>(F17-D17)/D17*100</f>
        <v>-8.5862068965517189</v>
      </c>
      <c r="H17" s="31">
        <f>(F17-E17)/E17*100</f>
        <v>2.4343122102009165</v>
      </c>
    </row>
    <row r="18" spans="1:15" ht="13.9" x14ac:dyDescent="0.4">
      <c r="A18" s="6">
        <v>3.3</v>
      </c>
      <c r="B18" s="6" t="s">
        <v>1</v>
      </c>
      <c r="C18" s="1936"/>
      <c r="D18" s="195">
        <v>0.42</v>
      </c>
      <c r="E18" s="27">
        <v>0.18520590000000001</v>
      </c>
      <c r="F18" s="27">
        <v>0.1513921</v>
      </c>
      <c r="G18" s="36">
        <f>(F18-D18)/D18*100</f>
        <v>-63.954261904761914</v>
      </c>
      <c r="H18" s="31">
        <f t="shared" si="0"/>
        <v>-18.257409726148037</v>
      </c>
    </row>
    <row r="19" spans="1:15" x14ac:dyDescent="0.35">
      <c r="A19" s="6">
        <v>3.4</v>
      </c>
      <c r="B19" s="6" t="s">
        <v>24</v>
      </c>
      <c r="C19" s="1936"/>
      <c r="D19" s="129"/>
      <c r="E19" s="27">
        <f>'[2]JUNE-19'!$AQ$292</f>
        <v>0.387928</v>
      </c>
      <c r="F19" s="27">
        <v>0.29235100000000003</v>
      </c>
      <c r="G19" s="10"/>
      <c r="H19" s="31">
        <f>(F19-E19)/E19*100</f>
        <v>-24.637819389164992</v>
      </c>
      <c r="J19" s="5">
        <f>1948720+932940+41850</f>
        <v>2923510</v>
      </c>
      <c r="L19" s="5" t="s">
        <v>123</v>
      </c>
    </row>
    <row r="20" spans="1:15" ht="30.75" customHeight="1" x14ac:dyDescent="0.35">
      <c r="A20" s="6">
        <v>3.5</v>
      </c>
      <c r="B20" s="24" t="s">
        <v>25</v>
      </c>
      <c r="C20" s="1936"/>
      <c r="D20" s="129"/>
      <c r="E20" s="27">
        <v>0.66767699999999996</v>
      </c>
      <c r="F20" s="27">
        <v>0.27944649999999999</v>
      </c>
      <c r="G20" s="10"/>
      <c r="H20" s="7">
        <f>(F20-E20)/E20*100</f>
        <v>-58.146454048888906</v>
      </c>
      <c r="J20" s="5">
        <f>J19/10000000</f>
        <v>0.29235100000000003</v>
      </c>
      <c r="L20" s="5" t="s">
        <v>107</v>
      </c>
      <c r="M20" s="5" t="s">
        <v>126</v>
      </c>
    </row>
    <row r="21" spans="1:15" ht="35.25" customHeight="1" x14ac:dyDescent="0.35">
      <c r="A21" s="6">
        <v>3.6</v>
      </c>
      <c r="B21" s="23" t="s">
        <v>26</v>
      </c>
      <c r="C21" s="1937"/>
      <c r="D21" s="130"/>
      <c r="E21" s="30">
        <f>'[2]JUNE-19'!$L$37</f>
        <v>2.2949074999999999</v>
      </c>
      <c r="F21" s="30">
        <f>'[2]JUNE-19'!$K$37</f>
        <v>2.5945591000000001</v>
      </c>
      <c r="G21" s="45"/>
      <c r="H21" s="7">
        <f>(F21-E21)/E21*100</f>
        <v>13.057240869185371</v>
      </c>
      <c r="L21" s="5">
        <f>57670+259330+6282320+34400+13050+30000</f>
        <v>6676770</v>
      </c>
      <c r="M21" s="5">
        <f>1818190+33275+943000</f>
        <v>2794465</v>
      </c>
    </row>
    <row r="22" spans="1:15" ht="34.5" customHeight="1" x14ac:dyDescent="0.4">
      <c r="A22" s="6">
        <v>3.7</v>
      </c>
      <c r="B22" s="23" t="s">
        <v>58</v>
      </c>
      <c r="C22" s="6"/>
      <c r="D22" s="28">
        <v>8.7799999999999994</v>
      </c>
      <c r="E22" s="28">
        <v>6</v>
      </c>
      <c r="F22" s="28">
        <f>SUM(F16:F21)</f>
        <v>6.4734487000000005</v>
      </c>
      <c r="G22" s="36">
        <f>(F22-D22)/D22*100</f>
        <v>-26.270515945330285</v>
      </c>
      <c r="H22" s="36">
        <f t="shared" si="0"/>
        <v>7.890811666666675</v>
      </c>
      <c r="L22" s="5">
        <f>L21/10000000</f>
        <v>0.66767699999999996</v>
      </c>
      <c r="M22" s="5">
        <f>M21/10000000</f>
        <v>0.27944649999999999</v>
      </c>
    </row>
    <row r="23" spans="1:15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15" x14ac:dyDescent="0.35">
      <c r="A24" s="6">
        <v>4.0999999999999996</v>
      </c>
      <c r="B24" s="6" t="s">
        <v>27</v>
      </c>
      <c r="C24" s="6"/>
      <c r="D24" s="6">
        <v>0.83333333333333326</v>
      </c>
      <c r="E24" s="30">
        <f>1386187/10000000</f>
        <v>0.13861870000000001</v>
      </c>
      <c r="F24" s="30">
        <f>3344389/10000000</f>
        <v>0.33443889999999998</v>
      </c>
      <c r="G24" s="7">
        <f>(F24-D24)/D24*100</f>
        <v>-59.867331999999998</v>
      </c>
      <c r="H24" s="7">
        <f t="shared" si="0"/>
        <v>141.26535597289541</v>
      </c>
      <c r="L24" s="32" t="s">
        <v>145</v>
      </c>
      <c r="M24" s="32"/>
    </row>
    <row r="25" spans="1:15" x14ac:dyDescent="0.35">
      <c r="A25" s="6">
        <v>4.2</v>
      </c>
      <c r="B25" s="6" t="s">
        <v>28</v>
      </c>
      <c r="C25" s="6"/>
      <c r="D25" s="12">
        <v>0.31225833333333336</v>
      </c>
      <c r="E25" s="30">
        <f>4155115/10000000</f>
        <v>0.41551149999999998</v>
      </c>
      <c r="F25" s="30">
        <f>1578487/10000000</f>
        <v>0.15784870000000001</v>
      </c>
      <c r="G25" s="7">
        <f>(E25-D25)/D25*100</f>
        <v>33.066584825598447</v>
      </c>
      <c r="H25" s="7">
        <f t="shared" si="0"/>
        <v>-62.01099127220305</v>
      </c>
      <c r="J25" s="5">
        <f>5.78*10000000</f>
        <v>57800000</v>
      </c>
      <c r="L25" s="32" t="s">
        <v>107</v>
      </c>
      <c r="M25" s="32" t="s">
        <v>126</v>
      </c>
    </row>
    <row r="26" spans="1:15" ht="13.9" thickBot="1" x14ac:dyDescent="0.4">
      <c r="A26" s="6">
        <v>4.3</v>
      </c>
      <c r="B26" s="6" t="s">
        <v>4</v>
      </c>
      <c r="C26" s="1948"/>
      <c r="D26" s="6">
        <v>0</v>
      </c>
      <c r="E26" s="40">
        <f>99372/10000000</f>
        <v>9.9372000000000002E-3</v>
      </c>
      <c r="F26" s="40">
        <v>0</v>
      </c>
      <c r="G26" s="44"/>
      <c r="H26" s="7">
        <f t="shared" si="0"/>
        <v>-100</v>
      </c>
      <c r="J26" s="5">
        <f>J25/100000</f>
        <v>578</v>
      </c>
      <c r="K26" s="5">
        <f>J26/12</f>
        <v>48.166666666666664</v>
      </c>
      <c r="L26" s="3">
        <v>47461</v>
      </c>
      <c r="M26" s="5">
        <v>346277</v>
      </c>
    </row>
    <row r="27" spans="1:15" ht="13.9" thickBot="1" x14ac:dyDescent="0.4">
      <c r="A27" s="6">
        <v>4.4000000000000004</v>
      </c>
      <c r="B27" s="6" t="s">
        <v>29</v>
      </c>
      <c r="C27" s="1947"/>
      <c r="D27" s="6"/>
      <c r="E27" s="30">
        <v>0</v>
      </c>
      <c r="F27" s="30">
        <v>0</v>
      </c>
      <c r="G27" s="10"/>
      <c r="H27" s="7" t="e">
        <f t="shared" si="0"/>
        <v>#DIV/0!</v>
      </c>
      <c r="J27" s="5">
        <f>1.5*10000000</f>
        <v>15000000</v>
      </c>
      <c r="L27" s="3">
        <v>36479</v>
      </c>
      <c r="M27" s="5">
        <v>45137</v>
      </c>
    </row>
    <row r="28" spans="1:15" ht="13.9" thickBot="1" x14ac:dyDescent="0.4">
      <c r="A28" s="6">
        <v>4.5</v>
      </c>
      <c r="B28" s="6" t="s">
        <v>30</v>
      </c>
      <c r="C28" s="1947"/>
      <c r="D28" s="177"/>
      <c r="E28" s="30">
        <f>11040/10000000</f>
        <v>1.1039999999999999E-3</v>
      </c>
      <c r="F28" s="30">
        <v>0</v>
      </c>
      <c r="G28" s="10"/>
      <c r="H28" s="7">
        <f t="shared" si="0"/>
        <v>-100</v>
      </c>
      <c r="J28" s="5">
        <f>J27/100000</f>
        <v>150</v>
      </c>
      <c r="L28" s="3">
        <v>163023</v>
      </c>
      <c r="M28" s="5">
        <v>12844</v>
      </c>
    </row>
    <row r="29" spans="1:15" x14ac:dyDescent="0.35">
      <c r="A29" s="6">
        <v>4.7</v>
      </c>
      <c r="B29" s="6" t="s">
        <v>3</v>
      </c>
      <c r="C29" s="1947"/>
      <c r="D29" s="178">
        <v>0.13583333333333333</v>
      </c>
      <c r="E29" s="30">
        <v>2.4696300000000001E-2</v>
      </c>
      <c r="F29" s="30">
        <v>4.1713600000000003E-2</v>
      </c>
      <c r="G29" s="7">
        <f>(E29-D29)/D29*100</f>
        <v>-81.818674846625754</v>
      </c>
      <c r="H29" s="7">
        <f t="shared" si="0"/>
        <v>68.906273409377121</v>
      </c>
      <c r="J29" s="5">
        <f>J28/12</f>
        <v>12.5</v>
      </c>
      <c r="L29" s="172"/>
      <c r="M29" s="5">
        <v>12878</v>
      </c>
    </row>
    <row r="30" spans="1:15" ht="14.25" hidden="1" customHeight="1" x14ac:dyDescent="0.35">
      <c r="A30" s="6">
        <v>4.8</v>
      </c>
      <c r="B30" s="6" t="s">
        <v>31</v>
      </c>
      <c r="C30" s="1949"/>
      <c r="D30" s="22"/>
      <c r="E30" s="6"/>
      <c r="F30" s="6"/>
      <c r="G30" s="45"/>
      <c r="H30" s="7" t="e">
        <f t="shared" si="0"/>
        <v>#DIV/0!</v>
      </c>
      <c r="L30" s="5">
        <f>SUM(L26:L29)</f>
        <v>246963</v>
      </c>
      <c r="M30" s="5">
        <f>SUM(M26:M29)</f>
        <v>417136</v>
      </c>
      <c r="N30" s="5">
        <v>3104781</v>
      </c>
      <c r="O30" s="5">
        <f>N30+M30</f>
        <v>3521917</v>
      </c>
    </row>
    <row r="31" spans="1:15" x14ac:dyDescent="0.35">
      <c r="A31" s="6">
        <v>4.9000000000000004</v>
      </c>
      <c r="B31" s="6" t="s">
        <v>32</v>
      </c>
      <c r="C31" s="6"/>
      <c r="D31" s="27">
        <f>SUM(D24:D30)</f>
        <v>1.2814249999999998</v>
      </c>
      <c r="E31" s="27">
        <f>SUM(E24:E30)</f>
        <v>0.58986769999999999</v>
      </c>
      <c r="F31" s="27">
        <f>SUM(F24:F30)</f>
        <v>0.53400119999999995</v>
      </c>
      <c r="G31" s="7">
        <f>(F31-D31)/D31*100</f>
        <v>-58.327549407885748</v>
      </c>
      <c r="H31" s="7">
        <f t="shared" si="0"/>
        <v>-9.4710220613876714</v>
      </c>
      <c r="L31" s="5">
        <f>L30/10000000</f>
        <v>2.4696300000000001E-2</v>
      </c>
      <c r="M31" s="5">
        <f>M30/10000000</f>
        <v>4.1713600000000003E-2</v>
      </c>
    </row>
    <row r="32" spans="1:15" ht="13.9" x14ac:dyDescent="0.4">
      <c r="A32" s="9">
        <v>5</v>
      </c>
      <c r="B32" s="9" t="s">
        <v>33</v>
      </c>
      <c r="C32" s="9">
        <f>C10+C14+C22+C31</f>
        <v>0</v>
      </c>
      <c r="D32" s="28">
        <f>D10+D14+D22+D31</f>
        <v>105.06142499999999</v>
      </c>
      <c r="E32" s="28">
        <f>E10+E14+E22+E31</f>
        <v>95.499867699999996</v>
      </c>
      <c r="F32" s="28">
        <f>F10+F14+F22+F31</f>
        <v>103.86744990000003</v>
      </c>
      <c r="G32" s="27">
        <f>(F32-D32)/D32*100</f>
        <v>-1.1364543170816124</v>
      </c>
      <c r="H32" s="7">
        <f t="shared" si="0"/>
        <v>8.7618783161937603</v>
      </c>
    </row>
    <row r="33" spans="1:14" ht="14.25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</row>
    <row r="34" spans="1:14" x14ac:dyDescent="0.35">
      <c r="A34" s="6">
        <v>6.1</v>
      </c>
      <c r="B34" s="6" t="s">
        <v>16</v>
      </c>
      <c r="C34" s="6"/>
      <c r="D34" s="27">
        <v>28.2</v>
      </c>
      <c r="E34" s="27">
        <v>27.45</v>
      </c>
      <c r="F34" s="27">
        <v>29.33</v>
      </c>
      <c r="G34" s="31">
        <f>(F34-D34)/D34*100</f>
        <v>4.0070921985815566</v>
      </c>
      <c r="H34" s="31">
        <f t="shared" si="0"/>
        <v>6.8488160291438946</v>
      </c>
      <c r="N34" s="5">
        <f>1781949+8335593</f>
        <v>10117542</v>
      </c>
    </row>
    <row r="35" spans="1:14" x14ac:dyDescent="0.35">
      <c r="A35" s="6">
        <v>6.2</v>
      </c>
      <c r="B35" s="6" t="s">
        <v>15</v>
      </c>
      <c r="C35" s="6"/>
      <c r="D35" s="27">
        <v>36.799999999999997</v>
      </c>
      <c r="E35" s="27">
        <v>36.630000000000003</v>
      </c>
      <c r="F35" s="27">
        <v>37.43</v>
      </c>
      <c r="G35" s="31">
        <f>(F35-D35)/D35*100</f>
        <v>1.7119565217391375</v>
      </c>
      <c r="H35" s="31">
        <f t="shared" si="0"/>
        <v>2.1840021840021762</v>
      </c>
      <c r="N35" s="5">
        <f>150557+2695380+27928+67893+163023</f>
        <v>3104781</v>
      </c>
    </row>
    <row r="36" spans="1:14" ht="13.9" x14ac:dyDescent="0.4">
      <c r="A36" s="6">
        <v>6.3</v>
      </c>
      <c r="B36" s="6" t="s">
        <v>34</v>
      </c>
      <c r="C36" s="6">
        <f>SUM(C34:C35)</f>
        <v>0</v>
      </c>
      <c r="D36" s="28">
        <f>SUM(D34:D35)</f>
        <v>65</v>
      </c>
      <c r="E36" s="28">
        <f>SUM(E34:E35)</f>
        <v>64.08</v>
      </c>
      <c r="F36" s="48">
        <f>SUM(F34:F35)</f>
        <v>66.759999999999991</v>
      </c>
      <c r="G36" s="48">
        <f>(F36-D36)/D36*100</f>
        <v>2.7076923076922936</v>
      </c>
      <c r="H36" s="48">
        <f t="shared" si="0"/>
        <v>4.1822721598002381</v>
      </c>
      <c r="N36" s="5">
        <f>SUM(N34:N35)</f>
        <v>13222323</v>
      </c>
    </row>
    <row r="37" spans="1:14" ht="14.25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  <c r="N37" s="5">
        <f>M30+N36</f>
        <v>13639459</v>
      </c>
    </row>
    <row r="38" spans="1:14" x14ac:dyDescent="0.35">
      <c r="A38" s="6">
        <v>7.1</v>
      </c>
      <c r="B38" s="6" t="s">
        <v>16</v>
      </c>
      <c r="C38" s="14"/>
      <c r="D38" s="15"/>
      <c r="E38" s="27">
        <f>2704832/100000</f>
        <v>27.04832</v>
      </c>
      <c r="F38" s="6">
        <v>26.49</v>
      </c>
      <c r="G38" s="1925"/>
      <c r="H38" s="7">
        <f t="shared" si="0"/>
        <v>-2.0641577739393866</v>
      </c>
    </row>
    <row r="39" spans="1:14" x14ac:dyDescent="0.35">
      <c r="A39" s="6">
        <v>7.2</v>
      </c>
      <c r="B39" s="6" t="s">
        <v>15</v>
      </c>
      <c r="C39" s="16"/>
      <c r="D39" s="17"/>
      <c r="E39" s="27">
        <v>299.79000000000002</v>
      </c>
      <c r="F39" s="6">
        <v>346.49</v>
      </c>
      <c r="G39" s="1926"/>
      <c r="H39" s="7">
        <f t="shared" si="0"/>
        <v>15.577570966343101</v>
      </c>
    </row>
    <row r="40" spans="1:14" x14ac:dyDescent="0.35">
      <c r="A40" s="6">
        <v>7.3</v>
      </c>
      <c r="B40" s="6" t="s">
        <v>35</v>
      </c>
      <c r="C40" s="21"/>
      <c r="D40" s="22"/>
      <c r="E40" s="6">
        <f>SUM(E38:E39)</f>
        <v>326.83832000000001</v>
      </c>
      <c r="F40" s="6">
        <f>SUM(F38:F39)</f>
        <v>372.98</v>
      </c>
      <c r="G40" s="1927"/>
      <c r="H40" s="7">
        <f t="shared" si="0"/>
        <v>14.117585722506471</v>
      </c>
    </row>
    <row r="41" spans="1:14" ht="14.25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14" ht="13.9" x14ac:dyDescent="0.4">
      <c r="A42" s="6">
        <v>8.1</v>
      </c>
      <c r="B42" s="6" t="s">
        <v>41</v>
      </c>
      <c r="C42" s="6"/>
      <c r="D42" s="9">
        <v>61000</v>
      </c>
      <c r="E42" s="9">
        <v>27510</v>
      </c>
      <c r="F42" s="9">
        <v>26524</v>
      </c>
      <c r="G42" s="36">
        <f>(F42-D42)/D42*100</f>
        <v>-56.518032786885243</v>
      </c>
      <c r="H42" s="36">
        <f t="shared" si="0"/>
        <v>-3.584151217739004</v>
      </c>
    </row>
    <row r="43" spans="1:14" ht="14.25" x14ac:dyDescent="0.4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</row>
    <row r="44" spans="1:14" x14ac:dyDescent="0.35">
      <c r="A44" s="6">
        <v>9.1</v>
      </c>
      <c r="B44" s="6" t="s">
        <v>36</v>
      </c>
      <c r="C44" s="14"/>
      <c r="D44" s="15"/>
      <c r="E44" s="78">
        <v>116.97</v>
      </c>
      <c r="F44" s="78">
        <v>177.91</v>
      </c>
      <c r="G44" s="1925"/>
      <c r="H44" s="7">
        <f>(F44-E44)/E44*100</f>
        <v>52.098828759510987</v>
      </c>
    </row>
    <row r="45" spans="1:14" x14ac:dyDescent="0.35">
      <c r="A45" s="6">
        <v>9.1999999999999993</v>
      </c>
      <c r="B45" s="6" t="s">
        <v>37</v>
      </c>
      <c r="C45" s="16"/>
      <c r="D45" s="17"/>
      <c r="E45" s="78">
        <v>12.26</v>
      </c>
      <c r="F45" s="78">
        <v>16.43</v>
      </c>
      <c r="G45" s="1926"/>
      <c r="H45" s="7">
        <f t="shared" ref="H45:H50" si="1">(E45-F45)/F45*100</f>
        <v>-25.380401704199635</v>
      </c>
    </row>
    <row r="46" spans="1:14" x14ac:dyDescent="0.35">
      <c r="A46" s="6">
        <v>9.3000000000000007</v>
      </c>
      <c r="B46" s="6" t="s">
        <v>38</v>
      </c>
      <c r="C46" s="21"/>
      <c r="D46" s="22"/>
      <c r="E46" s="78">
        <f>SUM(E44:E45)</f>
        <v>129.22999999999999</v>
      </c>
      <c r="F46" s="78">
        <f>SUM(F44:F45)</f>
        <v>194.34</v>
      </c>
      <c r="G46" s="1927"/>
      <c r="H46" s="7">
        <f t="shared" si="1"/>
        <v>-33.503138828856649</v>
      </c>
    </row>
    <row r="47" spans="1:14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4" x14ac:dyDescent="0.3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 t="shared" si="1"/>
        <v>#DIV/0!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 t="shared" si="1"/>
        <v>#DIV/0!</v>
      </c>
    </row>
    <row r="50" spans="1:8" x14ac:dyDescent="0.35">
      <c r="A50" s="6">
        <v>10.3</v>
      </c>
      <c r="B50" s="6" t="s">
        <v>0</v>
      </c>
      <c r="C50" s="21"/>
      <c r="D50" s="22"/>
      <c r="E50" s="6"/>
      <c r="F50" s="6">
        <f>SUM(F48:F49)</f>
        <v>0</v>
      </c>
      <c r="G50" s="1927"/>
      <c r="H50" s="7" t="e">
        <f t="shared" si="1"/>
        <v>#DIV/0!</v>
      </c>
    </row>
    <row r="53" spans="1:8" x14ac:dyDescent="0.35">
      <c r="C53" s="5">
        <f>C42/12</f>
        <v>0</v>
      </c>
    </row>
    <row r="63" spans="1:8" x14ac:dyDescent="0.35">
      <c r="E63" s="5">
        <v>2016</v>
      </c>
      <c r="F63" s="5">
        <v>2015</v>
      </c>
    </row>
    <row r="64" spans="1:8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1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G48:G50"/>
    <mergeCell ref="B23:H23"/>
    <mergeCell ref="C26:C30"/>
    <mergeCell ref="B33:H33"/>
    <mergeCell ref="B37:H37"/>
    <mergeCell ref="G38:G40"/>
    <mergeCell ref="B41:H41"/>
    <mergeCell ref="B43:H43"/>
    <mergeCell ref="G44:G46"/>
    <mergeCell ref="B47:H47"/>
  </mergeCells>
  <pageMargins left="0.70866141732283472" right="0.70866141732283472" top="0.74803149606299213" bottom="0.74803149606299213" header="0.31496062992125984" footer="0.31496062992125984"/>
  <pageSetup scale="8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H50"/>
  <sheetViews>
    <sheetView workbookViewId="0">
      <selection activeCell="E17" sqref="E17"/>
    </sheetView>
  </sheetViews>
  <sheetFormatPr defaultColWidth="9.1328125" defaultRowHeight="13.5" x14ac:dyDescent="0.35"/>
  <cols>
    <col min="1" max="1" width="7.1328125" style="5" customWidth="1"/>
    <col min="2" max="2" width="27.59765625" style="5" customWidth="1"/>
    <col min="3" max="3" width="9.1328125" style="5" customWidth="1"/>
    <col min="4" max="4" width="12.73046875" style="5" customWidth="1"/>
    <col min="5" max="6" width="12.3984375" style="5" customWidth="1"/>
    <col min="7" max="7" width="9.1328125" style="5" customWidth="1"/>
    <col min="8" max="8" width="7.86328125" style="5" customWidth="1"/>
    <col min="9" max="16384" width="9.1328125" style="5"/>
  </cols>
  <sheetData>
    <row r="1" spans="1:8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8" ht="13.9" x14ac:dyDescent="0.4">
      <c r="A2" s="1938" t="s">
        <v>121</v>
      </c>
      <c r="B2" s="1938"/>
      <c r="C2" s="1938"/>
      <c r="D2" s="1938"/>
      <c r="E2" s="1938"/>
      <c r="F2" s="1938"/>
      <c r="G2" s="1938"/>
      <c r="H2" s="1938"/>
    </row>
    <row r="3" spans="1:8" ht="17.25" customHeight="1" x14ac:dyDescent="0.4">
      <c r="A3" s="9" t="s">
        <v>6</v>
      </c>
      <c r="B3" s="9" t="s">
        <v>7</v>
      </c>
      <c r="C3" s="1939" t="s">
        <v>8</v>
      </c>
      <c r="D3" s="1939"/>
      <c r="E3" s="1939" t="s">
        <v>10</v>
      </c>
      <c r="F3" s="1939"/>
      <c r="G3" s="1939" t="s">
        <v>11</v>
      </c>
      <c r="H3" s="1939"/>
    </row>
    <row r="4" spans="1:8" ht="27.75" x14ac:dyDescent="0.4">
      <c r="A4" s="9"/>
      <c r="B4" s="9"/>
      <c r="C4" s="9" t="s">
        <v>9</v>
      </c>
      <c r="D4" s="25" t="str">
        <f>E4</f>
        <v>UP TO JUNE</v>
      </c>
      <c r="E4" s="25" t="s">
        <v>122</v>
      </c>
      <c r="F4" s="25" t="str">
        <f>E4</f>
        <v>UP TO JUNE</v>
      </c>
      <c r="G4" s="25" t="s">
        <v>12</v>
      </c>
      <c r="H4" s="25" t="s">
        <v>13</v>
      </c>
    </row>
    <row r="5" spans="1:8" x14ac:dyDescent="0.35">
      <c r="A5" s="6"/>
      <c r="B5" s="6"/>
      <c r="C5" s="1934" t="s">
        <v>77</v>
      </c>
      <c r="D5" s="1934"/>
      <c r="E5" s="85" t="s">
        <v>66</v>
      </c>
      <c r="F5" s="85" t="s">
        <v>77</v>
      </c>
      <c r="G5" s="6"/>
      <c r="H5" s="6"/>
    </row>
    <row r="6" spans="1:8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8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8" x14ac:dyDescent="0.35">
      <c r="A8" s="6">
        <v>1.1000000000000001</v>
      </c>
      <c r="B8" s="6" t="s">
        <v>16</v>
      </c>
      <c r="C8" s="27"/>
      <c r="D8" s="27">
        <f>'up to May-19'!D8+'jun-18'!D8</f>
        <v>5.0999999999999996</v>
      </c>
      <c r="E8" s="27">
        <f>'up to May-19'!E8+'jun-18'!E8</f>
        <v>4.6337501910000007</v>
      </c>
      <c r="F8" s="27">
        <f>'up to May-19'!F8+'jun-18'!F8</f>
        <v>4.8499999999999996</v>
      </c>
      <c r="G8" s="31">
        <f>(F8-D8)/D8*100</f>
        <v>-4.9019607843137258</v>
      </c>
      <c r="H8" s="31">
        <f>(F8-E8)/E8*100</f>
        <v>4.6668421923135748</v>
      </c>
    </row>
    <row r="9" spans="1:8" x14ac:dyDescent="0.35">
      <c r="A9" s="6">
        <v>1.2</v>
      </c>
      <c r="B9" s="6" t="s">
        <v>15</v>
      </c>
      <c r="C9" s="27"/>
      <c r="D9" s="27">
        <f>'up to May-19'!D9+'jun-18'!D9</f>
        <v>215.98000000000002</v>
      </c>
      <c r="E9" s="27">
        <f>'up to May-19'!E9+'jun-18'!E9</f>
        <v>204.01</v>
      </c>
      <c r="F9" s="27">
        <f>'up to May-19'!F9+'jun-18'!F9</f>
        <v>226.82999999999998</v>
      </c>
      <c r="G9" s="31">
        <f>(F9-D9)/D9*100</f>
        <v>5.0236132975275325</v>
      </c>
      <c r="H9" s="31">
        <f>(F9-E9)/E9*100</f>
        <v>11.185726189892648</v>
      </c>
    </row>
    <row r="10" spans="1:8" x14ac:dyDescent="0.35">
      <c r="A10" s="6">
        <v>1.3</v>
      </c>
      <c r="B10" s="6" t="s">
        <v>17</v>
      </c>
      <c r="C10" s="85">
        <f>SUM(C8:C9)</f>
        <v>0</v>
      </c>
      <c r="D10" s="27">
        <f>SUM(D8:D9)</f>
        <v>221.08</v>
      </c>
      <c r="E10" s="27">
        <f>'up to May-19'!E10+'jun-18'!E10</f>
        <v>208.64375019100001</v>
      </c>
      <c r="F10" s="27">
        <f>'up to May-19'!F10+'jun-18'!F10</f>
        <v>231.67999999999998</v>
      </c>
      <c r="G10" s="31">
        <f>(F10-D10)/D10*100</f>
        <v>4.7946444725890922</v>
      </c>
      <c r="H10" s="31">
        <f>(F10-E10)/E10*100</f>
        <v>11.040948884359947</v>
      </c>
    </row>
    <row r="11" spans="1:8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8" x14ac:dyDescent="0.35">
      <c r="A12" s="6">
        <v>2.1</v>
      </c>
      <c r="B12" s="6" t="s">
        <v>19</v>
      </c>
      <c r="C12" s="27"/>
      <c r="D12" s="27">
        <f>'up to May-19'!D12:D13+'jun-18'!D12</f>
        <v>44.2</v>
      </c>
      <c r="E12" s="27">
        <f>'up to May-19'!E12+'jun-18'!E12</f>
        <v>40.64</v>
      </c>
      <c r="F12" s="27">
        <f>'up to May-19'!F12+'jun-18'!F12</f>
        <v>49.57</v>
      </c>
      <c r="G12" s="31">
        <f>(F12-D12)/D12*100</f>
        <v>12.149321266968318</v>
      </c>
      <c r="H12" s="31">
        <f>(F12-E12)/E12*100</f>
        <v>21.973425196850393</v>
      </c>
    </row>
    <row r="13" spans="1:8" hidden="1" x14ac:dyDescent="0.35">
      <c r="A13" s="6">
        <v>2.2000000000000002</v>
      </c>
      <c r="B13" s="6" t="s">
        <v>20</v>
      </c>
      <c r="C13" s="132"/>
      <c r="D13" s="22"/>
      <c r="E13" s="27"/>
      <c r="F13" s="27"/>
      <c r="G13" s="31" t="e">
        <f>(F13-D13)/D13*100</f>
        <v>#DIV/0!</v>
      </c>
      <c r="H13" s="31" t="e">
        <f>(F13-E13)/E13*100</f>
        <v>#DIV/0!</v>
      </c>
    </row>
    <row r="14" spans="1:8" x14ac:dyDescent="0.35">
      <c r="A14" s="6">
        <v>2.2999999999999998</v>
      </c>
      <c r="B14" s="6" t="s">
        <v>21</v>
      </c>
      <c r="C14" s="85">
        <f>SUM(C12)</f>
        <v>0</v>
      </c>
      <c r="D14" s="87">
        <f>SUM(D12)</f>
        <v>44.2</v>
      </c>
      <c r="E14" s="27">
        <f>SUM(E12:E13)</f>
        <v>40.64</v>
      </c>
      <c r="F14" s="27">
        <f>SUM(F12:F13)</f>
        <v>49.57</v>
      </c>
      <c r="G14" s="31">
        <f>(F14-D14)/D14*100</f>
        <v>12.149321266968318</v>
      </c>
      <c r="H14" s="31">
        <f>(F14-E14)/E14*100</f>
        <v>21.973425196850393</v>
      </c>
    </row>
    <row r="15" spans="1:8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8" x14ac:dyDescent="0.35">
      <c r="A16" s="6">
        <v>3.1</v>
      </c>
      <c r="B16" s="6" t="s">
        <v>2</v>
      </c>
      <c r="C16" s="27">
        <f>'up to May-19'!C16+'jun-18'!C16</f>
        <v>0</v>
      </c>
      <c r="D16" s="27">
        <f>'up to May-19'!D16+'jun-18'!D16</f>
        <v>5.03</v>
      </c>
      <c r="E16" s="27">
        <f>'up to May-19'!E16+'jun-18'!E16</f>
        <v>4.6773635000000002</v>
      </c>
      <c r="F16" s="27">
        <f>'up to May-19'!F16+'jun-18'!F16</f>
        <v>5.3840446000000002</v>
      </c>
      <c r="G16" s="7"/>
      <c r="H16" s="31">
        <f t="shared" ref="H16:H22" si="0">(F16-E16)/E16*100</f>
        <v>15.108534968471018</v>
      </c>
    </row>
    <row r="17" spans="1:8" x14ac:dyDescent="0.35">
      <c r="A17" s="6">
        <v>3.2</v>
      </c>
      <c r="B17" s="6" t="s">
        <v>23</v>
      </c>
      <c r="C17" s="20"/>
      <c r="D17" s="27">
        <f>'up to May-19'!D17+'jun-18'!D17</f>
        <v>6.58</v>
      </c>
      <c r="E17" s="27">
        <f>'up to May-19'!E17+'jun-18'!E17</f>
        <v>5.8352000000000004</v>
      </c>
      <c r="F17" s="27">
        <f>'up to May-19'!F17+'jun-18'!F17</f>
        <v>5.8769999999999998</v>
      </c>
      <c r="G17" s="1925"/>
      <c r="H17" s="31">
        <f t="shared" si="0"/>
        <v>0.71634219906771646</v>
      </c>
    </row>
    <row r="18" spans="1:8" x14ac:dyDescent="0.35">
      <c r="A18" s="6">
        <v>3.3</v>
      </c>
      <c r="B18" s="6" t="s">
        <v>1</v>
      </c>
      <c r="C18" s="1936"/>
      <c r="D18" s="27">
        <f>'up to May-19'!D18+'jun-18'!D18</f>
        <v>1.39</v>
      </c>
      <c r="E18" s="27">
        <f>'up to May-19'!E18+'jun-18'!E18</f>
        <v>0.62755970000000005</v>
      </c>
      <c r="F18" s="27">
        <f>'up to May-19'!F18+'jun-18'!F18</f>
        <v>0.51325209999999999</v>
      </c>
      <c r="G18" s="1926"/>
      <c r="H18" s="31">
        <f t="shared" si="0"/>
        <v>-18.214617669044088</v>
      </c>
    </row>
    <row r="19" spans="1:8" x14ac:dyDescent="0.35">
      <c r="A19" s="6">
        <v>3.4</v>
      </c>
      <c r="B19" s="6" t="s">
        <v>24</v>
      </c>
      <c r="C19" s="1936"/>
      <c r="D19" s="129"/>
      <c r="E19" s="27">
        <f>'up to May-19'!E19+'jun-18'!E19</f>
        <v>1.4049240000000001</v>
      </c>
      <c r="F19" s="27">
        <f>'up to May-19'!F19+'jun-18'!F19</f>
        <v>0.90418900000000002</v>
      </c>
      <c r="G19" s="1926"/>
      <c r="H19" s="31">
        <f t="shared" si="0"/>
        <v>-35.641429714347538</v>
      </c>
    </row>
    <row r="20" spans="1:8" x14ac:dyDescent="0.35">
      <c r="A20" s="6">
        <v>3.5</v>
      </c>
      <c r="B20" s="24" t="s">
        <v>25</v>
      </c>
      <c r="C20" s="1936"/>
      <c r="D20" s="129"/>
      <c r="E20" s="27">
        <f>'up to May-19'!E20+'jun-18'!E20</f>
        <v>2.2176769999999997</v>
      </c>
      <c r="F20" s="27">
        <f>'up to May-19'!F20+'jun-18'!F20</f>
        <v>1.6942465</v>
      </c>
      <c r="G20" s="1926"/>
      <c r="H20" s="7">
        <f t="shared" si="0"/>
        <v>-23.602648176447687</v>
      </c>
    </row>
    <row r="21" spans="1:8" ht="27" x14ac:dyDescent="0.35">
      <c r="A21" s="6">
        <v>3.6</v>
      </c>
      <c r="B21" s="23" t="s">
        <v>26</v>
      </c>
      <c r="C21" s="1937"/>
      <c r="D21" s="130"/>
      <c r="E21" s="27">
        <f>'up to May-19'!E21+'jun-18'!E21</f>
        <v>5.2349075000000003</v>
      </c>
      <c r="F21" s="27">
        <f>'up to May-19'!F21+'jun-18'!F21</f>
        <v>8.5535344000000002</v>
      </c>
      <c r="G21" s="1927"/>
      <c r="H21" s="31">
        <f t="shared" si="0"/>
        <v>63.394184137924114</v>
      </c>
    </row>
    <row r="22" spans="1:8" x14ac:dyDescent="0.35">
      <c r="A22" s="6">
        <v>3.7</v>
      </c>
      <c r="B22" s="23" t="s">
        <v>58</v>
      </c>
      <c r="C22" s="27"/>
      <c r="D22" s="27">
        <f>'up to May-19'!D22+'jun-18'!D22</f>
        <v>37.909999999999997</v>
      </c>
      <c r="E22" s="27">
        <v>18.809999999999999</v>
      </c>
      <c r="F22" s="27">
        <v>23.54</v>
      </c>
      <c r="G22" s="31">
        <f>(F22-D22)/D22*100</f>
        <v>-37.905565813769449</v>
      </c>
      <c r="H22" s="31">
        <f t="shared" si="0"/>
        <v>25.146198830409361</v>
      </c>
    </row>
    <row r="23" spans="1:8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8" x14ac:dyDescent="0.35">
      <c r="A24" s="6">
        <v>4.0999999999999996</v>
      </c>
      <c r="B24" s="6" t="s">
        <v>27</v>
      </c>
      <c r="C24" s="27">
        <f>'up to May-19'!C24+'jun-18'!C24</f>
        <v>2.6516666666666668</v>
      </c>
      <c r="D24" s="27">
        <f>'up to May-19'!D24+'jun-18'!D24</f>
        <v>2.5</v>
      </c>
      <c r="E24" s="27">
        <f>'up to May-19'!E24+'jun-18'!E24</f>
        <v>0.58629600000000004</v>
      </c>
      <c r="F24" s="27">
        <f>'up to May-19'!F24+'jun-18'!F24</f>
        <v>1.4059254000000001</v>
      </c>
      <c r="G24" s="7"/>
      <c r="H24" s="31">
        <v>0</v>
      </c>
    </row>
    <row r="25" spans="1:8" x14ac:dyDescent="0.35">
      <c r="A25" s="6">
        <v>4.2</v>
      </c>
      <c r="B25" s="6" t="s">
        <v>28</v>
      </c>
      <c r="C25" s="27">
        <f>'up to May-19'!C25+'jun-18'!C25</f>
        <v>0.96333333333333337</v>
      </c>
      <c r="D25" s="12"/>
      <c r="E25" s="27">
        <f>'up to May-19'!E25+'jun-18'!E25</f>
        <v>1.0126736999999999</v>
      </c>
      <c r="F25" s="27">
        <f>'up to May-19'!F25+'jun-18'!F25</f>
        <v>1.1809267999999999</v>
      </c>
      <c r="G25" s="7"/>
      <c r="H25" s="31">
        <v>0</v>
      </c>
    </row>
    <row r="26" spans="1:8" x14ac:dyDescent="0.35">
      <c r="A26" s="6">
        <v>4.3</v>
      </c>
      <c r="B26" s="6" t="s">
        <v>4</v>
      </c>
      <c r="C26" s="27"/>
      <c r="D26" s="6"/>
      <c r="E26" s="27">
        <f>'up to May-19'!E26+'jun-18'!E26</f>
        <v>0.19766220000000001</v>
      </c>
      <c r="F26" s="27">
        <f>'up to May-19'!F26+'jun-18'!F26</f>
        <v>1.1401E-2</v>
      </c>
      <c r="G26" s="6"/>
      <c r="H26" s="31">
        <v>0</v>
      </c>
    </row>
    <row r="27" spans="1:8" x14ac:dyDescent="0.35">
      <c r="A27" s="6">
        <v>4.4000000000000004</v>
      </c>
      <c r="B27" s="6" t="s">
        <v>29</v>
      </c>
      <c r="C27" s="27"/>
      <c r="D27" s="6"/>
      <c r="E27" s="27">
        <f>'up to May-19'!E27+'jun-18'!E27</f>
        <v>1.3372E-3</v>
      </c>
      <c r="F27" s="27">
        <f>'up to May-19'!F27+'jun-18'!F27</f>
        <v>0</v>
      </c>
      <c r="G27" s="6"/>
      <c r="H27" s="31">
        <v>0</v>
      </c>
    </row>
    <row r="28" spans="1:8" x14ac:dyDescent="0.35">
      <c r="A28" s="6">
        <v>4.5</v>
      </c>
      <c r="B28" s="6" t="s">
        <v>64</v>
      </c>
      <c r="C28" s="1950">
        <v>2.6516666666666668</v>
      </c>
      <c r="D28" s="1951"/>
      <c r="E28" s="27">
        <f>'up to May-19'!E28+'jun-18'!E28</f>
        <v>5.4548999999999995E-3</v>
      </c>
      <c r="F28" s="27">
        <f>'up to May-19'!F28+'jun-18'!F28</f>
        <v>0</v>
      </c>
      <c r="G28" s="1934"/>
      <c r="H28" s="7">
        <v>0</v>
      </c>
    </row>
    <row r="29" spans="1:8" x14ac:dyDescent="0.35">
      <c r="A29" s="6">
        <v>4.7</v>
      </c>
      <c r="B29" s="6" t="s">
        <v>68</v>
      </c>
      <c r="C29" s="1950"/>
      <c r="D29" s="1951"/>
      <c r="E29" s="27">
        <f>'up to May-19'!E29+'jun-18'!E29</f>
        <v>9.2068000000000011E-2</v>
      </c>
      <c r="F29" s="27">
        <f>'up to May-19'!F29+'jun-18'!F29</f>
        <v>0.53038659999999993</v>
      </c>
      <c r="G29" s="1934"/>
      <c r="H29" s="31">
        <v>0</v>
      </c>
    </row>
    <row r="30" spans="1:8" x14ac:dyDescent="0.35">
      <c r="A30" s="6">
        <v>4.8</v>
      </c>
      <c r="B30" s="6" t="s">
        <v>31</v>
      </c>
      <c r="C30" s="21"/>
      <c r="D30" s="22"/>
      <c r="E30" s="27">
        <f>'up to May-19'!E30+'jun-18'!E30</f>
        <v>0</v>
      </c>
      <c r="F30" s="27">
        <f>'up to May-19'!F30+'jun-18'!F30</f>
        <v>0</v>
      </c>
      <c r="G30" s="6"/>
      <c r="H30" s="31">
        <v>0</v>
      </c>
    </row>
    <row r="31" spans="1:8" x14ac:dyDescent="0.35">
      <c r="A31" s="6">
        <v>4.9000000000000004</v>
      </c>
      <c r="B31" s="6" t="s">
        <v>32</v>
      </c>
      <c r="C31" s="134">
        <f>C28+C25+C24</f>
        <v>6.2666666666666675</v>
      </c>
      <c r="D31" s="27">
        <f>SUM(D24:D30)</f>
        <v>2.5</v>
      </c>
      <c r="E31" s="27">
        <f>SUM(E24:E30)</f>
        <v>1.895492</v>
      </c>
      <c r="F31" s="27">
        <f>SUM(F24:F30)</f>
        <v>3.1286398000000002</v>
      </c>
      <c r="G31" s="7"/>
      <c r="H31" s="31">
        <v>0</v>
      </c>
    </row>
    <row r="32" spans="1:8" ht="13.9" x14ac:dyDescent="0.4">
      <c r="A32" s="9">
        <v>5</v>
      </c>
      <c r="B32" s="9" t="s">
        <v>33</v>
      </c>
      <c r="C32" s="134">
        <f>C31+C22+C14+C10</f>
        <v>6.2666666666666675</v>
      </c>
      <c r="D32" s="48">
        <f>D10+D14+D22+D31+D28</f>
        <v>305.69000000000005</v>
      </c>
      <c r="E32" s="28">
        <f>E10+E14+E22+E31</f>
        <v>269.98924219100002</v>
      </c>
      <c r="F32" s="28">
        <f>F10+F14+F22+F31</f>
        <v>307.91863979999999</v>
      </c>
      <c r="G32" s="7">
        <v>0</v>
      </c>
      <c r="H32" s="7">
        <f>(F32-E32)/E32*100</f>
        <v>14.048484784503884</v>
      </c>
    </row>
    <row r="33" spans="1:8" ht="14.25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</row>
    <row r="34" spans="1:8" x14ac:dyDescent="0.35">
      <c r="A34" s="6">
        <v>6.1</v>
      </c>
      <c r="B34" s="6" t="s">
        <v>16</v>
      </c>
      <c r="C34" s="27">
        <f>'up to May-19'!C34+'jun-18'!C34</f>
        <v>26.8</v>
      </c>
      <c r="D34" s="27">
        <f>'up to May-19'!D34+'jun-18'!D34</f>
        <v>81</v>
      </c>
      <c r="E34" s="27">
        <f>'up to May-19'!E34+'jun-18'!E34</f>
        <v>78.84</v>
      </c>
      <c r="F34" s="27">
        <f>'up to May-19'!F34+'jun-18'!F34</f>
        <v>81.38</v>
      </c>
      <c r="G34" s="7">
        <v>0</v>
      </c>
      <c r="H34" s="7">
        <f>(F34-E34)/E34*100</f>
        <v>3.2217148655504722</v>
      </c>
    </row>
    <row r="35" spans="1:8" x14ac:dyDescent="0.35">
      <c r="A35" s="6">
        <v>6.2</v>
      </c>
      <c r="B35" s="6" t="s">
        <v>15</v>
      </c>
      <c r="C35" s="27">
        <f>'up to May-19'!C35+'jun-18'!C35</f>
        <v>36.1</v>
      </c>
      <c r="D35" s="27">
        <f>'up to May-19'!D35+'jun-18'!D35</f>
        <v>110.89999999999999</v>
      </c>
      <c r="E35" s="27">
        <f>'up to May-19'!E35+'jun-18'!E35</f>
        <v>110.37</v>
      </c>
      <c r="F35" s="27">
        <f>'up to May-19'!F35+'jun-18'!F35</f>
        <v>113.97</v>
      </c>
      <c r="G35" s="7">
        <v>0</v>
      </c>
      <c r="H35" s="7">
        <f>(F35-E35)/E35*100</f>
        <v>3.2617559119325854</v>
      </c>
    </row>
    <row r="36" spans="1:8" x14ac:dyDescent="0.35">
      <c r="A36" s="6">
        <v>6.3</v>
      </c>
      <c r="B36" s="6" t="s">
        <v>34</v>
      </c>
      <c r="C36" s="27">
        <f>'up to May-19'!C36+'jun-18'!C36</f>
        <v>62.900000000000006</v>
      </c>
      <c r="D36" s="27">
        <f>'up to May-19'!D36+'jun-18'!D36</f>
        <v>191.89999999999998</v>
      </c>
      <c r="E36" s="27">
        <f>'up to May-19'!E36+'jun-18'!E36</f>
        <v>189.20999999999998</v>
      </c>
      <c r="F36" s="27">
        <f>'up to May-19'!F36+'jun-18'!F36</f>
        <v>195.35</v>
      </c>
      <c r="G36" s="7">
        <v>0</v>
      </c>
      <c r="H36" s="7">
        <f>(F36-E36)/E36*100</f>
        <v>3.2450716135510893</v>
      </c>
    </row>
    <row r="37" spans="1:8" ht="14.25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</row>
    <row r="38" spans="1:8" x14ac:dyDescent="0.35">
      <c r="A38" s="6">
        <v>7.1</v>
      </c>
      <c r="B38" s="6" t="s">
        <v>16</v>
      </c>
      <c r="C38" s="14"/>
      <c r="D38" s="15"/>
      <c r="E38" s="31">
        <f>'up to May-19'!E38+'jun-18'!E38</f>
        <v>79.418320000000008</v>
      </c>
      <c r="F38" s="31">
        <f>'up to May-19'!F38+'jun-18'!F38</f>
        <v>80.5</v>
      </c>
      <c r="G38" s="1925"/>
      <c r="H38" s="7"/>
    </row>
    <row r="39" spans="1:8" x14ac:dyDescent="0.35">
      <c r="A39" s="6">
        <v>7.2</v>
      </c>
      <c r="B39" s="6" t="s">
        <v>15</v>
      </c>
      <c r="C39" s="16"/>
      <c r="D39" s="17"/>
      <c r="E39" s="31">
        <f>'up to May-19'!E39+'jun-18'!E39</f>
        <v>926.21</v>
      </c>
      <c r="F39" s="31">
        <f>'up to May-19'!F39+'jun-18'!F39</f>
        <v>1154.42473</v>
      </c>
      <c r="G39" s="1926"/>
      <c r="H39" s="7"/>
    </row>
    <row r="40" spans="1:8" x14ac:dyDescent="0.35">
      <c r="A40" s="6">
        <v>7.3</v>
      </c>
      <c r="B40" s="6" t="s">
        <v>35</v>
      </c>
      <c r="C40" s="21"/>
      <c r="D40" s="22"/>
      <c r="E40" s="31">
        <f>SUM(E38:E39)</f>
        <v>1005.62832</v>
      </c>
      <c r="F40" s="31">
        <f>SUM(F38:F39)</f>
        <v>1234.92473</v>
      </c>
      <c r="G40" s="1927"/>
      <c r="H40" s="7"/>
    </row>
    <row r="41" spans="1:8" ht="14.25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8" x14ac:dyDescent="0.35">
      <c r="A42" s="6">
        <v>8.1</v>
      </c>
      <c r="B42" s="6" t="s">
        <v>41</v>
      </c>
      <c r="C42" s="27">
        <f>'up to May-19'!C42+'jun-18'!C42</f>
        <v>0</v>
      </c>
      <c r="D42" s="27">
        <f>'up to May-19'!D42+'jun-18'!D42</f>
        <v>201000</v>
      </c>
      <c r="E42" s="27">
        <f>'up to May-19'!E42+'jun-18'!E42</f>
        <v>90038</v>
      </c>
      <c r="F42" s="27">
        <f>'up to May-19'!F42+'jun-18'!F42</f>
        <v>101059</v>
      </c>
      <c r="G42" s="7">
        <v>0</v>
      </c>
      <c r="H42" s="7">
        <f>(F42-E42)/E42*100</f>
        <v>12.240387391990048</v>
      </c>
    </row>
    <row r="43" spans="1:8" ht="14.25" x14ac:dyDescent="0.45">
      <c r="A43" s="9">
        <v>9</v>
      </c>
      <c r="B43" s="1931" t="s">
        <v>67</v>
      </c>
      <c r="C43" s="1932"/>
      <c r="D43" s="1932"/>
      <c r="E43" s="1932"/>
      <c r="F43" s="1932"/>
      <c r="G43" s="1932"/>
      <c r="H43" s="1933"/>
    </row>
    <row r="44" spans="1:8" x14ac:dyDescent="0.35">
      <c r="A44" s="6">
        <v>9.1</v>
      </c>
      <c r="B44" s="6" t="s">
        <v>36</v>
      </c>
      <c r="C44" s="14"/>
      <c r="D44" s="15"/>
      <c r="E44" s="27"/>
      <c r="F44" s="27"/>
      <c r="G44" s="1925"/>
      <c r="H44" s="7">
        <v>0</v>
      </c>
    </row>
    <row r="45" spans="1:8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>
        <v>0</v>
      </c>
    </row>
    <row r="46" spans="1:8" x14ac:dyDescent="0.35">
      <c r="A46" s="6">
        <v>9.3000000000000007</v>
      </c>
      <c r="B46" s="6" t="s">
        <v>38</v>
      </c>
      <c r="C46" s="21"/>
      <c r="D46" s="22"/>
      <c r="E46" s="27">
        <f>SUM(E44:E45)</f>
        <v>0</v>
      </c>
      <c r="F46" s="27">
        <f>SUM(F44:F45)</f>
        <v>0</v>
      </c>
      <c r="G46" s="1927"/>
      <c r="H46" s="7">
        <v>0</v>
      </c>
    </row>
    <row r="47" spans="1:8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8" x14ac:dyDescent="0.3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>(E48-F48)/F48*100</f>
        <v>#DIV/0!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>(E49-F49)/F49*100</f>
        <v>#DIV/0!</v>
      </c>
    </row>
    <row r="50" spans="1:8" x14ac:dyDescent="0.35">
      <c r="A50" s="6">
        <v>10.3</v>
      </c>
      <c r="B50" s="6" t="s">
        <v>0</v>
      </c>
      <c r="C50" s="21"/>
      <c r="D50" s="22"/>
      <c r="E50" s="6"/>
      <c r="F50" s="6">
        <f>SUM(F48:F49)</f>
        <v>0</v>
      </c>
      <c r="G50" s="1927"/>
      <c r="H50" s="7" t="e">
        <f>(E50-F50)/F50*100</f>
        <v>#DIV/0!</v>
      </c>
    </row>
  </sheetData>
  <mergeCells count="23">
    <mergeCell ref="C5:D5"/>
    <mergeCell ref="A1:H1"/>
    <mergeCell ref="A2:H2"/>
    <mergeCell ref="C3:D3"/>
    <mergeCell ref="E3:F3"/>
    <mergeCell ref="G3:H3"/>
    <mergeCell ref="B7:H7"/>
    <mergeCell ref="B11:H11"/>
    <mergeCell ref="B15:H15"/>
    <mergeCell ref="G17:G21"/>
    <mergeCell ref="C18:C21"/>
    <mergeCell ref="G48:G50"/>
    <mergeCell ref="B23:H23"/>
    <mergeCell ref="C28:C29"/>
    <mergeCell ref="D28:D29"/>
    <mergeCell ref="G28:G29"/>
    <mergeCell ref="B33:H33"/>
    <mergeCell ref="B37:H37"/>
    <mergeCell ref="G38:G40"/>
    <mergeCell ref="B41:H41"/>
    <mergeCell ref="B43:H43"/>
    <mergeCell ref="G44:G46"/>
    <mergeCell ref="B47:H47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pageSetUpPr fitToPage="1"/>
  </sheetPr>
  <dimension ref="A1:J50"/>
  <sheetViews>
    <sheetView topLeftCell="B1" workbookViewId="0">
      <selection activeCell="N41" sqref="N41"/>
    </sheetView>
  </sheetViews>
  <sheetFormatPr defaultColWidth="9.1328125" defaultRowHeight="13.5" x14ac:dyDescent="0.35"/>
  <cols>
    <col min="1" max="1" width="7.1328125" style="5" customWidth="1"/>
    <col min="2" max="2" width="27.59765625" style="5" customWidth="1"/>
    <col min="3" max="3" width="9.1328125" style="5" customWidth="1"/>
    <col min="4" max="4" width="12.73046875" style="5" customWidth="1"/>
    <col min="5" max="6" width="12.3984375" style="5" customWidth="1"/>
    <col min="7" max="7" width="9.1328125" style="5" customWidth="1"/>
    <col min="8" max="8" width="7.86328125" style="5" customWidth="1"/>
    <col min="9" max="9" width="9.1328125" style="5"/>
    <col min="10" max="10" width="10.1328125" style="5" customWidth="1"/>
    <col min="11" max="16384" width="9.1328125" style="5"/>
  </cols>
  <sheetData>
    <row r="1" spans="1:9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9" ht="13.9" x14ac:dyDescent="0.4">
      <c r="A2" s="1938" t="s">
        <v>159</v>
      </c>
      <c r="B2" s="1938"/>
      <c r="C2" s="1938"/>
      <c r="D2" s="1938"/>
      <c r="E2" s="1938"/>
      <c r="F2" s="1938"/>
      <c r="G2" s="1938"/>
      <c r="H2" s="1938"/>
    </row>
    <row r="3" spans="1:9" ht="13.9" x14ac:dyDescent="0.4">
      <c r="A3" s="9" t="s">
        <v>6</v>
      </c>
      <c r="B3" s="9" t="s">
        <v>7</v>
      </c>
      <c r="C3" s="1939" t="s">
        <v>8</v>
      </c>
      <c r="D3" s="1939"/>
      <c r="E3" s="1939" t="s">
        <v>10</v>
      </c>
      <c r="F3" s="1939"/>
      <c r="G3" s="1939" t="s">
        <v>11</v>
      </c>
      <c r="H3" s="1939"/>
    </row>
    <row r="4" spans="1:9" ht="27.75" x14ac:dyDescent="0.4">
      <c r="A4" s="9"/>
      <c r="B4" s="9"/>
      <c r="C4" s="9" t="s">
        <v>9</v>
      </c>
      <c r="D4" s="25" t="str">
        <f>E4</f>
        <v>UP TO JUNE</v>
      </c>
      <c r="E4" s="25" t="s">
        <v>122</v>
      </c>
      <c r="F4" s="25" t="str">
        <f>E4</f>
        <v>UP TO JUNE</v>
      </c>
      <c r="G4" s="25" t="s">
        <v>12</v>
      </c>
      <c r="H4" s="25" t="s">
        <v>13</v>
      </c>
    </row>
    <row r="5" spans="1:9" x14ac:dyDescent="0.35">
      <c r="A5" s="6"/>
      <c r="B5" s="6"/>
      <c r="C5" s="1934" t="s">
        <v>77</v>
      </c>
      <c r="D5" s="1934"/>
      <c r="E5" s="85" t="s">
        <v>66</v>
      </c>
      <c r="F5" s="85" t="s">
        <v>77</v>
      </c>
      <c r="G5" s="6"/>
      <c r="H5" s="6"/>
    </row>
    <row r="6" spans="1:9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9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9" x14ac:dyDescent="0.35">
      <c r="A8" s="6">
        <v>1.1000000000000001</v>
      </c>
      <c r="B8" s="6" t="s">
        <v>16</v>
      </c>
      <c r="C8" s="27"/>
      <c r="D8" s="27">
        <f>'up to May-19'!D8+'jun-18'!D8+'july-19'!D8</f>
        <v>7.1499999999999995</v>
      </c>
      <c r="E8" s="27">
        <f>'up to May-19'!E8+'jun-18'!E8+'july-19'!E8</f>
        <v>6.4937501910000011</v>
      </c>
      <c r="F8" s="27">
        <f>'up to May-19'!F8+'jun-18'!F8+'july-19'!F8</f>
        <v>6.8</v>
      </c>
      <c r="G8" s="31">
        <f>(F8-D8)/D8*100</f>
        <v>-4.8951048951048906</v>
      </c>
      <c r="H8" s="31">
        <f>(F8-E8)/E8*100</f>
        <v>4.7160700672539733</v>
      </c>
    </row>
    <row r="9" spans="1:9" x14ac:dyDescent="0.35">
      <c r="A9" s="6">
        <v>1.2</v>
      </c>
      <c r="B9" s="6" t="s">
        <v>15</v>
      </c>
      <c r="C9" s="27"/>
      <c r="D9" s="27">
        <f>'up to May-19'!D9+'jun-18'!D9+'july-19'!D9</f>
        <v>299.71000000000004</v>
      </c>
      <c r="E9" s="27">
        <f>'up to May-19'!E9+'jun-18'!E9+'july-19'!E9</f>
        <v>280.18</v>
      </c>
      <c r="F9" s="27">
        <f>'up to May-19'!F9+'jun-18'!F9+'july-19'!F9</f>
        <v>305.2</v>
      </c>
      <c r="G9" s="31">
        <f>(F9-D9)/D9*100</f>
        <v>1.8317707116879487</v>
      </c>
      <c r="H9" s="31">
        <f>(F9-E9)/E9*100</f>
        <v>8.9299735884074458</v>
      </c>
    </row>
    <row r="10" spans="1:9" ht="13.9" x14ac:dyDescent="0.4">
      <c r="A10" s="6">
        <v>1.3</v>
      </c>
      <c r="B10" s="6" t="s">
        <v>17</v>
      </c>
      <c r="C10" s="85"/>
      <c r="D10" s="28">
        <f>'up to May-19'!D10+'jun-18'!D10+'july-19'!D10</f>
        <v>306.86</v>
      </c>
      <c r="E10" s="28">
        <f>SUM(E8:E9)</f>
        <v>286.67375019100001</v>
      </c>
      <c r="F10" s="28">
        <f>SUM(F8:F9)</f>
        <v>312</v>
      </c>
      <c r="G10" s="48">
        <f>(F10-D10)/D10*100</f>
        <v>1.6750309587433965</v>
      </c>
      <c r="H10" s="48">
        <f>(F10-E10)/E10*100</f>
        <v>8.8345200047531574</v>
      </c>
      <c r="I10" s="12">
        <f>SUM(E10:F10)</f>
        <v>598.67375019099995</v>
      </c>
    </row>
    <row r="11" spans="1:9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9" x14ac:dyDescent="0.35">
      <c r="A12" s="6">
        <v>2.1</v>
      </c>
      <c r="B12" s="6" t="s">
        <v>19</v>
      </c>
      <c r="C12" s="27"/>
      <c r="D12" s="27">
        <f>'TARGET 2019-20'!Q11</f>
        <v>62.53</v>
      </c>
      <c r="E12" s="27">
        <v>57.51</v>
      </c>
      <c r="F12" s="27">
        <v>59.84</v>
      </c>
      <c r="G12" s="31">
        <f>(F12-D12)/D12*100</f>
        <v>-4.3019350711658371</v>
      </c>
      <c r="H12" s="31">
        <f>(F12-E12)/E12*100</f>
        <v>4.0514693096852818</v>
      </c>
    </row>
    <row r="13" spans="1:9" hidden="1" x14ac:dyDescent="0.35">
      <c r="A13" s="6">
        <v>2.2000000000000002</v>
      </c>
      <c r="B13" s="6" t="s">
        <v>20</v>
      </c>
      <c r="C13" s="132"/>
      <c r="D13" s="22"/>
      <c r="E13" s="27"/>
      <c r="F13" s="27"/>
      <c r="G13" s="31" t="e">
        <f t="shared" ref="G13:G18" si="0">(F13-D13)/D13*100</f>
        <v>#DIV/0!</v>
      </c>
      <c r="H13" s="31" t="e">
        <f>(F13-E13)/E13*100</f>
        <v>#DIV/0!</v>
      </c>
    </row>
    <row r="14" spans="1:9" ht="13.9" x14ac:dyDescent="0.4">
      <c r="A14" s="6">
        <v>2.2999999999999998</v>
      </c>
      <c r="B14" s="6" t="s">
        <v>21</v>
      </c>
      <c r="C14" s="85"/>
      <c r="D14" s="28">
        <f>'up to May-19'!D14+'jun-18'!D14+'july-19'!D14</f>
        <v>62.53</v>
      </c>
      <c r="E14" s="28">
        <f>SUM(E12)</f>
        <v>57.51</v>
      </c>
      <c r="F14" s="28">
        <f>SUM(F12)</f>
        <v>59.84</v>
      </c>
      <c r="G14" s="48">
        <f t="shared" si="0"/>
        <v>-4.3019350711658371</v>
      </c>
      <c r="H14" s="48">
        <f>(F14-E14)/E14*100</f>
        <v>4.0514693096852818</v>
      </c>
    </row>
    <row r="15" spans="1:9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9" x14ac:dyDescent="0.35">
      <c r="A16" s="6">
        <v>3.1</v>
      </c>
      <c r="B16" s="6" t="s">
        <v>2</v>
      </c>
      <c r="C16" s="27"/>
      <c r="D16" s="27">
        <f>'up to May-19'!D16+'jun-18'!D16+'july-19'!D16</f>
        <v>5.9300000000000006</v>
      </c>
      <c r="E16" s="27">
        <f>'up to May-19'!E16+'jun-18'!E16+'july-19'!E16</f>
        <v>5.6140490999999999</v>
      </c>
      <c r="F16" s="27">
        <f>'up to May-19'!F16+'jun-18'!F16+'july-19'!F16</f>
        <v>6.5997212000000003</v>
      </c>
      <c r="G16" s="31">
        <f t="shared" si="0"/>
        <v>11.293780775716689</v>
      </c>
      <c r="H16" s="31">
        <f t="shared" ref="H16:H22" si="1">(F16-E16)/E16*100</f>
        <v>17.55724045947515</v>
      </c>
    </row>
    <row r="17" spans="1:9" x14ac:dyDescent="0.35">
      <c r="A17" s="6">
        <v>3.2</v>
      </c>
      <c r="B17" s="6" t="s">
        <v>23</v>
      </c>
      <c r="C17" s="20"/>
      <c r="D17" s="27">
        <f>'up to May-19'!D17+'jun-18'!D17+'july-19'!D17</f>
        <v>9.11</v>
      </c>
      <c r="E17" s="27">
        <f>'up to May-19'!E17+'jun-18'!E17+'july-19'!E17</f>
        <v>7.9781000000000004</v>
      </c>
      <c r="F17" s="27">
        <f>'up to May-19'!F17+'jun-18'!F17+'july-19'!F17</f>
        <v>7.9948999999999995</v>
      </c>
      <c r="G17" s="31">
        <f>(F17-D17)/D17*100</f>
        <v>-12.240395170142701</v>
      </c>
      <c r="H17" s="31">
        <f t="shared" si="1"/>
        <v>0.21057645304018549</v>
      </c>
    </row>
    <row r="18" spans="1:9" x14ac:dyDescent="0.35">
      <c r="A18" s="6">
        <v>3.3</v>
      </c>
      <c r="B18" s="6" t="s">
        <v>1</v>
      </c>
      <c r="C18" s="129"/>
      <c r="D18" s="27">
        <f>'up to May-19'!D18+'jun-18'!D18+'july-19'!D18</f>
        <v>1.77</v>
      </c>
      <c r="E18" s="27">
        <f>'up to May-19'!E18+'jun-18'!E18+'july-19'!E18</f>
        <v>0.79755970000000009</v>
      </c>
      <c r="F18" s="27">
        <f>'up to May-19'!F18+'jun-18'!F18+'july-19'!F18</f>
        <v>0.64788060000000003</v>
      </c>
      <c r="G18" s="31">
        <f t="shared" si="0"/>
        <v>-63.396576271186433</v>
      </c>
      <c r="H18" s="31">
        <f t="shared" si="1"/>
        <v>-18.76713429728208</v>
      </c>
    </row>
    <row r="19" spans="1:9" x14ac:dyDescent="0.35">
      <c r="A19" s="6">
        <v>3.4</v>
      </c>
      <c r="B19" s="6" t="s">
        <v>24</v>
      </c>
      <c r="C19" s="129"/>
      <c r="D19" s="129"/>
      <c r="E19" s="27">
        <f>'up to May-19'!E19+'jun-18'!E19+'july-19'!E19</f>
        <v>1.6469240000000001</v>
      </c>
      <c r="F19" s="27">
        <f>'up to May-19'!F19+'jun-18'!F19+'july-19'!F19</f>
        <v>1.1341890000000001</v>
      </c>
      <c r="G19" s="10"/>
      <c r="H19" s="31">
        <f t="shared" si="1"/>
        <v>-31.132887734953158</v>
      </c>
      <c r="I19" s="5">
        <v>25.67</v>
      </c>
    </row>
    <row r="20" spans="1:9" x14ac:dyDescent="0.35">
      <c r="A20" s="6">
        <v>3.5</v>
      </c>
      <c r="B20" s="24" t="s">
        <v>25</v>
      </c>
      <c r="C20" s="129"/>
      <c r="D20" s="129"/>
      <c r="E20" s="27">
        <f>'up to May-19'!E20+'jun-18'!E20+'july-19'!E20</f>
        <v>2.2176769999999997</v>
      </c>
      <c r="F20" s="27">
        <f>'up to May-19'!F20+'jun-18'!F20+'july-19'!F20</f>
        <v>1.6942465</v>
      </c>
      <c r="G20" s="10"/>
      <c r="H20" s="7">
        <f t="shared" si="1"/>
        <v>-23.602648176447687</v>
      </c>
      <c r="I20" s="5">
        <v>24.6</v>
      </c>
    </row>
    <row r="21" spans="1:9" ht="27" x14ac:dyDescent="0.35">
      <c r="A21" s="6">
        <v>3.6</v>
      </c>
      <c r="B21" s="23" t="s">
        <v>26</v>
      </c>
      <c r="C21" s="130"/>
      <c r="D21" s="130"/>
      <c r="E21" s="27">
        <f>'up to May-19'!E21+'jun-18'!E21+'july-19'!E21</f>
        <v>7.5082579000000003</v>
      </c>
      <c r="F21" s="27">
        <f>'up to May-19'!F21+'jun-18'!F21+'july-19'!F21</f>
        <v>11.023534400000001</v>
      </c>
      <c r="G21" s="45"/>
      <c r="H21" s="31">
        <f t="shared" si="1"/>
        <v>46.818803333859918</v>
      </c>
      <c r="I21" s="5">
        <f>I19-I20</f>
        <v>1.0700000000000003</v>
      </c>
    </row>
    <row r="22" spans="1:9" x14ac:dyDescent="0.35">
      <c r="A22" s="6">
        <v>3.7</v>
      </c>
      <c r="B22" s="23" t="s">
        <v>58</v>
      </c>
      <c r="C22" s="27"/>
      <c r="D22" s="27">
        <f>'TARGET 2019-20'!M11</f>
        <v>38.1</v>
      </c>
      <c r="E22" s="27">
        <v>24.6</v>
      </c>
      <c r="F22" s="27">
        <f>SUM(F16:F21)</f>
        <v>29.0944717</v>
      </c>
      <c r="G22" s="31">
        <f>(F22-D22)/D22*100</f>
        <v>-23.636557217847773</v>
      </c>
      <c r="H22" s="31">
        <f t="shared" si="1"/>
        <v>18.270210162601618</v>
      </c>
    </row>
    <row r="23" spans="1:9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9" x14ac:dyDescent="0.35">
      <c r="A24" s="6">
        <v>4.0999999999999996</v>
      </c>
      <c r="B24" s="6" t="s">
        <v>27</v>
      </c>
      <c r="C24" s="27"/>
      <c r="D24" s="27">
        <f>'up to May-19'!D24+'jun-18'!D24+'july-19'!D24</f>
        <v>3.333333333333333</v>
      </c>
      <c r="E24" s="27">
        <f>'UP TO JUNE-19'!E24+'july-19'!E24</f>
        <v>0.66609350000000001</v>
      </c>
      <c r="F24" s="27">
        <f>'UP TO JUNE-19'!F24+'july-19'!F24</f>
        <v>2.0613630000000001</v>
      </c>
      <c r="G24" s="31">
        <f>(F24-D24)/D24*100</f>
        <v>-38.159109999999991</v>
      </c>
      <c r="H24" s="31">
        <f t="shared" ref="H24:H32" si="2">(F24-E24)/E24*100</f>
        <v>209.47051727722911</v>
      </c>
    </row>
    <row r="25" spans="1:9" x14ac:dyDescent="0.35">
      <c r="A25" s="6">
        <v>4.2</v>
      </c>
      <c r="B25" s="6" t="s">
        <v>28</v>
      </c>
      <c r="C25" s="27"/>
      <c r="D25" s="27">
        <f>'up to May-19'!D25+'jun-18'!D25+'july-19'!D25</f>
        <v>1.2490333333333334</v>
      </c>
      <c r="E25" s="27">
        <f>'UP TO JUNE-19'!E25+'july-19'!E25</f>
        <v>1.0516736999999998</v>
      </c>
      <c r="F25" s="27">
        <f>'UP TO JUNE-19'!F25+'july-19'!F25</f>
        <v>1.3089268000000001</v>
      </c>
      <c r="G25" s="7"/>
      <c r="H25" s="31">
        <f t="shared" si="2"/>
        <v>24.461303919647346</v>
      </c>
    </row>
    <row r="26" spans="1:9" x14ac:dyDescent="0.35">
      <c r="A26" s="6">
        <v>4.3</v>
      </c>
      <c r="B26" s="6" t="s">
        <v>4</v>
      </c>
      <c r="C26" s="27"/>
      <c r="D26" s="27">
        <f>'up to May-19'!D26+'jun-18'!D26+'july-19'!D26</f>
        <v>0</v>
      </c>
      <c r="E26" s="27">
        <f>'UP TO JUNE-19'!E26+'july-19'!E26</f>
        <v>0.19766220000000001</v>
      </c>
      <c r="F26" s="27">
        <f>'UP TO JUNE-19'!F26+'july-19'!F26</f>
        <v>1.1401E-2</v>
      </c>
      <c r="G26" s="6"/>
      <c r="H26" s="31">
        <f t="shared" si="2"/>
        <v>-94.232078768727661</v>
      </c>
    </row>
    <row r="27" spans="1:9" x14ac:dyDescent="0.35">
      <c r="A27" s="6">
        <v>4.4000000000000004</v>
      </c>
      <c r="B27" s="6" t="s">
        <v>29</v>
      </c>
      <c r="C27" s="27"/>
      <c r="D27" s="27">
        <f>'up to May-19'!D27+'jun-18'!D27+'july-19'!D27</f>
        <v>0</v>
      </c>
      <c r="E27" s="27">
        <f>'UP TO JUNE-19'!E27+'july-19'!E27</f>
        <v>1.3372E-3</v>
      </c>
      <c r="F27" s="27">
        <f>'UP TO JUNE-19'!F27+'july-19'!F27</f>
        <v>0</v>
      </c>
      <c r="G27" s="6"/>
      <c r="H27" s="31">
        <f t="shared" si="2"/>
        <v>-100</v>
      </c>
    </row>
    <row r="28" spans="1:9" x14ac:dyDescent="0.35">
      <c r="A28" s="6">
        <v>4.5</v>
      </c>
      <c r="B28" s="6" t="s">
        <v>64</v>
      </c>
      <c r="C28" s="1950"/>
      <c r="D28" s="27">
        <f>'up to May-19'!D28+'jun-18'!D28+'july-19'!D28</f>
        <v>0</v>
      </c>
      <c r="E28" s="27">
        <f>'UP TO JUNE-19'!E28+'july-19'!E28</f>
        <v>5.4548999999999995E-3</v>
      </c>
      <c r="F28" s="27">
        <f>'UP TO JUNE-19'!F28+'july-19'!F28</f>
        <v>0</v>
      </c>
      <c r="G28" s="1934"/>
      <c r="H28" s="31">
        <f t="shared" si="2"/>
        <v>-100</v>
      </c>
    </row>
    <row r="29" spans="1:9" x14ac:dyDescent="0.35">
      <c r="A29" s="6">
        <v>4.7</v>
      </c>
      <c r="B29" s="6" t="s">
        <v>68</v>
      </c>
      <c r="C29" s="1950"/>
      <c r="D29" s="27">
        <f>'up to May-19'!D29+'jun-18'!D29+'july-19'!D29</f>
        <v>0.27166666666666667</v>
      </c>
      <c r="E29" s="27">
        <f>'UP TO JUNE-19'!E29+'july-19'!E29</f>
        <v>0.13706800000000002</v>
      </c>
      <c r="F29" s="27">
        <f>'UP TO JUNE-19'!F29+'july-19'!F29</f>
        <v>0.68238659999999995</v>
      </c>
      <c r="G29" s="1934"/>
      <c r="H29" s="31">
        <f t="shared" si="2"/>
        <v>397.84530306125407</v>
      </c>
    </row>
    <row r="30" spans="1:9" hidden="1" x14ac:dyDescent="0.35">
      <c r="A30" s="6">
        <v>4.8</v>
      </c>
      <c r="B30" s="6" t="s">
        <v>31</v>
      </c>
      <c r="C30" s="21"/>
      <c r="D30" s="22"/>
      <c r="E30" s="27">
        <f>'UP TO JUNE-19'!E30+'july-19'!E30</f>
        <v>0</v>
      </c>
      <c r="F30" s="27">
        <f>'UP TO JUNE-19'!F30+'july-19'!F30</f>
        <v>0</v>
      </c>
      <c r="G30" s="6"/>
      <c r="H30" s="31" t="e">
        <f t="shared" si="2"/>
        <v>#DIV/0!</v>
      </c>
    </row>
    <row r="31" spans="1:9" x14ac:dyDescent="0.35">
      <c r="A31" s="6">
        <v>4.9000000000000004</v>
      </c>
      <c r="B31" s="6" t="s">
        <v>32</v>
      </c>
      <c r="C31" s="134"/>
      <c r="D31" s="27">
        <f>SUM(D24:D30)</f>
        <v>4.8540333333333328</v>
      </c>
      <c r="E31" s="27">
        <f>SUM(E24:E30)</f>
        <v>2.0592894999999998</v>
      </c>
      <c r="F31" s="27">
        <f>SUM(F24:F30)</f>
        <v>4.0640774000000004</v>
      </c>
      <c r="G31" s="31">
        <f t="shared" ref="G31:G36" si="3">(F31-D31)/D31*100</f>
        <v>-16.274217317557202</v>
      </c>
      <c r="H31" s="31">
        <f t="shared" si="2"/>
        <v>97.353378434649457</v>
      </c>
    </row>
    <row r="32" spans="1:9" ht="13.9" x14ac:dyDescent="0.4">
      <c r="A32" s="9">
        <v>5</v>
      </c>
      <c r="B32" s="9" t="s">
        <v>33</v>
      </c>
      <c r="C32" s="134">
        <f>C31+C22+C14+C10</f>
        <v>0</v>
      </c>
      <c r="D32" s="28">
        <f>D10+D14+D22+D31</f>
        <v>412.34403333333336</v>
      </c>
      <c r="E32" s="28">
        <f>E10+E14+E22+E31</f>
        <v>370.843039691</v>
      </c>
      <c r="F32" s="28">
        <f>F10+F14+F22+F31</f>
        <v>404.99854909999999</v>
      </c>
      <c r="G32" s="31">
        <f t="shared" si="3"/>
        <v>-1.7813969985095859</v>
      </c>
      <c r="H32" s="31">
        <f t="shared" si="2"/>
        <v>9.2102333745995644</v>
      </c>
    </row>
    <row r="33" spans="1:10" ht="14.25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</row>
    <row r="34" spans="1:10" x14ac:dyDescent="0.35">
      <c r="A34" s="6">
        <v>6.1</v>
      </c>
      <c r="B34" s="6" t="s">
        <v>16</v>
      </c>
      <c r="C34" s="6"/>
      <c r="D34" s="27">
        <f>'up to May-19'!D34+'jun-18'!D34+'july-19'!D34</f>
        <v>115</v>
      </c>
      <c r="E34" s="27">
        <f>'up to May-19'!E34+'jun-18'!E34+'july-19'!E34</f>
        <v>111.95</v>
      </c>
      <c r="F34" s="27">
        <v>115.96</v>
      </c>
      <c r="G34" s="31">
        <f t="shared" si="3"/>
        <v>0.83478260869564669</v>
      </c>
      <c r="H34" s="31">
        <f>(F34-E34)/E34*100</f>
        <v>3.5819562304600185</v>
      </c>
    </row>
    <row r="35" spans="1:10" x14ac:dyDescent="0.35">
      <c r="A35" s="6">
        <v>6.2</v>
      </c>
      <c r="B35" s="6" t="s">
        <v>15</v>
      </c>
      <c r="C35" s="6"/>
      <c r="D35" s="27">
        <f>'up to May-19'!D35+'jun-18'!D35+'july-19'!D35</f>
        <v>147.79999999999998</v>
      </c>
      <c r="E35" s="27">
        <f>'up to May-19'!E35+'jun-18'!E35+'july-19'!E35</f>
        <v>147.04000000000002</v>
      </c>
      <c r="F35" s="27">
        <v>146.81</v>
      </c>
      <c r="G35" s="31">
        <f t="shared" si="3"/>
        <v>-0.66982408660350534</v>
      </c>
      <c r="H35" s="31">
        <f>(F35-E35)/E35*100</f>
        <v>-0.15642002176279798</v>
      </c>
    </row>
    <row r="36" spans="1:10" x14ac:dyDescent="0.35">
      <c r="A36" s="6">
        <v>6.3</v>
      </c>
      <c r="B36" s="6" t="s">
        <v>34</v>
      </c>
      <c r="C36" s="6"/>
      <c r="D36" s="27">
        <f>SUM(D34:D35)</f>
        <v>262.79999999999995</v>
      </c>
      <c r="E36" s="27">
        <f>SUM(E34:E35)</f>
        <v>258.99</v>
      </c>
      <c r="F36" s="27">
        <f>SUM(F34:F35)</f>
        <v>262.77</v>
      </c>
      <c r="G36" s="31">
        <f t="shared" si="3"/>
        <v>-1.1415525114144872E-2</v>
      </c>
      <c r="H36" s="31">
        <f>(F36-E36)/E36*100</f>
        <v>1.4595158114212798</v>
      </c>
    </row>
    <row r="37" spans="1:10" ht="14.25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</row>
    <row r="38" spans="1:10" x14ac:dyDescent="0.35">
      <c r="A38" s="6">
        <v>7.1</v>
      </c>
      <c r="B38" s="6" t="s">
        <v>16</v>
      </c>
      <c r="C38" s="14"/>
      <c r="D38" s="15"/>
      <c r="E38" s="6">
        <v>28.26</v>
      </c>
      <c r="F38" s="6">
        <v>32.369999999999997</v>
      </c>
      <c r="G38" s="1925"/>
      <c r="H38" s="31">
        <f>(F38-E38)/E38*100</f>
        <v>14.543524416135867</v>
      </c>
      <c r="J38" s="5">
        <v>31432790</v>
      </c>
    </row>
    <row r="39" spans="1:10" x14ac:dyDescent="0.35">
      <c r="A39" s="6">
        <v>7.2</v>
      </c>
      <c r="B39" s="6" t="s">
        <v>15</v>
      </c>
      <c r="C39" s="16"/>
      <c r="D39" s="17"/>
      <c r="E39" s="6">
        <v>332.37</v>
      </c>
      <c r="F39" s="6">
        <v>314.32</v>
      </c>
      <c r="G39" s="1926"/>
      <c r="H39" s="31">
        <f>(F39-E39)/E39*100</f>
        <v>-5.4306947077052712</v>
      </c>
      <c r="J39" s="5">
        <f>J38/100000</f>
        <v>314.3279</v>
      </c>
    </row>
    <row r="40" spans="1:10" x14ac:dyDescent="0.35">
      <c r="A40" s="6">
        <v>7.3</v>
      </c>
      <c r="B40" s="6" t="s">
        <v>35</v>
      </c>
      <c r="C40" s="21"/>
      <c r="D40" s="22"/>
      <c r="E40" s="6">
        <f>SUM(E38:E39)</f>
        <v>360.63</v>
      </c>
      <c r="F40" s="6">
        <f>SUM(F38:F39)</f>
        <v>346.69</v>
      </c>
      <c r="G40" s="1927"/>
      <c r="H40" s="31">
        <f>(F40-E40)/E40*100</f>
        <v>-3.8654576712974507</v>
      </c>
    </row>
    <row r="41" spans="1:10" ht="14.25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10" x14ac:dyDescent="0.35">
      <c r="A42" s="6">
        <v>8.1</v>
      </c>
      <c r="B42" s="6" t="s">
        <v>41</v>
      </c>
      <c r="C42" s="6"/>
      <c r="D42" s="6">
        <v>250000</v>
      </c>
      <c r="E42" s="6">
        <v>113298</v>
      </c>
      <c r="F42" s="6">
        <v>127303</v>
      </c>
      <c r="G42" s="31">
        <f>(F42-D42)/D42*100</f>
        <v>-49.078800000000001</v>
      </c>
      <c r="H42" s="7">
        <f>(F42-E42)/E42*100</f>
        <v>12.361206729156738</v>
      </c>
    </row>
    <row r="43" spans="1:10" ht="14.25" x14ac:dyDescent="0.45">
      <c r="A43" s="9">
        <v>9</v>
      </c>
      <c r="B43" s="1931" t="s">
        <v>67</v>
      </c>
      <c r="C43" s="1932"/>
      <c r="D43" s="1932"/>
      <c r="E43" s="1932"/>
      <c r="F43" s="1932"/>
      <c r="G43" s="1932"/>
      <c r="H43" s="1933"/>
    </row>
    <row r="44" spans="1:10" x14ac:dyDescent="0.35">
      <c r="A44" s="6">
        <v>9.1</v>
      </c>
      <c r="B44" s="6" t="s">
        <v>36</v>
      </c>
      <c r="C44" s="14"/>
      <c r="D44" s="15"/>
      <c r="E44" s="27">
        <v>14.83</v>
      </c>
      <c r="F44" s="27">
        <v>20.12</v>
      </c>
      <c r="G44" s="1925"/>
      <c r="H44" s="31">
        <f>(F44-E44)/E44*100</f>
        <v>35.670937289278498</v>
      </c>
    </row>
    <row r="45" spans="1:10" x14ac:dyDescent="0.35">
      <c r="A45" s="6">
        <v>9.1999999999999993</v>
      </c>
      <c r="B45" s="6" t="s">
        <v>37</v>
      </c>
      <c r="C45" s="16"/>
      <c r="D45" s="17"/>
      <c r="E45" s="27">
        <v>230.46</v>
      </c>
      <c r="F45" s="27">
        <v>219.47</v>
      </c>
      <c r="G45" s="1926"/>
      <c r="H45" s="31">
        <f>(F45-E45)/E45*100</f>
        <v>-4.7687234227197814</v>
      </c>
    </row>
    <row r="46" spans="1:10" x14ac:dyDescent="0.35">
      <c r="A46" s="6">
        <v>9.3000000000000007</v>
      </c>
      <c r="B46" s="6" t="s">
        <v>38</v>
      </c>
      <c r="C46" s="21"/>
      <c r="D46" s="22"/>
      <c r="E46" s="27">
        <f>SUM(E44:E45)</f>
        <v>245.29000000000002</v>
      </c>
      <c r="F46" s="27">
        <f>SUM(F44:F45)</f>
        <v>239.59</v>
      </c>
      <c r="G46" s="1927"/>
      <c r="H46" s="31">
        <f>(F46-E46)/E46*100</f>
        <v>-2.3237800154918737</v>
      </c>
    </row>
    <row r="47" spans="1:10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0" x14ac:dyDescent="0.3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>(E48-F48)/F48*100</f>
        <v>#DIV/0!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>(E49-F49)/F49*100</f>
        <v>#DIV/0!</v>
      </c>
    </row>
    <row r="50" spans="1:8" x14ac:dyDescent="0.35">
      <c r="A50" s="6">
        <v>10.3</v>
      </c>
      <c r="B50" s="6" t="s">
        <v>0</v>
      </c>
      <c r="C50" s="21"/>
      <c r="D50" s="22"/>
      <c r="E50" s="6"/>
      <c r="F50" s="6">
        <f>SUM(F48:F49)</f>
        <v>0</v>
      </c>
      <c r="G50" s="1927"/>
      <c r="H50" s="7" t="e">
        <f>(E50-F50)/F50*100</f>
        <v>#DIV/0!</v>
      </c>
    </row>
  </sheetData>
  <mergeCells count="20">
    <mergeCell ref="C5:D5"/>
    <mergeCell ref="A1:H1"/>
    <mergeCell ref="A2:H2"/>
    <mergeCell ref="C3:D3"/>
    <mergeCell ref="E3:F3"/>
    <mergeCell ref="G3:H3"/>
    <mergeCell ref="B7:H7"/>
    <mergeCell ref="B11:H11"/>
    <mergeCell ref="B15:H15"/>
    <mergeCell ref="G48:G50"/>
    <mergeCell ref="B23:H23"/>
    <mergeCell ref="C28:C29"/>
    <mergeCell ref="G28:G29"/>
    <mergeCell ref="B33:H33"/>
    <mergeCell ref="B37:H37"/>
    <mergeCell ref="G38:G40"/>
    <mergeCell ref="B41:H41"/>
    <mergeCell ref="B43:H43"/>
    <mergeCell ref="G44:G46"/>
    <mergeCell ref="B47:H47"/>
  </mergeCells>
  <printOptions horizontalCentered="1" verticalCentered="1"/>
  <pageMargins left="0.11811023622047245" right="0.11811023622047245" top="0.15748031496062992" bottom="0.15748031496062992" header="0.31496062992125984" footer="0.31496062992125984"/>
  <pageSetup paperSize="9" scale="8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P69"/>
  <sheetViews>
    <sheetView workbookViewId="0">
      <selection activeCell="F21" sqref="F21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3" width="9.1328125" style="5" customWidth="1"/>
    <col min="4" max="4" width="9.265625" style="5" customWidth="1"/>
    <col min="5" max="5" width="12.3984375" style="5" customWidth="1"/>
    <col min="6" max="6" width="11" style="5" customWidth="1"/>
    <col min="7" max="7" width="8.59765625" style="5" customWidth="1"/>
    <col min="8" max="8" width="7.86328125" style="5" customWidth="1"/>
    <col min="9" max="9" width="9.1328125" style="5" customWidth="1"/>
    <col min="10" max="11" width="9.1328125" style="5"/>
    <col min="12" max="12" width="10.1328125" style="5" customWidth="1"/>
    <col min="13" max="16384" width="9.1328125" style="5"/>
  </cols>
  <sheetData>
    <row r="1" spans="1:14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4" ht="13.9" x14ac:dyDescent="0.4">
      <c r="A2" s="1938" t="s">
        <v>69</v>
      </c>
      <c r="B2" s="1938"/>
      <c r="C2" s="1938"/>
      <c r="D2" s="1938"/>
      <c r="E2" s="1938"/>
      <c r="F2" s="1938"/>
      <c r="G2" s="1938"/>
      <c r="H2" s="1938"/>
    </row>
    <row r="3" spans="1:14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14" ht="30.75" customHeight="1" x14ac:dyDescent="0.4">
      <c r="A4" s="6"/>
      <c r="B4" s="6"/>
      <c r="C4" s="33" t="s">
        <v>9</v>
      </c>
      <c r="D4" s="33" t="s">
        <v>44</v>
      </c>
      <c r="E4" s="33" t="s">
        <v>44</v>
      </c>
      <c r="F4" s="33" t="s">
        <v>44</v>
      </c>
      <c r="G4" s="25" t="s">
        <v>12</v>
      </c>
      <c r="H4" s="25" t="s">
        <v>13</v>
      </c>
    </row>
    <row r="5" spans="1:14" x14ac:dyDescent="0.35">
      <c r="A5" s="6"/>
      <c r="B5" s="6"/>
      <c r="C5" s="1934" t="s">
        <v>62</v>
      </c>
      <c r="D5" s="1934"/>
      <c r="E5" s="6" t="s">
        <v>66</v>
      </c>
      <c r="F5" s="6" t="s">
        <v>77</v>
      </c>
      <c r="G5" s="6"/>
      <c r="H5" s="6"/>
    </row>
    <row r="6" spans="1:14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14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  <c r="J7" s="5" t="s">
        <v>156</v>
      </c>
      <c r="L7" s="5" t="s">
        <v>157</v>
      </c>
    </row>
    <row r="8" spans="1:14" x14ac:dyDescent="0.35">
      <c r="A8" s="6">
        <v>1.1000000000000001</v>
      </c>
      <c r="B8" s="6" t="s">
        <v>16</v>
      </c>
      <c r="C8" s="6"/>
      <c r="D8" s="31">
        <v>1.92</v>
      </c>
      <c r="E8" s="27">
        <v>1.75</v>
      </c>
      <c r="F8" s="27">
        <v>1.75</v>
      </c>
      <c r="G8" s="31">
        <f>(F8-D8)/D8*100</f>
        <v>-8.8541666666666625</v>
      </c>
      <c r="H8" s="31">
        <f>(F8-E8)/E8*100</f>
        <v>0</v>
      </c>
      <c r="I8" s="5" t="s">
        <v>153</v>
      </c>
      <c r="J8" s="5" t="s">
        <v>152</v>
      </c>
      <c r="K8" s="5">
        <f>113513+100570+92287</f>
        <v>306370</v>
      </c>
      <c r="L8" s="5">
        <f>582640.13+522451.58+569848.86</f>
        <v>1674940.5699999998</v>
      </c>
      <c r="M8" s="5">
        <f>K8/100000</f>
        <v>3.0636999999999999</v>
      </c>
      <c r="N8" s="5">
        <f>L8/10000000</f>
        <v>0.16749405699999997</v>
      </c>
    </row>
    <row r="9" spans="1:14" x14ac:dyDescent="0.35">
      <c r="A9" s="6">
        <v>1.2</v>
      </c>
      <c r="B9" s="6" t="s">
        <v>15</v>
      </c>
      <c r="C9" s="6"/>
      <c r="D9" s="31">
        <v>76.040000000000006</v>
      </c>
      <c r="E9" s="27">
        <v>69.180000000000007</v>
      </c>
      <c r="F9" s="27">
        <v>63.12</v>
      </c>
      <c r="G9" s="31">
        <f>(F9-D9)/D9*100</f>
        <v>-16.991057338243039</v>
      </c>
      <c r="H9" s="31">
        <f>(F9-E9)/E9*100</f>
        <v>-8.7597571552471933</v>
      </c>
      <c r="J9" s="5" t="s">
        <v>154</v>
      </c>
      <c r="K9" s="5">
        <f>63564+68850+69481</f>
        <v>201895</v>
      </c>
      <c r="L9" s="5">
        <f>4043019.54+4036215.44+3942175.22</f>
        <v>12021410.200000001</v>
      </c>
      <c r="M9" s="5">
        <f>K9/100000</f>
        <v>2.0189499999999998</v>
      </c>
      <c r="N9" s="5">
        <f>L9/10000000</f>
        <v>1.20214102</v>
      </c>
    </row>
    <row r="10" spans="1:14" x14ac:dyDescent="0.35">
      <c r="A10" s="6">
        <v>1.3</v>
      </c>
      <c r="B10" s="6" t="s">
        <v>17</v>
      </c>
      <c r="C10" s="6">
        <f>C8+C9</f>
        <v>0</v>
      </c>
      <c r="D10" s="31">
        <f>SUM(D8:D9)</f>
        <v>77.960000000000008</v>
      </c>
      <c r="E10" s="27">
        <f>SUM(E8:E9)</f>
        <v>70.930000000000007</v>
      </c>
      <c r="F10" s="27">
        <f>SUM(F8:F9)</f>
        <v>64.87</v>
      </c>
      <c r="G10" s="31">
        <f>(F10-D10)/D10*100</f>
        <v>-16.790661877886098</v>
      </c>
      <c r="H10" s="31">
        <f>(F10-E10)/E10*100</f>
        <v>-8.5436345692936726</v>
      </c>
      <c r="J10" s="5" t="s">
        <v>155</v>
      </c>
      <c r="M10" s="5">
        <f>K10/100000</f>
        <v>0</v>
      </c>
      <c r="N10" s="5">
        <f>L10/10000000</f>
        <v>0</v>
      </c>
    </row>
    <row r="11" spans="1:14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  <c r="K11" s="5">
        <f>K9+K10</f>
        <v>201895</v>
      </c>
      <c r="L11" s="5">
        <f>L9+L10</f>
        <v>12021410.200000001</v>
      </c>
      <c r="M11" s="5">
        <f>M9+M10</f>
        <v>2.0189499999999998</v>
      </c>
      <c r="N11" s="5">
        <f>N9+N10</f>
        <v>1.20214102</v>
      </c>
    </row>
    <row r="12" spans="1:14" x14ac:dyDescent="0.35">
      <c r="A12" s="6">
        <v>2.1</v>
      </c>
      <c r="B12" s="6" t="s">
        <v>19</v>
      </c>
      <c r="C12" s="1948"/>
      <c r="D12" s="52">
        <v>15.58</v>
      </c>
      <c r="E12" s="27">
        <v>14.31</v>
      </c>
      <c r="F12" s="27">
        <v>20.66</v>
      </c>
      <c r="G12" s="7">
        <f>(F12-D12)/D12*100</f>
        <v>32.605905006418482</v>
      </c>
      <c r="H12" s="31">
        <f>(F12-E12)/E12*100</f>
        <v>44.374563242487767</v>
      </c>
      <c r="K12" s="5">
        <f>K11+K8</f>
        <v>508265</v>
      </c>
      <c r="L12" s="5">
        <f>L11+L8</f>
        <v>13696350.770000001</v>
      </c>
      <c r="M12" s="5">
        <f>M11+M8</f>
        <v>5.0826499999999992</v>
      </c>
      <c r="N12" s="5">
        <f>N11+N8</f>
        <v>1.3696350769999999</v>
      </c>
    </row>
    <row r="13" spans="1:14" x14ac:dyDescent="0.3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7" t="e">
        <f t="shared" ref="H13:H42" si="0">(F13-E13)/E13*100</f>
        <v>#DIV/0!</v>
      </c>
    </row>
    <row r="14" spans="1:14" x14ac:dyDescent="0.35">
      <c r="A14" s="6">
        <v>2.2999999999999998</v>
      </c>
      <c r="B14" s="6" t="s">
        <v>21</v>
      </c>
      <c r="C14" s="6"/>
      <c r="D14" s="27">
        <f>SUM(D12:D13)</f>
        <v>15.58</v>
      </c>
      <c r="E14" s="27">
        <f>SUM(E12:E13)</f>
        <v>14.31</v>
      </c>
      <c r="F14" s="27">
        <f>SUM(F12:F13)</f>
        <v>20.66</v>
      </c>
      <c r="G14" s="7">
        <f>(F14-D14)/D14*100</f>
        <v>32.605905006418482</v>
      </c>
      <c r="H14" s="7">
        <f t="shared" si="0"/>
        <v>44.374563242487767</v>
      </c>
    </row>
    <row r="15" spans="1:14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14" x14ac:dyDescent="0.35">
      <c r="A16" s="6">
        <v>3.1</v>
      </c>
      <c r="B16" s="6" t="s">
        <v>2</v>
      </c>
      <c r="C16" s="6"/>
      <c r="D16" s="27">
        <v>0.89</v>
      </c>
      <c r="E16" s="34">
        <v>1.1499999999999999</v>
      </c>
      <c r="F16" s="34">
        <v>1.28</v>
      </c>
      <c r="G16" s="7">
        <f>(F16-D16)/D16*100</f>
        <v>43.820224719101127</v>
      </c>
      <c r="H16" s="31">
        <f>(F16-E16)/E16*100</f>
        <v>11.304347826086968</v>
      </c>
    </row>
    <row r="17" spans="1:16" x14ac:dyDescent="0.35">
      <c r="A17" s="6">
        <v>3.2</v>
      </c>
      <c r="B17" s="6" t="s">
        <v>23</v>
      </c>
      <c r="C17" s="20"/>
      <c r="D17" s="193">
        <v>2.48</v>
      </c>
      <c r="E17" s="27">
        <v>2.08</v>
      </c>
      <c r="F17" s="27">
        <v>1.89</v>
      </c>
      <c r="G17" s="7">
        <f>(F17-D17)/D17*100</f>
        <v>-23.790322580645164</v>
      </c>
      <c r="H17" s="7">
        <f>(F17-E17)/E17*100</f>
        <v>-9.1346153846153921</v>
      </c>
    </row>
    <row r="18" spans="1:16" x14ac:dyDescent="0.35">
      <c r="A18" s="6">
        <v>3.3</v>
      </c>
      <c r="B18" s="6" t="s">
        <v>1</v>
      </c>
      <c r="C18" s="1936"/>
      <c r="D18" s="194">
        <v>0.33</v>
      </c>
      <c r="E18" s="27">
        <v>0.15</v>
      </c>
      <c r="F18" s="27">
        <v>0.1</v>
      </c>
      <c r="G18" s="7">
        <f>(F18-D18)/D18*100</f>
        <v>-69.696969696969703</v>
      </c>
      <c r="H18" s="7">
        <f t="shared" si="0"/>
        <v>-33.333333333333329</v>
      </c>
    </row>
    <row r="19" spans="1:16" x14ac:dyDescent="0.35">
      <c r="A19" s="6">
        <v>3.4</v>
      </c>
      <c r="B19" s="6" t="s">
        <v>24</v>
      </c>
      <c r="C19" s="1936"/>
      <c r="D19" s="129"/>
      <c r="E19" s="27">
        <f>'[2]AUG-19'!$AQ$299</f>
        <v>0.26474300000000001</v>
      </c>
      <c r="F19" s="27">
        <v>0.22</v>
      </c>
      <c r="G19" s="10"/>
      <c r="H19" s="7">
        <f>(F19-E19)/E19*100</f>
        <v>-16.900541279656121</v>
      </c>
    </row>
    <row r="20" spans="1:16" ht="30.75" customHeight="1" x14ac:dyDescent="0.35">
      <c r="A20" s="6">
        <v>3.5</v>
      </c>
      <c r="B20" s="24" t="s">
        <v>25</v>
      </c>
      <c r="C20" s="1936"/>
      <c r="D20" s="129"/>
      <c r="E20" s="6">
        <v>0</v>
      </c>
      <c r="F20" s="6">
        <v>0</v>
      </c>
      <c r="G20" s="10"/>
      <c r="H20" s="7" t="e">
        <f>(F20-E20)/E20*100</f>
        <v>#DIV/0!</v>
      </c>
    </row>
    <row r="21" spans="1:16" ht="35.25" customHeight="1" x14ac:dyDescent="0.35">
      <c r="A21" s="6">
        <v>3.6</v>
      </c>
      <c r="B21" s="23" t="s">
        <v>26</v>
      </c>
      <c r="C21" s="1937"/>
      <c r="D21" s="130"/>
      <c r="E21" s="27">
        <f>'[2]AUG-19'!$L$40</f>
        <v>2.4249013000000001</v>
      </c>
      <c r="F21" s="27">
        <f>'[2]AUG-19'!$K$40</f>
        <v>2.9302381</v>
      </c>
      <c r="G21" s="45"/>
      <c r="H21" s="7">
        <f>(F21-E21)/E21*100</f>
        <v>20.839479116119065</v>
      </c>
    </row>
    <row r="22" spans="1:16" ht="34.5" customHeight="1" x14ac:dyDescent="0.35">
      <c r="A22" s="6">
        <v>3.7</v>
      </c>
      <c r="B22" s="23" t="s">
        <v>58</v>
      </c>
      <c r="C22" s="6"/>
      <c r="D22" s="27">
        <v>9.16</v>
      </c>
      <c r="E22" s="27">
        <v>5.2</v>
      </c>
      <c r="F22" s="27">
        <v>6.94</v>
      </c>
      <c r="G22" s="7">
        <f>(F22-D22)/D22*100</f>
        <v>-24.235807860262007</v>
      </c>
      <c r="H22" s="7">
        <f t="shared" si="0"/>
        <v>33.461538461538467</v>
      </c>
    </row>
    <row r="23" spans="1:16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16" x14ac:dyDescent="0.35">
      <c r="A24" s="6">
        <v>4.0999999999999996</v>
      </c>
      <c r="B24" s="6" t="s">
        <v>27</v>
      </c>
      <c r="C24" s="6"/>
      <c r="D24" s="6">
        <v>0.83333333333333326</v>
      </c>
      <c r="E24" s="30">
        <f>3975000/10000000</f>
        <v>0.39750000000000002</v>
      </c>
      <c r="F24" s="30">
        <f>5282486/10000000</f>
        <v>0.52824859999999996</v>
      </c>
      <c r="G24" s="7">
        <f>(F24-D24)/D24*100</f>
        <v>-36.610168000000002</v>
      </c>
      <c r="H24" s="7">
        <f t="shared" si="0"/>
        <v>32.89272955974841</v>
      </c>
      <c r="I24" s="10"/>
      <c r="L24" s="11"/>
      <c r="M24" s="12"/>
    </row>
    <row r="25" spans="1:16" x14ac:dyDescent="0.35">
      <c r="A25" s="6">
        <v>4.2</v>
      </c>
      <c r="B25" s="6" t="s">
        <v>28</v>
      </c>
      <c r="C25" s="6"/>
      <c r="D25" s="12">
        <v>0.31225833333333336</v>
      </c>
      <c r="E25" s="30">
        <f>2493143/10000000</f>
        <v>0.24931429999999999</v>
      </c>
      <c r="F25" s="30">
        <f>762688/10000000</f>
        <v>7.6268799999999998E-2</v>
      </c>
      <c r="G25" s="7">
        <f>(E25-D25)/D25*100</f>
        <v>-20.157679271970334</v>
      </c>
      <c r="H25" s="7">
        <f t="shared" si="0"/>
        <v>-69.408573836318254</v>
      </c>
      <c r="I25" s="13"/>
      <c r="L25" s="11"/>
      <c r="M25" s="12"/>
    </row>
    <row r="26" spans="1:16" x14ac:dyDescent="0.35">
      <c r="A26" s="6">
        <v>4.3</v>
      </c>
      <c r="B26" s="6" t="s">
        <v>4</v>
      </c>
      <c r="C26" s="1948"/>
      <c r="D26" s="6">
        <v>0</v>
      </c>
      <c r="E26" s="30">
        <f>26595/10000000</f>
        <v>2.6595E-3</v>
      </c>
      <c r="F26" s="30">
        <v>0</v>
      </c>
      <c r="G26" s="44"/>
      <c r="H26" s="7">
        <f t="shared" si="0"/>
        <v>-100</v>
      </c>
      <c r="I26" s="12"/>
      <c r="L26" s="11"/>
      <c r="M26" s="12"/>
    </row>
    <row r="27" spans="1:16" x14ac:dyDescent="0.35">
      <c r="A27" s="6">
        <v>4.4000000000000004</v>
      </c>
      <c r="B27" s="6" t="s">
        <v>29</v>
      </c>
      <c r="C27" s="1947"/>
      <c r="D27" s="6"/>
      <c r="E27" s="30">
        <v>0</v>
      </c>
      <c r="F27" s="30">
        <v>0</v>
      </c>
      <c r="G27" s="10"/>
      <c r="H27" s="7"/>
      <c r="L27" s="11"/>
      <c r="M27" s="12"/>
    </row>
    <row r="28" spans="1:16" x14ac:dyDescent="0.35">
      <c r="A28" s="6">
        <v>4.5</v>
      </c>
      <c r="B28" s="6" t="s">
        <v>30</v>
      </c>
      <c r="C28" s="1947"/>
      <c r="D28" s="177"/>
      <c r="E28" s="30">
        <f>25894/10000000</f>
        <v>2.5893999999999999E-3</v>
      </c>
      <c r="F28" s="30">
        <f>0</f>
        <v>0</v>
      </c>
      <c r="G28" s="10"/>
      <c r="H28" s="7"/>
      <c r="I28" s="13"/>
      <c r="L28" s="11"/>
      <c r="M28" s="12"/>
      <c r="O28" s="6"/>
      <c r="P28" s="6"/>
    </row>
    <row r="29" spans="1:16" x14ac:dyDescent="0.35">
      <c r="A29" s="6">
        <v>4.7</v>
      </c>
      <c r="B29" s="6" t="s">
        <v>3</v>
      </c>
      <c r="C29" s="1947"/>
      <c r="D29" s="178">
        <v>0.13583333333333333</v>
      </c>
      <c r="E29" s="13">
        <v>8.6464600000000003E-2</v>
      </c>
      <c r="F29" s="30">
        <v>4.5285300000000001E-2</v>
      </c>
      <c r="G29" s="7">
        <f>(E29-D29)/D29*100</f>
        <v>-36.345079754601223</v>
      </c>
      <c r="H29" s="7"/>
      <c r="I29" s="12"/>
      <c r="J29" s="5">
        <f>864646/10000000</f>
        <v>8.6464600000000003E-2</v>
      </c>
      <c r="K29" s="5">
        <f>871432+502648+19706+24200</f>
        <v>1417986</v>
      </c>
      <c r="L29" s="11"/>
      <c r="M29" s="12"/>
    </row>
    <row r="30" spans="1:16" ht="14.25" hidden="1" customHeight="1" x14ac:dyDescent="0.35">
      <c r="A30" s="6">
        <v>4.8</v>
      </c>
      <c r="B30" s="6" t="s">
        <v>31</v>
      </c>
      <c r="C30" s="1949"/>
      <c r="D30" s="22"/>
      <c r="E30" s="6"/>
      <c r="F30" s="6"/>
      <c r="G30" s="45"/>
      <c r="H30" s="7"/>
      <c r="L30" s="11"/>
      <c r="M30" s="12"/>
    </row>
    <row r="31" spans="1:16" x14ac:dyDescent="0.35">
      <c r="A31" s="6">
        <v>4.9000000000000004</v>
      </c>
      <c r="B31" s="6" t="s">
        <v>32</v>
      </c>
      <c r="C31" s="6"/>
      <c r="D31" s="27">
        <f>SUM(D24:D30)</f>
        <v>1.2814249999999998</v>
      </c>
      <c r="E31" s="27">
        <f>SUM(E24:E30)</f>
        <v>0.73852779999999996</v>
      </c>
      <c r="F31" s="27">
        <f>SUM(F24:F30)</f>
        <v>0.64980269999999996</v>
      </c>
      <c r="G31" s="7">
        <f t="shared" ref="G31:G36" si="1">(F31-D31)/D31*100</f>
        <v>-49.290617866827944</v>
      </c>
      <c r="H31" s="7">
        <f t="shared" si="0"/>
        <v>-12.013779305261089</v>
      </c>
      <c r="K31" s="5">
        <f>K29/10000000</f>
        <v>0.1417986</v>
      </c>
      <c r="L31" s="11"/>
    </row>
    <row r="32" spans="1:16" ht="14.25" thickBot="1" x14ac:dyDescent="0.45">
      <c r="A32" s="9">
        <v>5</v>
      </c>
      <c r="B32" s="9" t="s">
        <v>33</v>
      </c>
      <c r="C32" s="9">
        <f>C10+C14+C22+C31</f>
        <v>0</v>
      </c>
      <c r="D32" s="36">
        <f>D10+D14+D22+D31</f>
        <v>103.981425</v>
      </c>
      <c r="E32" s="48">
        <f>E10+E14+E22+E31</f>
        <v>91.178527800000012</v>
      </c>
      <c r="F32" s="48">
        <f>F10+F14+F22+F31</f>
        <v>93.119802699999994</v>
      </c>
      <c r="G32" s="7">
        <f t="shared" si="1"/>
        <v>-10.445733264378717</v>
      </c>
      <c r="H32" s="31">
        <f t="shared" si="0"/>
        <v>2.1290921742651583</v>
      </c>
    </row>
    <row r="33" spans="1:14" ht="14.65" thickBot="1" x14ac:dyDescent="0.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  <c r="L33" s="2"/>
      <c r="M33" s="2"/>
      <c r="N33" s="2"/>
    </row>
    <row r="34" spans="1:14" ht="13.9" thickBot="1" x14ac:dyDescent="0.4">
      <c r="A34" s="6">
        <v>6.1</v>
      </c>
      <c r="B34" s="6" t="s">
        <v>16</v>
      </c>
      <c r="C34" s="6"/>
      <c r="D34" s="27">
        <v>32.6</v>
      </c>
      <c r="E34" s="27">
        <v>31.68</v>
      </c>
      <c r="F34" s="27">
        <v>31.46</v>
      </c>
      <c r="G34" s="7">
        <f>(F34-D34)/D34*100</f>
        <v>-3.4969325153374244</v>
      </c>
      <c r="H34" s="7">
        <f t="shared" si="0"/>
        <v>-0.69444444444444087</v>
      </c>
      <c r="K34" s="3"/>
      <c r="L34" s="4"/>
      <c r="M34" s="4"/>
      <c r="N34" s="4"/>
    </row>
    <row r="35" spans="1:14" ht="13.9" thickBot="1" x14ac:dyDescent="0.4">
      <c r="A35" s="6">
        <v>6.2</v>
      </c>
      <c r="B35" s="6" t="s">
        <v>15</v>
      </c>
      <c r="C35" s="6"/>
      <c r="D35" s="27">
        <v>37.700000000000003</v>
      </c>
      <c r="E35" s="27">
        <v>37.5</v>
      </c>
      <c r="F35" s="27">
        <v>27.97</v>
      </c>
      <c r="G35" s="7">
        <f t="shared" si="1"/>
        <v>-25.809018567639264</v>
      </c>
      <c r="H35" s="7">
        <f t="shared" si="0"/>
        <v>-25.413333333333338</v>
      </c>
      <c r="K35" s="3"/>
      <c r="L35" s="4"/>
      <c r="M35" s="4"/>
      <c r="N35" s="4"/>
    </row>
    <row r="36" spans="1:14" ht="13.9" thickBot="1" x14ac:dyDescent="0.4">
      <c r="A36" s="6">
        <v>6.3</v>
      </c>
      <c r="B36" s="6" t="s">
        <v>34</v>
      </c>
      <c r="C36" s="6">
        <f>SUM(C34:C35)</f>
        <v>0</v>
      </c>
      <c r="D36" s="27">
        <f>SUM(D34:D35)</f>
        <v>70.300000000000011</v>
      </c>
      <c r="E36" s="27">
        <f>SUM(E34:E35)</f>
        <v>69.180000000000007</v>
      </c>
      <c r="F36" s="27">
        <f>SUM(F34:F35)</f>
        <v>59.43</v>
      </c>
      <c r="G36" s="7">
        <f t="shared" si="1"/>
        <v>-15.462304409672845</v>
      </c>
      <c r="H36" s="7">
        <f t="shared" si="0"/>
        <v>-14.093668690372949</v>
      </c>
      <c r="K36" s="3"/>
      <c r="L36" s="4"/>
      <c r="M36" s="4"/>
      <c r="N36" s="4"/>
    </row>
    <row r="37" spans="1:14" ht="14.65" thickBot="1" x14ac:dyDescent="0.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  <c r="M37" s="4"/>
    </row>
    <row r="38" spans="1:14" ht="13.9" thickBot="1" x14ac:dyDescent="0.4">
      <c r="A38" s="6">
        <v>7.1</v>
      </c>
      <c r="B38" s="6" t="s">
        <v>16</v>
      </c>
      <c r="C38" s="14"/>
      <c r="D38" s="15"/>
      <c r="E38" s="6">
        <v>22</v>
      </c>
      <c r="F38" s="6">
        <v>21.8</v>
      </c>
      <c r="G38" s="7"/>
      <c r="H38" s="7">
        <f>(F38-E38)/E38*100</f>
        <v>-0.90909090909090595</v>
      </c>
      <c r="M38" s="4"/>
    </row>
    <row r="39" spans="1:14" ht="13.9" thickBot="1" x14ac:dyDescent="0.4">
      <c r="A39" s="6">
        <v>7.2</v>
      </c>
      <c r="B39" s="6" t="s">
        <v>15</v>
      </c>
      <c r="C39" s="16"/>
      <c r="D39" s="17"/>
      <c r="E39" s="6">
        <v>235.69</v>
      </c>
      <c r="F39" s="6">
        <v>177.98</v>
      </c>
      <c r="G39" s="7"/>
      <c r="H39" s="7">
        <f t="shared" si="0"/>
        <v>-24.485553056981633</v>
      </c>
    </row>
    <row r="40" spans="1:14" ht="13.9" thickBot="1" x14ac:dyDescent="0.4">
      <c r="A40" s="6">
        <v>7.3</v>
      </c>
      <c r="B40" s="6" t="s">
        <v>35</v>
      </c>
      <c r="C40" s="21"/>
      <c r="D40" s="22">
        <f>SUM(D38:D39)</f>
        <v>0</v>
      </c>
      <c r="E40" s="6">
        <f>SUM(E38:E39)</f>
        <v>257.69</v>
      </c>
      <c r="F40" s="6">
        <f>SUM(F38:F39)</f>
        <v>199.78</v>
      </c>
      <c r="G40" s="7"/>
      <c r="H40" s="7">
        <f t="shared" si="0"/>
        <v>-22.472738561837865</v>
      </c>
      <c r="L40" s="1"/>
    </row>
    <row r="41" spans="1:14" ht="14.65" thickBot="1" x14ac:dyDescent="0.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  <c r="L41" s="3"/>
    </row>
    <row r="42" spans="1:14" ht="13.9" thickBot="1" x14ac:dyDescent="0.4">
      <c r="A42" s="6">
        <v>8.1</v>
      </c>
      <c r="B42" s="6" t="s">
        <v>41</v>
      </c>
      <c r="C42" s="6"/>
      <c r="D42" s="6">
        <v>44000</v>
      </c>
      <c r="E42" s="32">
        <v>27073</v>
      </c>
      <c r="F42" s="32">
        <v>26325</v>
      </c>
      <c r="G42" s="7">
        <f>(F42-D42)/D42*100</f>
        <v>-40.170454545454547</v>
      </c>
      <c r="H42" s="7">
        <f t="shared" si="0"/>
        <v>-2.7629003065785098</v>
      </c>
      <c r="L42" s="3"/>
    </row>
    <row r="43" spans="1:14" ht="14.65" thickBot="1" x14ac:dyDescent="0.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  <c r="L43" s="3"/>
    </row>
    <row r="44" spans="1:14" ht="13.9" thickBot="1" x14ac:dyDescent="0.4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  <c r="L44" s="3"/>
    </row>
    <row r="45" spans="1:14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>(F45-E45)/E45*100</f>
        <v>#DIV/0!</v>
      </c>
    </row>
    <row r="46" spans="1:14" x14ac:dyDescent="0.35">
      <c r="A46" s="6">
        <v>9.3000000000000007</v>
      </c>
      <c r="B46" s="6" t="s">
        <v>38</v>
      </c>
      <c r="C46" s="21"/>
      <c r="D46" s="22"/>
      <c r="E46" s="27"/>
      <c r="F46" s="27"/>
      <c r="G46" s="1927"/>
      <c r="H46" s="7" t="e">
        <f>(F46-E46)/E46*100</f>
        <v>#DIV/0!</v>
      </c>
    </row>
    <row r="47" spans="1:14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4" x14ac:dyDescent="0.3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>(E48-F48)/F48*100</f>
        <v>#DIV/0!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>(E49-F49)/F49*100</f>
        <v>#DIV/0!</v>
      </c>
    </row>
    <row r="50" spans="1:8" x14ac:dyDescent="0.35">
      <c r="A50" s="6">
        <v>10.3</v>
      </c>
      <c r="B50" s="6" t="s">
        <v>0</v>
      </c>
      <c r="C50" s="21"/>
      <c r="D50" s="22"/>
      <c r="E50" s="6">
        <f>SUM(E48:E49)</f>
        <v>0</v>
      </c>
      <c r="F50" s="6">
        <f>SUM(F48:F49)</f>
        <v>0</v>
      </c>
      <c r="G50" s="1927"/>
      <c r="H50" s="7" t="e">
        <f>(E50-F50)/F50*100</f>
        <v>#DIV/0!</v>
      </c>
    </row>
    <row r="53" spans="1:8" x14ac:dyDescent="0.35">
      <c r="C53" s="5">
        <f>C42/12</f>
        <v>0</v>
      </c>
    </row>
    <row r="63" spans="1:8" x14ac:dyDescent="0.35">
      <c r="E63" s="5">
        <v>2016</v>
      </c>
      <c r="F63" s="5">
        <v>2015</v>
      </c>
    </row>
    <row r="64" spans="1:8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0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G48:G50"/>
    <mergeCell ref="B23:H23"/>
    <mergeCell ref="C26:C30"/>
    <mergeCell ref="B33:H33"/>
    <mergeCell ref="B37:H37"/>
    <mergeCell ref="B41:H41"/>
    <mergeCell ref="B43:H43"/>
    <mergeCell ref="G44:G46"/>
    <mergeCell ref="B47:H47"/>
  </mergeCells>
  <pageMargins left="0.70866141732283472" right="0.70866141732283472" top="0.74803149606299213" bottom="0.74803149606299213" header="0.31496062992125984" footer="0.31496062992125984"/>
  <pageSetup scale="8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50"/>
  <sheetViews>
    <sheetView workbookViewId="0">
      <selection activeCell="E18" sqref="E18"/>
    </sheetView>
  </sheetViews>
  <sheetFormatPr defaultRowHeight="14.25" x14ac:dyDescent="0.45"/>
  <cols>
    <col min="2" max="2" width="33.73046875" customWidth="1"/>
    <col min="4" max="5" width="9.59765625" customWidth="1"/>
    <col min="7" max="7" width="7.73046875" customWidth="1"/>
    <col min="8" max="8" width="7.86328125" customWidth="1"/>
  </cols>
  <sheetData>
    <row r="1" spans="1:8" x14ac:dyDescent="0.45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8" x14ac:dyDescent="0.45">
      <c r="A2" s="1938" t="s">
        <v>69</v>
      </c>
      <c r="B2" s="1938"/>
      <c r="C2" s="1938"/>
      <c r="D2" s="1938"/>
      <c r="E2" s="1938"/>
      <c r="F2" s="1938"/>
      <c r="G2" s="1938"/>
      <c r="H2" s="1938"/>
    </row>
    <row r="3" spans="1:8" x14ac:dyDescent="0.45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8" ht="28.15" x14ac:dyDescent="0.45">
      <c r="A4" s="6"/>
      <c r="B4" s="6"/>
      <c r="C4" s="33" t="s">
        <v>9</v>
      </c>
      <c r="D4" s="33" t="s">
        <v>44</v>
      </c>
      <c r="E4" s="33" t="s">
        <v>44</v>
      </c>
      <c r="F4" s="33" t="s">
        <v>44</v>
      </c>
      <c r="G4" s="25" t="s">
        <v>12</v>
      </c>
      <c r="H4" s="25" t="s">
        <v>13</v>
      </c>
    </row>
    <row r="5" spans="1:8" x14ac:dyDescent="0.45">
      <c r="A5" s="6"/>
      <c r="B5" s="6"/>
      <c r="C5" s="1934" t="s">
        <v>62</v>
      </c>
      <c r="D5" s="1934"/>
      <c r="E5" s="6" t="s">
        <v>66</v>
      </c>
      <c r="F5" s="6" t="s">
        <v>77</v>
      </c>
      <c r="G5" s="6"/>
      <c r="H5" s="6"/>
    </row>
    <row r="6" spans="1:8" x14ac:dyDescent="0.45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8" x14ac:dyDescent="0.45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8" x14ac:dyDescent="0.45">
      <c r="A8" s="6">
        <v>1.1000000000000001</v>
      </c>
      <c r="B8" s="6" t="s">
        <v>16</v>
      </c>
      <c r="C8" s="6"/>
      <c r="D8" s="31">
        <f>'UP TO JULY-19'!D8+'aug-18'!D8</f>
        <v>9.07</v>
      </c>
      <c r="E8" s="27">
        <f>'UP TO JULY-19'!E8+'aug-18'!E8</f>
        <v>8.2437501910000002</v>
      </c>
      <c r="F8" s="27">
        <f>'UP TO JULY-19'!F8+'aug-18'!F8</f>
        <v>8.5500000000000007</v>
      </c>
      <c r="G8" s="31">
        <f>(F8-D8)/D8*100</f>
        <v>-5.7331863285556732</v>
      </c>
      <c r="H8" s="31">
        <f>(F8-E8)/E8*100</f>
        <v>3.7149331542620554</v>
      </c>
    </row>
    <row r="9" spans="1:8" x14ac:dyDescent="0.45">
      <c r="A9" s="6">
        <v>1.2</v>
      </c>
      <c r="B9" s="6" t="s">
        <v>15</v>
      </c>
      <c r="C9" s="6"/>
      <c r="D9" s="31">
        <f>'UP TO JULY-19'!D9+'aug-18'!D9</f>
        <v>375.75000000000006</v>
      </c>
      <c r="E9" s="31">
        <f>'UP TO JULY-19'!E9+'aug-18'!E9</f>
        <v>349.36</v>
      </c>
      <c r="F9" s="31">
        <f>'UP TO JULY-19'!F9+'aug-18'!F9</f>
        <v>368.32</v>
      </c>
      <c r="G9" s="31">
        <f>(F9-D9)/D9*100</f>
        <v>-1.9773785761809881</v>
      </c>
      <c r="H9" s="31">
        <f>(F9-E9)/E9*100</f>
        <v>5.42706663613464</v>
      </c>
    </row>
    <row r="10" spans="1:8" x14ac:dyDescent="0.45">
      <c r="A10" s="6">
        <v>1.3</v>
      </c>
      <c r="B10" s="6" t="s">
        <v>17</v>
      </c>
      <c r="C10" s="6">
        <f>C8+C9</f>
        <v>0</v>
      </c>
      <c r="D10" s="27">
        <f>SUM(D8:D9)</f>
        <v>384.82000000000005</v>
      </c>
      <c r="E10" s="27">
        <f>SUM(E8:E9)</f>
        <v>357.60375019100002</v>
      </c>
      <c r="F10" s="27">
        <f>SUM(F8:F9)</f>
        <v>376.87</v>
      </c>
      <c r="G10" s="31">
        <f>(F10-D10)/D10*100</f>
        <v>-2.0659009406995592</v>
      </c>
      <c r="H10" s="31">
        <f>(F10-E10)/E10*100</f>
        <v>5.3875972493883735</v>
      </c>
    </row>
    <row r="11" spans="1:8" x14ac:dyDescent="0.45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8" x14ac:dyDescent="0.45">
      <c r="A12" s="6">
        <v>2.1</v>
      </c>
      <c r="B12" s="6" t="s">
        <v>19</v>
      </c>
      <c r="C12" s="1948"/>
      <c r="D12" s="31">
        <f>'UP TO JULY-19'!D12+'aug-18'!D12</f>
        <v>78.11</v>
      </c>
      <c r="E12" s="31">
        <f>'UP TO JULY-19'!E12+'aug-18'!E12</f>
        <v>71.819999999999993</v>
      </c>
      <c r="F12" s="31">
        <f>'UP TO JULY-19'!F12+'aug-18'!F12</f>
        <v>80.5</v>
      </c>
      <c r="G12" s="7">
        <f>(F12-D12)/D12*100</f>
        <v>3.0597874791960065</v>
      </c>
      <c r="H12" s="31">
        <f>(F12-E12)/E12*100</f>
        <v>12.085769980506832</v>
      </c>
    </row>
    <row r="13" spans="1:8" x14ac:dyDescent="0.4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7" t="e">
        <f t="shared" ref="H13:H42" si="0">(F13-E13)/E13*100</f>
        <v>#DIV/0!</v>
      </c>
    </row>
    <row r="14" spans="1:8" x14ac:dyDescent="0.45">
      <c r="A14" s="6">
        <v>2.2999999999999998</v>
      </c>
      <c r="B14" s="6" t="s">
        <v>21</v>
      </c>
      <c r="C14" s="6"/>
      <c r="D14" s="27">
        <f>SUM(D12:D13)</f>
        <v>78.11</v>
      </c>
      <c r="E14" s="27">
        <f>SUM(E12:E13)</f>
        <v>71.819999999999993</v>
      </c>
      <c r="F14" s="27">
        <f>SUM(F12:F13)</f>
        <v>80.5</v>
      </c>
      <c r="G14" s="7">
        <f>(F14-D14)/D14*100</f>
        <v>3.0597874791960065</v>
      </c>
      <c r="H14" s="7">
        <f t="shared" si="0"/>
        <v>12.085769980506832</v>
      </c>
    </row>
    <row r="15" spans="1:8" x14ac:dyDescent="0.45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8" x14ac:dyDescent="0.45">
      <c r="A16" s="6">
        <v>3.1</v>
      </c>
      <c r="B16" s="6" t="s">
        <v>2</v>
      </c>
      <c r="C16" s="6"/>
      <c r="D16" s="31">
        <f>'UP TO JULY-19'!D16+'aug-18'!D16</f>
        <v>6.82</v>
      </c>
      <c r="E16" s="31">
        <f>'UP TO JULY-19'!E16+'aug-18'!E16</f>
        <v>6.7640490999999994</v>
      </c>
      <c r="F16" s="31">
        <f>'UP TO JULY-19'!F16+'aug-18'!F16</f>
        <v>7.8797212000000005</v>
      </c>
      <c r="G16" s="7">
        <f>(F16-D16)/D16*100</f>
        <v>15.538434017595312</v>
      </c>
      <c r="H16" s="31">
        <f>(F16-E16)/E16*100</f>
        <v>16.494145496371416</v>
      </c>
    </row>
    <row r="17" spans="1:11" x14ac:dyDescent="0.45">
      <c r="A17" s="6">
        <v>3.2</v>
      </c>
      <c r="B17" s="6" t="s">
        <v>23</v>
      </c>
      <c r="C17" s="20"/>
      <c r="D17" s="27">
        <f>'UP TO JULY-19'!D17+'aug-18'!D17</f>
        <v>11.59</v>
      </c>
      <c r="E17" s="27">
        <f>9.95+0.08</f>
        <v>10.029999999999999</v>
      </c>
      <c r="F17" s="27">
        <v>9.8800000000000008</v>
      </c>
      <c r="G17" s="7">
        <f>(F17-D17)/D17*100</f>
        <v>-14.754098360655728</v>
      </c>
      <c r="H17" s="7">
        <f>(F17-E17)/E17*100</f>
        <v>-1.4955134596211224</v>
      </c>
    </row>
    <row r="18" spans="1:11" x14ac:dyDescent="0.45">
      <c r="A18" s="6">
        <v>3.3</v>
      </c>
      <c r="B18" s="6" t="s">
        <v>1</v>
      </c>
      <c r="C18" s="1936"/>
      <c r="D18" s="27">
        <f>'UP TO JULY-19'!D18+'aug-18'!D18</f>
        <v>2.1</v>
      </c>
      <c r="E18" s="27">
        <f>'UP TO JULY-19'!E18+'aug-18'!E18</f>
        <v>0.94755970000000012</v>
      </c>
      <c r="F18" s="27">
        <f>'UP TO JULY-19'!F18+'aug-18'!F18</f>
        <v>0.74788060000000001</v>
      </c>
      <c r="G18" s="7">
        <f>(F18-D18)/D18*100</f>
        <v>-64.386638095238098</v>
      </c>
      <c r="H18" s="7">
        <f t="shared" si="0"/>
        <v>-21.07298358087623</v>
      </c>
      <c r="J18" s="229">
        <f>F17+F18</f>
        <v>10.627880600000001</v>
      </c>
    </row>
    <row r="19" spans="1:11" x14ac:dyDescent="0.45">
      <c r="A19" s="6">
        <v>3.4</v>
      </c>
      <c r="B19" s="6" t="s">
        <v>24</v>
      </c>
      <c r="C19" s="1936"/>
      <c r="D19" s="129"/>
      <c r="E19" s="31">
        <f>'UP TO JULY-19'!E19+'aug-18'!E19</f>
        <v>1.911667</v>
      </c>
      <c r="F19" s="31">
        <f>'UP TO JULY-19'!F19+'aug-18'!F19</f>
        <v>1.3541890000000001</v>
      </c>
      <c r="G19" s="10"/>
      <c r="H19" s="7">
        <f>(F19-E19)/E19*100</f>
        <v>-29.161878088600158</v>
      </c>
      <c r="J19" s="216">
        <f>E19+E20+E21</f>
        <v>14.0625032</v>
      </c>
      <c r="K19" s="216">
        <f>F19+F20+F21</f>
        <v>17.002208000000003</v>
      </c>
    </row>
    <row r="20" spans="1:11" x14ac:dyDescent="0.45">
      <c r="A20" s="6">
        <v>3.5</v>
      </c>
      <c r="B20" s="24" t="s">
        <v>25</v>
      </c>
      <c r="C20" s="1936"/>
      <c r="D20" s="129"/>
      <c r="E20" s="31">
        <f>'UP TO JULY-19'!E20+'aug-18'!E20</f>
        <v>2.2176769999999997</v>
      </c>
      <c r="F20" s="31">
        <f>'UP TO JULY-19'!F20+'aug-18'!F20</f>
        <v>1.6942465</v>
      </c>
      <c r="G20" s="10"/>
      <c r="H20" s="7">
        <f>(F20-E20)/E20*100</f>
        <v>-23.602648176447687</v>
      </c>
    </row>
    <row r="21" spans="1:11" x14ac:dyDescent="0.45">
      <c r="A21" s="6">
        <v>3.6</v>
      </c>
      <c r="B21" s="23" t="s">
        <v>26</v>
      </c>
      <c r="C21" s="1937"/>
      <c r="D21" s="130"/>
      <c r="E21" s="31">
        <f>'UP TO JULY-19'!E21+'aug-18'!E21</f>
        <v>9.9331592000000004</v>
      </c>
      <c r="F21" s="31">
        <f>'UP TO JULY-19'!F21+'aug-18'!F21</f>
        <v>13.953772500000001</v>
      </c>
      <c r="G21" s="45"/>
      <c r="H21" s="7">
        <f>(F21-E21)/E21*100</f>
        <v>40.4766823831838</v>
      </c>
    </row>
    <row r="22" spans="1:11" x14ac:dyDescent="0.45">
      <c r="A22" s="6">
        <v>3.7</v>
      </c>
      <c r="B22" s="23" t="s">
        <v>58</v>
      </c>
      <c r="C22" s="6"/>
      <c r="D22" s="27">
        <f>'UP TO JULY-19'!D22+'aug-18'!D22</f>
        <v>47.260000000000005</v>
      </c>
      <c r="E22" s="31">
        <f>'UP TO JULY-19'!E22+'aug-18'!E22</f>
        <v>29.8</v>
      </c>
      <c r="F22" s="31">
        <f>'UP TO JULY-19'!F22+'aug-18'!F22</f>
        <v>36.034471699999997</v>
      </c>
      <c r="G22" s="7">
        <f>(F22-D22)/D22*100</f>
        <v>-23.752704824375805</v>
      </c>
      <c r="H22" s="7">
        <f t="shared" si="0"/>
        <v>20.921045973154349</v>
      </c>
    </row>
    <row r="23" spans="1:11" x14ac:dyDescent="0.45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11" x14ac:dyDescent="0.45">
      <c r="A24" s="6">
        <v>4.0999999999999996</v>
      </c>
      <c r="B24" s="6" t="s">
        <v>27</v>
      </c>
      <c r="C24" s="6"/>
      <c r="D24" s="31">
        <f>'UP TO JULY-19'!D24+'aug-18'!D24</f>
        <v>4.1666666666666661</v>
      </c>
      <c r="E24" s="31">
        <f>'UP TO JULY-19'!E24+'aug-18'!E24</f>
        <v>1.0635935000000001</v>
      </c>
      <c r="F24" s="31">
        <f>'UP TO JULY-19'!F24+'aug-18'!F24</f>
        <v>2.5896116</v>
      </c>
      <c r="G24" s="7">
        <f>(F24-D24)/D24*100</f>
        <v>-37.849321599999989</v>
      </c>
      <c r="H24" s="7">
        <f t="shared" si="0"/>
        <v>143.47756920289564</v>
      </c>
    </row>
    <row r="25" spans="1:11" x14ac:dyDescent="0.45">
      <c r="A25" s="6">
        <v>4.2</v>
      </c>
      <c r="B25" s="6" t="s">
        <v>28</v>
      </c>
      <c r="C25" s="6"/>
      <c r="D25" s="31">
        <f>'UP TO JULY-19'!D25+'aug-18'!D25</f>
        <v>1.5612916666666667</v>
      </c>
      <c r="E25" s="31">
        <f>'UP TO JULY-19'!E25+'aug-18'!E25</f>
        <v>1.3009879999999998</v>
      </c>
      <c r="F25" s="31">
        <f>'UP TO JULY-19'!F25+'aug-18'!F25</f>
        <v>1.3851956000000001</v>
      </c>
      <c r="G25" s="7">
        <f>(E25-D25)/D25*100</f>
        <v>-16.672327933602002</v>
      </c>
      <c r="H25" s="7">
        <f t="shared" si="0"/>
        <v>6.4725885250286925</v>
      </c>
    </row>
    <row r="26" spans="1:11" x14ac:dyDescent="0.45">
      <c r="A26" s="6">
        <v>4.3</v>
      </c>
      <c r="B26" s="6" t="s">
        <v>4</v>
      </c>
      <c r="C26" s="1948"/>
      <c r="D26" s="31">
        <f>'UP TO JULY-19'!D26+'aug-18'!D26</f>
        <v>0</v>
      </c>
      <c r="E26" s="31">
        <f>'UP TO JULY-19'!E26+'aug-18'!E26</f>
        <v>0.20032170000000002</v>
      </c>
      <c r="F26" s="31">
        <f>'UP TO JULY-19'!F26+'aug-18'!F26</f>
        <v>1.1401E-2</v>
      </c>
      <c r="G26" s="1925"/>
      <c r="H26" s="7">
        <f t="shared" si="0"/>
        <v>-94.308654529189809</v>
      </c>
    </row>
    <row r="27" spans="1:11" x14ac:dyDescent="0.45">
      <c r="A27" s="6">
        <v>4.4000000000000004</v>
      </c>
      <c r="B27" s="6" t="s">
        <v>29</v>
      </c>
      <c r="C27" s="1947"/>
      <c r="D27" s="31">
        <f>'UP TO JULY-19'!D27+'aug-18'!D27</f>
        <v>0</v>
      </c>
      <c r="E27" s="31">
        <f>'UP TO JULY-19'!E27+'aug-18'!E27</f>
        <v>1.3372E-3</v>
      </c>
      <c r="F27" s="31">
        <f>'UP TO JULY-19'!F27+'aug-18'!F27</f>
        <v>0</v>
      </c>
      <c r="G27" s="1926"/>
      <c r="H27" s="7"/>
    </row>
    <row r="28" spans="1:11" x14ac:dyDescent="0.45">
      <c r="A28" s="6">
        <v>4.5</v>
      </c>
      <c r="B28" s="6" t="s">
        <v>30</v>
      </c>
      <c r="C28" s="1947"/>
      <c r="D28" s="31">
        <f>'UP TO JULY-19'!D28+'aug-18'!D28</f>
        <v>0</v>
      </c>
      <c r="E28" s="31">
        <f>'UP TO JULY-19'!E28+'aug-18'!E28</f>
        <v>8.044299999999999E-3</v>
      </c>
      <c r="F28" s="31">
        <f>'UP TO JULY-19'!F28+'aug-18'!F28</f>
        <v>0</v>
      </c>
      <c r="G28" s="1926"/>
      <c r="H28" s="7"/>
    </row>
    <row r="29" spans="1:11" x14ac:dyDescent="0.45">
      <c r="A29" s="6">
        <v>4.7</v>
      </c>
      <c r="B29" s="6" t="s">
        <v>3</v>
      </c>
      <c r="C29" s="1947"/>
      <c r="D29" s="31">
        <f>'UP TO JULY-19'!D29+'aug-18'!D29</f>
        <v>0.40749999999999997</v>
      </c>
      <c r="E29" s="31">
        <f>'UP TO JULY-19'!E29+'aug-18'!E29</f>
        <v>0.22353260000000003</v>
      </c>
      <c r="F29" s="31">
        <f>'UP TO JULY-19'!F29+'aug-18'!F29</f>
        <v>0.72767189999999993</v>
      </c>
      <c r="G29" s="1926"/>
      <c r="H29" s="7"/>
    </row>
    <row r="30" spans="1:11" x14ac:dyDescent="0.45">
      <c r="A30" s="6">
        <v>4.8</v>
      </c>
      <c r="B30" s="6" t="s">
        <v>31</v>
      </c>
      <c r="C30" s="1949"/>
      <c r="D30" s="31">
        <f>'UP TO JULY-19'!D30+'aug-18'!D30</f>
        <v>0</v>
      </c>
      <c r="E30" s="31">
        <f>'UP TO JULY-19'!E30+'aug-18'!E30</f>
        <v>0</v>
      </c>
      <c r="F30" s="31">
        <f>'UP TO JULY-19'!F30+'aug-18'!F30</f>
        <v>0</v>
      </c>
      <c r="G30" s="1927"/>
      <c r="H30" s="7"/>
    </row>
    <row r="31" spans="1:11" x14ac:dyDescent="0.45">
      <c r="A31" s="6">
        <v>4.9000000000000004</v>
      </c>
      <c r="B31" s="6" t="s">
        <v>32</v>
      </c>
      <c r="C31" s="6"/>
      <c r="D31" s="27">
        <f>SUM(D24:D30)</f>
        <v>6.1354583333333323</v>
      </c>
      <c r="E31" s="27">
        <f>SUM(E24:E30)</f>
        <v>2.7978172999999997</v>
      </c>
      <c r="F31" s="27">
        <f>SUM(F24:F30)</f>
        <v>4.7138800999999999</v>
      </c>
      <c r="G31" s="7">
        <f t="shared" ref="G31:G36" si="1">(F31-D31)/D31*100</f>
        <v>-23.169878370944836</v>
      </c>
      <c r="H31" s="7">
        <f t="shared" si="0"/>
        <v>68.484200165607675</v>
      </c>
    </row>
    <row r="32" spans="1:11" x14ac:dyDescent="0.45">
      <c r="A32" s="9">
        <v>5</v>
      </c>
      <c r="B32" s="9" t="s">
        <v>33</v>
      </c>
      <c r="C32" s="9">
        <f>C10+C14+C22+C31</f>
        <v>0</v>
      </c>
      <c r="D32" s="36">
        <f>D10+D14+D22+D31</f>
        <v>516.32545833333336</v>
      </c>
      <c r="E32" s="48">
        <f>E10+E14+E22+E31</f>
        <v>462.02156749100004</v>
      </c>
      <c r="F32" s="48">
        <f>F10+F14+F22+F31</f>
        <v>498.11835179999997</v>
      </c>
      <c r="G32" s="31">
        <f t="shared" si="1"/>
        <v>-3.5262848731311447</v>
      </c>
      <c r="H32" s="31">
        <f t="shared" si="0"/>
        <v>7.8127920531984865</v>
      </c>
    </row>
    <row r="33" spans="1:8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</row>
    <row r="34" spans="1:8" x14ac:dyDescent="0.45">
      <c r="A34" s="6">
        <v>6.1</v>
      </c>
      <c r="B34" s="6" t="s">
        <v>16</v>
      </c>
      <c r="C34" s="6"/>
      <c r="D34" s="31">
        <f>'UP TO JULY-19'!D34+'aug-18'!D34</f>
        <v>147.6</v>
      </c>
      <c r="E34" s="31">
        <f>'UP TO JULY-19'!E34+'aug-18'!E34</f>
        <v>143.63</v>
      </c>
      <c r="F34" s="31">
        <f>'UP TO JULY-19'!F34+'aug-18'!F34</f>
        <v>147.41999999999999</v>
      </c>
      <c r="G34" s="7">
        <f>(F34-D34)/D34*100</f>
        <v>-0.12195121951219974</v>
      </c>
      <c r="H34" s="7">
        <f t="shared" si="0"/>
        <v>2.6387245004525464</v>
      </c>
    </row>
    <row r="35" spans="1:8" x14ac:dyDescent="0.45">
      <c r="A35" s="6">
        <v>6.2</v>
      </c>
      <c r="B35" s="6" t="s">
        <v>15</v>
      </c>
      <c r="C35" s="6"/>
      <c r="D35" s="31">
        <f>'UP TO JULY-19'!D35+'aug-18'!D35</f>
        <v>185.5</v>
      </c>
      <c r="E35" s="31">
        <f>'UP TO JULY-19'!E35+'aug-18'!E35</f>
        <v>184.54000000000002</v>
      </c>
      <c r="F35" s="31">
        <f>'UP TO JULY-19'!F35+'aug-18'!F35</f>
        <v>174.78</v>
      </c>
      <c r="G35" s="7">
        <f t="shared" si="1"/>
        <v>-5.7789757412398917</v>
      </c>
      <c r="H35" s="7">
        <f t="shared" si="0"/>
        <v>-5.2888262707272231</v>
      </c>
    </row>
    <row r="36" spans="1:8" x14ac:dyDescent="0.45">
      <c r="A36" s="6">
        <v>6.3</v>
      </c>
      <c r="B36" s="6" t="s">
        <v>34</v>
      </c>
      <c r="C36" s="6">
        <f>SUM(C34:C35)</f>
        <v>0</v>
      </c>
      <c r="D36" s="27">
        <f>SUM(D34:D35)</f>
        <v>333.1</v>
      </c>
      <c r="E36" s="27">
        <f>SUM(E34:E35)</f>
        <v>328.17</v>
      </c>
      <c r="F36" s="27">
        <f>SUM(F34:F35)</f>
        <v>322.2</v>
      </c>
      <c r="G36" s="7">
        <f t="shared" si="1"/>
        <v>-3.2722906034224057</v>
      </c>
      <c r="H36" s="7">
        <f t="shared" si="0"/>
        <v>-1.8191790840113438</v>
      </c>
    </row>
    <row r="37" spans="1:8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</row>
    <row r="38" spans="1:8" x14ac:dyDescent="0.45">
      <c r="A38" s="6">
        <v>7.1</v>
      </c>
      <c r="B38" s="6" t="s">
        <v>16</v>
      </c>
      <c r="C38" s="14"/>
      <c r="D38" s="15"/>
      <c r="E38" s="31">
        <f>'UP TO JULY-19'!E38+'aug-18'!E38</f>
        <v>50.260000000000005</v>
      </c>
      <c r="F38" s="31">
        <f>'UP TO JULY-19'!F38+'aug-18'!F38</f>
        <v>54.17</v>
      </c>
      <c r="G38" s="7"/>
      <c r="H38" s="7">
        <f>(F38-E38)/E38*100</f>
        <v>7.7795463589335379</v>
      </c>
    </row>
    <row r="39" spans="1:8" x14ac:dyDescent="0.45">
      <c r="A39" s="6">
        <v>7.2</v>
      </c>
      <c r="B39" s="6" t="s">
        <v>15</v>
      </c>
      <c r="C39" s="16"/>
      <c r="D39" s="17"/>
      <c r="E39" s="31">
        <f>'UP TO JULY-19'!E39+'aug-18'!E39</f>
        <v>568.05999999999995</v>
      </c>
      <c r="F39" s="31">
        <f>'UP TO JULY-19'!F39+'aug-18'!F39</f>
        <v>492.29999999999995</v>
      </c>
      <c r="G39" s="7"/>
      <c r="H39" s="7">
        <f t="shared" si="0"/>
        <v>-13.336619371193184</v>
      </c>
    </row>
    <row r="40" spans="1:8" x14ac:dyDescent="0.45">
      <c r="A40" s="6">
        <v>7.3</v>
      </c>
      <c r="B40" s="6" t="s">
        <v>35</v>
      </c>
      <c r="C40" s="21"/>
      <c r="D40" s="22">
        <f>SUM(D38:D39)</f>
        <v>0</v>
      </c>
      <c r="E40" s="6">
        <f>SUM(E38:E39)</f>
        <v>618.31999999999994</v>
      </c>
      <c r="F40" s="6">
        <f>SUM(F38:F39)</f>
        <v>546.46999999999991</v>
      </c>
      <c r="G40" s="7"/>
      <c r="H40" s="7">
        <f t="shared" si="0"/>
        <v>-11.620196661922634</v>
      </c>
    </row>
    <row r="41" spans="1:8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8" x14ac:dyDescent="0.45">
      <c r="A42" s="6">
        <v>8.1</v>
      </c>
      <c r="B42" s="6" t="s">
        <v>41</v>
      </c>
      <c r="C42" s="6"/>
      <c r="D42" s="7">
        <f>'UP TO JULY-19'!D42+'aug-18'!D42</f>
        <v>294000</v>
      </c>
      <c r="E42" s="7">
        <f>'UP TO JULY-19'!E42+'aug-18'!E42</f>
        <v>140371</v>
      </c>
      <c r="F42" s="7">
        <f>'UP TO JULY-19'!F42+'aug-18'!F42</f>
        <v>153628</v>
      </c>
      <c r="G42" s="7">
        <f>(F42-D42)/D42*100</f>
        <v>-47.745578231292519</v>
      </c>
      <c r="H42" s="7">
        <f t="shared" si="0"/>
        <v>9.4442584294476788</v>
      </c>
    </row>
    <row r="43" spans="1:8" x14ac:dyDescent="0.4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</row>
    <row r="44" spans="1:8" x14ac:dyDescent="0.45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</row>
    <row r="45" spans="1:8" x14ac:dyDescent="0.4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>(F45-E45)/E45*100</f>
        <v>#DIV/0!</v>
      </c>
    </row>
    <row r="46" spans="1:8" x14ac:dyDescent="0.45">
      <c r="A46" s="6">
        <v>9.3000000000000007</v>
      </c>
      <c r="B46" s="6" t="s">
        <v>38</v>
      </c>
      <c r="C46" s="21"/>
      <c r="D46" s="22"/>
      <c r="E46" s="27"/>
      <c r="F46" s="27"/>
      <c r="G46" s="1927"/>
      <c r="H46" s="7" t="e">
        <f>(F46-E46)/E46*100</f>
        <v>#DIV/0!</v>
      </c>
    </row>
    <row r="47" spans="1:8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8" x14ac:dyDescent="0.4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>(E48-F48)/F48*100</f>
        <v>#DIV/0!</v>
      </c>
    </row>
    <row r="49" spans="1:8" x14ac:dyDescent="0.4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>(E49-F49)/F49*100</f>
        <v>#DIV/0!</v>
      </c>
    </row>
    <row r="50" spans="1:8" x14ac:dyDescent="0.45">
      <c r="A50" s="6">
        <v>10.3</v>
      </c>
      <c r="B50" s="6" t="s">
        <v>0</v>
      </c>
      <c r="C50" s="21"/>
      <c r="D50" s="22"/>
      <c r="E50" s="6">
        <f>SUM(E48:E49)</f>
        <v>0</v>
      </c>
      <c r="F50" s="6">
        <f>SUM(F48:F49)</f>
        <v>0</v>
      </c>
      <c r="G50" s="1927"/>
      <c r="H50" s="7" t="e">
        <f>(E50-F50)/F50*100</f>
        <v>#DIV/0!</v>
      </c>
    </row>
  </sheetData>
  <mergeCells count="21">
    <mergeCell ref="G44:G46"/>
    <mergeCell ref="B47:H47"/>
    <mergeCell ref="G48:G50"/>
    <mergeCell ref="C26:C30"/>
    <mergeCell ref="G26:G30"/>
    <mergeCell ref="B33:H33"/>
    <mergeCell ref="B37:H37"/>
    <mergeCell ref="B41:H41"/>
    <mergeCell ref="B43:H43"/>
    <mergeCell ref="B23:H23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C18:C2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P69"/>
  <sheetViews>
    <sheetView topLeftCell="A17" zoomScale="110" zoomScaleNormal="110" workbookViewId="0">
      <selection activeCell="F42" sqref="F42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3" width="9.1328125" style="5" customWidth="1"/>
    <col min="4" max="4" width="10" style="12" customWidth="1"/>
    <col min="5" max="5" width="12.3984375" style="12" customWidth="1"/>
    <col min="6" max="6" width="13.1328125" style="12" customWidth="1"/>
    <col min="7" max="7" width="9.1328125" style="212" customWidth="1"/>
    <col min="8" max="8" width="7.86328125" style="212" customWidth="1"/>
    <col min="9" max="9" width="9.1328125" style="5" customWidth="1"/>
    <col min="10" max="10" width="10.1328125" style="5" customWidth="1"/>
    <col min="11" max="11" width="9.1328125" style="5"/>
    <col min="12" max="12" width="9.59765625" style="5" customWidth="1"/>
    <col min="13" max="13" width="11.265625" style="5" customWidth="1"/>
    <col min="14" max="16384" width="9.1328125" style="5"/>
  </cols>
  <sheetData>
    <row r="1" spans="1:10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0" ht="13.9" x14ac:dyDescent="0.4">
      <c r="A2" s="1938" t="s">
        <v>169</v>
      </c>
      <c r="B2" s="1938"/>
      <c r="C2" s="1938"/>
      <c r="D2" s="1938"/>
      <c r="E2" s="1938"/>
      <c r="F2" s="1938"/>
      <c r="G2" s="1938"/>
      <c r="H2" s="1938"/>
    </row>
    <row r="3" spans="1:10" ht="13.9" x14ac:dyDescent="0.4">
      <c r="A3" s="6" t="s">
        <v>6</v>
      </c>
      <c r="B3" s="6" t="s">
        <v>7</v>
      </c>
      <c r="C3" s="1934" t="s">
        <v>8</v>
      </c>
      <c r="D3" s="1934"/>
      <c r="E3" s="1950" t="s">
        <v>10</v>
      </c>
      <c r="F3" s="1950"/>
      <c r="G3" s="1955" t="s">
        <v>11</v>
      </c>
      <c r="H3" s="1955"/>
    </row>
    <row r="4" spans="1:10" ht="30.75" customHeight="1" x14ac:dyDescent="0.4">
      <c r="A4" s="6"/>
      <c r="B4" s="6"/>
      <c r="C4" s="6" t="s">
        <v>9</v>
      </c>
      <c r="D4" s="207" t="s">
        <v>170</v>
      </c>
      <c r="E4" s="207" t="str">
        <f>D4</f>
        <v>1st to 9th SEPT</v>
      </c>
      <c r="F4" s="207" t="str">
        <f>D4</f>
        <v>1st to 9th SEPT</v>
      </c>
      <c r="G4" s="211" t="s">
        <v>12</v>
      </c>
      <c r="H4" s="211" t="s">
        <v>13</v>
      </c>
    </row>
    <row r="5" spans="1:10" x14ac:dyDescent="0.35">
      <c r="A5" s="6"/>
      <c r="B5" s="6"/>
      <c r="C5" s="1956" t="s">
        <v>77</v>
      </c>
      <c r="D5" s="1956"/>
      <c r="E5" s="210" t="s">
        <v>66</v>
      </c>
      <c r="F5" s="210" t="s">
        <v>77</v>
      </c>
      <c r="G5" s="210"/>
      <c r="H5" s="210"/>
    </row>
    <row r="6" spans="1:10" ht="13.9" x14ac:dyDescent="0.4">
      <c r="A6" s="29">
        <v>1</v>
      </c>
      <c r="B6" s="29">
        <v>2</v>
      </c>
      <c r="C6" s="81">
        <v>3</v>
      </c>
      <c r="D6" s="81">
        <v>4</v>
      </c>
      <c r="E6" s="81">
        <v>5</v>
      </c>
      <c r="F6" s="81">
        <v>6</v>
      </c>
      <c r="G6" s="81">
        <v>7</v>
      </c>
      <c r="H6" s="81">
        <v>8</v>
      </c>
    </row>
    <row r="7" spans="1:10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10" x14ac:dyDescent="0.35">
      <c r="A8" s="6">
        <v>1.1000000000000001</v>
      </c>
      <c r="B8" s="6" t="s">
        <v>16</v>
      </c>
      <c r="C8" s="6"/>
      <c r="D8" s="39">
        <v>1.78</v>
      </c>
      <c r="E8" s="27">
        <v>1.62</v>
      </c>
      <c r="F8" s="27">
        <v>1.7</v>
      </c>
      <c r="G8" s="210">
        <f>(F8-D8)/D8*100</f>
        <v>-4.494382022471914</v>
      </c>
      <c r="H8" s="210">
        <f>(F8-E8)/E8*100</f>
        <v>4.9382716049382616</v>
      </c>
    </row>
    <row r="9" spans="1:10" x14ac:dyDescent="0.35">
      <c r="A9" s="6">
        <v>1.2</v>
      </c>
      <c r="B9" s="6" t="s">
        <v>15</v>
      </c>
      <c r="C9" s="6"/>
      <c r="D9" s="39">
        <v>73.290000000000006</v>
      </c>
      <c r="E9" s="27">
        <v>66.67</v>
      </c>
      <c r="F9" s="27">
        <v>68.95</v>
      </c>
      <c r="G9" s="210">
        <f>(F9-D9)/D9*100</f>
        <v>-5.9216809933142347</v>
      </c>
      <c r="H9" s="210">
        <f>(F9-E9)/E9*100</f>
        <v>3.4198290085495744</v>
      </c>
    </row>
    <row r="10" spans="1:10" x14ac:dyDescent="0.35">
      <c r="A10" s="6">
        <v>1.3</v>
      </c>
      <c r="B10" s="6" t="s">
        <v>17</v>
      </c>
      <c r="C10" s="6">
        <f>C8+C9</f>
        <v>0</v>
      </c>
      <c r="D10" s="39">
        <f>SUM(D8:D9)</f>
        <v>75.070000000000007</v>
      </c>
      <c r="E10" s="27">
        <f>SUM(E8:E9)</f>
        <v>68.290000000000006</v>
      </c>
      <c r="F10" s="27">
        <f>SUM(F8:F9)</f>
        <v>70.650000000000006</v>
      </c>
      <c r="G10" s="210">
        <f>(F10-D10)/D10*100</f>
        <v>-5.887838017850008</v>
      </c>
      <c r="H10" s="210">
        <f>(F10-E10)/E10*100</f>
        <v>3.4558500512520123</v>
      </c>
    </row>
    <row r="11" spans="1:10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10" x14ac:dyDescent="0.35">
      <c r="A12" s="6">
        <v>2.1</v>
      </c>
      <c r="B12" s="6" t="s">
        <v>19</v>
      </c>
      <c r="C12" s="1948"/>
      <c r="D12" s="73">
        <v>18.63</v>
      </c>
      <c r="E12" s="73">
        <v>17.16</v>
      </c>
      <c r="F12" s="73">
        <v>19.55</v>
      </c>
      <c r="G12" s="210">
        <f>(F12-D12)/D12*100</f>
        <v>4.9382716049382811</v>
      </c>
      <c r="H12" s="210">
        <f t="shared" ref="H12:H42" si="0">(F12-E12)/E12*100</f>
        <v>13.927738927738931</v>
      </c>
    </row>
    <row r="13" spans="1:10" x14ac:dyDescent="0.35">
      <c r="A13" s="6">
        <v>2.2000000000000002</v>
      </c>
      <c r="B13" s="6" t="s">
        <v>20</v>
      </c>
      <c r="C13" s="1947"/>
      <c r="D13" s="27"/>
      <c r="E13" s="27"/>
      <c r="F13" s="27"/>
      <c r="G13" s="210"/>
      <c r="H13" s="210"/>
    </row>
    <row r="14" spans="1:10" x14ac:dyDescent="0.35">
      <c r="A14" s="6">
        <v>2.2999999999999998</v>
      </c>
      <c r="B14" s="6" t="s">
        <v>21</v>
      </c>
      <c r="C14" s="6"/>
      <c r="D14" s="27">
        <f>SUM(D12:D13)</f>
        <v>18.63</v>
      </c>
      <c r="E14" s="27">
        <f>SUM(E12:E13)</f>
        <v>17.16</v>
      </c>
      <c r="F14" s="27">
        <f>SUM(F12:F13)</f>
        <v>19.55</v>
      </c>
      <c r="G14" s="210">
        <f>(F14-D14)/D14*100</f>
        <v>4.9382716049382811</v>
      </c>
      <c r="H14" s="210">
        <f t="shared" si="0"/>
        <v>13.927738927738931</v>
      </c>
    </row>
    <row r="15" spans="1:10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10" x14ac:dyDescent="0.35">
      <c r="A16" s="6">
        <v>3.1</v>
      </c>
      <c r="B16" s="6" t="s">
        <v>2</v>
      </c>
      <c r="C16" s="6"/>
      <c r="D16" s="39">
        <v>1.61</v>
      </c>
      <c r="E16" s="39">
        <v>1.05</v>
      </c>
      <c r="F16" s="39">
        <f>13120250/10000000</f>
        <v>1.312025</v>
      </c>
      <c r="G16" s="210">
        <f>(F16-D16)/D16*100</f>
        <v>-18.507763975155285</v>
      </c>
      <c r="H16" s="210">
        <f>(F16-E16)/E16*100</f>
        <v>24.954761904761899</v>
      </c>
      <c r="J16" s="5">
        <f>5749995/10000000</f>
        <v>0.5749995</v>
      </c>
    </row>
    <row r="17" spans="1:16" x14ac:dyDescent="0.35">
      <c r="A17" s="6">
        <v>3.2</v>
      </c>
      <c r="B17" s="6" t="s">
        <v>23</v>
      </c>
      <c r="C17" s="20"/>
      <c r="D17" s="193">
        <v>2.14</v>
      </c>
      <c r="E17" s="34">
        <v>1.87</v>
      </c>
      <c r="F17" s="34">
        <f>21496387/10000000</f>
        <v>2.1496387000000001</v>
      </c>
      <c r="G17" s="210">
        <f>(F17-D17)/D17*100</f>
        <v>0.45040654205607478</v>
      </c>
      <c r="H17" s="210">
        <f>(F17-E17)/E17*100</f>
        <v>14.95394117647059</v>
      </c>
    </row>
    <row r="18" spans="1:16" x14ac:dyDescent="0.35">
      <c r="A18" s="6">
        <v>3.3</v>
      </c>
      <c r="B18" s="6" t="s">
        <v>1</v>
      </c>
      <c r="C18" s="1936"/>
      <c r="D18" s="194">
        <v>0.35</v>
      </c>
      <c r="E18" s="34">
        <f>1613010/10000000</f>
        <v>0.161301</v>
      </c>
      <c r="F18" s="34">
        <f>1126764/10000000</f>
        <v>0.1126764</v>
      </c>
      <c r="G18" s="210">
        <f>(F18-D18)/D18*100</f>
        <v>-67.806742857142851</v>
      </c>
      <c r="H18" s="210">
        <f t="shared" si="0"/>
        <v>-30.14525638402738</v>
      </c>
    </row>
    <row r="19" spans="1:16" x14ac:dyDescent="0.35">
      <c r="A19" s="6">
        <v>3.4</v>
      </c>
      <c r="B19" s="6" t="s">
        <v>24</v>
      </c>
      <c r="C19" s="1936"/>
      <c r="D19" s="194"/>
      <c r="E19" s="27">
        <f>'[3]Sep-19'!$AV$308</f>
        <v>0.23346500000000001</v>
      </c>
      <c r="F19" s="27">
        <f>'[3]Sep-19'!$AU$308</f>
        <v>0.13284599999999999</v>
      </c>
      <c r="G19" s="223"/>
      <c r="H19" s="210">
        <f>(F19-E19)/E19*100</f>
        <v>-43.098108924249892</v>
      </c>
      <c r="J19" s="12">
        <f>E19+E20+E21</f>
        <v>2.5622767999999998</v>
      </c>
      <c r="K19" s="12">
        <f>F19+F20+F21</f>
        <v>2.4538308999999998</v>
      </c>
    </row>
    <row r="20" spans="1:16" ht="30.75" customHeight="1" x14ac:dyDescent="0.35">
      <c r="A20" s="6">
        <v>3.5</v>
      </c>
      <c r="B20" s="24" t="s">
        <v>25</v>
      </c>
      <c r="C20" s="1936"/>
      <c r="D20" s="194"/>
      <c r="E20" s="27"/>
      <c r="G20" s="223"/>
      <c r="H20" s="210"/>
    </row>
    <row r="21" spans="1:16" ht="35.25" customHeight="1" x14ac:dyDescent="0.35">
      <c r="A21" s="6">
        <v>3.6</v>
      </c>
      <c r="B21" s="23" t="s">
        <v>26</v>
      </c>
      <c r="C21" s="1937"/>
      <c r="D21" s="195"/>
      <c r="E21" s="27">
        <f>'[3]Sep-19'!$L$48</f>
        <v>2.3288118</v>
      </c>
      <c r="F21" s="27">
        <f>'[3]Sep-19'!$K$48</f>
        <v>2.3209849</v>
      </c>
      <c r="G21" s="224"/>
      <c r="H21" s="210">
        <f>(F21-E21)/E21*100</f>
        <v>-0.33608984633279382</v>
      </c>
    </row>
    <row r="22" spans="1:16" ht="34.5" customHeight="1" x14ac:dyDescent="0.35">
      <c r="A22" s="6">
        <v>3.7</v>
      </c>
      <c r="B22" s="23" t="s">
        <v>58</v>
      </c>
      <c r="C22" s="6"/>
      <c r="D22" s="39">
        <v>8.83</v>
      </c>
      <c r="E22" s="27">
        <v>5.7</v>
      </c>
      <c r="F22" s="27">
        <v>6.43</v>
      </c>
      <c r="G22" s="210">
        <f>(F22-D22)/D22*100</f>
        <v>-27.180067950169878</v>
      </c>
      <c r="H22" s="210">
        <f t="shared" si="0"/>
        <v>12.807017543859642</v>
      </c>
    </row>
    <row r="23" spans="1:16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16" x14ac:dyDescent="0.35">
      <c r="A24" s="6">
        <v>4.0999999999999996</v>
      </c>
      <c r="B24" s="6" t="s">
        <v>27</v>
      </c>
      <c r="C24" s="6"/>
      <c r="D24" s="6">
        <v>0.83333333333333326</v>
      </c>
      <c r="E24" s="27">
        <f>0</f>
        <v>0</v>
      </c>
      <c r="F24" s="27">
        <f>4283021/10000000</f>
        <v>0.42830210000000002</v>
      </c>
      <c r="G24" s="210">
        <f>(F24-D24)/D24*100</f>
        <v>-48.603747999999989</v>
      </c>
      <c r="H24" s="210" t="e">
        <f>(F24-E24)/E24*100</f>
        <v>#DIV/0!</v>
      </c>
      <c r="I24" s="10"/>
      <c r="L24" s="11"/>
      <c r="M24" s="12"/>
    </row>
    <row r="25" spans="1:16" x14ac:dyDescent="0.35">
      <c r="A25" s="6">
        <v>4.2</v>
      </c>
      <c r="B25" s="6" t="s">
        <v>28</v>
      </c>
      <c r="C25" s="6"/>
      <c r="D25" s="12">
        <v>0.31225833333333336</v>
      </c>
      <c r="E25" s="27">
        <f>578164/10000000</f>
        <v>5.7816399999999997E-2</v>
      </c>
      <c r="F25" s="27">
        <f>1303053/10000000</f>
        <v>0.13030530000000001</v>
      </c>
      <c r="G25" s="210">
        <f>(E25-D25)/D25*100</f>
        <v>-81.484433295081544</v>
      </c>
      <c r="H25" s="210">
        <f t="shared" si="0"/>
        <v>125.3777474903315</v>
      </c>
      <c r="I25" s="13"/>
      <c r="J25" s="5">
        <f>2137828/10000000</f>
        <v>0.2137828</v>
      </c>
      <c r="K25" s="5">
        <f>204050/10000000</f>
        <v>2.0405E-2</v>
      </c>
      <c r="L25" s="11"/>
      <c r="M25" s="12"/>
    </row>
    <row r="26" spans="1:16" x14ac:dyDescent="0.35">
      <c r="A26" s="6">
        <v>4.3</v>
      </c>
      <c r="B26" s="6" t="s">
        <v>4</v>
      </c>
      <c r="C26" s="1948"/>
      <c r="D26" s="6">
        <v>0</v>
      </c>
      <c r="E26" s="221">
        <f>14000/10000000</f>
        <v>1.4E-3</v>
      </c>
      <c r="F26" s="221">
        <f>55115/10000000</f>
        <v>5.5114999999999999E-3</v>
      </c>
      <c r="G26" s="228"/>
      <c r="H26" s="210">
        <f t="shared" si="0"/>
        <v>293.67857142857139</v>
      </c>
      <c r="I26" s="12"/>
      <c r="K26" s="5">
        <f>296887/10000000</f>
        <v>2.9688699999999998E-2</v>
      </c>
      <c r="L26" s="11"/>
      <c r="M26" s="12"/>
    </row>
    <row r="27" spans="1:16" x14ac:dyDescent="0.35">
      <c r="A27" s="6">
        <v>4.4000000000000004</v>
      </c>
      <c r="B27" s="6" t="s">
        <v>29</v>
      </c>
      <c r="C27" s="1947"/>
      <c r="D27" s="6"/>
      <c r="E27" s="27">
        <v>0</v>
      </c>
      <c r="F27" s="27">
        <v>0</v>
      </c>
      <c r="G27" s="223"/>
      <c r="H27" s="210" t="e">
        <f t="shared" si="0"/>
        <v>#DIV/0!</v>
      </c>
      <c r="L27" s="11"/>
      <c r="M27" s="12"/>
    </row>
    <row r="28" spans="1:16" x14ac:dyDescent="0.35">
      <c r="A28" s="6">
        <v>4.5</v>
      </c>
      <c r="B28" s="6" t="s">
        <v>30</v>
      </c>
      <c r="C28" s="1947"/>
      <c r="D28" s="177"/>
      <c r="E28" s="27">
        <f>0</f>
        <v>0</v>
      </c>
      <c r="F28" s="27">
        <v>0</v>
      </c>
      <c r="G28" s="223"/>
      <c r="H28" s="210" t="e">
        <f t="shared" si="0"/>
        <v>#DIV/0!</v>
      </c>
      <c r="I28" s="13"/>
      <c r="L28" s="11">
        <v>771830</v>
      </c>
      <c r="M28" s="12">
        <v>723110</v>
      </c>
      <c r="O28" s="6"/>
      <c r="P28" s="6"/>
    </row>
    <row r="29" spans="1:16" x14ac:dyDescent="0.35">
      <c r="A29" s="6">
        <v>4.7</v>
      </c>
      <c r="B29" s="6" t="s">
        <v>3</v>
      </c>
      <c r="C29" s="1947"/>
      <c r="D29" s="178">
        <v>0.13583333333333333</v>
      </c>
      <c r="E29" s="30">
        <f>153071/10000000</f>
        <v>1.5307100000000001E-2</v>
      </c>
      <c r="F29" s="30">
        <f>667995/10000000</f>
        <v>6.6799499999999998E-2</v>
      </c>
      <c r="G29" s="79">
        <f>(E29-D29)/D29*100</f>
        <v>-88.730969325153382</v>
      </c>
      <c r="H29" s="210">
        <f t="shared" si="0"/>
        <v>336.39552887222266</v>
      </c>
      <c r="I29" s="12"/>
      <c r="L29" s="11">
        <f>L28-40595-578164</f>
        <v>153071</v>
      </c>
      <c r="M29" s="12">
        <f>M28-55115</f>
        <v>667995</v>
      </c>
    </row>
    <row r="30" spans="1:16" x14ac:dyDescent="0.35">
      <c r="A30" s="6">
        <v>4.8</v>
      </c>
      <c r="B30" s="6" t="s">
        <v>31</v>
      </c>
      <c r="C30" s="1949"/>
      <c r="D30" s="22"/>
      <c r="E30" s="27">
        <v>0</v>
      </c>
      <c r="F30" s="27">
        <v>0</v>
      </c>
      <c r="G30" s="224"/>
      <c r="H30" s="210" t="e">
        <f>(F30-E30)/E30*100</f>
        <v>#DIV/0!</v>
      </c>
      <c r="L30" s="11"/>
      <c r="M30" s="12"/>
    </row>
    <row r="31" spans="1:16" x14ac:dyDescent="0.35">
      <c r="A31" s="6">
        <v>4.9000000000000004</v>
      </c>
      <c r="B31" s="6" t="s">
        <v>32</v>
      </c>
      <c r="C31" s="6"/>
      <c r="D31" s="27">
        <f>SUM(D24:D30)</f>
        <v>1.2814249999999998</v>
      </c>
      <c r="E31" s="30">
        <f>SUM(E24:E30)</f>
        <v>7.4523499999999993E-2</v>
      </c>
      <c r="F31" s="30">
        <f>SUM(F24:F30)</f>
        <v>0.6309184000000001</v>
      </c>
      <c r="G31" s="79">
        <f t="shared" ref="G31:G36" si="1">(F31-D31)/D31*100</f>
        <v>-50.764313166982056</v>
      </c>
      <c r="H31" s="210">
        <f t="shared" si="0"/>
        <v>746.6032862117321</v>
      </c>
      <c r="L31" s="11"/>
    </row>
    <row r="32" spans="1:16" ht="14.25" thickBot="1" x14ac:dyDescent="0.45">
      <c r="A32" s="9">
        <v>5</v>
      </c>
      <c r="B32" s="9" t="s">
        <v>33</v>
      </c>
      <c r="C32" s="9">
        <f>C10+C14+C22+C31</f>
        <v>0</v>
      </c>
      <c r="D32" s="28">
        <f>D10+D14+D22+D31+D24+D25</f>
        <v>104.95701666666666</v>
      </c>
      <c r="E32" s="28">
        <f>E10+E14+E22+E31</f>
        <v>91.224523500000004</v>
      </c>
      <c r="F32" s="28">
        <f>F10+F14+F22+F31</f>
        <v>97.260918399999994</v>
      </c>
      <c r="G32" s="210">
        <f t="shared" si="1"/>
        <v>-7.3326191150313758</v>
      </c>
      <c r="H32" s="210">
        <f t="shared" si="0"/>
        <v>6.6170747386803175</v>
      </c>
    </row>
    <row r="33" spans="1:14" ht="14.65" thickBot="1" x14ac:dyDescent="0.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  <c r="L33" s="2"/>
      <c r="M33" s="2"/>
      <c r="N33" s="2"/>
    </row>
    <row r="34" spans="1:14" ht="13.9" thickBot="1" x14ac:dyDescent="0.4">
      <c r="A34" s="6">
        <v>6.1</v>
      </c>
      <c r="B34" s="6" t="s">
        <v>16</v>
      </c>
      <c r="C34" s="6"/>
      <c r="D34" s="39">
        <v>30</v>
      </c>
      <c r="E34" s="27">
        <v>29.17</v>
      </c>
      <c r="F34" s="27">
        <v>31.15</v>
      </c>
      <c r="G34" s="210">
        <f t="shared" si="1"/>
        <v>3.833333333333329</v>
      </c>
      <c r="H34" s="210">
        <f t="shared" si="0"/>
        <v>6.7877956804936463</v>
      </c>
      <c r="K34" s="3"/>
      <c r="L34" s="4"/>
      <c r="M34" s="4"/>
      <c r="N34" s="4"/>
    </row>
    <row r="35" spans="1:14" ht="13.9" thickBot="1" x14ac:dyDescent="0.4">
      <c r="A35" s="6">
        <v>6.2</v>
      </c>
      <c r="B35" s="6" t="s">
        <v>15</v>
      </c>
      <c r="C35" s="6"/>
      <c r="D35" s="39">
        <v>36</v>
      </c>
      <c r="E35" s="27">
        <v>35.869999999999997</v>
      </c>
      <c r="F35" s="27">
        <v>33.39</v>
      </c>
      <c r="G35" s="210">
        <f t="shared" si="1"/>
        <v>-7.2499999999999982</v>
      </c>
      <c r="H35" s="210">
        <f t="shared" si="0"/>
        <v>-6.9138555896292084</v>
      </c>
      <c r="K35" s="3"/>
      <c r="L35" s="4"/>
      <c r="M35" s="4"/>
      <c r="N35" s="4"/>
    </row>
    <row r="36" spans="1:14" ht="13.9" thickBot="1" x14ac:dyDescent="0.4">
      <c r="A36" s="6">
        <v>6.3</v>
      </c>
      <c r="B36" s="6" t="s">
        <v>34</v>
      </c>
      <c r="C36" s="6">
        <f>SUM(C34:C35)</f>
        <v>0</v>
      </c>
      <c r="D36" s="39">
        <f>SUM(D34:D35)</f>
        <v>66</v>
      </c>
      <c r="E36" s="27">
        <f>SUM(E34:E35)</f>
        <v>65.039999999999992</v>
      </c>
      <c r="F36" s="27">
        <f>SUM(F34:F35)</f>
        <v>64.539999999999992</v>
      </c>
      <c r="G36" s="210">
        <f t="shared" si="1"/>
        <v>-2.2121212121212244</v>
      </c>
      <c r="H36" s="210">
        <f t="shared" si="0"/>
        <v>-0.7687576875768759</v>
      </c>
      <c r="K36" s="3"/>
      <c r="L36" s="4"/>
      <c r="M36" s="4"/>
      <c r="N36" s="4"/>
    </row>
    <row r="37" spans="1:14" ht="14.65" thickBot="1" x14ac:dyDescent="0.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  <c r="M37" s="4"/>
    </row>
    <row r="38" spans="1:14" ht="13.9" thickBot="1" x14ac:dyDescent="0.4">
      <c r="A38" s="6">
        <v>7.1</v>
      </c>
      <c r="B38" s="6" t="s">
        <v>16</v>
      </c>
      <c r="C38" s="14"/>
      <c r="D38" s="52"/>
      <c r="E38" s="27"/>
      <c r="F38" s="27"/>
      <c r="G38" s="1952"/>
      <c r="H38" s="210" t="e">
        <f t="shared" si="0"/>
        <v>#DIV/0!</v>
      </c>
      <c r="M38" s="4"/>
    </row>
    <row r="39" spans="1:14" ht="13.9" thickBot="1" x14ac:dyDescent="0.4">
      <c r="A39" s="6">
        <v>7.2</v>
      </c>
      <c r="B39" s="6" t="s">
        <v>15</v>
      </c>
      <c r="C39" s="16"/>
      <c r="D39" s="208"/>
      <c r="E39" s="27"/>
      <c r="F39" s="27"/>
      <c r="G39" s="1953"/>
      <c r="H39" s="210" t="e">
        <f t="shared" si="0"/>
        <v>#DIV/0!</v>
      </c>
    </row>
    <row r="40" spans="1:14" ht="13.9" thickBot="1" x14ac:dyDescent="0.4">
      <c r="A40" s="6">
        <v>7.3</v>
      </c>
      <c r="B40" s="6" t="s">
        <v>35</v>
      </c>
      <c r="C40" s="21"/>
      <c r="D40" s="209"/>
      <c r="E40" s="27">
        <f>SUM(E38:E39)</f>
        <v>0</v>
      </c>
      <c r="F40" s="27">
        <f>SUM(F38:F39)</f>
        <v>0</v>
      </c>
      <c r="G40" s="1954"/>
      <c r="H40" s="210" t="e">
        <f t="shared" si="0"/>
        <v>#DIV/0!</v>
      </c>
      <c r="L40" s="1"/>
    </row>
    <row r="41" spans="1:14" ht="14.65" thickBot="1" x14ac:dyDescent="0.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  <c r="L41" s="3"/>
    </row>
    <row r="42" spans="1:14" ht="13.9" thickBot="1" x14ac:dyDescent="0.4">
      <c r="A42" s="6">
        <v>8.1</v>
      </c>
      <c r="B42" s="6" t="s">
        <v>41</v>
      </c>
      <c r="C42" s="6"/>
      <c r="D42" s="222">
        <v>51000</v>
      </c>
      <c r="E42" s="222">
        <v>23223</v>
      </c>
      <c r="F42" s="222">
        <v>24404</v>
      </c>
      <c r="G42" s="210">
        <f>(F42-D42)/D42*100</f>
        <v>-52.149019607843137</v>
      </c>
      <c r="H42" s="210">
        <f t="shared" si="0"/>
        <v>5.0854756060801787</v>
      </c>
      <c r="L42" s="3"/>
    </row>
    <row r="43" spans="1:14" ht="14.65" thickBot="1" x14ac:dyDescent="0.5">
      <c r="A43" s="9">
        <v>9</v>
      </c>
      <c r="B43" s="1931" t="s">
        <v>59</v>
      </c>
      <c r="C43" s="1932"/>
      <c r="D43" s="1932"/>
      <c r="E43" s="1932"/>
      <c r="F43" s="1932"/>
      <c r="G43" s="1932"/>
      <c r="H43" s="1933"/>
      <c r="L43" s="3"/>
    </row>
    <row r="44" spans="1:14" ht="13.9" thickBot="1" x14ac:dyDescent="0.4">
      <c r="A44" s="6">
        <v>9.1</v>
      </c>
      <c r="B44" s="6" t="s">
        <v>36</v>
      </c>
      <c r="C44" s="14"/>
      <c r="D44" s="52"/>
      <c r="E44" s="27"/>
      <c r="F44" s="27"/>
      <c r="G44" s="1952"/>
      <c r="H44" s="210" t="e">
        <f>(F44-E44)/E44*100</f>
        <v>#DIV/0!</v>
      </c>
      <c r="L44" s="3"/>
    </row>
    <row r="45" spans="1:14" x14ac:dyDescent="0.35">
      <c r="A45" s="6">
        <v>9.1999999999999993</v>
      </c>
      <c r="B45" s="6" t="s">
        <v>37</v>
      </c>
      <c r="C45" s="16"/>
      <c r="D45" s="208"/>
      <c r="E45" s="27"/>
      <c r="F45" s="27"/>
      <c r="G45" s="1953"/>
      <c r="H45" s="210" t="e">
        <f t="shared" ref="H45:H50" si="2">(E45-F45)/F45*100</f>
        <v>#DIV/0!</v>
      </c>
    </row>
    <row r="46" spans="1:14" x14ac:dyDescent="0.35">
      <c r="A46" s="6">
        <v>9.3000000000000007</v>
      </c>
      <c r="B46" s="6" t="s">
        <v>38</v>
      </c>
      <c r="C46" s="21"/>
      <c r="D46" s="209"/>
      <c r="E46" s="27">
        <f>SUM(E44:E45)</f>
        <v>0</v>
      </c>
      <c r="F46" s="27">
        <f>SUM(F44:F45)</f>
        <v>0</v>
      </c>
      <c r="G46" s="1954"/>
      <c r="H46" s="210" t="e">
        <f t="shared" si="2"/>
        <v>#DIV/0!</v>
      </c>
    </row>
    <row r="47" spans="1:14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4" x14ac:dyDescent="0.35">
      <c r="A48" s="6">
        <v>10.1</v>
      </c>
      <c r="B48" s="6" t="s">
        <v>39</v>
      </c>
      <c r="C48" s="14"/>
      <c r="D48" s="52"/>
      <c r="E48" s="27"/>
      <c r="F48" s="27"/>
      <c r="G48" s="1952"/>
      <c r="H48" s="210" t="e">
        <f t="shared" si="2"/>
        <v>#DIV/0!</v>
      </c>
    </row>
    <row r="49" spans="1:8" x14ac:dyDescent="0.35">
      <c r="A49" s="6">
        <v>10.199999999999999</v>
      </c>
      <c r="B49" s="6" t="s">
        <v>40</v>
      </c>
      <c r="C49" s="16"/>
      <c r="D49" s="208"/>
      <c r="E49" s="27"/>
      <c r="F49" s="27"/>
      <c r="G49" s="1953"/>
      <c r="H49" s="210" t="e">
        <f t="shared" si="2"/>
        <v>#DIV/0!</v>
      </c>
    </row>
    <row r="50" spans="1:8" x14ac:dyDescent="0.35">
      <c r="A50" s="6">
        <v>10.3</v>
      </c>
      <c r="B50" s="6" t="s">
        <v>0</v>
      </c>
      <c r="C50" s="21"/>
      <c r="D50" s="209"/>
      <c r="E50" s="27">
        <f>SUM(E48:E49)</f>
        <v>0</v>
      </c>
      <c r="F50" s="27">
        <f>SUM(F48:F49)</f>
        <v>0</v>
      </c>
      <c r="G50" s="1954"/>
      <c r="H50" s="210" t="e">
        <f t="shared" si="2"/>
        <v>#DIV/0!</v>
      </c>
    </row>
    <row r="63" spans="1:8" x14ac:dyDescent="0.35">
      <c r="E63" s="12">
        <v>2016</v>
      </c>
      <c r="F63" s="12">
        <v>2015</v>
      </c>
    </row>
    <row r="64" spans="1:8" x14ac:dyDescent="0.35">
      <c r="E64" s="12">
        <v>22383539</v>
      </c>
      <c r="F64" s="12">
        <v>16956085</v>
      </c>
    </row>
    <row r="65" spans="5:6" x14ac:dyDescent="0.35">
      <c r="E65" s="12">
        <v>22343031</v>
      </c>
      <c r="F65" s="12">
        <v>15997380</v>
      </c>
    </row>
    <row r="66" spans="5:6" x14ac:dyDescent="0.35">
      <c r="E66" s="12">
        <v>20915654</v>
      </c>
      <c r="F66" s="12">
        <v>15680137</v>
      </c>
    </row>
    <row r="67" spans="5:6" x14ac:dyDescent="0.35">
      <c r="E67" s="12">
        <v>19259748</v>
      </c>
      <c r="F67" s="12">
        <v>15399814</v>
      </c>
    </row>
    <row r="68" spans="5:6" x14ac:dyDescent="0.35">
      <c r="E68" s="12">
        <v>19803357</v>
      </c>
      <c r="F68" s="12">
        <v>15437500</v>
      </c>
    </row>
    <row r="69" spans="5:6" x14ac:dyDescent="0.35">
      <c r="E69" s="12">
        <f>SUM(E64:E68)</f>
        <v>104705329</v>
      </c>
      <c r="F69" s="12">
        <f>SUM(F64:F68)</f>
        <v>79470916</v>
      </c>
    </row>
  </sheetData>
  <mergeCells count="21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G48:G50"/>
    <mergeCell ref="B23:H23"/>
    <mergeCell ref="C26:C30"/>
    <mergeCell ref="B33:H33"/>
    <mergeCell ref="B37:H37"/>
    <mergeCell ref="G38:G40"/>
    <mergeCell ref="B41:H41"/>
    <mergeCell ref="B43:H43"/>
    <mergeCell ref="G44:G46"/>
    <mergeCell ref="B47:H47"/>
  </mergeCells>
  <pageMargins left="0.70866141732283472" right="0.70866141732283472" top="0.74803149606299213" bottom="0.74803149606299213" header="0.31496062992125984" footer="0.31496062992125984"/>
  <pageSetup scale="87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0"/>
  <sheetViews>
    <sheetView topLeftCell="A5" workbookViewId="0">
      <selection activeCell="F42" sqref="F42"/>
    </sheetView>
  </sheetViews>
  <sheetFormatPr defaultRowHeight="14.25" x14ac:dyDescent="0.45"/>
  <cols>
    <col min="2" max="2" width="33.73046875" customWidth="1"/>
    <col min="4" max="5" width="9.59765625" customWidth="1"/>
    <col min="7" max="7" width="7.73046875" customWidth="1"/>
    <col min="8" max="8" width="7.86328125" customWidth="1"/>
  </cols>
  <sheetData>
    <row r="1" spans="1:14" x14ac:dyDescent="0.45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4" x14ac:dyDescent="0.45">
      <c r="A2" s="1938" t="s">
        <v>172</v>
      </c>
      <c r="B2" s="1938"/>
      <c r="C2" s="1938"/>
      <c r="D2" s="1938"/>
      <c r="E2" s="1938"/>
      <c r="F2" s="1938"/>
      <c r="G2" s="1938"/>
      <c r="H2" s="1938"/>
    </row>
    <row r="3" spans="1:14" x14ac:dyDescent="0.45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14" ht="28.15" x14ac:dyDescent="0.45">
      <c r="A4" s="6"/>
      <c r="B4" s="6"/>
      <c r="C4" s="33" t="s">
        <v>9</v>
      </c>
      <c r="D4" s="33" t="s">
        <v>44</v>
      </c>
      <c r="E4" s="33" t="s">
        <v>44</v>
      </c>
      <c r="F4" s="33" t="s">
        <v>44</v>
      </c>
      <c r="G4" s="25" t="s">
        <v>12</v>
      </c>
      <c r="H4" s="25" t="s">
        <v>13</v>
      </c>
    </row>
    <row r="5" spans="1:14" x14ac:dyDescent="0.45">
      <c r="A5" s="6"/>
      <c r="B5" s="6"/>
      <c r="C5" s="1934" t="s">
        <v>62</v>
      </c>
      <c r="D5" s="1934"/>
      <c r="E5" s="6" t="s">
        <v>66</v>
      </c>
      <c r="F5" s="6" t="s">
        <v>77</v>
      </c>
      <c r="G5" s="6"/>
      <c r="H5" s="6"/>
    </row>
    <row r="6" spans="1:14" x14ac:dyDescent="0.45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14" x14ac:dyDescent="0.45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14" x14ac:dyDescent="0.45">
      <c r="A8" s="6">
        <v>1.1000000000000001</v>
      </c>
      <c r="B8" s="6" t="s">
        <v>16</v>
      </c>
      <c r="C8" s="6"/>
      <c r="D8" s="31">
        <f>'UP TO JULY-19'!D8+'aug-18'!D8+'sept-18'!D8</f>
        <v>10.85</v>
      </c>
      <c r="E8" s="31">
        <f>'UP TO JULY-19'!E8+'aug-18'!E8+'sept-18'!E8</f>
        <v>9.8637501910000012</v>
      </c>
      <c r="F8" s="31">
        <f>'UP TO JULY-19'!F8+'aug-18'!F8+'sept-18'!F8</f>
        <v>10.25</v>
      </c>
      <c r="G8" s="31">
        <f>(F8-D8)/D8*100</f>
        <v>-5.5299539170506877</v>
      </c>
      <c r="H8" s="31">
        <f>(F8-E8)/E8*100</f>
        <v>3.9158514917827647</v>
      </c>
    </row>
    <row r="9" spans="1:14" x14ac:dyDescent="0.45">
      <c r="A9" s="6">
        <v>1.2</v>
      </c>
      <c r="B9" s="6" t="s">
        <v>15</v>
      </c>
      <c r="C9" s="6"/>
      <c r="D9" s="31">
        <f>'UP TO JULY-19'!D9+'aug-18'!D9+'sept-18'!D9</f>
        <v>449.04000000000008</v>
      </c>
      <c r="E9" s="31">
        <f>'UP TO JULY-19'!E9+'aug-18'!E9+'sept-18'!E9</f>
        <v>416.03000000000003</v>
      </c>
      <c r="F9" s="31">
        <f>'UP TO JULY-19'!F9+'aug-18'!F9+'sept-18'!F9</f>
        <v>437.27</v>
      </c>
      <c r="G9" s="31">
        <f>(F9-D9)/D9*100</f>
        <v>-2.6211473365401954</v>
      </c>
      <c r="H9" s="31">
        <f>(F9-E9)/E9*100</f>
        <v>5.1054010528086797</v>
      </c>
    </row>
    <row r="10" spans="1:14" x14ac:dyDescent="0.45">
      <c r="A10" s="6">
        <v>1.3</v>
      </c>
      <c r="B10" s="6" t="s">
        <v>17</v>
      </c>
      <c r="C10" s="6">
        <f>C8+C9</f>
        <v>0</v>
      </c>
      <c r="D10" s="27">
        <f>SUM(D8:D9)</f>
        <v>459.8900000000001</v>
      </c>
      <c r="E10" s="27">
        <f>SUM(E8:E9)</f>
        <v>425.89375019100004</v>
      </c>
      <c r="F10" s="27">
        <f>SUM(F8:F9)</f>
        <v>447.52</v>
      </c>
      <c r="G10" s="31">
        <f>(F10-D10)/D10*100</f>
        <v>-2.689773641522998</v>
      </c>
      <c r="H10" s="31">
        <f>(F10-E10)/E10*100</f>
        <v>5.077850942706073</v>
      </c>
    </row>
    <row r="11" spans="1:14" x14ac:dyDescent="0.45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14" x14ac:dyDescent="0.45">
      <c r="A12" s="6">
        <v>2.1</v>
      </c>
      <c r="B12" s="6" t="s">
        <v>19</v>
      </c>
      <c r="C12" s="1948"/>
      <c r="D12" s="31">
        <f>'UP TO JULY-19'!D12+'aug-18'!D12+'sept-18'!D12</f>
        <v>96.74</v>
      </c>
      <c r="E12" s="31">
        <f>'UP TO JULY-19'!E12+'aug-18'!E12+'sept-18'!E12</f>
        <v>88.97999999999999</v>
      </c>
      <c r="F12" s="31">
        <f>'UP TO JULY-19'!F12+'aug-18'!F12+'sept-18'!F12</f>
        <v>100.05</v>
      </c>
      <c r="G12" s="7">
        <f>(F12-D12)/D12*100</f>
        <v>3.4215422782716587</v>
      </c>
      <c r="H12" s="31">
        <f>(F12-E12)/E12*100</f>
        <v>12.44099797707351</v>
      </c>
    </row>
    <row r="13" spans="1:14" x14ac:dyDescent="0.4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7" t="e">
        <f t="shared" ref="H13:H42" si="0">(F13-E13)/E13*100</f>
        <v>#DIV/0!</v>
      </c>
    </row>
    <row r="14" spans="1:14" x14ac:dyDescent="0.45">
      <c r="A14" s="6">
        <v>2.2999999999999998</v>
      </c>
      <c r="B14" s="6" t="s">
        <v>21</v>
      </c>
      <c r="C14" s="6"/>
      <c r="D14" s="27">
        <f>SUM(D12:D13)</f>
        <v>96.74</v>
      </c>
      <c r="E14" s="27">
        <f>SUM(E12:E13)</f>
        <v>88.97999999999999</v>
      </c>
      <c r="F14" s="27">
        <f>SUM(F12:F13)</f>
        <v>100.05</v>
      </c>
      <c r="G14" s="7">
        <f>(F14-D14)/D14*100</f>
        <v>3.4215422782716587</v>
      </c>
      <c r="H14" s="7">
        <f t="shared" si="0"/>
        <v>12.44099797707351</v>
      </c>
      <c r="N14" s="216"/>
    </row>
    <row r="15" spans="1:14" x14ac:dyDescent="0.45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14" x14ac:dyDescent="0.45">
      <c r="A16" s="6">
        <v>3.1</v>
      </c>
      <c r="B16" s="6" t="s">
        <v>2</v>
      </c>
      <c r="C16" s="6"/>
      <c r="D16" s="31">
        <f>'UP TO JULY-19'!D16+'aug-18'!D16+'sept-18'!D16</f>
        <v>8.43</v>
      </c>
      <c r="E16" s="31">
        <f>'UP TO JULY-19'!E16+'aug-18'!E16+'sept-18'!E16</f>
        <v>7.8140490999999992</v>
      </c>
      <c r="F16" s="31">
        <f>'UP TO JULY-19'!F16+'aug-18'!F16+'sept-18'!F16</f>
        <v>9.1917462000000008</v>
      </c>
      <c r="G16" s="7">
        <f>(F16-D16)/D16*100</f>
        <v>9.036135231316738</v>
      </c>
      <c r="H16" s="31">
        <f>(F16-E16)/E16*100</f>
        <v>17.631026915354315</v>
      </c>
    </row>
    <row r="17" spans="1:11" x14ac:dyDescent="0.45">
      <c r="A17" s="6">
        <v>3.2</v>
      </c>
      <c r="B17" s="6" t="s">
        <v>23</v>
      </c>
      <c r="C17" s="20"/>
      <c r="D17" s="31">
        <f>'UP TO JULY-19'!D17+'aug-18'!D17+'sept-18'!D17</f>
        <v>13.73</v>
      </c>
      <c r="E17" s="31">
        <f>'UP TO JULY-19'!E17+'aug-18'!E17+'sept-18'!E17</f>
        <v>11.928100000000001</v>
      </c>
      <c r="F17" s="31">
        <v>12.03</v>
      </c>
      <c r="G17" s="7">
        <f>(F17-D17)/D17*100</f>
        <v>-12.381646030589955</v>
      </c>
      <c r="H17" s="7">
        <f>(F17-E17)/E17*100</f>
        <v>0.85428525917789733</v>
      </c>
    </row>
    <row r="18" spans="1:11" x14ac:dyDescent="0.45">
      <c r="A18" s="6">
        <v>3.3</v>
      </c>
      <c r="B18" s="6" t="s">
        <v>1</v>
      </c>
      <c r="C18" s="1936"/>
      <c r="D18" s="31">
        <f>'UP TO JULY-19'!D18+'aug-18'!D18+'sept-18'!D18</f>
        <v>2.4500000000000002</v>
      </c>
      <c r="E18" s="31">
        <f>'UP TO JULY-19'!E18+'aug-18'!E18+'sept-18'!E18</f>
        <v>1.1088607000000001</v>
      </c>
      <c r="F18" s="31">
        <f>'UP TO JULY-19'!F18+'aug-18'!F18+'sept-18'!F18</f>
        <v>0.86055700000000002</v>
      </c>
      <c r="G18" s="7">
        <f>(F18-D18)/D18*100</f>
        <v>-64.875224489795926</v>
      </c>
      <c r="H18" s="7">
        <f t="shared" si="0"/>
        <v>-22.392686475406702</v>
      </c>
    </row>
    <row r="19" spans="1:11" x14ac:dyDescent="0.45">
      <c r="A19" s="6">
        <v>3.4</v>
      </c>
      <c r="B19" s="6" t="s">
        <v>24</v>
      </c>
      <c r="C19" s="1936"/>
      <c r="D19" s="129"/>
      <c r="E19" s="31">
        <f>'UP TO JULY-19'!E19+'aug-18'!E19+'sept-18'!E19</f>
        <v>2.1451319999999998</v>
      </c>
      <c r="F19" s="31">
        <f>'UP TO JULY-19'!F19+'aug-18'!F19+'sept-18'!F19</f>
        <v>1.4870350000000001</v>
      </c>
      <c r="G19" s="10"/>
      <c r="H19" s="7">
        <f>(F19-E19)/E19*100</f>
        <v>-30.678624905134033</v>
      </c>
      <c r="J19" s="216">
        <f>E19+E20+E21</f>
        <v>16.624780000000001</v>
      </c>
      <c r="K19" s="216">
        <f>F19+F20+F21</f>
        <v>19.456038900000003</v>
      </c>
    </row>
    <row r="20" spans="1:11" x14ac:dyDescent="0.45">
      <c r="A20" s="6">
        <v>3.5</v>
      </c>
      <c r="B20" s="24" t="s">
        <v>25</v>
      </c>
      <c r="C20" s="1936"/>
      <c r="D20" s="129"/>
      <c r="E20" s="31">
        <f>'UP TO JULY-19'!E20+'aug-18'!E20+'sept-18'!E20</f>
        <v>2.2176769999999997</v>
      </c>
      <c r="F20" s="31">
        <f>'UP TO JULY-19'!F20+'aug-18'!F20+'sept-18'!F20</f>
        <v>1.6942465</v>
      </c>
      <c r="G20" s="10"/>
      <c r="H20" s="7">
        <f>(F20-E20)/E20*100</f>
        <v>-23.602648176447687</v>
      </c>
    </row>
    <row r="21" spans="1:11" x14ac:dyDescent="0.45">
      <c r="A21" s="6">
        <v>3.6</v>
      </c>
      <c r="B21" s="23" t="s">
        <v>26</v>
      </c>
      <c r="C21" s="1937"/>
      <c r="D21" s="130"/>
      <c r="E21" s="31">
        <f>'UP TO JULY-19'!E21+'aug-18'!E21+'sept-18'!E21</f>
        <v>12.261971000000001</v>
      </c>
      <c r="F21" s="31">
        <f>'UP TO JULY-19'!F21+'aug-18'!F21+'sept-18'!F21</f>
        <v>16.274757400000002</v>
      </c>
      <c r="G21" s="45"/>
      <c r="H21" s="7">
        <f>(F21-E21)/E21*100</f>
        <v>32.725459879166252</v>
      </c>
    </row>
    <row r="22" spans="1:11" x14ac:dyDescent="0.45">
      <c r="A22" s="6">
        <v>3.7</v>
      </c>
      <c r="B22" s="23" t="s">
        <v>58</v>
      </c>
      <c r="C22" s="6"/>
      <c r="D22" s="27">
        <f>'UP TO JULY-19'!D22+'aug-18'!D22</f>
        <v>47.260000000000005</v>
      </c>
      <c r="E22" s="31">
        <f>SUM(E16:E21)</f>
        <v>37.475789800000001</v>
      </c>
      <c r="F22" s="31">
        <f>SUM(F16:F21)</f>
        <v>41.538342099999994</v>
      </c>
      <c r="G22" s="7">
        <f>(F22-D22)/D22*100</f>
        <v>-12.106766610241241</v>
      </c>
      <c r="H22" s="7">
        <f t="shared" si="0"/>
        <v>10.840471466194405</v>
      </c>
    </row>
    <row r="23" spans="1:11" x14ac:dyDescent="0.45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11" x14ac:dyDescent="0.45">
      <c r="A24" s="6">
        <v>4.0999999999999996</v>
      </c>
      <c r="B24" s="6" t="s">
        <v>27</v>
      </c>
      <c r="C24" s="6"/>
      <c r="D24" s="31">
        <f>'UP TO JULY-19'!D24+'aug-18'!D24+'sept-18'!D24</f>
        <v>4.9999999999999991</v>
      </c>
      <c r="E24" s="31">
        <f>'UP TO JULY-19'!E24+'aug-18'!E24+'sept-18'!E24</f>
        <v>1.0635935000000001</v>
      </c>
      <c r="F24" s="31">
        <f>'UP TO JULY-19'!F24+'aug-18'!F24+'sept-18'!F24</f>
        <v>3.0179137000000003</v>
      </c>
      <c r="G24" s="7">
        <f>(F24-D24)/D24*100</f>
        <v>-39.641725999999984</v>
      </c>
      <c r="H24" s="7">
        <f t="shared" si="0"/>
        <v>183.74691082636366</v>
      </c>
    </row>
    <row r="25" spans="1:11" x14ac:dyDescent="0.45">
      <c r="A25" s="6">
        <v>4.2</v>
      </c>
      <c r="B25" s="6" t="s">
        <v>28</v>
      </c>
      <c r="C25" s="6"/>
      <c r="D25" s="31">
        <f>'UP TO JULY-19'!D25+'aug-18'!D25+'sept-18'!D25</f>
        <v>1.87355</v>
      </c>
      <c r="E25" s="31">
        <f>'UP TO JULY-19'!E25+'aug-18'!E25+'sept-18'!E25</f>
        <v>1.3588043999999999</v>
      </c>
      <c r="F25" s="31">
        <f>'UP TO JULY-19'!F25+'aug-18'!F25+'sept-18'!F25</f>
        <v>1.5155009000000002</v>
      </c>
      <c r="G25" s="7">
        <f>(E25-D25)/D25*100</f>
        <v>-27.474345493848585</v>
      </c>
      <c r="H25" s="7">
        <f t="shared" si="0"/>
        <v>11.531939402021383</v>
      </c>
    </row>
    <row r="26" spans="1:11" x14ac:dyDescent="0.45">
      <c r="A26" s="6">
        <v>4.3</v>
      </c>
      <c r="B26" s="6" t="s">
        <v>4</v>
      </c>
      <c r="C26" s="1948"/>
      <c r="D26" s="31">
        <f>'UP TO JULY-19'!D26+'aug-18'!D26+'sept-18'!D26</f>
        <v>0</v>
      </c>
      <c r="E26" s="31">
        <f>'UP TO JULY-19'!E26+'aug-18'!E26+'sept-18'!E26</f>
        <v>0.20172170000000003</v>
      </c>
      <c r="F26" s="31">
        <f>'UP TO JULY-19'!F26+'aug-18'!F26+'sept-18'!F26</f>
        <v>1.69125E-2</v>
      </c>
      <c r="G26" s="1925"/>
      <c r="H26" s="7">
        <f t="shared" si="0"/>
        <v>-91.615924315529767</v>
      </c>
    </row>
    <row r="27" spans="1:11" x14ac:dyDescent="0.45">
      <c r="A27" s="6">
        <v>4.4000000000000004</v>
      </c>
      <c r="B27" s="6" t="s">
        <v>29</v>
      </c>
      <c r="C27" s="1947"/>
      <c r="D27" s="31">
        <f>'UP TO JULY-19'!D27+'aug-18'!D27+'sept-18'!D27</f>
        <v>0</v>
      </c>
      <c r="E27" s="31">
        <f>'UP TO JULY-19'!E27+'aug-18'!E27+'sept-18'!E27</f>
        <v>1.3372E-3</v>
      </c>
      <c r="F27" s="31">
        <f>'UP TO JULY-19'!F27+'aug-18'!F27+'sept-18'!F27</f>
        <v>0</v>
      </c>
      <c r="G27" s="1926"/>
      <c r="H27" s="7"/>
    </row>
    <row r="28" spans="1:11" x14ac:dyDescent="0.45">
      <c r="A28" s="6">
        <v>4.5</v>
      </c>
      <c r="B28" s="6" t="s">
        <v>30</v>
      </c>
      <c r="C28" s="1947"/>
      <c r="D28" s="31">
        <f>'UP TO JULY-19'!D28+'aug-18'!D28+'sept-18'!D28</f>
        <v>0</v>
      </c>
      <c r="E28" s="31">
        <f>'UP TO JULY-19'!E28+'aug-18'!E28+'sept-18'!E28</f>
        <v>8.044299999999999E-3</v>
      </c>
      <c r="F28" s="31">
        <f>'UP TO JULY-19'!F28+'aug-18'!F28+'sept-18'!F28</f>
        <v>0</v>
      </c>
      <c r="G28" s="1926"/>
      <c r="H28" s="7"/>
    </row>
    <row r="29" spans="1:11" x14ac:dyDescent="0.45">
      <c r="A29" s="6">
        <v>4.7</v>
      </c>
      <c r="B29" s="6" t="s">
        <v>3</v>
      </c>
      <c r="C29" s="1947"/>
      <c r="D29" s="31">
        <f>'UP TO JULY-19'!D29+'aug-18'!D29+'sept-18'!D29</f>
        <v>0.54333333333333333</v>
      </c>
      <c r="E29" s="31">
        <f>'UP TO JULY-19'!E29+'aug-18'!E29+'sept-18'!E29</f>
        <v>0.23883970000000002</v>
      </c>
      <c r="F29" s="31">
        <f>'UP TO JULY-19'!F29+'aug-18'!F29+'sept-18'!F29</f>
        <v>0.79447139999999994</v>
      </c>
      <c r="G29" s="1926"/>
      <c r="H29" s="7"/>
    </row>
    <row r="30" spans="1:11" x14ac:dyDescent="0.45">
      <c r="A30" s="6">
        <v>4.8</v>
      </c>
      <c r="B30" s="6" t="s">
        <v>31</v>
      </c>
      <c r="C30" s="1949"/>
      <c r="D30" s="31">
        <f>'UP TO JULY-19'!D30+'aug-18'!D30+'sept-18'!D30</f>
        <v>0</v>
      </c>
      <c r="E30" s="31">
        <f>'UP TO JULY-19'!E30+'aug-18'!E30+'sept-18'!E30</f>
        <v>0</v>
      </c>
      <c r="F30" s="31">
        <f>'UP TO JULY-19'!F30+'aug-18'!F30+'sept-18'!F30</f>
        <v>0</v>
      </c>
      <c r="G30" s="1927"/>
      <c r="H30" s="7"/>
    </row>
    <row r="31" spans="1:11" x14ac:dyDescent="0.45">
      <c r="A31" s="6">
        <v>4.9000000000000004</v>
      </c>
      <c r="B31" s="6" t="s">
        <v>32</v>
      </c>
      <c r="C31" s="6"/>
      <c r="D31" s="27">
        <f>SUM(D24:D30)</f>
        <v>7.4168833333333319</v>
      </c>
      <c r="E31" s="27">
        <f>SUM(E24:E30)</f>
        <v>2.8723408000000004</v>
      </c>
      <c r="F31" s="27">
        <f>SUM(F24:F30)</f>
        <v>5.3447985000000005</v>
      </c>
      <c r="G31" s="7">
        <f t="shared" ref="G31:G36" si="1">(F31-D31)/D31*100</f>
        <v>-27.937406322961333</v>
      </c>
      <c r="H31" s="7">
        <f t="shared" si="0"/>
        <v>86.078145740923219</v>
      </c>
    </row>
    <row r="32" spans="1:11" x14ac:dyDescent="0.45">
      <c r="A32" s="9">
        <v>5</v>
      </c>
      <c r="B32" s="9" t="s">
        <v>33</v>
      </c>
      <c r="C32" s="9">
        <f>C10+C14+C22+C31</f>
        <v>0</v>
      </c>
      <c r="D32" s="36">
        <f>D10+D14+D22+D31</f>
        <v>611.30688333333342</v>
      </c>
      <c r="E32" s="48">
        <f>E10+E14+E22+E31</f>
        <v>555.22188079099999</v>
      </c>
      <c r="F32" s="48">
        <f>F10+F14+F22+F31</f>
        <v>594.45314059999998</v>
      </c>
      <c r="G32" s="31">
        <f t="shared" si="1"/>
        <v>-2.7570019564368988</v>
      </c>
      <c r="H32" s="31">
        <f t="shared" si="0"/>
        <v>7.0658706305142287</v>
      </c>
    </row>
    <row r="33" spans="1:8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</row>
    <row r="34" spans="1:8" x14ac:dyDescent="0.45">
      <c r="A34" s="6">
        <v>6.1</v>
      </c>
      <c r="B34" s="6" t="s">
        <v>16</v>
      </c>
      <c r="C34" s="6"/>
      <c r="D34" s="31">
        <f>'UP TO JULY-19'!D34+'aug-18'!D34+'sept-18'!D34</f>
        <v>177.6</v>
      </c>
      <c r="E34" s="31">
        <f>'UP TO JULY-19'!E34+'aug-18'!E34+'sept-18'!E34</f>
        <v>172.8</v>
      </c>
      <c r="F34" s="31">
        <f>'UP TO JULY-19'!F34+'aug-18'!F34+'sept-18'!F34</f>
        <v>178.57</v>
      </c>
      <c r="G34" s="7">
        <f>(F34-D34)/D34*100</f>
        <v>0.54617117117117053</v>
      </c>
      <c r="H34" s="7">
        <f t="shared" si="0"/>
        <v>3.3391203703703596</v>
      </c>
    </row>
    <row r="35" spans="1:8" x14ac:dyDescent="0.45">
      <c r="A35" s="6">
        <v>6.2</v>
      </c>
      <c r="B35" s="6" t="s">
        <v>15</v>
      </c>
      <c r="C35" s="6"/>
      <c r="D35" s="31">
        <f>'UP TO JULY-19'!D35+'aug-18'!D35+'sept-18'!D35</f>
        <v>221.5</v>
      </c>
      <c r="E35" s="31">
        <f>'UP TO JULY-19'!E35+'aug-18'!E35+'sept-18'!E35</f>
        <v>220.41000000000003</v>
      </c>
      <c r="F35" s="31">
        <f>'UP TO JULY-19'!F35+'aug-18'!F35+'sept-18'!F35</f>
        <v>208.17000000000002</v>
      </c>
      <c r="G35" s="7">
        <f t="shared" si="1"/>
        <v>-6.0180586907449136</v>
      </c>
      <c r="H35" s="7">
        <f t="shared" si="0"/>
        <v>-5.5532870559412046</v>
      </c>
    </row>
    <row r="36" spans="1:8" x14ac:dyDescent="0.45">
      <c r="A36" s="6">
        <v>6.3</v>
      </c>
      <c r="B36" s="6" t="s">
        <v>34</v>
      </c>
      <c r="C36" s="6">
        <f>SUM(C34:C35)</f>
        <v>0</v>
      </c>
      <c r="D36" s="27">
        <f>SUM(D34:D35)</f>
        <v>399.1</v>
      </c>
      <c r="E36" s="27">
        <f>SUM(E34:E35)</f>
        <v>393.21000000000004</v>
      </c>
      <c r="F36" s="27">
        <f>SUM(F34:F35)</f>
        <v>386.74</v>
      </c>
      <c r="G36" s="7">
        <f t="shared" si="1"/>
        <v>-3.0969681784014065</v>
      </c>
      <c r="H36" s="7">
        <f t="shared" si="0"/>
        <v>-1.6454311945271041</v>
      </c>
    </row>
    <row r="37" spans="1:8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</row>
    <row r="38" spans="1:8" x14ac:dyDescent="0.45">
      <c r="A38" s="6">
        <v>7.1</v>
      </c>
      <c r="B38" s="6" t="s">
        <v>16</v>
      </c>
      <c r="C38" s="14"/>
      <c r="D38" s="15"/>
      <c r="E38" s="31">
        <f>'UP TO JULY-19'!E38+'aug-18'!E38</f>
        <v>50.260000000000005</v>
      </c>
      <c r="F38" s="31">
        <f>'UP TO JULY-19'!F38+'aug-18'!F38</f>
        <v>54.17</v>
      </c>
      <c r="G38" s="7"/>
      <c r="H38" s="7">
        <f>(F38-E38)/E38*100</f>
        <v>7.7795463589335379</v>
      </c>
    </row>
    <row r="39" spans="1:8" x14ac:dyDescent="0.45">
      <c r="A39" s="6">
        <v>7.2</v>
      </c>
      <c r="B39" s="6" t="s">
        <v>15</v>
      </c>
      <c r="C39" s="16"/>
      <c r="D39" s="17"/>
      <c r="E39" s="31">
        <f>'UP TO JULY-19'!E39+'aug-18'!E39</f>
        <v>568.05999999999995</v>
      </c>
      <c r="F39" s="31">
        <f>'UP TO JULY-19'!F39+'aug-18'!F39</f>
        <v>492.29999999999995</v>
      </c>
      <c r="G39" s="7"/>
      <c r="H39" s="7">
        <f t="shared" si="0"/>
        <v>-13.336619371193184</v>
      </c>
    </row>
    <row r="40" spans="1:8" x14ac:dyDescent="0.45">
      <c r="A40" s="6">
        <v>7.3</v>
      </c>
      <c r="B40" s="6" t="s">
        <v>35</v>
      </c>
      <c r="C40" s="21"/>
      <c r="D40" s="22">
        <f>SUM(D38:D39)</f>
        <v>0</v>
      </c>
      <c r="E40" s="6">
        <f>SUM(E38:E39)</f>
        <v>618.31999999999994</v>
      </c>
      <c r="F40" s="6">
        <f>SUM(F38:F39)</f>
        <v>546.46999999999991</v>
      </c>
      <c r="G40" s="7"/>
      <c r="H40" s="7">
        <f t="shared" si="0"/>
        <v>-11.620196661922634</v>
      </c>
    </row>
    <row r="41" spans="1:8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8" x14ac:dyDescent="0.45">
      <c r="A42" s="6">
        <v>8.1</v>
      </c>
      <c r="B42" s="6" t="s">
        <v>41</v>
      </c>
      <c r="C42" s="6"/>
      <c r="D42" s="7">
        <f>'UP TO JULY-19'!D42+'aug-18'!D42</f>
        <v>294000</v>
      </c>
      <c r="E42" s="7">
        <f>'UP TO JULY-19'!E42+'aug-18'!E42</f>
        <v>140371</v>
      </c>
      <c r="F42" s="7">
        <f>'UP TO JULY-19'!F42+'aug-18'!F42</f>
        <v>153628</v>
      </c>
      <c r="G42" s="7">
        <f>(F42-D42)/D42*100</f>
        <v>-47.745578231292519</v>
      </c>
      <c r="H42" s="7">
        <f t="shared" si="0"/>
        <v>9.4442584294476788</v>
      </c>
    </row>
    <row r="43" spans="1:8" x14ac:dyDescent="0.4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</row>
    <row r="44" spans="1:8" x14ac:dyDescent="0.45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</row>
    <row r="45" spans="1:8" x14ac:dyDescent="0.4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>(F45-E45)/E45*100</f>
        <v>#DIV/0!</v>
      </c>
    </row>
    <row r="46" spans="1:8" x14ac:dyDescent="0.45">
      <c r="A46" s="6">
        <v>9.3000000000000007</v>
      </c>
      <c r="B46" s="6" t="s">
        <v>38</v>
      </c>
      <c r="C46" s="21"/>
      <c r="D46" s="22"/>
      <c r="E46" s="27"/>
      <c r="F46" s="27"/>
      <c r="G46" s="1927"/>
      <c r="H46" s="7" t="e">
        <f>(F46-E46)/E46*100</f>
        <v>#DIV/0!</v>
      </c>
    </row>
    <row r="47" spans="1:8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8" x14ac:dyDescent="0.4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>(E48-F48)/F48*100</f>
        <v>#DIV/0!</v>
      </c>
    </row>
    <row r="49" spans="1:8" x14ac:dyDescent="0.4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>(E49-F49)/F49*100</f>
        <v>#DIV/0!</v>
      </c>
    </row>
    <row r="50" spans="1:8" x14ac:dyDescent="0.45">
      <c r="A50" s="6">
        <v>10.3</v>
      </c>
      <c r="B50" s="6" t="s">
        <v>0</v>
      </c>
      <c r="C50" s="21"/>
      <c r="D50" s="22"/>
      <c r="E50" s="6">
        <f>SUM(E48:E49)</f>
        <v>0</v>
      </c>
      <c r="F50" s="6">
        <f>SUM(F48:F49)</f>
        <v>0</v>
      </c>
      <c r="G50" s="1927"/>
      <c r="H50" s="7" t="e">
        <f>(E50-F50)/F50*100</f>
        <v>#DIV/0!</v>
      </c>
    </row>
  </sheetData>
  <mergeCells count="21">
    <mergeCell ref="B23:H23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C18:C21"/>
    <mergeCell ref="G44:G46"/>
    <mergeCell ref="B47:H47"/>
    <mergeCell ref="G48:G50"/>
    <mergeCell ref="C26:C30"/>
    <mergeCell ref="G26:G30"/>
    <mergeCell ref="B33:H33"/>
    <mergeCell ref="B37:H37"/>
    <mergeCell ref="B41:H41"/>
    <mergeCell ref="B43:H43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U69"/>
  <sheetViews>
    <sheetView topLeftCell="A16" workbookViewId="0">
      <selection activeCell="F22" sqref="F22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4" width="9.1328125" style="5" customWidth="1"/>
    <col min="5" max="5" width="12.3984375" style="5" customWidth="1"/>
    <col min="6" max="6" width="11" style="5" customWidth="1"/>
    <col min="7" max="7" width="9.1328125" style="5" customWidth="1"/>
    <col min="8" max="8" width="7.86328125" style="5" customWidth="1"/>
    <col min="9" max="9" width="9.1328125" style="5" customWidth="1"/>
    <col min="10" max="14" width="9.1328125" style="5"/>
    <col min="15" max="15" width="10.1328125" style="5" customWidth="1"/>
    <col min="16" max="16" width="9.1328125" style="5"/>
    <col min="17" max="17" width="11.265625" style="5" customWidth="1"/>
    <col min="18" max="19" width="9.1328125" style="5"/>
    <col min="20" max="20" width="15" style="5" customWidth="1"/>
    <col min="21" max="21" width="11.86328125" style="5" customWidth="1"/>
    <col min="22" max="16384" width="9.1328125" style="5"/>
  </cols>
  <sheetData>
    <row r="1" spans="1:16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6" ht="13.9" x14ac:dyDescent="0.4">
      <c r="A2" s="1938" t="s">
        <v>173</v>
      </c>
      <c r="B2" s="1938"/>
      <c r="C2" s="1938"/>
      <c r="D2" s="1938"/>
      <c r="E2" s="1938"/>
      <c r="F2" s="1938"/>
      <c r="G2" s="1938"/>
      <c r="H2" s="1938"/>
    </row>
    <row r="3" spans="1:16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16" ht="30.75" customHeight="1" x14ac:dyDescent="0.4">
      <c r="A4" s="6"/>
      <c r="B4" s="6"/>
      <c r="C4" s="6" t="s">
        <v>9</v>
      </c>
      <c r="D4" s="6" t="s">
        <v>52</v>
      </c>
      <c r="E4" s="6" t="str">
        <f>D4</f>
        <v>OCT</v>
      </c>
      <c r="F4" s="6" t="str">
        <f>D4</f>
        <v>OCT</v>
      </c>
      <c r="G4" s="25" t="s">
        <v>12</v>
      </c>
      <c r="H4" s="25" t="s">
        <v>13</v>
      </c>
    </row>
    <row r="5" spans="1:16" x14ac:dyDescent="0.35">
      <c r="A5" s="6"/>
      <c r="B5" s="6"/>
      <c r="C5" s="1934" t="s">
        <v>77</v>
      </c>
      <c r="D5" s="1934"/>
      <c r="E5" s="6">
        <v>20189</v>
      </c>
      <c r="F5" s="6">
        <v>2019</v>
      </c>
      <c r="G5" s="6"/>
      <c r="H5" s="6"/>
    </row>
    <row r="6" spans="1:16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16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16" x14ac:dyDescent="0.35">
      <c r="A8" s="6">
        <v>1.1000000000000001</v>
      </c>
      <c r="B8" s="6" t="s">
        <v>16</v>
      </c>
      <c r="C8" s="6"/>
      <c r="D8" s="50">
        <v>1.67</v>
      </c>
      <c r="E8" s="27">
        <v>1.52</v>
      </c>
      <c r="F8" s="27">
        <v>1.48</v>
      </c>
      <c r="G8" s="7">
        <f>(F8-D8)/D8*100</f>
        <v>-11.377245508982032</v>
      </c>
      <c r="H8" s="31">
        <f>(F8-E8)/E8*100</f>
        <v>-2.6315789473684235</v>
      </c>
    </row>
    <row r="9" spans="1:16" x14ac:dyDescent="0.35">
      <c r="A9" s="6">
        <v>1.2</v>
      </c>
      <c r="B9" s="6" t="s">
        <v>15</v>
      </c>
      <c r="C9" s="6"/>
      <c r="D9" s="50">
        <v>72.53</v>
      </c>
      <c r="E9" s="27">
        <v>65.98</v>
      </c>
      <c r="F9" s="27">
        <v>69.349999999999994</v>
      </c>
      <c r="G9" s="7">
        <f>(F9-D9)/D9*100</f>
        <v>-4.3843926651041043</v>
      </c>
      <c r="H9" s="31">
        <f>(F9-E9)/E9*100</f>
        <v>5.1076083661715526</v>
      </c>
    </row>
    <row r="10" spans="1:16" x14ac:dyDescent="0.35">
      <c r="A10" s="6">
        <v>1.3</v>
      </c>
      <c r="B10" s="6" t="s">
        <v>17</v>
      </c>
      <c r="C10" s="6">
        <f>C8+C9</f>
        <v>0</v>
      </c>
      <c r="D10" s="49">
        <f>SUM(D8:D9)</f>
        <v>74.2</v>
      </c>
      <c r="E10" s="27">
        <f>SUM(E8:E9)</f>
        <v>67.5</v>
      </c>
      <c r="F10" s="27">
        <f>SUM(F8:F9)</f>
        <v>70.83</v>
      </c>
      <c r="G10" s="7">
        <f>(F10-D10)/D10*100</f>
        <v>-4.5417789757412459</v>
      </c>
      <c r="H10" s="31">
        <f>(F10-E10)/E10*100</f>
        <v>4.9333333333333309</v>
      </c>
    </row>
    <row r="11" spans="1:16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16" x14ac:dyDescent="0.35">
      <c r="A12" s="6">
        <v>2.1</v>
      </c>
      <c r="B12" s="6" t="s">
        <v>19</v>
      </c>
      <c r="C12" s="1948"/>
      <c r="D12" s="225">
        <v>23.99</v>
      </c>
      <c r="E12" s="50">
        <v>22.07</v>
      </c>
      <c r="F12" s="50">
        <v>13.7</v>
      </c>
      <c r="G12" s="7">
        <f>(F12-D12)/D12*100</f>
        <v>-42.892872030012505</v>
      </c>
      <c r="H12" s="7">
        <f>(F12-E12)/E12*100</f>
        <v>-37.924784775713647</v>
      </c>
      <c r="L12" s="5">
        <v>360.7</v>
      </c>
      <c r="O12" s="5">
        <f>L12*100000</f>
        <v>36070000</v>
      </c>
      <c r="P12" s="5">
        <f>O12/10000000</f>
        <v>3.6070000000000002</v>
      </c>
    </row>
    <row r="13" spans="1:16" x14ac:dyDescent="0.3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7" t="e">
        <f>(F13-E13)/E13*100</f>
        <v>#DIV/0!</v>
      </c>
      <c r="P13" s="5">
        <f>O13/10000000</f>
        <v>0</v>
      </c>
    </row>
    <row r="14" spans="1:16" x14ac:dyDescent="0.35">
      <c r="A14" s="6">
        <v>2.2999999999999998</v>
      </c>
      <c r="B14" s="6" t="s">
        <v>21</v>
      </c>
      <c r="C14" s="6"/>
      <c r="D14" s="49">
        <f>SUM(D12:D13)</f>
        <v>23.99</v>
      </c>
      <c r="E14" s="50">
        <f>SUM(E12:E13)</f>
        <v>22.07</v>
      </c>
      <c r="F14" s="50">
        <f>SUM(F12:F13)</f>
        <v>13.7</v>
      </c>
      <c r="G14" s="7">
        <f>(F14-D14)/D14*100</f>
        <v>-42.892872030012505</v>
      </c>
      <c r="H14" s="7">
        <f>(F14-E14)/E14*100</f>
        <v>-37.924784775713647</v>
      </c>
      <c r="P14" s="5">
        <f>O14/10000000</f>
        <v>0</v>
      </c>
    </row>
    <row r="15" spans="1:16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  <c r="P15" s="5">
        <f>O15/10000000</f>
        <v>0</v>
      </c>
    </row>
    <row r="16" spans="1:16" x14ac:dyDescent="0.35">
      <c r="A16" s="6">
        <v>3.1</v>
      </c>
      <c r="B16" s="6" t="s">
        <v>2</v>
      </c>
      <c r="C16" s="6"/>
      <c r="D16" s="50">
        <v>1.79</v>
      </c>
      <c r="E16" s="50">
        <v>1.54</v>
      </c>
      <c r="F16" s="50">
        <v>2.35</v>
      </c>
      <c r="G16" s="7">
        <f>(F16-D16)/D16*100</f>
        <v>31.284916201117319</v>
      </c>
      <c r="H16" s="7">
        <f t="shared" ref="H16:H22" si="0">(F16-E16)/E16*100</f>
        <v>52.597402597402599</v>
      </c>
      <c r="P16" s="5">
        <f>O16/10000000</f>
        <v>0</v>
      </c>
    </row>
    <row r="17" spans="1:21" ht="15" customHeight="1" x14ac:dyDescent="0.35">
      <c r="A17" s="6">
        <v>3.2</v>
      </c>
      <c r="B17" s="6" t="s">
        <v>23</v>
      </c>
      <c r="C17" s="20"/>
      <c r="D17" s="20">
        <v>2.21</v>
      </c>
      <c r="E17" s="50">
        <v>2.1530999999999998</v>
      </c>
      <c r="F17" s="50">
        <f>19512792/10000000</f>
        <v>1.9512792000000001</v>
      </c>
      <c r="G17" s="7">
        <f>(F17-D17)/D17*100</f>
        <v>-11.706823529411759</v>
      </c>
      <c r="H17" s="7">
        <f t="shared" si="0"/>
        <v>-9.3734986763271433</v>
      </c>
    </row>
    <row r="18" spans="1:21" x14ac:dyDescent="0.35">
      <c r="A18" s="6">
        <v>3.3</v>
      </c>
      <c r="B18" s="6" t="s">
        <v>1</v>
      </c>
      <c r="C18" s="1936"/>
      <c r="D18" s="129">
        <v>0.33</v>
      </c>
      <c r="E18" s="50">
        <f>1530197/10000000</f>
        <v>0.15301970000000001</v>
      </c>
      <c r="F18" s="233">
        <f>1072666/10000000</f>
        <v>0.1072666</v>
      </c>
      <c r="G18" s="7">
        <f>(F18-D18)/D18*100</f>
        <v>-67.494969696969704</v>
      </c>
      <c r="H18" s="7">
        <f>(F18-E18)/E18*100</f>
        <v>-29.900137041178361</v>
      </c>
    </row>
    <row r="19" spans="1:21" x14ac:dyDescent="0.35">
      <c r="A19" s="6">
        <v>3.4</v>
      </c>
      <c r="B19" s="6" t="s">
        <v>24</v>
      </c>
      <c r="C19" s="1936"/>
      <c r="D19" s="129"/>
      <c r="E19" s="50">
        <f>2558100/10000000</f>
        <v>0.25580999999999998</v>
      </c>
      <c r="F19" s="50">
        <f>634190/10000000</f>
        <v>6.3419000000000003E-2</v>
      </c>
      <c r="G19" s="10"/>
      <c r="H19" s="7">
        <f t="shared" si="0"/>
        <v>-75.208553223095265</v>
      </c>
      <c r="N19" s="5">
        <f>382540</f>
        <v>382540</v>
      </c>
      <c r="O19" s="5">
        <v>1777290</v>
      </c>
    </row>
    <row r="20" spans="1:21" ht="30.75" customHeight="1" x14ac:dyDescent="0.35">
      <c r="A20" s="6">
        <v>3.5</v>
      </c>
      <c r="B20" s="24" t="s">
        <v>25</v>
      </c>
      <c r="C20" s="1936"/>
      <c r="D20" s="129"/>
      <c r="E20" s="6"/>
      <c r="F20" s="6"/>
      <c r="G20" s="10"/>
      <c r="H20" s="7" t="e">
        <f t="shared" si="0"/>
        <v>#DIV/0!</v>
      </c>
      <c r="N20" s="5">
        <v>215790</v>
      </c>
      <c r="O20" s="5">
        <v>780810</v>
      </c>
    </row>
    <row r="21" spans="1:21" ht="35.25" customHeight="1" x14ac:dyDescent="0.35">
      <c r="A21" s="6">
        <v>3.6</v>
      </c>
      <c r="B21" s="23" t="s">
        <v>26</v>
      </c>
      <c r="C21" s="1937"/>
      <c r="D21" s="130"/>
      <c r="E21" s="31">
        <f>'[3]oct -19 (2)'!$L$48</f>
        <v>2.6664062999999998</v>
      </c>
      <c r="F21" s="31">
        <f>'[3]oct -19 (2)'!$K$48</f>
        <v>3.2747733999999999</v>
      </c>
      <c r="G21" s="45"/>
      <c r="H21" s="7">
        <f t="shared" si="0"/>
        <v>22.81599394660897</v>
      </c>
      <c r="N21" s="5">
        <v>35860</v>
      </c>
    </row>
    <row r="22" spans="1:21" ht="34.5" customHeight="1" x14ac:dyDescent="0.35">
      <c r="A22" s="6">
        <v>3.7</v>
      </c>
      <c r="B22" s="23" t="s">
        <v>58</v>
      </c>
      <c r="C22" s="6"/>
      <c r="D22" s="50">
        <v>8.85</v>
      </c>
      <c r="E22" s="31">
        <f>SUM(E16:E21)</f>
        <v>6.7683359999999997</v>
      </c>
      <c r="F22" s="31">
        <f>SUM(F16:F21)</f>
        <v>7.7467381999999994</v>
      </c>
      <c r="G22" s="7">
        <f>(F22-D22)/D22*100</f>
        <v>-12.466235028248592</v>
      </c>
      <c r="H22" s="7">
        <f t="shared" si="0"/>
        <v>14.455579628434517</v>
      </c>
      <c r="N22" s="5">
        <f>SUM(N19:N21)</f>
        <v>634190</v>
      </c>
      <c r="O22" s="5">
        <f>SUM(O19:O21)</f>
        <v>2558100</v>
      </c>
    </row>
    <row r="23" spans="1:21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21" x14ac:dyDescent="0.35">
      <c r="A24" s="6">
        <v>4.0999999999999996</v>
      </c>
      <c r="B24" s="6" t="s">
        <v>27</v>
      </c>
      <c r="C24" s="6"/>
      <c r="D24" s="6">
        <v>0.83333333333333326</v>
      </c>
      <c r="E24" s="30">
        <f>42254880/10000000</f>
        <v>4.2254880000000004</v>
      </c>
      <c r="F24" s="30">
        <v>0.2850821</v>
      </c>
      <c r="G24" s="31">
        <f>(F24-D24)/D24*100</f>
        <v>-65.790147999999988</v>
      </c>
      <c r="H24" s="31">
        <f t="shared" ref="H24:H32" si="1">(F24-E24)/E24*100</f>
        <v>-93.253273941376719</v>
      </c>
      <c r="I24" s="10"/>
      <c r="J24" s="5">
        <f t="shared" ref="J24:J29" si="2">D24*100</f>
        <v>83.333333333333329</v>
      </c>
    </row>
    <row r="25" spans="1:21" x14ac:dyDescent="0.35">
      <c r="A25" s="6">
        <v>4.2</v>
      </c>
      <c r="B25" s="6" t="s">
        <v>28</v>
      </c>
      <c r="C25" s="6"/>
      <c r="D25" s="12">
        <v>0.31225833333333336</v>
      </c>
      <c r="E25" s="27">
        <f>6705766/10000000</f>
        <v>0.67057659999999997</v>
      </c>
      <c r="F25" s="27">
        <f>368930/10000000</f>
        <v>3.6893000000000002E-2</v>
      </c>
      <c r="G25" s="31">
        <f>(F25-D25)/D25*100</f>
        <v>-88.185103146433235</v>
      </c>
      <c r="H25" s="31">
        <f t="shared" si="1"/>
        <v>-94.498316821672574</v>
      </c>
      <c r="I25" s="13"/>
      <c r="J25" s="5">
        <f t="shared" si="2"/>
        <v>31.225833333333338</v>
      </c>
    </row>
    <row r="26" spans="1:21" x14ac:dyDescent="0.35">
      <c r="A26" s="6">
        <v>4.3</v>
      </c>
      <c r="B26" s="6" t="s">
        <v>4</v>
      </c>
      <c r="C26" s="1948"/>
      <c r="D26" s="6">
        <v>0</v>
      </c>
      <c r="E26" s="6">
        <f>109311/10000000</f>
        <v>1.0931099999999999E-2</v>
      </c>
      <c r="F26" s="6">
        <v>0</v>
      </c>
      <c r="G26" s="7" t="e">
        <f>(E26-D26)/D26*100</f>
        <v>#DIV/0!</v>
      </c>
      <c r="H26" s="7">
        <f t="shared" si="1"/>
        <v>-100</v>
      </c>
      <c r="I26" s="12"/>
      <c r="J26" s="5">
        <f t="shared" si="2"/>
        <v>0</v>
      </c>
    </row>
    <row r="27" spans="1:21" x14ac:dyDescent="0.35">
      <c r="A27" s="6">
        <v>4.4000000000000004</v>
      </c>
      <c r="B27" s="6" t="s">
        <v>29</v>
      </c>
      <c r="C27" s="1947"/>
      <c r="D27" s="6"/>
      <c r="E27" s="6">
        <v>0</v>
      </c>
      <c r="F27" s="6">
        <v>0</v>
      </c>
      <c r="G27" s="7" t="e">
        <f>(E27-D27)/D27*100</f>
        <v>#DIV/0!</v>
      </c>
      <c r="H27" s="7" t="e">
        <f t="shared" si="1"/>
        <v>#DIV/0!</v>
      </c>
      <c r="J27" s="5">
        <f t="shared" si="2"/>
        <v>0</v>
      </c>
      <c r="T27" s="5" t="s">
        <v>132</v>
      </c>
      <c r="U27" s="5">
        <v>2500</v>
      </c>
    </row>
    <row r="28" spans="1:21" x14ac:dyDescent="0.35">
      <c r="A28" s="6">
        <v>4.5</v>
      </c>
      <c r="B28" s="6" t="s">
        <v>30</v>
      </c>
      <c r="C28" s="1947"/>
      <c r="D28" s="230"/>
      <c r="E28" s="6">
        <v>0</v>
      </c>
      <c r="F28" s="6">
        <v>0</v>
      </c>
      <c r="G28" s="7" t="e">
        <f>(E28-D28)/D28*100</f>
        <v>#DIV/0!</v>
      </c>
      <c r="H28" s="7" t="e">
        <f t="shared" si="1"/>
        <v>#DIV/0!</v>
      </c>
      <c r="I28" s="13"/>
      <c r="J28" s="5">
        <f t="shared" si="2"/>
        <v>0</v>
      </c>
      <c r="K28" s="5">
        <v>0</v>
      </c>
      <c r="L28" s="5">
        <f>J28/10000000</f>
        <v>0</v>
      </c>
      <c r="T28" s="5" t="s">
        <v>133</v>
      </c>
      <c r="U28" s="5">
        <v>2500</v>
      </c>
    </row>
    <row r="29" spans="1:21" x14ac:dyDescent="0.35">
      <c r="A29" s="6">
        <v>4.7</v>
      </c>
      <c r="B29" s="6" t="s">
        <v>3</v>
      </c>
      <c r="C29" s="1947"/>
      <c r="D29" s="231">
        <v>0.13583333333333333</v>
      </c>
      <c r="E29" s="27">
        <v>9.8779900000000004E-2</v>
      </c>
      <c r="F29" s="27">
        <v>0.2187933</v>
      </c>
      <c r="G29" s="7">
        <f>(E29-D29)/D29*100</f>
        <v>-27.278601226993864</v>
      </c>
      <c r="H29" s="7">
        <f t="shared" si="1"/>
        <v>121.49576988840846</v>
      </c>
      <c r="I29" s="12"/>
      <c r="J29" s="5">
        <f t="shared" si="2"/>
        <v>13.583333333333334</v>
      </c>
      <c r="K29" s="5">
        <f>300815+381063+50523+234520+12878</f>
        <v>979799</v>
      </c>
      <c r="L29" s="5">
        <f>J29/10000000</f>
        <v>1.3583333333333334E-6</v>
      </c>
      <c r="M29" s="5">
        <f>K29/10000000</f>
        <v>9.7979899999999995E-2</v>
      </c>
      <c r="T29" s="5" t="s">
        <v>51</v>
      </c>
      <c r="U29" s="5">
        <v>1500</v>
      </c>
    </row>
    <row r="30" spans="1:21" x14ac:dyDescent="0.35">
      <c r="A30" s="6">
        <v>4.8</v>
      </c>
      <c r="B30" s="6" t="s">
        <v>31</v>
      </c>
      <c r="C30" s="1949"/>
      <c r="D30" s="6"/>
      <c r="E30" s="6"/>
      <c r="F30" s="6"/>
      <c r="G30" s="45"/>
      <c r="H30" s="7" t="e">
        <f t="shared" si="1"/>
        <v>#DIV/0!</v>
      </c>
      <c r="J30" s="5">
        <f>SUM(J24:J29)</f>
        <v>128.14250000000001</v>
      </c>
      <c r="T30" s="5" t="s">
        <v>134</v>
      </c>
      <c r="U30" s="5">
        <v>1500</v>
      </c>
    </row>
    <row r="31" spans="1:21" x14ac:dyDescent="0.35">
      <c r="A31" s="6">
        <v>4.9000000000000004</v>
      </c>
      <c r="B31" s="6" t="s">
        <v>32</v>
      </c>
      <c r="C31" s="6"/>
      <c r="D31" s="30">
        <f>SUM(D24:D30)</f>
        <v>1.2814249999999998</v>
      </c>
      <c r="E31" s="27">
        <f>SUM(E24:E30)</f>
        <v>5.0057756000000007</v>
      </c>
      <c r="F31" s="27">
        <f>SUM(F24:F30)</f>
        <v>0.54076840000000004</v>
      </c>
      <c r="G31" s="31">
        <f>(F31-D31)/D31*100</f>
        <v>-57.799449831242555</v>
      </c>
      <c r="H31" s="31">
        <f t="shared" si="1"/>
        <v>-89.197110633564961</v>
      </c>
      <c r="T31" s="5" t="s">
        <v>135</v>
      </c>
      <c r="U31" s="5">
        <v>1500</v>
      </c>
    </row>
    <row r="32" spans="1:21" ht="13.9" x14ac:dyDescent="0.4">
      <c r="A32" s="9">
        <v>5</v>
      </c>
      <c r="B32" s="9" t="s">
        <v>33</v>
      </c>
      <c r="C32" s="9">
        <f>C10+C14+C22+C31</f>
        <v>0</v>
      </c>
      <c r="D32" s="28">
        <f>D10+D14+D22+D31</f>
        <v>108.32142499999999</v>
      </c>
      <c r="E32" s="28">
        <f>E10+E14+E22+E31</f>
        <v>101.34411160000001</v>
      </c>
      <c r="F32" s="28">
        <f>F10+F14+F22+F31</f>
        <v>92.817506600000002</v>
      </c>
      <c r="G32" s="7">
        <f>(F32-D32)/D32*100</f>
        <v>-14.312882608403637</v>
      </c>
      <c r="H32" s="7">
        <f t="shared" si="1"/>
        <v>-8.4135179295409639</v>
      </c>
      <c r="T32" s="5" t="s">
        <v>136</v>
      </c>
      <c r="U32" s="5">
        <v>1500</v>
      </c>
    </row>
    <row r="33" spans="1:21" ht="14.25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  <c r="T33" s="5" t="s">
        <v>137</v>
      </c>
    </row>
    <row r="34" spans="1:21" x14ac:dyDescent="0.35">
      <c r="A34" s="6">
        <v>6.1</v>
      </c>
      <c r="B34" s="6" t="s">
        <v>16</v>
      </c>
      <c r="C34" s="6"/>
      <c r="D34" s="50">
        <v>28.6</v>
      </c>
      <c r="E34" s="27">
        <v>27.77</v>
      </c>
      <c r="F34" s="27">
        <v>25.831990000000001</v>
      </c>
      <c r="G34" s="31">
        <f>(F34-D34)/D34*100</f>
        <v>-9.6783566433566435</v>
      </c>
      <c r="H34" s="31">
        <f>(F34-E34)/E34*100</f>
        <v>-6.9787900612171354</v>
      </c>
      <c r="U34" s="5">
        <f>SUM(U27:U33)</f>
        <v>11000</v>
      </c>
    </row>
    <row r="35" spans="1:21" x14ac:dyDescent="0.35">
      <c r="A35" s="6">
        <v>6.2</v>
      </c>
      <c r="B35" s="6" t="s">
        <v>15</v>
      </c>
      <c r="C35" s="6"/>
      <c r="D35" s="50">
        <v>35.9</v>
      </c>
      <c r="E35" s="27">
        <v>35.700000000000003</v>
      </c>
      <c r="F35" s="27">
        <v>35.19</v>
      </c>
      <c r="G35" s="31">
        <f>(F35-D35)/D35*100</f>
        <v>-1.9777158774373285</v>
      </c>
      <c r="H35" s="31">
        <f>(F35-E35)/E35*100</f>
        <v>-1.4285714285714428</v>
      </c>
    </row>
    <row r="36" spans="1:21" x14ac:dyDescent="0.35">
      <c r="A36" s="6">
        <v>6.3</v>
      </c>
      <c r="B36" s="6" t="s">
        <v>34</v>
      </c>
      <c r="C36" s="6">
        <f>SUM(C34:C35)</f>
        <v>0</v>
      </c>
      <c r="D36" s="50">
        <f>SUM(D34:D35)</f>
        <v>64.5</v>
      </c>
      <c r="E36" s="27">
        <f>SUM(E34:E35)</f>
        <v>63.47</v>
      </c>
      <c r="F36" s="27">
        <f>SUM(F34:F35)</f>
        <v>61.021990000000002</v>
      </c>
      <c r="G36" s="31">
        <f>(F36-D36)/D36*100</f>
        <v>-5.3922635658914686</v>
      </c>
      <c r="H36" s="31">
        <f>(F36-E36)/E36*100</f>
        <v>-3.8569560422246676</v>
      </c>
    </row>
    <row r="37" spans="1:21" ht="14.25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</row>
    <row r="38" spans="1:21" x14ac:dyDescent="0.35">
      <c r="A38" s="6">
        <v>7.1</v>
      </c>
      <c r="B38" s="6" t="s">
        <v>16</v>
      </c>
      <c r="C38" s="14"/>
      <c r="D38" s="15"/>
      <c r="E38" s="6"/>
      <c r="F38" s="6"/>
      <c r="G38" s="1925"/>
      <c r="H38" s="7" t="e">
        <f>(F38-E38)/E38*100</f>
        <v>#DIV/0!</v>
      </c>
    </row>
    <row r="39" spans="1:21" x14ac:dyDescent="0.35">
      <c r="A39" s="6">
        <v>7.2</v>
      </c>
      <c r="B39" s="6" t="s">
        <v>15</v>
      </c>
      <c r="C39" s="16"/>
      <c r="D39" s="17"/>
      <c r="E39" s="6"/>
      <c r="F39" s="6"/>
      <c r="G39" s="1926"/>
      <c r="H39" s="7" t="e">
        <f>(F39-E39)/E39*100</f>
        <v>#DIV/0!</v>
      </c>
    </row>
    <row r="40" spans="1:21" x14ac:dyDescent="0.35">
      <c r="A40" s="6">
        <v>7.3</v>
      </c>
      <c r="B40" s="6" t="s">
        <v>35</v>
      </c>
      <c r="C40" s="21"/>
      <c r="D40" s="22"/>
      <c r="E40" s="6">
        <f>SUM(E38:E39)</f>
        <v>0</v>
      </c>
      <c r="F40" s="6">
        <f>SUM(F38:F39)</f>
        <v>0</v>
      </c>
      <c r="G40" s="1927"/>
      <c r="H40" s="7" t="e">
        <f>(F40-E40)/E40*100</f>
        <v>#DIV/0!</v>
      </c>
    </row>
    <row r="41" spans="1:21" ht="14.25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21" x14ac:dyDescent="0.35">
      <c r="A42" s="6">
        <v>8.1</v>
      </c>
      <c r="B42" s="6" t="s">
        <v>41</v>
      </c>
      <c r="C42" s="6"/>
      <c r="D42" s="49">
        <v>65000</v>
      </c>
      <c r="E42" s="49">
        <v>30460</v>
      </c>
      <c r="F42" s="49">
        <v>41615</v>
      </c>
      <c r="G42" s="7">
        <f>(F42-D42)/D42*100</f>
        <v>-35.976923076923079</v>
      </c>
      <c r="H42" s="7">
        <f>(F42-E42)/E42*100</f>
        <v>36.621799080761654</v>
      </c>
    </row>
    <row r="43" spans="1:21" ht="14.25" x14ac:dyDescent="0.4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</row>
    <row r="44" spans="1:21" x14ac:dyDescent="0.35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</row>
    <row r="45" spans="1:21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 t="shared" ref="H45:H50" si="3">(E45-F45)/F45*100</f>
        <v>#DIV/0!</v>
      </c>
    </row>
    <row r="46" spans="1:21" x14ac:dyDescent="0.35">
      <c r="A46" s="6">
        <v>9.3000000000000007</v>
      </c>
      <c r="B46" s="6" t="s">
        <v>38</v>
      </c>
      <c r="C46" s="21"/>
      <c r="D46" s="22"/>
      <c r="E46" s="27"/>
      <c r="F46" s="27"/>
      <c r="G46" s="1927"/>
      <c r="H46" s="7" t="e">
        <f t="shared" si="3"/>
        <v>#DIV/0!</v>
      </c>
      <c r="Q46" s="5">
        <v>92000614</v>
      </c>
    </row>
    <row r="47" spans="1:21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  <c r="Q47" s="5">
        <v>22947681</v>
      </c>
    </row>
    <row r="48" spans="1:21" x14ac:dyDescent="0.3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 t="shared" si="3"/>
        <v>#DIV/0!</v>
      </c>
      <c r="Q48" s="5">
        <f>SUM(Q46:Q47)</f>
        <v>114948295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 t="shared" si="3"/>
        <v>#DIV/0!</v>
      </c>
    </row>
    <row r="50" spans="1:8" x14ac:dyDescent="0.35">
      <c r="A50" s="6">
        <v>10.3</v>
      </c>
      <c r="B50" s="6" t="s">
        <v>0</v>
      </c>
      <c r="C50" s="21"/>
      <c r="D50" s="22"/>
      <c r="E50" s="6">
        <f>SUM(E48:E49)</f>
        <v>0</v>
      </c>
      <c r="F50" s="6">
        <f>SUM(F48:F49)</f>
        <v>0</v>
      </c>
      <c r="G50" s="1927"/>
      <c r="H50" s="7" t="e">
        <f t="shared" si="3"/>
        <v>#DIV/0!</v>
      </c>
    </row>
    <row r="53" spans="1:8" x14ac:dyDescent="0.35">
      <c r="C53" s="5">
        <f>C42/12</f>
        <v>0</v>
      </c>
      <c r="E53" s="5">
        <f>12570/31</f>
        <v>405.48387096774195</v>
      </c>
    </row>
    <row r="54" spans="1:8" x14ac:dyDescent="0.35">
      <c r="E54" s="5">
        <f>E53*15</f>
        <v>6082.2580645161288</v>
      </c>
    </row>
    <row r="63" spans="1:8" x14ac:dyDescent="0.35">
      <c r="E63" s="5">
        <v>2016</v>
      </c>
      <c r="F63" s="5">
        <v>2015</v>
      </c>
    </row>
    <row r="64" spans="1:8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1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G48:G50"/>
    <mergeCell ref="B23:H23"/>
    <mergeCell ref="C26:C30"/>
    <mergeCell ref="B33:H33"/>
    <mergeCell ref="B37:H37"/>
    <mergeCell ref="G38:G40"/>
    <mergeCell ref="B41:H41"/>
    <mergeCell ref="B43:H43"/>
    <mergeCell ref="G44:G46"/>
    <mergeCell ref="B47:H47"/>
  </mergeCells>
  <printOptions horizontalCentered="1" verticalCentered="1"/>
  <pageMargins left="0.70866141732283505" right="0.70866141732283505" top="0.74803149606299202" bottom="0.74803149606299202" header="0.31496062992126" footer="0.31496062992126"/>
  <pageSetup scale="8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H50"/>
  <sheetViews>
    <sheetView workbookViewId="0">
      <selection activeCell="J37" sqref="J37"/>
    </sheetView>
  </sheetViews>
  <sheetFormatPr defaultRowHeight="14.25" x14ac:dyDescent="0.45"/>
  <cols>
    <col min="1" max="1" width="7.1328125" customWidth="1"/>
    <col min="2" max="2" width="24.3984375" customWidth="1"/>
    <col min="3" max="3" width="6.73046875" customWidth="1"/>
    <col min="4" max="4" width="11.59765625" style="244" customWidth="1"/>
    <col min="5" max="6" width="7.265625" style="244" customWidth="1"/>
    <col min="7" max="7" width="9.59765625" customWidth="1"/>
    <col min="8" max="8" width="7.73046875" customWidth="1"/>
  </cols>
  <sheetData>
    <row r="1" spans="1:8" x14ac:dyDescent="0.45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8" x14ac:dyDescent="0.45">
      <c r="A2" s="1938" t="s">
        <v>174</v>
      </c>
      <c r="B2" s="1938"/>
      <c r="C2" s="1938"/>
      <c r="D2" s="1938"/>
      <c r="E2" s="1938"/>
      <c r="F2" s="1938"/>
      <c r="G2" s="1938"/>
      <c r="H2" s="1938"/>
    </row>
    <row r="3" spans="1:8" x14ac:dyDescent="0.45">
      <c r="A3" s="6" t="s">
        <v>6</v>
      </c>
      <c r="B3" s="6" t="s">
        <v>7</v>
      </c>
      <c r="C3" s="1934" t="s">
        <v>8</v>
      </c>
      <c r="D3" s="1934"/>
      <c r="E3" s="1957" t="s">
        <v>10</v>
      </c>
      <c r="F3" s="1957"/>
      <c r="G3" s="1939" t="s">
        <v>11</v>
      </c>
      <c r="H3" s="1939"/>
    </row>
    <row r="4" spans="1:8" ht="28.15" x14ac:dyDescent="0.45">
      <c r="A4" s="6"/>
      <c r="B4" s="6"/>
      <c r="C4" s="6" t="s">
        <v>9</v>
      </c>
      <c r="D4" s="234" t="s">
        <v>52</v>
      </c>
      <c r="E4" s="234" t="str">
        <f>D4</f>
        <v>OCT</v>
      </c>
      <c r="F4" s="234" t="str">
        <f>D4</f>
        <v>OCT</v>
      </c>
      <c r="G4" s="25" t="s">
        <v>12</v>
      </c>
      <c r="H4" s="25" t="s">
        <v>13</v>
      </c>
    </row>
    <row r="5" spans="1:8" x14ac:dyDescent="0.45">
      <c r="A5" s="6"/>
      <c r="B5" s="6"/>
      <c r="C5" s="1934" t="s">
        <v>77</v>
      </c>
      <c r="D5" s="1934"/>
      <c r="E5" s="234">
        <v>20189</v>
      </c>
      <c r="F5" s="234">
        <v>2019</v>
      </c>
      <c r="G5" s="6"/>
      <c r="H5" s="6"/>
    </row>
    <row r="6" spans="1:8" x14ac:dyDescent="0.45">
      <c r="A6" s="29">
        <v>1</v>
      </c>
      <c r="B6" s="29">
        <v>2</v>
      </c>
      <c r="C6" s="29">
        <v>3</v>
      </c>
      <c r="D6" s="235">
        <v>4</v>
      </c>
      <c r="E6" s="235">
        <v>5</v>
      </c>
      <c r="F6" s="235">
        <v>6</v>
      </c>
      <c r="G6" s="29">
        <v>7</v>
      </c>
      <c r="H6" s="29">
        <v>8</v>
      </c>
    </row>
    <row r="7" spans="1:8" x14ac:dyDescent="0.45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8" x14ac:dyDescent="0.45">
      <c r="A8" s="6">
        <v>1.1000000000000001</v>
      </c>
      <c r="B8" s="6" t="s">
        <v>16</v>
      </c>
      <c r="C8" s="6"/>
      <c r="D8" s="236">
        <f>'UP TO SEP 2019'!D8+'oct-18'!D8</f>
        <v>12.52</v>
      </c>
      <c r="E8" s="236">
        <f>'UP TO SEP 2019'!E8+'oct-18'!E8</f>
        <v>11.383750191000001</v>
      </c>
      <c r="F8" s="236">
        <f>'UP TO SEP 2019'!F8+'oct-18'!F8</f>
        <v>11.73</v>
      </c>
      <c r="G8" s="7">
        <f>(F8-D8)/D8*100</f>
        <v>-6.3099041533546254</v>
      </c>
      <c r="H8" s="31">
        <f>(F8-E8)/E8*100</f>
        <v>3.0416146102164556</v>
      </c>
    </row>
    <row r="9" spans="1:8" x14ac:dyDescent="0.45">
      <c r="A9" s="6">
        <v>1.2</v>
      </c>
      <c r="B9" s="6" t="s">
        <v>15</v>
      </c>
      <c r="C9" s="6"/>
      <c r="D9" s="236">
        <f>'UP TO SEP 2019'!D9+'oct-18'!D9</f>
        <v>521.57000000000005</v>
      </c>
      <c r="E9" s="236">
        <f>'UP TO SEP 2019'!E9+'oct-18'!E9</f>
        <v>482.01000000000005</v>
      </c>
      <c r="F9" s="236">
        <f>'UP TO SEP 2019'!F9+'oct-18'!F9</f>
        <v>506.62</v>
      </c>
      <c r="G9" s="7">
        <f>(F9-D9)/D9*100</f>
        <v>-2.8663458404432856</v>
      </c>
      <c r="H9" s="31">
        <f>(F9-E9)/E9*100</f>
        <v>5.1057032011783896</v>
      </c>
    </row>
    <row r="10" spans="1:8" x14ac:dyDescent="0.45">
      <c r="A10" s="6">
        <v>1.3</v>
      </c>
      <c r="B10" s="6" t="s">
        <v>17</v>
      </c>
      <c r="C10" s="6">
        <f>C8+C9</f>
        <v>0</v>
      </c>
      <c r="D10" s="245">
        <f>SUM(D8:D9)</f>
        <v>534.09</v>
      </c>
      <c r="E10" s="241">
        <f>SUM(E8:E9)</f>
        <v>493.39375019100004</v>
      </c>
      <c r="F10" s="241">
        <f>SUM(F8:F9)</f>
        <v>518.35</v>
      </c>
      <c r="G10" s="7">
        <f>(F10-D10)/D10*100</f>
        <v>-2.9470688460746333</v>
      </c>
      <c r="H10" s="31">
        <f>(F10-E10)/E10*100</f>
        <v>5.0580798397505138</v>
      </c>
    </row>
    <row r="11" spans="1:8" x14ac:dyDescent="0.45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8" x14ac:dyDescent="0.45">
      <c r="A12" s="6">
        <v>2.1</v>
      </c>
      <c r="B12" s="6" t="s">
        <v>19</v>
      </c>
      <c r="C12" s="1948"/>
      <c r="D12" s="236">
        <f>'UP TO SEP 2019'!D12+'oct-18'!D12</f>
        <v>120.72999999999999</v>
      </c>
      <c r="E12" s="236">
        <f>'UP TO SEP 2019'!E12+'oct-18'!E12</f>
        <v>111.04999999999998</v>
      </c>
      <c r="F12" s="236">
        <f>'UP TO SEP 2019'!F12+'oct-18'!F12</f>
        <v>113.75</v>
      </c>
      <c r="G12" s="7">
        <f>(F12-D12)/D12*100</f>
        <v>-5.7814958999420112</v>
      </c>
      <c r="H12" s="7">
        <f>(F12-E12)/E12*100</f>
        <v>2.4313372354795293</v>
      </c>
    </row>
    <row r="13" spans="1:8" x14ac:dyDescent="0.45">
      <c r="A13" s="6">
        <v>2.2000000000000002</v>
      </c>
      <c r="B13" s="6" t="s">
        <v>20</v>
      </c>
      <c r="C13" s="1947"/>
      <c r="D13" s="237"/>
      <c r="E13" s="236"/>
      <c r="F13" s="236"/>
      <c r="G13" s="7"/>
      <c r="H13" s="7" t="e">
        <f>(F13-E13)/E13*100</f>
        <v>#DIV/0!</v>
      </c>
    </row>
    <row r="14" spans="1:8" x14ac:dyDescent="0.45">
      <c r="A14" s="6">
        <v>2.2999999999999998</v>
      </c>
      <c r="B14" s="9" t="s">
        <v>21</v>
      </c>
      <c r="C14" s="9"/>
      <c r="D14" s="245">
        <f>SUM(D12:D13)</f>
        <v>120.72999999999999</v>
      </c>
      <c r="E14" s="241">
        <f>SUM(E12:E13)</f>
        <v>111.04999999999998</v>
      </c>
      <c r="F14" s="241">
        <f>SUM(F12:F13)</f>
        <v>113.75</v>
      </c>
      <c r="G14" s="7">
        <f>(F14-D14)/D14*100</f>
        <v>-5.7814958999420112</v>
      </c>
      <c r="H14" s="7">
        <f>(F14-E14)/E14*100</f>
        <v>2.4313372354795293</v>
      </c>
    </row>
    <row r="15" spans="1:8" x14ac:dyDescent="0.45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8" x14ac:dyDescent="0.45">
      <c r="A16" s="6">
        <v>3.1</v>
      </c>
      <c r="B16" s="6" t="s">
        <v>2</v>
      </c>
      <c r="C16" s="6"/>
      <c r="D16" s="236">
        <f>'UP TO SEP 2019'!D16+'oct-18'!D16</f>
        <v>10.219999999999999</v>
      </c>
      <c r="E16" s="236">
        <f>'UP TO SEP 2019'!E16+'oct-18'!E16</f>
        <v>9.3540490999999992</v>
      </c>
      <c r="F16" s="236">
        <f>'UP TO SEP 2019'!F16+'oct-18'!F16</f>
        <v>11.5417462</v>
      </c>
      <c r="G16" s="7">
        <f>(F16-D16)/D16*100</f>
        <v>12.93293737769082</v>
      </c>
      <c r="H16" s="7">
        <f t="shared" ref="H16:H22" si="0">(F16-E16)/E16*100</f>
        <v>23.387701695942578</v>
      </c>
    </row>
    <row r="17" spans="1:8" x14ac:dyDescent="0.45">
      <c r="A17" s="6">
        <v>3.2</v>
      </c>
      <c r="B17" s="6" t="s">
        <v>23</v>
      </c>
      <c r="C17" s="20"/>
      <c r="D17" s="241">
        <f>'UP TO SEP 2019'!D17+'oct-18'!D17</f>
        <v>15.940000000000001</v>
      </c>
      <c r="E17" s="246">
        <f>'UP TO SEP 2019'!E17+'oct-18'!E17</f>
        <v>14.081200000000001</v>
      </c>
      <c r="F17" s="241">
        <f>'UP TO SEP 2019'!F17+'oct-18'!F17</f>
        <v>13.981279199999999</v>
      </c>
      <c r="G17" s="7">
        <f>(F17-D17)/D17*100</f>
        <v>-12.288085319949822</v>
      </c>
      <c r="H17" s="7">
        <f t="shared" si="0"/>
        <v>-0.70960429508849643</v>
      </c>
    </row>
    <row r="18" spans="1:8" x14ac:dyDescent="0.45">
      <c r="A18" s="6">
        <v>3.3</v>
      </c>
      <c r="B18" s="6" t="s">
        <v>1</v>
      </c>
      <c r="C18" s="1936"/>
      <c r="D18" s="241">
        <f>'UP TO SEP 2019'!D18+'oct-18'!D18</f>
        <v>2.7800000000000002</v>
      </c>
      <c r="E18" s="241">
        <f>'UP TO SEP 2019'!E18+'oct-18'!E18</f>
        <v>1.2618804000000001</v>
      </c>
      <c r="F18" s="241">
        <f>'UP TO SEP 2019'!F18+'oct-18'!F18</f>
        <v>0.96782360000000001</v>
      </c>
      <c r="G18" s="7">
        <f>(F18-D18)/D18*100</f>
        <v>-65.186201438848926</v>
      </c>
      <c r="H18" s="7">
        <f>(F18-E18)/E18*100</f>
        <v>-23.303064220666244</v>
      </c>
    </row>
    <row r="19" spans="1:8" x14ac:dyDescent="0.45">
      <c r="A19" s="6">
        <v>3.4</v>
      </c>
      <c r="B19" s="6" t="s">
        <v>24</v>
      </c>
      <c r="C19" s="1936"/>
      <c r="D19" s="238"/>
      <c r="E19" s="236">
        <f>'UP TO SEP 2019'!E19+'oct-18'!E19</f>
        <v>2.4009419999999997</v>
      </c>
      <c r="F19" s="236">
        <f>'UP TO SEP 2019'!F19+'oct-18'!F19</f>
        <v>1.5504540000000002</v>
      </c>
      <c r="G19" s="10"/>
      <c r="H19" s="7">
        <f t="shared" si="0"/>
        <v>-35.423096434649381</v>
      </c>
    </row>
    <row r="20" spans="1:8" ht="27.75" x14ac:dyDescent="0.45">
      <c r="A20" s="6">
        <v>3.5</v>
      </c>
      <c r="B20" s="24" t="s">
        <v>25</v>
      </c>
      <c r="C20" s="1936"/>
      <c r="D20" s="238"/>
      <c r="E20" s="234"/>
      <c r="F20" s="234"/>
      <c r="G20" s="10"/>
      <c r="H20" s="7" t="e">
        <f t="shared" si="0"/>
        <v>#DIV/0!</v>
      </c>
    </row>
    <row r="21" spans="1:8" ht="27.75" x14ac:dyDescent="0.45">
      <c r="A21" s="6">
        <v>3.6</v>
      </c>
      <c r="B21" s="23" t="s">
        <v>26</v>
      </c>
      <c r="C21" s="1937"/>
      <c r="D21" s="239"/>
      <c r="E21" s="236">
        <f>'UP TO SEP 2019'!E21+'oct-18'!E21</f>
        <v>14.928377300000001</v>
      </c>
      <c r="F21" s="236">
        <f>'UP TO SEP 2019'!F21+'oct-18'!F21</f>
        <v>19.549530800000003</v>
      </c>
      <c r="G21" s="45"/>
      <c r="H21" s="7">
        <f t="shared" si="0"/>
        <v>30.955497755271779</v>
      </c>
    </row>
    <row r="22" spans="1:8" ht="27.75" x14ac:dyDescent="0.45">
      <c r="A22" s="6">
        <v>3.7</v>
      </c>
      <c r="B22" s="23" t="s">
        <v>58</v>
      </c>
      <c r="C22" s="6"/>
      <c r="D22" s="236">
        <v>8.85</v>
      </c>
      <c r="E22" s="236">
        <f>'UP TO SEP 2019'!E22+'oct-18'!E22</f>
        <v>44.244125799999999</v>
      </c>
      <c r="F22" s="236">
        <f>'UP TO SEP 2019'!F22+'oct-18'!F22</f>
        <v>49.28508029999999</v>
      </c>
      <c r="G22" s="7">
        <f>(F22-D22)/D22*100</f>
        <v>456.89356271186432</v>
      </c>
      <c r="H22" s="7">
        <f t="shared" si="0"/>
        <v>11.393500060973045</v>
      </c>
    </row>
    <row r="23" spans="1:8" x14ac:dyDescent="0.45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8" x14ac:dyDescent="0.45">
      <c r="A24" s="6">
        <v>4.0999999999999996</v>
      </c>
      <c r="B24" s="6" t="s">
        <v>27</v>
      </c>
      <c r="C24" s="6"/>
      <c r="D24" s="236">
        <f>'UP TO SEP 2019'!D24+'oct-18'!D24</f>
        <v>5.8333333333333321</v>
      </c>
      <c r="E24" s="236">
        <f>'UP TO SEP 2019'!E24+'oct-18'!E24</f>
        <v>5.2890815</v>
      </c>
      <c r="F24" s="236">
        <f>'UP TO SEP 2019'!F24+'oct-18'!F24</f>
        <v>3.3029958000000001</v>
      </c>
      <c r="G24" s="31">
        <f>(F24-D24)/D24*100</f>
        <v>-43.377214857142846</v>
      </c>
      <c r="H24" s="31">
        <f>(F24-E24)/E24*100</f>
        <v>-37.550673023283906</v>
      </c>
    </row>
    <row r="25" spans="1:8" x14ac:dyDescent="0.45">
      <c r="A25" s="6">
        <v>4.2</v>
      </c>
      <c r="B25" s="6" t="s">
        <v>28</v>
      </c>
      <c r="C25" s="6"/>
      <c r="D25" s="236">
        <f>'UP TO SEP 2019'!D25+'oct-18'!D25</f>
        <v>2.1858083333333336</v>
      </c>
      <c r="E25" s="236">
        <f>'UP TO SEP 2019'!E25+'oct-18'!E25</f>
        <v>2.0293809999999999</v>
      </c>
      <c r="F25" s="236">
        <f>'UP TO SEP 2019'!F25+'oct-18'!F25</f>
        <v>1.5523939000000002</v>
      </c>
      <c r="G25" s="31">
        <f>(F25-D25)/D25*100</f>
        <v>-28.978498419730304</v>
      </c>
      <c r="H25" s="31">
        <f>(F25-E25)/E25*100</f>
        <v>-23.504068481965668</v>
      </c>
    </row>
    <row r="26" spans="1:8" x14ac:dyDescent="0.45">
      <c r="A26" s="6">
        <v>4.3</v>
      </c>
      <c r="B26" s="6" t="s">
        <v>4</v>
      </c>
      <c r="C26" s="1948"/>
      <c r="D26" s="236">
        <f>'UP TO SEP 2019'!D26+'oct-18'!D26</f>
        <v>0</v>
      </c>
      <c r="E26" s="236">
        <f>'UP TO SEP 2019'!E26+'oct-18'!E26</f>
        <v>0.21265280000000003</v>
      </c>
      <c r="F26" s="236">
        <f>'UP TO SEP 2019'!F26+'oct-18'!F26</f>
        <v>1.69125E-2</v>
      </c>
      <c r="G26" s="7" t="e">
        <f t="shared" ref="G26:H30" si="1">(E26-D26)/D26*100</f>
        <v>#DIV/0!</v>
      </c>
      <c r="H26" s="7">
        <f>(F26-E26)/E26*100</f>
        <v>-92.046895220754209</v>
      </c>
    </row>
    <row r="27" spans="1:8" x14ac:dyDescent="0.45">
      <c r="A27" s="6">
        <v>4.4000000000000004</v>
      </c>
      <c r="B27" s="6" t="s">
        <v>29</v>
      </c>
      <c r="C27" s="1947"/>
      <c r="D27" s="236">
        <f>'UP TO SEP 2019'!D27+'oct-18'!D27</f>
        <v>0</v>
      </c>
      <c r="E27" s="236">
        <f>'UP TO SEP 2019'!E27+'oct-18'!E27</f>
        <v>1.3372E-3</v>
      </c>
      <c r="F27" s="236">
        <f>'UP TO SEP 2019'!F27+'oct-18'!F27</f>
        <v>0</v>
      </c>
      <c r="G27" s="7" t="e">
        <f t="shared" si="1"/>
        <v>#DIV/0!</v>
      </c>
      <c r="H27" s="7">
        <f t="shared" si="1"/>
        <v>-100</v>
      </c>
    </row>
    <row r="28" spans="1:8" x14ac:dyDescent="0.45">
      <c r="A28" s="6">
        <v>4.5</v>
      </c>
      <c r="B28" s="6" t="s">
        <v>30</v>
      </c>
      <c r="C28" s="1947"/>
      <c r="D28" s="236">
        <f>'UP TO SEP 2019'!D28+'oct-18'!D28</f>
        <v>0</v>
      </c>
      <c r="E28" s="236">
        <f>'UP TO SEP 2019'!E28+'oct-18'!E28</f>
        <v>8.044299999999999E-3</v>
      </c>
      <c r="F28" s="236">
        <f>'UP TO SEP 2019'!F28+'oct-18'!F28</f>
        <v>0</v>
      </c>
      <c r="G28" s="7" t="e">
        <f t="shared" si="1"/>
        <v>#DIV/0!</v>
      </c>
      <c r="H28" s="7">
        <f t="shared" si="1"/>
        <v>-100</v>
      </c>
    </row>
    <row r="29" spans="1:8" x14ac:dyDescent="0.45">
      <c r="A29" s="6">
        <v>4.7</v>
      </c>
      <c r="B29" s="6" t="s">
        <v>3</v>
      </c>
      <c r="C29" s="1947"/>
      <c r="D29" s="236">
        <f>'UP TO SEP 2019'!D29+'oct-18'!D29</f>
        <v>0.6791666666666667</v>
      </c>
      <c r="E29" s="236">
        <f>'UP TO SEP 2019'!E29+'oct-18'!E29</f>
        <v>0.33761960000000002</v>
      </c>
      <c r="F29" s="236">
        <f>'UP TO SEP 2019'!F29+'oct-18'!F29</f>
        <v>1.0132646999999999</v>
      </c>
      <c r="G29" s="7">
        <f>(E29-D29)/D29*100</f>
        <v>-50.289138650306754</v>
      </c>
      <c r="H29" s="7">
        <f>(F29-E29)/E29*100</f>
        <v>200.12022406282094</v>
      </c>
    </row>
    <row r="30" spans="1:8" x14ac:dyDescent="0.45">
      <c r="A30" s="6">
        <v>4.8</v>
      </c>
      <c r="B30" s="6" t="s">
        <v>31</v>
      </c>
      <c r="C30" s="1949"/>
      <c r="D30" s="236">
        <f>'UP TO SEP 2019'!D30+'oct-18'!D30</f>
        <v>0</v>
      </c>
      <c r="E30" s="236">
        <f>'UP TO SEP 2019'!E30+'oct-18'!E30</f>
        <v>0</v>
      </c>
      <c r="F30" s="236">
        <f>'UP TO SEP 2019'!F30+'oct-18'!F30</f>
        <v>0</v>
      </c>
      <c r="G30" s="45"/>
      <c r="H30" s="7" t="e">
        <f t="shared" si="1"/>
        <v>#DIV/0!</v>
      </c>
    </row>
    <row r="31" spans="1:8" x14ac:dyDescent="0.45">
      <c r="A31" s="6">
        <v>4.9000000000000004</v>
      </c>
      <c r="B31" s="6" t="s">
        <v>32</v>
      </c>
      <c r="C31" s="6"/>
      <c r="D31" s="240">
        <f>SUM(D24:D30)</f>
        <v>8.6983083333333333</v>
      </c>
      <c r="E31" s="240">
        <f>SUM(E24:E30)</f>
        <v>7.8781163999999997</v>
      </c>
      <c r="F31" s="240">
        <f>SUM(F24:F30)</f>
        <v>5.8855668999999997</v>
      </c>
      <c r="G31" s="31">
        <f>(F31-D31)/D31*100</f>
        <v>-32.336648984428969</v>
      </c>
      <c r="H31" s="31">
        <f>(F31-E31)/E31*100</f>
        <v>-25.292206903670529</v>
      </c>
    </row>
    <row r="32" spans="1:8" x14ac:dyDescent="0.45">
      <c r="A32" s="9">
        <v>5</v>
      </c>
      <c r="B32" s="9" t="s">
        <v>33</v>
      </c>
      <c r="C32" s="9">
        <f>C10+C14+C22+C31</f>
        <v>0</v>
      </c>
      <c r="D32" s="241">
        <f>D10+D14+D22+D31</f>
        <v>672.3683083333334</v>
      </c>
      <c r="E32" s="241">
        <f>E10+E14+E22+E31</f>
        <v>656.56599239100001</v>
      </c>
      <c r="F32" s="241">
        <f>F10+F14+F22+F31</f>
        <v>687.27064719999998</v>
      </c>
      <c r="G32" s="7">
        <f>(F32-D32)/D32*100</f>
        <v>2.2163951932247525</v>
      </c>
      <c r="H32" s="7">
        <f>(F32-E32)/E32*100</f>
        <v>4.6765527250632637</v>
      </c>
    </row>
    <row r="33" spans="1:8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</row>
    <row r="34" spans="1:8" x14ac:dyDescent="0.45">
      <c r="A34" s="6">
        <v>6.1</v>
      </c>
      <c r="B34" s="6" t="s">
        <v>16</v>
      </c>
      <c r="C34" s="6"/>
      <c r="D34" s="236">
        <v>28.6</v>
      </c>
      <c r="E34" s="236">
        <v>27.77</v>
      </c>
      <c r="F34" s="236">
        <v>25.831990000000001</v>
      </c>
      <c r="G34" s="31">
        <f>(F34-D34)/D34*100</f>
        <v>-9.6783566433566435</v>
      </c>
      <c r="H34" s="31">
        <f>(F34-E34)/E34*100</f>
        <v>-6.9787900612171354</v>
      </c>
    </row>
    <row r="35" spans="1:8" x14ac:dyDescent="0.45">
      <c r="A35" s="6">
        <v>6.2</v>
      </c>
      <c r="B35" s="6" t="s">
        <v>15</v>
      </c>
      <c r="C35" s="6"/>
      <c r="D35" s="236">
        <v>35.9</v>
      </c>
      <c r="E35" s="236">
        <v>35.700000000000003</v>
      </c>
      <c r="F35" s="236">
        <v>35.187170000000002</v>
      </c>
      <c r="G35" s="31">
        <f>(F35-D35)/D35*100</f>
        <v>-1.9855988857938627</v>
      </c>
      <c r="H35" s="31">
        <f>(F35-E35)/E35*100</f>
        <v>-1.4364985994397788</v>
      </c>
    </row>
    <row r="36" spans="1:8" x14ac:dyDescent="0.45">
      <c r="A36" s="9">
        <v>6.3</v>
      </c>
      <c r="B36" s="9" t="s">
        <v>34</v>
      </c>
      <c r="C36" s="9">
        <f>SUM(C34:C35)</f>
        <v>0</v>
      </c>
      <c r="D36" s="241">
        <f>SUM(D34:D35)</f>
        <v>64.5</v>
      </c>
      <c r="E36" s="241">
        <f>SUM(E34:E35)</f>
        <v>63.47</v>
      </c>
      <c r="F36" s="241">
        <f>SUM(F34:F35)</f>
        <v>61.019159999999999</v>
      </c>
      <c r="G36" s="48">
        <f>(F36-D36)/D36*100</f>
        <v>-5.3966511627906986</v>
      </c>
      <c r="H36" s="48">
        <f>(F36-E36)/E36*100</f>
        <v>-3.8614148416574756</v>
      </c>
    </row>
    <row r="37" spans="1:8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</row>
    <row r="38" spans="1:8" x14ac:dyDescent="0.45">
      <c r="A38" s="6">
        <v>7.1</v>
      </c>
      <c r="B38" s="6" t="s">
        <v>16</v>
      </c>
      <c r="C38" s="14"/>
      <c r="D38" s="242"/>
      <c r="E38" s="234"/>
      <c r="F38" s="234"/>
      <c r="G38" s="1925"/>
      <c r="H38" s="7" t="e">
        <f>(F38-E38)/E38*100</f>
        <v>#DIV/0!</v>
      </c>
    </row>
    <row r="39" spans="1:8" x14ac:dyDescent="0.45">
      <c r="A39" s="6">
        <v>7.2</v>
      </c>
      <c r="B39" s="6" t="s">
        <v>15</v>
      </c>
      <c r="C39" s="16"/>
      <c r="D39" s="243"/>
      <c r="E39" s="234"/>
      <c r="F39" s="234"/>
      <c r="G39" s="1926"/>
      <c r="H39" s="7" t="e">
        <f>(F39-E39)/E39*100</f>
        <v>#DIV/0!</v>
      </c>
    </row>
    <row r="40" spans="1:8" x14ac:dyDescent="0.45">
      <c r="A40" s="6">
        <v>7.3</v>
      </c>
      <c r="B40" s="6" t="s">
        <v>35</v>
      </c>
      <c r="C40" s="21"/>
      <c r="D40" s="237"/>
      <c r="E40" s="234">
        <f>SUM(E38:E39)</f>
        <v>0</v>
      </c>
      <c r="F40" s="234">
        <f>SUM(F38:F39)</f>
        <v>0</v>
      </c>
      <c r="G40" s="1927"/>
      <c r="H40" s="7" t="e">
        <f>(F40-E40)/E40*100</f>
        <v>#DIV/0!</v>
      </c>
    </row>
    <row r="41" spans="1:8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8" x14ac:dyDescent="0.45">
      <c r="A42" s="6">
        <v>8.1</v>
      </c>
      <c r="B42" s="6" t="s">
        <v>41</v>
      </c>
      <c r="C42" s="6"/>
      <c r="D42" s="234">
        <v>65000</v>
      </c>
      <c r="E42" s="234">
        <v>30460</v>
      </c>
      <c r="F42" s="234">
        <v>41615</v>
      </c>
      <c r="G42" s="7">
        <f>(F42-D42)/D42*100</f>
        <v>-35.976923076923079</v>
      </c>
      <c r="H42" s="7">
        <f>(F42-E42)/E42*100</f>
        <v>36.621799080761654</v>
      </c>
    </row>
    <row r="43" spans="1:8" x14ac:dyDescent="0.4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</row>
    <row r="44" spans="1:8" x14ac:dyDescent="0.45">
      <c r="A44" s="6">
        <v>9.1</v>
      </c>
      <c r="B44" s="6" t="s">
        <v>36</v>
      </c>
      <c r="C44" s="14"/>
      <c r="D44" s="242"/>
      <c r="E44" s="236"/>
      <c r="F44" s="236"/>
      <c r="G44" s="1925"/>
      <c r="H44" s="7" t="e">
        <f>(F44-E44)/E44*100</f>
        <v>#DIV/0!</v>
      </c>
    </row>
    <row r="45" spans="1:8" x14ac:dyDescent="0.45">
      <c r="A45" s="6">
        <v>9.1999999999999993</v>
      </c>
      <c r="B45" s="6" t="s">
        <v>37</v>
      </c>
      <c r="C45" s="16"/>
      <c r="D45" s="243"/>
      <c r="E45" s="236"/>
      <c r="F45" s="236"/>
      <c r="G45" s="1926"/>
      <c r="H45" s="7" t="e">
        <f t="shared" ref="H45:H50" si="2">(E45-F45)/F45*100</f>
        <v>#DIV/0!</v>
      </c>
    </row>
    <row r="46" spans="1:8" x14ac:dyDescent="0.45">
      <c r="A46" s="6">
        <v>9.3000000000000007</v>
      </c>
      <c r="B46" s="6" t="s">
        <v>38</v>
      </c>
      <c r="C46" s="21"/>
      <c r="D46" s="237"/>
      <c r="E46" s="236"/>
      <c r="F46" s="236"/>
      <c r="G46" s="1927"/>
      <c r="H46" s="7" t="e">
        <f t="shared" si="2"/>
        <v>#DIV/0!</v>
      </c>
    </row>
    <row r="47" spans="1:8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8" x14ac:dyDescent="0.45">
      <c r="A48" s="6">
        <v>10.1</v>
      </c>
      <c r="B48" s="6" t="s">
        <v>39</v>
      </c>
      <c r="C48" s="14"/>
      <c r="D48" s="242"/>
      <c r="E48" s="234"/>
      <c r="F48" s="234"/>
      <c r="G48" s="1925"/>
      <c r="H48" s="7" t="e">
        <f t="shared" si="2"/>
        <v>#DIV/0!</v>
      </c>
    </row>
    <row r="49" spans="1:8" x14ac:dyDescent="0.45">
      <c r="A49" s="6">
        <v>10.199999999999999</v>
      </c>
      <c r="B49" s="6" t="s">
        <v>40</v>
      </c>
      <c r="C49" s="16"/>
      <c r="D49" s="243"/>
      <c r="E49" s="234"/>
      <c r="F49" s="234"/>
      <c r="G49" s="1926"/>
      <c r="H49" s="7" t="e">
        <f t="shared" si="2"/>
        <v>#DIV/0!</v>
      </c>
    </row>
    <row r="50" spans="1:8" x14ac:dyDescent="0.45">
      <c r="A50" s="6">
        <v>10.3</v>
      </c>
      <c r="B50" s="6" t="s">
        <v>0</v>
      </c>
      <c r="C50" s="21"/>
      <c r="D50" s="237"/>
      <c r="E50" s="234">
        <f>SUM(E48:E49)</f>
        <v>0</v>
      </c>
      <c r="F50" s="234">
        <f>SUM(F48:F49)</f>
        <v>0</v>
      </c>
      <c r="G50" s="1927"/>
      <c r="H50" s="7" t="e">
        <f t="shared" si="2"/>
        <v>#DIV/0!</v>
      </c>
    </row>
  </sheetData>
  <mergeCells count="21">
    <mergeCell ref="G44:G46"/>
    <mergeCell ref="B47:H47"/>
    <mergeCell ref="G48:G50"/>
    <mergeCell ref="C26:C30"/>
    <mergeCell ref="B33:H33"/>
    <mergeCell ref="B37:H37"/>
    <mergeCell ref="G38:G40"/>
    <mergeCell ref="B41:H41"/>
    <mergeCell ref="B43:H43"/>
    <mergeCell ref="B23:H23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C18:C21"/>
  </mergeCells>
  <pageMargins left="0.7" right="0.7" top="0.75" bottom="0.75" header="0.3" footer="0.3"/>
  <pageSetup paperSize="9" scale="93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P69"/>
  <sheetViews>
    <sheetView zoomScale="90" zoomScaleNormal="90" workbookViewId="0">
      <selection activeCell="P52" sqref="P52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4" width="9.1328125" style="5" customWidth="1"/>
    <col min="5" max="5" width="12.3984375" style="5" customWidth="1"/>
    <col min="6" max="6" width="11.265625" style="5" customWidth="1"/>
    <col min="7" max="7" width="9.1328125" style="5" customWidth="1"/>
    <col min="8" max="8" width="7.86328125" style="5" customWidth="1"/>
    <col min="9" max="9" width="9.1328125" style="5" customWidth="1"/>
    <col min="10" max="10" width="14.265625" style="5" customWidth="1"/>
    <col min="11" max="11" width="9.1328125" style="5"/>
    <col min="12" max="13" width="11.265625" style="5" customWidth="1"/>
    <col min="14" max="16" width="10.1328125" style="5" customWidth="1"/>
    <col min="17" max="16384" width="9.1328125" style="5"/>
  </cols>
  <sheetData>
    <row r="1" spans="1:10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0" ht="13.9" x14ac:dyDescent="0.4">
      <c r="A2" s="1938" t="s">
        <v>344</v>
      </c>
      <c r="B2" s="1938"/>
      <c r="C2" s="1938"/>
      <c r="D2" s="1938"/>
      <c r="E2" s="1938"/>
      <c r="F2" s="1938"/>
      <c r="G2" s="1938"/>
      <c r="H2" s="1938"/>
    </row>
    <row r="3" spans="1:10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10" ht="30.75" customHeight="1" x14ac:dyDescent="0.4">
      <c r="A4" s="6"/>
      <c r="B4" s="6"/>
      <c r="C4" s="6" t="s">
        <v>9</v>
      </c>
      <c r="D4" s="6" t="s">
        <v>53</v>
      </c>
      <c r="E4" s="6" t="str">
        <f>D4</f>
        <v>NOV</v>
      </c>
      <c r="F4" s="6" t="str">
        <f>D4</f>
        <v>NOV</v>
      </c>
      <c r="G4" s="25" t="s">
        <v>12</v>
      </c>
      <c r="H4" s="25" t="s">
        <v>13</v>
      </c>
    </row>
    <row r="5" spans="1:10" x14ac:dyDescent="0.35">
      <c r="A5" s="6"/>
      <c r="B5" s="6"/>
      <c r="C5" s="1934" t="s">
        <v>77</v>
      </c>
      <c r="D5" s="1934"/>
      <c r="E5" s="6" t="s">
        <v>66</v>
      </c>
      <c r="F5" s="6" t="s">
        <v>77</v>
      </c>
      <c r="G5" s="6"/>
      <c r="H5" s="6"/>
    </row>
    <row r="6" spans="1:10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10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10" x14ac:dyDescent="0.35">
      <c r="A8" s="6">
        <v>1.1000000000000001</v>
      </c>
      <c r="B8" s="6" t="s">
        <v>16</v>
      </c>
      <c r="C8" s="6"/>
      <c r="D8" s="34">
        <v>1.74</v>
      </c>
      <c r="E8" s="27">
        <v>1.58</v>
      </c>
      <c r="F8" s="27">
        <v>1.68</v>
      </c>
      <c r="G8" s="7">
        <f>(F8-D8)/D8*100</f>
        <v>-3.4482758620689689</v>
      </c>
      <c r="H8" s="7">
        <f>(F8-E8)/E8*100</f>
        <v>6.329113924050624</v>
      </c>
    </row>
    <row r="9" spans="1:10" x14ac:dyDescent="0.35">
      <c r="A9" s="6">
        <v>1.2</v>
      </c>
      <c r="B9" s="6" t="s">
        <v>15</v>
      </c>
      <c r="C9" s="6"/>
      <c r="D9" s="34">
        <v>75.92</v>
      </c>
      <c r="E9" s="27">
        <v>69.069999999999993</v>
      </c>
      <c r="F9" s="27">
        <v>75.599999999999994</v>
      </c>
      <c r="G9" s="7">
        <f>(F9-D9)/D9*100</f>
        <v>-0.42149631190728049</v>
      </c>
      <c r="H9" s="7">
        <f>(F9-E9)/E9*100</f>
        <v>9.4541769219632279</v>
      </c>
      <c r="J9" s="5">
        <f>75.55+0.05</f>
        <v>75.599999999999994</v>
      </c>
    </row>
    <row r="10" spans="1:10" x14ac:dyDescent="0.35">
      <c r="A10" s="6">
        <v>1.3</v>
      </c>
      <c r="B10" s="6" t="s">
        <v>17</v>
      </c>
      <c r="C10" s="6">
        <f>C8+C9</f>
        <v>0</v>
      </c>
      <c r="D10" s="32">
        <f>SUM(D8:D9)</f>
        <v>77.66</v>
      </c>
      <c r="E10" s="34">
        <f>SUM(E8:E9)</f>
        <v>70.649999999999991</v>
      </c>
      <c r="F10" s="34">
        <f>SUM(F8:F9)</f>
        <v>77.28</v>
      </c>
      <c r="G10" s="7">
        <f>(F10-D10)/D10*100</f>
        <v>-0.48931238732937865</v>
      </c>
      <c r="H10" s="7">
        <f>(F10-E10)/E10*100</f>
        <v>9.384288747346087</v>
      </c>
    </row>
    <row r="11" spans="1:10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10" x14ac:dyDescent="0.35">
      <c r="A12" s="6">
        <v>2.1</v>
      </c>
      <c r="B12" s="6" t="s">
        <v>19</v>
      </c>
      <c r="C12" s="1948"/>
      <c r="D12" s="52">
        <v>19.739999999999998</v>
      </c>
      <c r="E12" s="31">
        <v>18.16</v>
      </c>
      <c r="F12" s="27">
        <v>22.18</v>
      </c>
      <c r="G12" s="7">
        <f>(F12-D12)/D12*100</f>
        <v>12.360688956433645</v>
      </c>
      <c r="H12" s="7">
        <f t="shared" ref="H12:H42" si="0">(F12-E12)/E12*100</f>
        <v>22.13656387665198</v>
      </c>
    </row>
    <row r="13" spans="1:10" x14ac:dyDescent="0.3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7"/>
    </row>
    <row r="14" spans="1:10" x14ac:dyDescent="0.35">
      <c r="A14" s="6">
        <v>2.2999999999999998</v>
      </c>
      <c r="B14" s="6" t="s">
        <v>21</v>
      </c>
      <c r="C14" s="6"/>
      <c r="D14" s="32">
        <f>SUM(D12:D13)</f>
        <v>19.739999999999998</v>
      </c>
      <c r="E14" s="51">
        <f>SUM(E12:E13)</f>
        <v>18.16</v>
      </c>
      <c r="F14" s="34">
        <f>SUM(F12:F13)</f>
        <v>22.18</v>
      </c>
      <c r="G14" s="7">
        <f>(F14-D14)/D14*100</f>
        <v>12.360688956433645</v>
      </c>
      <c r="H14" s="7">
        <f t="shared" si="0"/>
        <v>22.13656387665198</v>
      </c>
    </row>
    <row r="15" spans="1:10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10" x14ac:dyDescent="0.35">
      <c r="A16" s="6">
        <v>3.1</v>
      </c>
      <c r="B16" s="6" t="s">
        <v>2</v>
      </c>
      <c r="C16" s="6"/>
      <c r="D16" s="32">
        <v>1.79</v>
      </c>
      <c r="E16" s="32">
        <v>1.86</v>
      </c>
      <c r="F16" s="32">
        <v>1.55</v>
      </c>
      <c r="G16" s="31">
        <f>(F16-D16)/D16*100</f>
        <v>-13.407821229050279</v>
      </c>
      <c r="H16" s="31">
        <f>(F16-E16)/E16*100</f>
        <v>-16.666666666666668</v>
      </c>
    </row>
    <row r="17" spans="1:16" x14ac:dyDescent="0.35">
      <c r="A17" s="6">
        <v>3.2</v>
      </c>
      <c r="B17" s="6" t="s">
        <v>23</v>
      </c>
      <c r="C17" s="20"/>
      <c r="D17" s="20">
        <v>2.04</v>
      </c>
      <c r="E17" s="43">
        <v>1.7699293</v>
      </c>
      <c r="F17" s="43">
        <v>2.0427629999999999</v>
      </c>
      <c r="G17" s="31">
        <f>(F17-D17)/D17*100</f>
        <v>0.13544117647058082</v>
      </c>
      <c r="H17" s="7">
        <f>(F17-E17)/E17*100</f>
        <v>15.414949060394664</v>
      </c>
      <c r="J17" s="12">
        <f>101.69*100000</f>
        <v>10169000</v>
      </c>
      <c r="L17" s="13">
        <f>E17-E18</f>
        <v>1.6338417000000001</v>
      </c>
      <c r="M17" s="13">
        <f>F17-F18</f>
        <v>1.9395796999999999</v>
      </c>
      <c r="N17" s="11"/>
      <c r="O17" s="13"/>
      <c r="P17" s="13"/>
    </row>
    <row r="18" spans="1:16" x14ac:dyDescent="0.35">
      <c r="A18" s="6">
        <v>3.3</v>
      </c>
      <c r="B18" s="6" t="s">
        <v>1</v>
      </c>
      <c r="C18" s="1936"/>
      <c r="D18" s="129">
        <v>0.31</v>
      </c>
      <c r="E18" s="32">
        <v>0.1360876</v>
      </c>
      <c r="F18" s="32">
        <v>0.10318330000000001</v>
      </c>
      <c r="G18" s="31">
        <f>(F18-D18)/D18*100</f>
        <v>-66.715064516129033</v>
      </c>
      <c r="H18" s="7">
        <f t="shared" si="0"/>
        <v>-24.178764266545958</v>
      </c>
      <c r="J18" s="5">
        <f>J17/10000000</f>
        <v>1.0168999999999999</v>
      </c>
    </row>
    <row r="19" spans="1:16" x14ac:dyDescent="0.35">
      <c r="A19" s="6">
        <v>3.4</v>
      </c>
      <c r="B19" s="6" t="s">
        <v>24</v>
      </c>
      <c r="C19" s="1936"/>
      <c r="D19" s="129"/>
      <c r="E19" s="27">
        <v>0.29552200000000001</v>
      </c>
      <c r="F19" s="27">
        <v>6.7711999999999994E-2</v>
      </c>
      <c r="G19" s="10"/>
      <c r="H19" s="7">
        <f>(F19-E19)/E19*100</f>
        <v>-77.08732344800049</v>
      </c>
      <c r="M19" s="5">
        <v>2105600</v>
      </c>
      <c r="N19" s="5">
        <v>415240</v>
      </c>
    </row>
    <row r="20" spans="1:16" ht="30.75" customHeight="1" x14ac:dyDescent="0.35">
      <c r="A20" s="6">
        <v>3.5</v>
      </c>
      <c r="B20" s="24" t="s">
        <v>25</v>
      </c>
      <c r="C20" s="1936"/>
      <c r="D20" s="129"/>
      <c r="E20" s="27">
        <f>(75000+2016010)/10000000</f>
        <v>0.20910100000000001</v>
      </c>
      <c r="F20" s="27">
        <f>2548800/10000000</f>
        <v>0.25488</v>
      </c>
      <c r="G20" s="10"/>
      <c r="H20" s="7">
        <f>(F20-E20)/E20*100</f>
        <v>21.893247760651544</v>
      </c>
      <c r="M20" s="5">
        <v>849620</v>
      </c>
      <c r="N20" s="5">
        <v>221540</v>
      </c>
    </row>
    <row r="21" spans="1:16" ht="35.25" customHeight="1" x14ac:dyDescent="0.35">
      <c r="A21" s="6">
        <v>3.6</v>
      </c>
      <c r="B21" s="23" t="s">
        <v>26</v>
      </c>
      <c r="C21" s="1937"/>
      <c r="D21" s="130"/>
      <c r="E21" s="30">
        <f>'[3]NOV 19'!$L$49</f>
        <v>2.6838267999999998</v>
      </c>
      <c r="F21" s="30">
        <f>'[3]NOV 19'!$K$49</f>
        <v>2.6809745</v>
      </c>
      <c r="G21" s="45"/>
      <c r="H21" s="7">
        <f>(F21-E21)/E21*100</f>
        <v>-0.10627734993926613</v>
      </c>
      <c r="K21" s="11"/>
      <c r="N21" s="5">
        <v>40340</v>
      </c>
    </row>
    <row r="22" spans="1:16" ht="34.5" customHeight="1" x14ac:dyDescent="0.35">
      <c r="A22" s="6">
        <v>3.7</v>
      </c>
      <c r="B22" s="23" t="s">
        <v>58</v>
      </c>
      <c r="C22" s="6"/>
      <c r="D22" s="27">
        <v>11.44</v>
      </c>
      <c r="E22" s="31">
        <v>7.39</v>
      </c>
      <c r="F22" s="31">
        <v>7.29</v>
      </c>
      <c r="G22" s="7">
        <f>(F22-D22)/D22*100</f>
        <v>-36.276223776223773</v>
      </c>
      <c r="H22" s="7">
        <f t="shared" si="0"/>
        <v>-1.3531799729363958</v>
      </c>
      <c r="M22" s="5">
        <f>SUM(M19:M21)</f>
        <v>2955220</v>
      </c>
      <c r="N22" s="5">
        <f>SUM(N19:N21)</f>
        <v>677120</v>
      </c>
    </row>
    <row r="23" spans="1:16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16" ht="13.9" x14ac:dyDescent="0.4">
      <c r="A24" s="6">
        <v>4.0999999999999996</v>
      </c>
      <c r="B24" s="6" t="s">
        <v>27</v>
      </c>
      <c r="C24" s="6"/>
      <c r="D24" s="6">
        <v>0.83333333333333326</v>
      </c>
      <c r="E24" s="37">
        <f>2727876/10000000</f>
        <v>0.27278760000000002</v>
      </c>
      <c r="F24" s="37">
        <f>5743117/10000000</f>
        <v>0.57431169999999998</v>
      </c>
      <c r="G24" s="7">
        <f t="shared" ref="G24:G29" si="1">(F24-D24)/D24*100</f>
        <v>-31.082595999999995</v>
      </c>
      <c r="H24" s="7">
        <f>(F24-E24)/E24*100</f>
        <v>110.53438646038161</v>
      </c>
      <c r="I24" s="26"/>
      <c r="J24" s="26">
        <v>41.738680000000002</v>
      </c>
      <c r="K24" s="26">
        <v>27.278759999999998</v>
      </c>
      <c r="L24" s="26">
        <f t="shared" ref="L24:M28" si="2">J24*100000</f>
        <v>4173868</v>
      </c>
      <c r="M24" s="26">
        <f t="shared" si="2"/>
        <v>2727876</v>
      </c>
      <c r="O24" s="13">
        <f t="shared" ref="O24:P28" si="3">L24/10000000</f>
        <v>0.4173868</v>
      </c>
      <c r="P24" s="13">
        <f t="shared" si="3"/>
        <v>0.27278760000000002</v>
      </c>
    </row>
    <row r="25" spans="1:16" ht="13.9" x14ac:dyDescent="0.4">
      <c r="A25" s="6">
        <v>4.2</v>
      </c>
      <c r="B25" s="6" t="s">
        <v>28</v>
      </c>
      <c r="C25" s="6"/>
      <c r="D25" s="13">
        <v>0.31225833333333336</v>
      </c>
      <c r="E25" s="37">
        <f>5882277/10000000</f>
        <v>0.58822770000000002</v>
      </c>
      <c r="F25" s="37">
        <f>1038307/10000000</f>
        <v>0.1038307</v>
      </c>
      <c r="G25" s="7">
        <f t="shared" si="1"/>
        <v>-66.748461476875448</v>
      </c>
      <c r="H25" s="7">
        <f t="shared" si="0"/>
        <v>-82.348553119820778</v>
      </c>
      <c r="J25" s="5">
        <v>14.716989999999999</v>
      </c>
      <c r="K25" s="12">
        <v>20.437899999999999</v>
      </c>
      <c r="L25" s="26">
        <f t="shared" si="2"/>
        <v>1471699</v>
      </c>
      <c r="M25" s="26">
        <f t="shared" si="2"/>
        <v>2043790</v>
      </c>
      <c r="O25" s="13">
        <f t="shared" si="3"/>
        <v>0.14716989999999999</v>
      </c>
      <c r="P25" s="13">
        <f t="shared" si="3"/>
        <v>0.20437900000000001</v>
      </c>
    </row>
    <row r="26" spans="1:16" ht="13.9" x14ac:dyDescent="0.4">
      <c r="A26" s="6">
        <v>4.3</v>
      </c>
      <c r="B26" s="6" t="s">
        <v>4</v>
      </c>
      <c r="C26" s="1948"/>
      <c r="D26" s="6">
        <v>0</v>
      </c>
      <c r="E26" s="37">
        <f>1859251/10000000</f>
        <v>0.18592510000000001</v>
      </c>
      <c r="F26" s="37">
        <f>134240/10000000</f>
        <v>1.3424E-2</v>
      </c>
      <c r="G26" s="7" t="e">
        <f t="shared" si="1"/>
        <v>#DIV/0!</v>
      </c>
      <c r="H26" s="7">
        <f t="shared" si="0"/>
        <v>-92.779888245320294</v>
      </c>
      <c r="J26" s="5">
        <v>0.30242000000000002</v>
      </c>
      <c r="K26" s="12">
        <v>4.5879999999999997E-2</v>
      </c>
      <c r="L26" s="26">
        <f t="shared" si="2"/>
        <v>30242.000000000004</v>
      </c>
      <c r="M26" s="26">
        <f t="shared" si="2"/>
        <v>4588</v>
      </c>
      <c r="O26" s="13">
        <f t="shared" si="3"/>
        <v>3.0242000000000003E-3</v>
      </c>
      <c r="P26" s="13">
        <f t="shared" si="3"/>
        <v>4.5879999999999998E-4</v>
      </c>
    </row>
    <row r="27" spans="1:16" ht="13.9" x14ac:dyDescent="0.4">
      <c r="A27" s="6">
        <v>4.4000000000000004</v>
      </c>
      <c r="B27" s="6" t="s">
        <v>29</v>
      </c>
      <c r="C27" s="1947"/>
      <c r="D27" s="6"/>
      <c r="E27" s="37">
        <v>0</v>
      </c>
      <c r="F27" s="37">
        <v>0</v>
      </c>
      <c r="G27" s="7" t="e">
        <f t="shared" si="1"/>
        <v>#DIV/0!</v>
      </c>
      <c r="H27" s="7" t="e">
        <f t="shared" si="0"/>
        <v>#DIV/0!</v>
      </c>
      <c r="J27" s="5">
        <v>73.29477</v>
      </c>
      <c r="K27" s="42">
        <v>58.822769999999998</v>
      </c>
      <c r="L27" s="26">
        <f t="shared" si="2"/>
        <v>7329477</v>
      </c>
      <c r="M27" s="26">
        <f t="shared" si="2"/>
        <v>5882277</v>
      </c>
      <c r="O27" s="13">
        <f t="shared" si="3"/>
        <v>0.73294769999999998</v>
      </c>
      <c r="P27" s="13">
        <f t="shared" si="3"/>
        <v>0.58822770000000002</v>
      </c>
    </row>
    <row r="28" spans="1:16" ht="13.9" x14ac:dyDescent="0.4">
      <c r="A28" s="6">
        <v>4.5</v>
      </c>
      <c r="B28" s="6" t="s">
        <v>64</v>
      </c>
      <c r="C28" s="1947"/>
      <c r="D28" s="177"/>
      <c r="E28" s="37">
        <f>4588/10000000</f>
        <v>4.5879999999999998E-4</v>
      </c>
      <c r="F28" s="37">
        <v>0</v>
      </c>
      <c r="G28" s="7" t="e">
        <f t="shared" si="1"/>
        <v>#DIV/0!</v>
      </c>
      <c r="H28" s="7">
        <f t="shared" si="0"/>
        <v>-100</v>
      </c>
      <c r="J28" s="5">
        <v>1.0828800000000001</v>
      </c>
      <c r="K28" s="12">
        <v>18.592510000000001</v>
      </c>
      <c r="L28" s="26">
        <f t="shared" si="2"/>
        <v>108288</v>
      </c>
      <c r="M28" s="26">
        <f t="shared" si="2"/>
        <v>1859251</v>
      </c>
      <c r="O28" s="13">
        <f t="shared" si="3"/>
        <v>1.08288E-2</v>
      </c>
      <c r="P28" s="13">
        <f t="shared" si="3"/>
        <v>0.18592510000000001</v>
      </c>
    </row>
    <row r="29" spans="1:16" x14ac:dyDescent="0.35">
      <c r="A29" s="6">
        <v>4.7</v>
      </c>
      <c r="B29" s="6" t="s">
        <v>3</v>
      </c>
      <c r="C29" s="1947"/>
      <c r="D29" s="195">
        <v>0.13583333333333333</v>
      </c>
      <c r="E29" s="37">
        <f>2048378/10000000</f>
        <v>0.20483779999999999</v>
      </c>
      <c r="F29" s="37">
        <f>293821/10000000</f>
        <v>2.9382100000000001E-2</v>
      </c>
      <c r="G29" s="7">
        <f t="shared" si="1"/>
        <v>-78.369006134969339</v>
      </c>
      <c r="H29" s="7">
        <f t="shared" si="0"/>
        <v>-85.655918975892149</v>
      </c>
      <c r="K29" s="12"/>
      <c r="L29" s="12"/>
    </row>
    <row r="30" spans="1:16" x14ac:dyDescent="0.35">
      <c r="A30" s="6">
        <v>4.8</v>
      </c>
      <c r="B30" s="6" t="s">
        <v>31</v>
      </c>
      <c r="C30" s="1949"/>
      <c r="D30" s="22"/>
      <c r="E30" s="27"/>
      <c r="F30" s="27"/>
      <c r="G30" s="45"/>
      <c r="H30" s="7" t="e">
        <f t="shared" si="0"/>
        <v>#DIV/0!</v>
      </c>
      <c r="K30" s="12"/>
      <c r="L30" s="12"/>
    </row>
    <row r="31" spans="1:16" x14ac:dyDescent="0.35">
      <c r="A31" s="6">
        <v>4.9000000000000004</v>
      </c>
      <c r="B31" s="6" t="s">
        <v>32</v>
      </c>
      <c r="C31" s="6">
        <f>C24+C25</f>
        <v>0</v>
      </c>
      <c r="D31" s="27">
        <f>SUM(D24:D30)</f>
        <v>1.2814249999999998</v>
      </c>
      <c r="E31" s="37">
        <f>SUM(E24:E30)</f>
        <v>1.252237</v>
      </c>
      <c r="F31" s="37">
        <f>SUM(F24:F30)</f>
        <v>0.72094849999999999</v>
      </c>
      <c r="G31" s="7">
        <f t="shared" ref="G31:G36" si="4">(F31-D31)/D31*100</f>
        <v>-43.738533273504096</v>
      </c>
      <c r="H31" s="7">
        <f t="shared" si="0"/>
        <v>-42.427152368122009</v>
      </c>
      <c r="K31" s="12"/>
      <c r="L31" s="12"/>
    </row>
    <row r="32" spans="1:16" ht="13.9" x14ac:dyDescent="0.4">
      <c r="A32" s="9">
        <v>5</v>
      </c>
      <c r="B32" s="9" t="s">
        <v>33</v>
      </c>
      <c r="C32" s="9">
        <f>C10+C14+C22+C31</f>
        <v>0</v>
      </c>
      <c r="D32" s="9">
        <f>D10+D14+D22+D31</f>
        <v>110.12142499999999</v>
      </c>
      <c r="E32" s="28">
        <f>E10+E14+E22+E31</f>
        <v>97.452236999999982</v>
      </c>
      <c r="F32" s="28">
        <f>F10+F14+F22+F31</f>
        <v>107.47094850000002</v>
      </c>
      <c r="G32" s="7">
        <f t="shared" si="4"/>
        <v>-2.4068672376878233</v>
      </c>
      <c r="H32" s="7">
        <f t="shared" si="0"/>
        <v>10.28063778566729</v>
      </c>
    </row>
    <row r="33" spans="1:16" ht="14.25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  <c r="L33" s="12"/>
      <c r="M33" s="12"/>
    </row>
    <row r="34" spans="1:16" x14ac:dyDescent="0.35">
      <c r="A34" s="6">
        <v>6.1</v>
      </c>
      <c r="B34" s="6" t="s">
        <v>16</v>
      </c>
      <c r="C34" s="6"/>
      <c r="D34" s="34">
        <v>28.4</v>
      </c>
      <c r="E34" s="27">
        <v>27.55</v>
      </c>
      <c r="F34" s="27">
        <v>29.61</v>
      </c>
      <c r="G34" s="7">
        <f t="shared" si="4"/>
        <v>4.2605633802816936</v>
      </c>
      <c r="H34" s="7">
        <f t="shared" si="0"/>
        <v>7.477313974591647</v>
      </c>
    </row>
    <row r="35" spans="1:16" x14ac:dyDescent="0.35">
      <c r="A35" s="6">
        <v>6.2</v>
      </c>
      <c r="B35" s="6" t="s">
        <v>15</v>
      </c>
      <c r="C35" s="6"/>
      <c r="D35" s="34">
        <v>39.6</v>
      </c>
      <c r="E35" s="27">
        <v>39.43</v>
      </c>
      <c r="F35" s="27">
        <v>36.81</v>
      </c>
      <c r="G35" s="7">
        <f t="shared" si="4"/>
        <v>-7.0454545454545432</v>
      </c>
      <c r="H35" s="7">
        <f t="shared" si="0"/>
        <v>-6.6446867867106203</v>
      </c>
      <c r="O35" s="41"/>
      <c r="P35" s="41"/>
    </row>
    <row r="36" spans="1:16" x14ac:dyDescent="0.35">
      <c r="A36" s="6">
        <v>6.3</v>
      </c>
      <c r="B36" s="6" t="s">
        <v>34</v>
      </c>
      <c r="C36" s="6">
        <f>SUM(C34:C35)</f>
        <v>0</v>
      </c>
      <c r="D36" s="34">
        <f>SUM(D34:D35)</f>
        <v>68</v>
      </c>
      <c r="E36" s="34">
        <f>SUM(E34:E35)</f>
        <v>66.98</v>
      </c>
      <c r="F36" s="34">
        <f>SUM(F34:F35)</f>
        <v>66.42</v>
      </c>
      <c r="G36" s="7">
        <f t="shared" si="4"/>
        <v>-2.3235294117647034</v>
      </c>
      <c r="H36" s="7">
        <f t="shared" si="0"/>
        <v>-0.83607046879665903</v>
      </c>
      <c r="O36" s="41"/>
      <c r="P36" s="41"/>
    </row>
    <row r="37" spans="1:16" ht="14.25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  <c r="O37" s="41"/>
      <c r="P37" s="41"/>
    </row>
    <row r="38" spans="1:16" x14ac:dyDescent="0.35">
      <c r="A38" s="6">
        <v>7.1</v>
      </c>
      <c r="B38" s="6" t="s">
        <v>16</v>
      </c>
      <c r="C38" s="14"/>
      <c r="D38" s="15"/>
      <c r="E38" s="6"/>
      <c r="F38" s="6"/>
      <c r="G38" s="1925"/>
      <c r="H38" s="7" t="e">
        <f t="shared" si="0"/>
        <v>#DIV/0!</v>
      </c>
    </row>
    <row r="39" spans="1:16" x14ac:dyDescent="0.35">
      <c r="A39" s="6">
        <v>7.2</v>
      </c>
      <c r="B39" s="6" t="s">
        <v>15</v>
      </c>
      <c r="C39" s="16"/>
      <c r="D39" s="17"/>
      <c r="E39" s="6"/>
      <c r="F39" s="6"/>
      <c r="G39" s="1926"/>
      <c r="H39" s="7" t="e">
        <f t="shared" si="0"/>
        <v>#DIV/0!</v>
      </c>
    </row>
    <row r="40" spans="1:16" x14ac:dyDescent="0.35">
      <c r="A40" s="6">
        <v>7.3</v>
      </c>
      <c r="B40" s="6" t="s">
        <v>35</v>
      </c>
      <c r="C40" s="21"/>
      <c r="D40" s="22"/>
      <c r="E40" s="6">
        <f>SUM(E38:E39)</f>
        <v>0</v>
      </c>
      <c r="F40" s="6">
        <f>SUM(F38:F39)</f>
        <v>0</v>
      </c>
      <c r="G40" s="1927"/>
      <c r="H40" s="7" t="e">
        <f t="shared" si="0"/>
        <v>#DIV/0!</v>
      </c>
    </row>
    <row r="41" spans="1:16" ht="14.25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16" x14ac:dyDescent="0.35">
      <c r="A42" s="6">
        <v>8.1</v>
      </c>
      <c r="B42" s="6" t="s">
        <v>41</v>
      </c>
      <c r="C42" s="32"/>
      <c r="D42" s="32">
        <v>67000</v>
      </c>
      <c r="E42" s="32">
        <v>33855</v>
      </c>
      <c r="F42" s="32">
        <v>29769</v>
      </c>
      <c r="G42" s="31">
        <f>(F42-D42)/D42*100</f>
        <v>-55.568656716417905</v>
      </c>
      <c r="H42" s="31">
        <f t="shared" si="0"/>
        <v>-12.069118298626496</v>
      </c>
    </row>
    <row r="43" spans="1:16" ht="14.25" x14ac:dyDescent="0.4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</row>
    <row r="44" spans="1:16" x14ac:dyDescent="0.35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</row>
    <row r="45" spans="1:16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>(F45-E45)/E45*100</f>
        <v>#DIV/0!</v>
      </c>
    </row>
    <row r="46" spans="1:16" x14ac:dyDescent="0.35">
      <c r="A46" s="6">
        <v>9.3000000000000007</v>
      </c>
      <c r="B46" s="6" t="s">
        <v>38</v>
      </c>
      <c r="C46" s="21"/>
      <c r="D46" s="22"/>
      <c r="E46" s="27">
        <f>SUM(E44:E45)</f>
        <v>0</v>
      </c>
      <c r="F46" s="27">
        <f>SUM(F44:F45)</f>
        <v>0</v>
      </c>
      <c r="G46" s="1927"/>
      <c r="H46" s="7" t="e">
        <f>(F46-E46)/E46*100</f>
        <v>#DIV/0!</v>
      </c>
    </row>
    <row r="47" spans="1:16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6" x14ac:dyDescent="0.3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>(E48-F48)/F48*100</f>
        <v>#DIV/0!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>(E49-F49)/F49*100</f>
        <v>#DIV/0!</v>
      </c>
    </row>
    <row r="50" spans="1:8" x14ac:dyDescent="0.35">
      <c r="A50" s="8">
        <v>10.3</v>
      </c>
      <c r="B50" s="8" t="s">
        <v>0</v>
      </c>
      <c r="C50" s="18"/>
      <c r="D50" s="19"/>
      <c r="E50" s="8">
        <f>SUM(E48:E49)</f>
        <v>0</v>
      </c>
      <c r="F50" s="8">
        <f>SUM(F48:F49)</f>
        <v>0</v>
      </c>
      <c r="G50" s="1927"/>
      <c r="H50" s="7" t="e">
        <f>(E50-F50)/F50*100</f>
        <v>#DIV/0!</v>
      </c>
    </row>
    <row r="63" spans="1:8" x14ac:dyDescent="0.35">
      <c r="E63" s="5">
        <v>2016</v>
      </c>
      <c r="F63" s="5">
        <v>2015</v>
      </c>
    </row>
    <row r="64" spans="1:8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1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G48:G50"/>
    <mergeCell ref="B23:H23"/>
    <mergeCell ref="C26:C30"/>
    <mergeCell ref="B33:H33"/>
    <mergeCell ref="B37:H37"/>
    <mergeCell ref="G38:G40"/>
    <mergeCell ref="B41:H41"/>
    <mergeCell ref="B43:H43"/>
    <mergeCell ref="G44:G46"/>
    <mergeCell ref="B47:H47"/>
  </mergeCells>
  <pageMargins left="0.70866141732283472" right="0.70866141732283472" top="0.74803149606299213" bottom="0.74803149606299213" header="0.31496062992125984" footer="0.31496062992125984"/>
  <pageSetup scale="88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P69"/>
  <sheetViews>
    <sheetView topLeftCell="A7" workbookViewId="0">
      <selection sqref="A1:H42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3" width="9.1328125" style="5" customWidth="1"/>
    <col min="4" max="4" width="10.265625" style="5" customWidth="1"/>
    <col min="5" max="5" width="12.3984375" style="5" customWidth="1"/>
    <col min="6" max="6" width="11.265625" style="5" customWidth="1"/>
    <col min="7" max="7" width="9.1328125" style="5" customWidth="1"/>
    <col min="8" max="8" width="9.3984375" style="5" customWidth="1"/>
    <col min="9" max="9" width="9.1328125" style="5" customWidth="1"/>
    <col min="10" max="11" width="10.73046875" style="5" customWidth="1"/>
    <col min="12" max="16384" width="9.1328125" style="5"/>
  </cols>
  <sheetData>
    <row r="1" spans="1:16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6" ht="13.9" x14ac:dyDescent="0.4">
      <c r="A2" s="1938" t="s">
        <v>185</v>
      </c>
      <c r="B2" s="1938"/>
      <c r="C2" s="1938"/>
      <c r="D2" s="1938"/>
      <c r="E2" s="1938"/>
      <c r="F2" s="1938"/>
      <c r="G2" s="1938"/>
      <c r="H2" s="1938"/>
    </row>
    <row r="3" spans="1:16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16" ht="30.75" customHeight="1" x14ac:dyDescent="0.4">
      <c r="A4" s="6"/>
      <c r="B4" s="6"/>
      <c r="C4" s="33" t="s">
        <v>9</v>
      </c>
      <c r="D4" s="33" t="s">
        <v>54</v>
      </c>
      <c r="E4" s="33" t="str">
        <f>D4</f>
        <v>DEC</v>
      </c>
      <c r="F4" s="33" t="str">
        <f>D4</f>
        <v>DEC</v>
      </c>
      <c r="G4" s="25" t="s">
        <v>12</v>
      </c>
      <c r="H4" s="25" t="s">
        <v>13</v>
      </c>
      <c r="N4" s="5" t="s">
        <v>153</v>
      </c>
      <c r="O4" s="5" t="s">
        <v>182</v>
      </c>
      <c r="P4" s="5" t="s">
        <v>183</v>
      </c>
    </row>
    <row r="5" spans="1:16" x14ac:dyDescent="0.35">
      <c r="A5" s="6"/>
      <c r="B5" s="6"/>
      <c r="C5" s="1934" t="s">
        <v>77</v>
      </c>
      <c r="D5" s="1934"/>
      <c r="E5" s="6" t="s">
        <v>66</v>
      </c>
      <c r="F5" s="6" t="s">
        <v>77</v>
      </c>
      <c r="G5" s="6"/>
      <c r="H5" s="6"/>
      <c r="M5" s="5" t="s">
        <v>181</v>
      </c>
      <c r="N5" s="5">
        <v>116500</v>
      </c>
      <c r="O5" s="5">
        <v>61150</v>
      </c>
    </row>
    <row r="6" spans="1:16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  <c r="N6" s="5">
        <v>124460</v>
      </c>
      <c r="O6" s="5">
        <v>64850</v>
      </c>
    </row>
    <row r="7" spans="1:16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  <c r="N7" s="5">
        <f>SUM(N5:N6)</f>
        <v>240960</v>
      </c>
      <c r="O7" s="5">
        <f>SUM(O5:O6)</f>
        <v>126000</v>
      </c>
      <c r="P7" s="5">
        <f>SUM(N7:O7)</f>
        <v>366960</v>
      </c>
    </row>
    <row r="8" spans="1:16" x14ac:dyDescent="0.35">
      <c r="A8" s="6">
        <v>1.1000000000000001</v>
      </c>
      <c r="B8" s="6" t="s">
        <v>16</v>
      </c>
      <c r="C8" s="6"/>
      <c r="D8" s="34">
        <v>1.79</v>
      </c>
      <c r="E8" s="34">
        <v>1.63</v>
      </c>
      <c r="F8" s="34">
        <v>1.78</v>
      </c>
      <c r="G8" s="7">
        <f>(F8-D8)/D8*100</f>
        <v>-0.55865921787709538</v>
      </c>
      <c r="H8" s="7">
        <f>(F8-E8)/E8*100</f>
        <v>9.2024539877300704</v>
      </c>
    </row>
    <row r="9" spans="1:16" x14ac:dyDescent="0.35">
      <c r="A9" s="6">
        <v>1.2</v>
      </c>
      <c r="B9" s="6" t="s">
        <v>15</v>
      </c>
      <c r="C9" s="6"/>
      <c r="D9" s="34">
        <v>76.150000000000006</v>
      </c>
      <c r="E9" s="34">
        <v>69.28</v>
      </c>
      <c r="F9" s="34">
        <v>76.5</v>
      </c>
      <c r="G9" s="7">
        <f>(F9-D9)/D9*100</f>
        <v>0.45961917268548164</v>
      </c>
      <c r="H9" s="7">
        <f>(F9-E9)/E9*100</f>
        <v>10.421478060046189</v>
      </c>
    </row>
    <row r="10" spans="1:16" x14ac:dyDescent="0.35">
      <c r="A10" s="6">
        <v>1.3</v>
      </c>
      <c r="B10" s="6" t="s">
        <v>17</v>
      </c>
      <c r="C10" s="6">
        <f>C8+C9</f>
        <v>0</v>
      </c>
      <c r="D10" s="34">
        <v>77.94</v>
      </c>
      <c r="E10" s="34">
        <f>SUM(E8:E9)</f>
        <v>70.91</v>
      </c>
      <c r="F10" s="34">
        <f>SUM(F8:F9)</f>
        <v>78.28</v>
      </c>
      <c r="G10" s="7">
        <f>(F10-D10)/D10*100</f>
        <v>0.4362329997433968</v>
      </c>
      <c r="H10" s="7">
        <f>(F10-E10)/E10*100</f>
        <v>10.393456494147518</v>
      </c>
    </row>
    <row r="11" spans="1:16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16" x14ac:dyDescent="0.35">
      <c r="A12" s="6">
        <v>2.1</v>
      </c>
      <c r="B12" s="6" t="s">
        <v>19</v>
      </c>
      <c r="C12" s="1948"/>
      <c r="D12" s="52">
        <v>21.29</v>
      </c>
      <c r="E12" s="27">
        <v>19.52</v>
      </c>
      <c r="F12" s="27">
        <v>20.62</v>
      </c>
      <c r="G12" s="7">
        <f>(F12-D12)/D12*100</f>
        <v>-3.1470173790511891</v>
      </c>
      <c r="H12" s="31">
        <f t="shared" ref="H12:H42" si="0">(F12-E12)/E12*100</f>
        <v>5.6352459016393519</v>
      </c>
    </row>
    <row r="13" spans="1:16" x14ac:dyDescent="0.3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31"/>
    </row>
    <row r="14" spans="1:16" x14ac:dyDescent="0.35">
      <c r="A14" s="6">
        <v>2.2999999999999998</v>
      </c>
      <c r="B14" s="6" t="s">
        <v>21</v>
      </c>
      <c r="C14" s="6"/>
      <c r="D14" s="34">
        <f>SUM(D12:D13)</f>
        <v>21.29</v>
      </c>
      <c r="E14" s="34">
        <f>SUM(E12:E13)</f>
        <v>19.52</v>
      </c>
      <c r="F14" s="34">
        <f>SUM(F12:F13)</f>
        <v>20.62</v>
      </c>
      <c r="G14" s="7">
        <f>(F14-D14)/D14*100</f>
        <v>-3.1470173790511891</v>
      </c>
      <c r="H14" s="31">
        <f t="shared" si="0"/>
        <v>5.6352459016393519</v>
      </c>
    </row>
    <row r="15" spans="1:16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16" x14ac:dyDescent="0.35">
      <c r="A16" s="6">
        <v>3.1</v>
      </c>
      <c r="B16" s="6" t="s">
        <v>2</v>
      </c>
      <c r="C16" s="6"/>
      <c r="D16" s="43">
        <v>1.61</v>
      </c>
      <c r="E16" s="34">
        <f>10023836/10000000</f>
        <v>1.0023835999999999</v>
      </c>
      <c r="F16" s="34">
        <f>12864489/10000000</f>
        <v>1.2864488999999999</v>
      </c>
      <c r="G16" s="7">
        <f>(F16-D16)/D16*100</f>
        <v>-20.096341614906844</v>
      </c>
      <c r="H16" s="7">
        <f>(F16-E16)/E16*100</f>
        <v>28.338981204401186</v>
      </c>
      <c r="J16" s="5">
        <v>52.040671400000001</v>
      </c>
      <c r="K16" s="5">
        <v>60.462131299999996</v>
      </c>
      <c r="L16" s="12">
        <f>J16+E16</f>
        <v>53.043055000000003</v>
      </c>
      <c r="M16" s="12">
        <f>K16+F16</f>
        <v>61.748580199999992</v>
      </c>
      <c r="P16" s="5">
        <f>158.09</f>
        <v>158.09</v>
      </c>
    </row>
    <row r="17" spans="1:16" x14ac:dyDescent="0.35">
      <c r="A17" s="6">
        <v>3.2</v>
      </c>
      <c r="B17" s="6" t="s">
        <v>23</v>
      </c>
      <c r="C17" s="20"/>
      <c r="D17" s="193">
        <v>2.23</v>
      </c>
      <c r="E17" s="34">
        <f>19343385/10000000</f>
        <v>1.9343385</v>
      </c>
      <c r="F17" s="34">
        <f>21244850/10000000</f>
        <v>2.124485</v>
      </c>
      <c r="G17" s="7">
        <f>(F17-D17)/D17*100</f>
        <v>-4.7316143497757857</v>
      </c>
      <c r="H17" s="7">
        <f>(F17-E17)/E17*100</f>
        <v>9.8300530129550747</v>
      </c>
      <c r="J17" s="5">
        <v>110.05</v>
      </c>
      <c r="K17" s="5">
        <v>100.5</v>
      </c>
      <c r="M17" s="5">
        <f>J17*100000</f>
        <v>11005000</v>
      </c>
      <c r="N17" s="5">
        <f>K17*100000</f>
        <v>10050000</v>
      </c>
      <c r="P17" s="5">
        <f>P16-8.33</f>
        <v>149.76</v>
      </c>
    </row>
    <row r="18" spans="1:16" x14ac:dyDescent="0.35">
      <c r="A18" s="6">
        <v>3.3</v>
      </c>
      <c r="B18" s="6" t="s">
        <v>1</v>
      </c>
      <c r="C18" s="1936"/>
      <c r="D18" s="194">
        <v>0.26</v>
      </c>
      <c r="E18" s="32">
        <f>1171819/10000000</f>
        <v>0.11718190000000001</v>
      </c>
      <c r="F18" s="32">
        <f>1106689/10000000</f>
        <v>0.1106689</v>
      </c>
      <c r="G18" s="7">
        <f>(F18-D18)/D18*100</f>
        <v>-57.435038461538454</v>
      </c>
      <c r="H18" s="7">
        <f t="shared" si="0"/>
        <v>-5.558025599516653</v>
      </c>
      <c r="J18" s="12">
        <f>M17/10000000</f>
        <v>1.1005</v>
      </c>
      <c r="K18" s="12">
        <f>N17/10000000</f>
        <v>1.0049999999999999</v>
      </c>
    </row>
    <row r="19" spans="1:16" x14ac:dyDescent="0.35">
      <c r="A19" s="6">
        <v>3.4</v>
      </c>
      <c r="B19" s="6" t="s">
        <v>24</v>
      </c>
      <c r="C19" s="1936"/>
      <c r="D19" s="129"/>
      <c r="E19" s="73">
        <v>0.24421599999999999</v>
      </c>
      <c r="F19" s="73">
        <f>0.082587+0.04</f>
        <v>0.122587</v>
      </c>
      <c r="G19" s="10"/>
      <c r="H19" s="7">
        <f>(F19-E19)/E19*100</f>
        <v>-49.803862154813764</v>
      </c>
    </row>
    <row r="20" spans="1:16" ht="30.75" customHeight="1" x14ac:dyDescent="0.35">
      <c r="A20" s="6">
        <v>3.5</v>
      </c>
      <c r="B20" s="24" t="s">
        <v>25</v>
      </c>
      <c r="C20" s="1936"/>
      <c r="D20" s="129"/>
      <c r="E20" s="267">
        <v>5.2335199999999998E-2</v>
      </c>
      <c r="F20" s="267">
        <f>2110370/10000000</f>
        <v>0.211037</v>
      </c>
      <c r="G20" s="10"/>
      <c r="H20" s="7">
        <f>(F20-E20)/E20*100</f>
        <v>303.24103089316566</v>
      </c>
      <c r="K20" s="5">
        <f>25000+114282+128880+252720+2470</f>
        <v>523352</v>
      </c>
    </row>
    <row r="21" spans="1:16" ht="35.25" customHeight="1" x14ac:dyDescent="0.35">
      <c r="A21" s="6">
        <v>3.6</v>
      </c>
      <c r="B21" s="23" t="s">
        <v>26</v>
      </c>
      <c r="C21" s="1937"/>
      <c r="D21" s="130"/>
      <c r="E21" s="30">
        <v>2.798</v>
      </c>
      <c r="F21" s="30">
        <v>2.931</v>
      </c>
      <c r="G21" s="45"/>
      <c r="H21" s="7">
        <f>(F21-E21)/E21*100</f>
        <v>4.753395282344532</v>
      </c>
      <c r="K21" s="5">
        <f>K20/10000000</f>
        <v>5.2335199999999998E-2</v>
      </c>
    </row>
    <row r="22" spans="1:16" ht="34.5" customHeight="1" x14ac:dyDescent="0.35">
      <c r="A22" s="6">
        <v>3.7</v>
      </c>
      <c r="B22" s="23" t="s">
        <v>58</v>
      </c>
      <c r="C22" s="6"/>
      <c r="D22" s="27">
        <v>10.34</v>
      </c>
      <c r="E22" s="27">
        <v>6.68</v>
      </c>
      <c r="F22" s="27">
        <f>SUM(F16:F21)</f>
        <v>6.7862267999999997</v>
      </c>
      <c r="G22" s="7">
        <f>(F22-D22)/D22*100</f>
        <v>-34.369179883945847</v>
      </c>
      <c r="H22" s="7">
        <f t="shared" si="0"/>
        <v>1.590221556886227</v>
      </c>
    </row>
    <row r="23" spans="1:16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16" x14ac:dyDescent="0.35">
      <c r="A24" s="6">
        <v>4.0999999999999996</v>
      </c>
      <c r="B24" s="6" t="s">
        <v>27</v>
      </c>
      <c r="C24" s="32"/>
      <c r="D24" s="6">
        <v>0.83333333333333326</v>
      </c>
      <c r="E24" s="43">
        <f>2168100/10000000</f>
        <v>0.21681</v>
      </c>
      <c r="F24" s="53">
        <f>6244912/10000000</f>
        <v>0.62449120000000002</v>
      </c>
      <c r="G24" s="7">
        <f>(F24-D24)/D24*100</f>
        <v>-25.061055999999994</v>
      </c>
      <c r="H24" s="7">
        <f t="shared" si="0"/>
        <v>188.03616069369497</v>
      </c>
      <c r="I24" s="10"/>
      <c r="M24" s="5">
        <f>4.08/12</f>
        <v>0.34</v>
      </c>
      <c r="P24" s="5">
        <f>1.25*10</f>
        <v>12.5</v>
      </c>
    </row>
    <row r="25" spans="1:16" x14ac:dyDescent="0.35">
      <c r="A25" s="6">
        <v>4.2</v>
      </c>
      <c r="B25" s="6" t="s">
        <v>28</v>
      </c>
      <c r="C25" s="6"/>
      <c r="D25" s="30">
        <v>0.31225833333333336</v>
      </c>
      <c r="E25" s="6">
        <f>988999/10000000</f>
        <v>9.8899899999999999E-2</v>
      </c>
      <c r="F25" s="6">
        <f>1816803/10000000</f>
        <v>0.18168029999999999</v>
      </c>
      <c r="G25" s="7">
        <f>(E25-D25)/D25*100</f>
        <v>-68.327538629873771</v>
      </c>
      <c r="H25" s="7">
        <f t="shared" si="0"/>
        <v>83.701196866730896</v>
      </c>
      <c r="I25" s="13"/>
      <c r="M25" s="5">
        <f>M24*9</f>
        <v>3.06</v>
      </c>
      <c r="P25" s="5">
        <f>0.34*10</f>
        <v>3.4000000000000004</v>
      </c>
    </row>
    <row r="26" spans="1:16" x14ac:dyDescent="0.35">
      <c r="A26" s="6">
        <v>4.3</v>
      </c>
      <c r="B26" s="6" t="s">
        <v>4</v>
      </c>
      <c r="C26" s="6"/>
      <c r="D26" s="6">
        <v>0</v>
      </c>
      <c r="E26" s="6">
        <v>0</v>
      </c>
      <c r="F26" s="6">
        <v>0</v>
      </c>
      <c r="G26" s="7" t="e">
        <f t="shared" ref="G26:G31" si="1">(E26-D26)/D26*100</f>
        <v>#DIV/0!</v>
      </c>
      <c r="H26" s="7" t="e">
        <f t="shared" si="0"/>
        <v>#DIV/0!</v>
      </c>
      <c r="I26" s="12"/>
      <c r="J26" s="5">
        <f>80247+20824+183924</f>
        <v>284995</v>
      </c>
      <c r="K26" s="5">
        <f>2501966+180298+75082</f>
        <v>2757346</v>
      </c>
      <c r="P26" s="5">
        <f>SUM(P24:P25)</f>
        <v>15.9</v>
      </c>
    </row>
    <row r="27" spans="1:16" x14ac:dyDescent="0.35">
      <c r="A27" s="6">
        <v>4.4000000000000004</v>
      </c>
      <c r="B27" s="6" t="s">
        <v>29</v>
      </c>
      <c r="C27" s="6"/>
      <c r="D27" s="6"/>
      <c r="E27" s="6">
        <v>0</v>
      </c>
      <c r="F27" s="6">
        <v>0</v>
      </c>
      <c r="G27" s="7" t="e">
        <f t="shared" si="1"/>
        <v>#DIV/0!</v>
      </c>
      <c r="H27" s="7" t="e">
        <f t="shared" si="0"/>
        <v>#DIV/0!</v>
      </c>
      <c r="J27" s="5">
        <f>J26/10000000</f>
        <v>2.8499500000000001E-2</v>
      </c>
      <c r="K27" s="5">
        <f>K26/10000000</f>
        <v>0.2757346</v>
      </c>
    </row>
    <row r="28" spans="1:16" x14ac:dyDescent="0.35">
      <c r="A28" s="6">
        <v>4.5</v>
      </c>
      <c r="B28" s="6" t="s">
        <v>30</v>
      </c>
      <c r="C28" s="6"/>
      <c r="D28" s="230"/>
      <c r="E28" s="37">
        <v>0</v>
      </c>
      <c r="F28" s="6">
        <v>0</v>
      </c>
      <c r="G28" s="7" t="e">
        <f t="shared" si="1"/>
        <v>#DIV/0!</v>
      </c>
      <c r="H28" s="7" t="e">
        <f t="shared" si="0"/>
        <v>#DIV/0!</v>
      </c>
      <c r="I28" s="13"/>
    </row>
    <row r="29" spans="1:16" x14ac:dyDescent="0.35">
      <c r="A29" s="6">
        <v>4.7</v>
      </c>
      <c r="B29" s="6" t="s">
        <v>3</v>
      </c>
      <c r="C29" s="6"/>
      <c r="D29" s="261">
        <v>0.13583333333333333</v>
      </c>
      <c r="E29" s="30">
        <v>0.2757346</v>
      </c>
      <c r="F29" s="30">
        <v>2.8499500000000001E-2</v>
      </c>
      <c r="G29" s="7">
        <f t="shared" si="1"/>
        <v>102.99479754601226</v>
      </c>
      <c r="H29" s="7">
        <f t="shared" si="0"/>
        <v>-89.664155314566969</v>
      </c>
      <c r="I29" s="12"/>
    </row>
    <row r="30" spans="1:16" x14ac:dyDescent="0.35">
      <c r="A30" s="6">
        <v>4.8</v>
      </c>
      <c r="B30" s="6" t="s">
        <v>31</v>
      </c>
      <c r="C30" s="6"/>
      <c r="D30" s="6"/>
      <c r="E30" s="6"/>
      <c r="F30" s="6"/>
      <c r="G30" s="7" t="e">
        <f t="shared" si="1"/>
        <v>#DIV/0!</v>
      </c>
      <c r="H30" s="7" t="e">
        <f t="shared" si="0"/>
        <v>#DIV/0!</v>
      </c>
    </row>
    <row r="31" spans="1:16" x14ac:dyDescent="0.35">
      <c r="A31" s="6">
        <v>4.9000000000000004</v>
      </c>
      <c r="B31" s="6" t="s">
        <v>32</v>
      </c>
      <c r="C31" s="6"/>
      <c r="D31" s="27">
        <f>SUM(D24:D30)</f>
        <v>1.2814249999999998</v>
      </c>
      <c r="E31" s="27">
        <f>SUM(E24:E30)</f>
        <v>0.59144449999999993</v>
      </c>
      <c r="F31" s="27">
        <f>SUM(F24:F30)</f>
        <v>0.83467100000000005</v>
      </c>
      <c r="G31" s="7">
        <f t="shared" si="1"/>
        <v>-53.84478217609302</v>
      </c>
      <c r="H31" s="7">
        <f t="shared" si="0"/>
        <v>41.124146052588223</v>
      </c>
    </row>
    <row r="32" spans="1:16" ht="13.9" x14ac:dyDescent="0.4">
      <c r="A32" s="9">
        <v>5</v>
      </c>
      <c r="B32" s="9" t="s">
        <v>33</v>
      </c>
      <c r="C32" s="9">
        <f>C10+C14+C22+C31</f>
        <v>0</v>
      </c>
      <c r="D32" s="48">
        <f>D10+D14+D22+D31</f>
        <v>110.85142499999999</v>
      </c>
      <c r="E32" s="28">
        <f>E10+E14+E22+E31</f>
        <v>97.70144449999998</v>
      </c>
      <c r="F32" s="28">
        <f>F10+F14+F22+F31</f>
        <v>106.5208978</v>
      </c>
      <c r="G32" s="7">
        <f>(F32-D32)/D32*100</f>
        <v>-3.9066048993055267</v>
      </c>
      <c r="H32" s="7">
        <f t="shared" si="0"/>
        <v>9.0269425852757195</v>
      </c>
    </row>
    <row r="33" spans="1:8" ht="14.25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</row>
    <row r="34" spans="1:8" x14ac:dyDescent="0.35">
      <c r="A34" s="6">
        <v>6.1</v>
      </c>
      <c r="B34" s="6" t="s">
        <v>16</v>
      </c>
      <c r="C34" s="6"/>
      <c r="D34" s="34">
        <v>29.9</v>
      </c>
      <c r="E34" s="34">
        <v>29.12</v>
      </c>
      <c r="F34" s="34">
        <v>31.63</v>
      </c>
      <c r="G34" s="7">
        <f>(F34-D34)/D34*100</f>
        <v>5.785953177257527</v>
      </c>
      <c r="H34" s="7">
        <f>(F34-E34)/E34*100</f>
        <v>8.6195054945054874</v>
      </c>
    </row>
    <row r="35" spans="1:8" x14ac:dyDescent="0.35">
      <c r="A35" s="6">
        <v>6.2</v>
      </c>
      <c r="B35" s="6" t="s">
        <v>15</v>
      </c>
      <c r="C35" s="6"/>
      <c r="D35" s="34">
        <f>D36-D34</f>
        <v>38.1</v>
      </c>
      <c r="E35" s="34">
        <v>37.880000000000003</v>
      </c>
      <c r="F35" s="34">
        <v>37.549999999999997</v>
      </c>
      <c r="G35" s="7">
        <f>(F35-D35)/D35*100</f>
        <v>-1.4435695538057853</v>
      </c>
      <c r="H35" s="7">
        <f t="shared" si="0"/>
        <v>-0.87117212249209453</v>
      </c>
    </row>
    <row r="36" spans="1:8" x14ac:dyDescent="0.35">
      <c r="A36" s="6">
        <v>6.3</v>
      </c>
      <c r="B36" s="6" t="s">
        <v>34</v>
      </c>
      <c r="C36" s="6">
        <f>SUM(C34:C35)</f>
        <v>0</v>
      </c>
      <c r="D36" s="34">
        <v>68</v>
      </c>
      <c r="E36" s="34">
        <f>SUM(E34:E35)</f>
        <v>67</v>
      </c>
      <c r="F36" s="34">
        <v>0</v>
      </c>
      <c r="G36" s="7">
        <f>(F36-D36)/D36*100</f>
        <v>-100</v>
      </c>
      <c r="H36" s="7">
        <f t="shared" si="0"/>
        <v>-100</v>
      </c>
    </row>
    <row r="37" spans="1:8" ht="14.25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</row>
    <row r="38" spans="1:8" x14ac:dyDescent="0.35">
      <c r="A38" s="6">
        <v>7.1</v>
      </c>
      <c r="B38" s="6" t="s">
        <v>16</v>
      </c>
      <c r="C38" s="14"/>
      <c r="D38" s="15"/>
      <c r="E38" s="6"/>
      <c r="F38" s="6"/>
      <c r="G38" s="1925"/>
      <c r="H38" s="7" t="e">
        <f t="shared" si="0"/>
        <v>#DIV/0!</v>
      </c>
    </row>
    <row r="39" spans="1:8" x14ac:dyDescent="0.35">
      <c r="A39" s="6">
        <v>7.2</v>
      </c>
      <c r="B39" s="6" t="s">
        <v>15</v>
      </c>
      <c r="C39" s="16"/>
      <c r="D39" s="17"/>
      <c r="E39" s="6"/>
      <c r="F39" s="6"/>
      <c r="G39" s="1926"/>
      <c r="H39" s="7" t="e">
        <f t="shared" si="0"/>
        <v>#DIV/0!</v>
      </c>
    </row>
    <row r="40" spans="1:8" x14ac:dyDescent="0.35">
      <c r="A40" s="6">
        <v>7.3</v>
      </c>
      <c r="B40" s="6" t="s">
        <v>35</v>
      </c>
      <c r="C40" s="21"/>
      <c r="D40" s="22"/>
      <c r="E40" s="6">
        <f>SUM(E38:E39)</f>
        <v>0</v>
      </c>
      <c r="F40" s="6">
        <f>SUM(F38:F39)</f>
        <v>0</v>
      </c>
      <c r="G40" s="1927"/>
      <c r="H40" s="7" t="e">
        <f t="shared" si="0"/>
        <v>#DIV/0!</v>
      </c>
    </row>
    <row r="41" spans="1:8" ht="14.25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8" x14ac:dyDescent="0.35">
      <c r="A42" s="6">
        <v>8.1</v>
      </c>
      <c r="B42" s="6" t="s">
        <v>41</v>
      </c>
      <c r="C42" s="32"/>
      <c r="D42" s="260">
        <v>51000</v>
      </c>
      <c r="E42" s="32">
        <v>22656</v>
      </c>
      <c r="F42" s="32">
        <v>27340</v>
      </c>
      <c r="G42" s="31">
        <f>(F42-D42)/D42*100</f>
        <v>-46.392156862745097</v>
      </c>
      <c r="H42" s="31">
        <f t="shared" si="0"/>
        <v>20.674435028248588</v>
      </c>
    </row>
    <row r="43" spans="1:8" ht="14.25" x14ac:dyDescent="0.45">
      <c r="A43" s="9">
        <v>9</v>
      </c>
      <c r="B43" s="1931" t="s">
        <v>60</v>
      </c>
      <c r="C43" s="1932"/>
      <c r="D43" s="1932"/>
      <c r="E43" s="1932"/>
      <c r="F43" s="1932"/>
      <c r="G43" s="1932"/>
      <c r="H43" s="1933"/>
    </row>
    <row r="44" spans="1:8" x14ac:dyDescent="0.35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</row>
    <row r="45" spans="1:8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 t="shared" ref="H45:H50" si="2">(E45-F45)/F45*100</f>
        <v>#DIV/0!</v>
      </c>
    </row>
    <row r="46" spans="1:8" x14ac:dyDescent="0.35">
      <c r="A46" s="6">
        <v>9.3000000000000007</v>
      </c>
      <c r="B46" s="6" t="s">
        <v>38</v>
      </c>
      <c r="C46" s="21"/>
      <c r="D46" s="22"/>
      <c r="E46" s="27">
        <f>SUM(E44:E45)</f>
        <v>0</v>
      </c>
      <c r="F46" s="27">
        <f>SUM(F44:F45)</f>
        <v>0</v>
      </c>
      <c r="G46" s="1927"/>
      <c r="H46" s="7" t="e">
        <f t="shared" si="2"/>
        <v>#DIV/0!</v>
      </c>
    </row>
    <row r="47" spans="1:8" ht="14.25" hidden="1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8" hidden="1" x14ac:dyDescent="0.35">
      <c r="A48" s="6">
        <v>10.1</v>
      </c>
      <c r="B48" s="6" t="s">
        <v>39</v>
      </c>
      <c r="C48" s="14"/>
      <c r="D48" s="15"/>
      <c r="E48" s="6">
        <v>10</v>
      </c>
      <c r="F48" s="6"/>
      <c r="G48" s="1925"/>
      <c r="H48" s="7" t="e">
        <f t="shared" si="2"/>
        <v>#DIV/0!</v>
      </c>
    </row>
    <row r="49" spans="1:8" hidden="1" x14ac:dyDescent="0.35">
      <c r="A49" s="6">
        <v>10.199999999999999</v>
      </c>
      <c r="B49" s="6" t="s">
        <v>40</v>
      </c>
      <c r="C49" s="16"/>
      <c r="D49" s="17"/>
      <c r="E49" s="6">
        <v>14</v>
      </c>
      <c r="F49" s="6"/>
      <c r="G49" s="1926"/>
      <c r="H49" s="7" t="e">
        <f t="shared" si="2"/>
        <v>#DIV/0!</v>
      </c>
    </row>
    <row r="50" spans="1:8" hidden="1" x14ac:dyDescent="0.35">
      <c r="A50" s="6">
        <v>10.3</v>
      </c>
      <c r="B50" s="6" t="s">
        <v>0</v>
      </c>
      <c r="C50" s="21"/>
      <c r="D50" s="22"/>
      <c r="E50" s="6">
        <f>SUM(E48:E49)</f>
        <v>24</v>
      </c>
      <c r="F50" s="6">
        <f>SUM(F48:F49)</f>
        <v>0</v>
      </c>
      <c r="G50" s="1927"/>
      <c r="H50" s="7" t="e">
        <f t="shared" si="2"/>
        <v>#DIV/0!</v>
      </c>
    </row>
    <row r="63" spans="1:8" x14ac:dyDescent="0.35">
      <c r="E63" s="5">
        <v>2016</v>
      </c>
      <c r="F63" s="5">
        <v>2015</v>
      </c>
    </row>
    <row r="64" spans="1:8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0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G48:G50"/>
    <mergeCell ref="B23:H23"/>
    <mergeCell ref="B33:H33"/>
    <mergeCell ref="B37:H37"/>
    <mergeCell ref="G38:G40"/>
    <mergeCell ref="B41:H41"/>
    <mergeCell ref="B43:H43"/>
    <mergeCell ref="G44:G46"/>
    <mergeCell ref="B47:H47"/>
  </mergeCells>
  <pageMargins left="0.70866141732283472" right="0.70866141732283472" top="0.74803149606299213" bottom="0.74803149606299213" header="0.31496062992125984" footer="0.31496062992125984"/>
  <pageSetup scale="9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69"/>
  <sheetViews>
    <sheetView workbookViewId="0">
      <selection activeCell="G22" sqref="G22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3" width="9.1328125" style="5" customWidth="1"/>
    <col min="4" max="4" width="10.265625" style="5" customWidth="1"/>
    <col min="5" max="5" width="12.3984375" style="5" customWidth="1"/>
    <col min="6" max="6" width="11.265625" style="5" customWidth="1"/>
    <col min="7" max="7" width="9.1328125" style="5" customWidth="1"/>
    <col min="8" max="8" width="9.3984375" style="5" customWidth="1"/>
    <col min="9" max="9" width="9.1328125" style="5" customWidth="1"/>
    <col min="10" max="11" width="10.73046875" style="5" customWidth="1"/>
    <col min="12" max="16384" width="9.1328125" style="5"/>
  </cols>
  <sheetData>
    <row r="1" spans="1:16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6" ht="13.9" x14ac:dyDescent="0.4">
      <c r="A2" s="1938" t="s">
        <v>185</v>
      </c>
      <c r="B2" s="1938"/>
      <c r="C2" s="1938"/>
      <c r="D2" s="1938"/>
      <c r="E2" s="1938"/>
      <c r="F2" s="1938"/>
      <c r="G2" s="1938"/>
      <c r="H2" s="1938"/>
    </row>
    <row r="3" spans="1:16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16" ht="30.75" customHeight="1" x14ac:dyDescent="0.4">
      <c r="A4" s="6"/>
      <c r="B4" s="6"/>
      <c r="C4" s="33" t="s">
        <v>9</v>
      </c>
      <c r="D4" s="33" t="s">
        <v>54</v>
      </c>
      <c r="E4" s="33" t="str">
        <f>D4</f>
        <v>DEC</v>
      </c>
      <c r="F4" s="33" t="str">
        <f>D4</f>
        <v>DEC</v>
      </c>
      <c r="G4" s="25" t="s">
        <v>12</v>
      </c>
      <c r="H4" s="25" t="s">
        <v>13</v>
      </c>
      <c r="N4" s="5" t="s">
        <v>153</v>
      </c>
      <c r="O4" s="5" t="s">
        <v>182</v>
      </c>
      <c r="P4" s="5" t="s">
        <v>183</v>
      </c>
    </row>
    <row r="5" spans="1:16" x14ac:dyDescent="0.35">
      <c r="A5" s="6"/>
      <c r="B5" s="6"/>
      <c r="C5" s="1934" t="s">
        <v>77</v>
      </c>
      <c r="D5" s="1934"/>
      <c r="E5" s="6" t="s">
        <v>66</v>
      </c>
      <c r="F5" s="6" t="s">
        <v>77</v>
      </c>
      <c r="G5" s="6"/>
      <c r="H5" s="6"/>
      <c r="M5" s="5" t="s">
        <v>181</v>
      </c>
      <c r="N5" s="5">
        <v>116500</v>
      </c>
      <c r="O5" s="5">
        <v>61150</v>
      </c>
    </row>
    <row r="6" spans="1:16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  <c r="N6" s="5">
        <v>124460</v>
      </c>
      <c r="O6" s="5">
        <v>64850</v>
      </c>
    </row>
    <row r="7" spans="1:16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  <c r="N7" s="5">
        <f>SUM(N5:N6)</f>
        <v>240960</v>
      </c>
      <c r="O7" s="5">
        <f>SUM(O5:O6)</f>
        <v>126000</v>
      </c>
      <c r="P7" s="5">
        <f>SUM(N7:O7)</f>
        <v>366960</v>
      </c>
    </row>
    <row r="8" spans="1:16" x14ac:dyDescent="0.35">
      <c r="A8" s="6">
        <v>1.1000000000000001</v>
      </c>
      <c r="B8" s="6" t="s">
        <v>16</v>
      </c>
      <c r="C8" s="6"/>
      <c r="D8" s="34">
        <f>'UP TO SEP 2019'!D8+'oct-18'!D8+'nov-19'!D8+'dec-18'!D8</f>
        <v>16.05</v>
      </c>
      <c r="E8" s="34">
        <f>'UP TO SEP 2019'!E8+'oct-18'!E8+'nov-19'!E8+'dec-18'!E8</f>
        <v>14.593750191000002</v>
      </c>
      <c r="F8" s="34">
        <f>'UP TO SEP 2019'!F8+'oct-18'!F8+'nov-19'!F8+'dec-18'!F8</f>
        <v>15.19</v>
      </c>
      <c r="G8" s="7">
        <f>(F8-D8)/D8*100</f>
        <v>-5.3582554517134025</v>
      </c>
      <c r="H8" s="7">
        <f>(F8-E8)/E8*100</f>
        <v>4.0856517426734253</v>
      </c>
    </row>
    <row r="9" spans="1:16" x14ac:dyDescent="0.35">
      <c r="A9" s="6">
        <v>1.2</v>
      </c>
      <c r="B9" s="6" t="s">
        <v>15</v>
      </c>
      <c r="C9" s="6"/>
      <c r="D9" s="34">
        <f>'UP TO SEP 2019'!D9+'oct-18'!D9+'nov-19'!D9+'dec-18'!D9</f>
        <v>673.64</v>
      </c>
      <c r="E9" s="34">
        <f>'UP TO SEP 2019'!E9+'oct-18'!E9+'nov-19'!E9+'dec-18'!E9</f>
        <v>620.36</v>
      </c>
      <c r="F9" s="34">
        <f>'UP TO SEP 2019'!F9+'oct-18'!F9+'nov-19'!F9+'dec-18'!F9</f>
        <v>658.72</v>
      </c>
      <c r="G9" s="7">
        <f>(F9-D9)/D9*100</f>
        <v>-2.2148328484056705</v>
      </c>
      <c r="H9" s="7">
        <f>(F9-E9)/E9*100</f>
        <v>6.1835063511509469</v>
      </c>
    </row>
    <row r="10" spans="1:16" x14ac:dyDescent="0.35">
      <c r="A10" s="6">
        <v>1.3</v>
      </c>
      <c r="B10" s="6" t="s">
        <v>17</v>
      </c>
      <c r="C10" s="6">
        <f>C8+C9</f>
        <v>0</v>
      </c>
      <c r="D10" s="34">
        <f>'UP TO SEP 2019'!D10+'oct-18'!D10+'nov-19'!D10+'dec-18'!D10</f>
        <v>689.69</v>
      </c>
      <c r="E10" s="34">
        <f>SUM(E8:E9)</f>
        <v>634.95375019100004</v>
      </c>
      <c r="F10" s="34">
        <f>SUM(F8:F9)</f>
        <v>673.91000000000008</v>
      </c>
      <c r="G10" s="7">
        <f>(F10-D10)/D10*100</f>
        <v>-2.2879844567849283</v>
      </c>
      <c r="H10" s="31">
        <f>(F10-E10)/E10*100</f>
        <v>6.1352893493867287</v>
      </c>
    </row>
    <row r="11" spans="1:16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16" x14ac:dyDescent="0.35">
      <c r="A12" s="6">
        <v>2.1</v>
      </c>
      <c r="B12" s="6" t="s">
        <v>19</v>
      </c>
      <c r="C12" s="1948"/>
      <c r="D12" s="34">
        <f>'UP TO SEP 2019'!D12+'oct-18'!D12+'nov-19'!D12+'dec-18'!D12</f>
        <v>161.76</v>
      </c>
      <c r="E12" s="34">
        <f>'UP TO SEP 2019'!E12+'oct-18'!E12+'nov-19'!E12+'dec-18'!E12</f>
        <v>148.72999999999999</v>
      </c>
      <c r="F12" s="34">
        <f>'UP TO SEP 2019'!F12+'oct-18'!F12+'nov-19'!F12+'dec-18'!F12</f>
        <v>156.55000000000001</v>
      </c>
      <c r="G12" s="7">
        <f>(F12-D12)/D12*100</f>
        <v>-3.2208209693372769</v>
      </c>
      <c r="H12" s="31">
        <f t="shared" ref="H12:H42" si="0">(F12-E12)/E12*100</f>
        <v>5.2578497949304257</v>
      </c>
    </row>
    <row r="13" spans="1:16" x14ac:dyDescent="0.3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31"/>
    </row>
    <row r="14" spans="1:16" x14ac:dyDescent="0.35">
      <c r="A14" s="6">
        <v>2.2999999999999998</v>
      </c>
      <c r="B14" s="6" t="s">
        <v>21</v>
      </c>
      <c r="C14" s="6"/>
      <c r="D14" s="34">
        <f>SUM(D12:D13)</f>
        <v>161.76</v>
      </c>
      <c r="E14" s="34">
        <f>SUM(E12:E13)</f>
        <v>148.72999999999999</v>
      </c>
      <c r="F14" s="34">
        <f>SUM(F12:F13)</f>
        <v>156.55000000000001</v>
      </c>
      <c r="G14" s="7">
        <f>(F14-D14)/D14*100</f>
        <v>-3.2208209693372769</v>
      </c>
      <c r="H14" s="31">
        <f t="shared" si="0"/>
        <v>5.2578497949304257</v>
      </c>
    </row>
    <row r="15" spans="1:16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16" x14ac:dyDescent="0.35">
      <c r="A16" s="6">
        <v>3.1</v>
      </c>
      <c r="B16" s="6" t="s">
        <v>2</v>
      </c>
      <c r="C16" s="6"/>
      <c r="D16" s="34">
        <f>'UP TO SEP 2019'!D16+'oct-18'!D16+'nov-19'!D16+'dec-18'!D16</f>
        <v>13.619999999999997</v>
      </c>
      <c r="E16" s="34">
        <f>'UP TO SEP 2019'!E16+'oct-18'!E16+'nov-19'!E16+'dec-18'!E16</f>
        <v>12.216432699999999</v>
      </c>
      <c r="F16" s="34">
        <f>'UP TO SEP 2019'!F16+'oct-18'!F16+'nov-19'!F16+'dec-18'!F16</f>
        <v>14.378195100000001</v>
      </c>
      <c r="G16" s="7">
        <f>(F16-D16)/D16*100</f>
        <v>5.5667775330396747</v>
      </c>
      <c r="H16" s="7">
        <f>(F16-E16)/E16*100</f>
        <v>17.695529072083396</v>
      </c>
      <c r="J16" s="5">
        <v>52.040671400000001</v>
      </c>
      <c r="K16" s="5">
        <v>60.462131299999996</v>
      </c>
      <c r="L16" s="12">
        <f>J16+E16</f>
        <v>64.257104099999992</v>
      </c>
      <c r="M16" s="12">
        <f>K16+F16</f>
        <v>74.840326399999995</v>
      </c>
      <c r="P16" s="5">
        <f>158.09</f>
        <v>158.09</v>
      </c>
    </row>
    <row r="17" spans="1:16" x14ac:dyDescent="0.35">
      <c r="A17" s="6">
        <v>3.2</v>
      </c>
      <c r="B17" s="6" t="s">
        <v>23</v>
      </c>
      <c r="C17" s="20"/>
      <c r="D17" s="34">
        <f>'UP TO SEP 2019'!D17+'oct-18'!D17+'nov-19'!D17+'dec-18'!D17</f>
        <v>20.21</v>
      </c>
      <c r="E17" s="34">
        <f>'UP TO SEP 2019'!E17+'oct-18'!E17+'nov-19'!E17+'dec-18'!E17</f>
        <v>17.785467799999999</v>
      </c>
      <c r="F17" s="34">
        <f>'UP TO SEP 2019'!F17+'oct-18'!F17+'nov-19'!F17+'dec-18'!F17</f>
        <v>18.1485272</v>
      </c>
      <c r="G17" s="7">
        <f>(F17-D17)/D17*100</f>
        <v>-10.200261256803564</v>
      </c>
      <c r="H17" s="7">
        <f>(F17-E17)/E17*100</f>
        <v>2.041326121317995</v>
      </c>
      <c r="J17" s="5">
        <v>110.05</v>
      </c>
      <c r="K17" s="5">
        <v>100.5</v>
      </c>
      <c r="M17" s="5">
        <f>J17*100000</f>
        <v>11005000</v>
      </c>
      <c r="N17" s="5">
        <f>K17*100000</f>
        <v>10050000</v>
      </c>
      <c r="P17" s="5">
        <f>P16-8.33</f>
        <v>149.76</v>
      </c>
    </row>
    <row r="18" spans="1:16" x14ac:dyDescent="0.35">
      <c r="A18" s="6">
        <v>3.3</v>
      </c>
      <c r="B18" s="6" t="s">
        <v>1</v>
      </c>
      <c r="C18" s="1936"/>
      <c r="D18" s="34">
        <f>'UP TO SEP 2019'!D18+'oct-18'!D18+'nov-19'!D18+'dec-18'!D18</f>
        <v>3.3500000000000005</v>
      </c>
      <c r="E18" s="34">
        <f>'UP TO SEP 2019'!E18+'oct-18'!E18+'nov-19'!E18+'dec-18'!E18</f>
        <v>1.5151499000000002</v>
      </c>
      <c r="F18" s="34">
        <f>'UP TO SEP 2019'!F18+'oct-18'!F18+'nov-19'!F18+'dec-18'!F18</f>
        <v>1.1816758000000001</v>
      </c>
      <c r="G18" s="7">
        <f>(F18-D18)/D18*100</f>
        <v>-64.726095522388079</v>
      </c>
      <c r="H18" s="7">
        <f t="shared" si="0"/>
        <v>-22.009314061928794</v>
      </c>
      <c r="J18" s="12">
        <f>M17/10000000</f>
        <v>1.1005</v>
      </c>
      <c r="K18" s="12">
        <f>N17/10000000</f>
        <v>1.0049999999999999</v>
      </c>
    </row>
    <row r="19" spans="1:16" x14ac:dyDescent="0.35">
      <c r="A19" s="6">
        <v>3.4</v>
      </c>
      <c r="B19" s="6" t="s">
        <v>24</v>
      </c>
      <c r="C19" s="1936"/>
      <c r="D19" s="34">
        <f>'UP TO SEP 2019'!D19+'oct-18'!D19+'nov-19'!D19+'dec-18'!D19</f>
        <v>0</v>
      </c>
      <c r="E19" s="34">
        <f>'UP TO SEP 2019'!E19+'oct-18'!E19+'nov-19'!E19+'dec-18'!E19</f>
        <v>2.9406799999999995</v>
      </c>
      <c r="F19" s="34">
        <f>'UP TO SEP 2019'!F19+'oct-18'!F19+'nov-19'!F19+'dec-18'!F19</f>
        <v>1.7407530000000002</v>
      </c>
      <c r="G19" s="10"/>
      <c r="H19" s="7">
        <f>(F19-E19)/E19*100</f>
        <v>-40.804405783696268</v>
      </c>
    </row>
    <row r="20" spans="1:16" ht="30.75" customHeight="1" x14ac:dyDescent="0.35">
      <c r="A20" s="6">
        <v>3.5</v>
      </c>
      <c r="B20" s="24" t="s">
        <v>25</v>
      </c>
      <c r="C20" s="1936"/>
      <c r="D20" s="34">
        <f>'UP TO SEP 2019'!D20+'oct-18'!D20+'nov-19'!D20+'dec-18'!D20</f>
        <v>0</v>
      </c>
      <c r="E20" s="34">
        <f>'UP TO SEP 2019'!E20+'oct-18'!E20+'nov-19'!E20+'dec-18'!E20</f>
        <v>2.4791131999999996</v>
      </c>
      <c r="F20" s="34">
        <f>'UP TO SEP 2019'!F20+'oct-18'!F20+'nov-19'!F20+'dec-18'!F20</f>
        <v>2.1601634999999999</v>
      </c>
      <c r="G20" s="10"/>
      <c r="H20" s="7">
        <f>(F20-E20)/E20*100</f>
        <v>-12.865475445009922</v>
      </c>
      <c r="K20" s="5">
        <f>25000+114282+128880+252720+2470</f>
        <v>523352</v>
      </c>
    </row>
    <row r="21" spans="1:16" ht="35.25" customHeight="1" x14ac:dyDescent="0.35">
      <c r="A21" s="6">
        <v>3.6</v>
      </c>
      <c r="B21" s="23" t="s">
        <v>26</v>
      </c>
      <c r="C21" s="1937"/>
      <c r="D21" s="34">
        <f>'UP TO SEP 2019'!D21+'oct-18'!D21+'nov-19'!D21+'dec-18'!D21</f>
        <v>0</v>
      </c>
      <c r="E21" s="34">
        <f>'UP TO SEP 2019'!E21+'oct-18'!E21+'nov-19'!E21+'dec-18'!E21</f>
        <v>20.410204100000001</v>
      </c>
      <c r="F21" s="34">
        <f>'UP TO SEP 2019'!F21+'oct-18'!F21+'nov-19'!F21+'dec-18'!F21</f>
        <v>25.161505300000005</v>
      </c>
      <c r="G21" s="45"/>
      <c r="H21" s="7">
        <f>(F21-E21)/E21*100</f>
        <v>23.27904795425345</v>
      </c>
      <c r="K21" s="5">
        <f>K20/10000000</f>
        <v>5.2335199999999998E-2</v>
      </c>
    </row>
    <row r="22" spans="1:16" ht="34.5" customHeight="1" x14ac:dyDescent="0.35">
      <c r="A22" s="6">
        <v>3.7</v>
      </c>
      <c r="B22" s="23" t="s">
        <v>58</v>
      </c>
      <c r="C22" s="6"/>
      <c r="D22" s="34">
        <v>86.72</v>
      </c>
      <c r="E22" s="34">
        <v>55.99</v>
      </c>
      <c r="F22" s="34">
        <v>64.3</v>
      </c>
      <c r="G22" s="7">
        <f>(F22-D22)/D22*100</f>
        <v>-25.853321033210335</v>
      </c>
      <c r="H22" s="7">
        <f t="shared" si="0"/>
        <v>14.841936060010708</v>
      </c>
    </row>
    <row r="23" spans="1:16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16" x14ac:dyDescent="0.35">
      <c r="A24" s="6">
        <v>4.0999999999999996</v>
      </c>
      <c r="B24" s="6" t="s">
        <v>27</v>
      </c>
      <c r="C24" s="32"/>
      <c r="D24" s="34">
        <f>'UP TO SEP 2019'!D24+'oct-18'!D24+'nov-19'!D24+'dec-18'!D24</f>
        <v>7.4999999999999982</v>
      </c>
      <c r="E24" s="34">
        <f>'UP TO SEP 2019'!E24+'oct-18'!E24+'nov-19'!E24+'dec-18'!E24</f>
        <v>5.7786790999999997</v>
      </c>
      <c r="F24" s="34">
        <f>'UP TO SEP 2019'!F24+'oct-18'!F24+'nov-19'!F24+'dec-18'!F24</f>
        <v>4.5017987000000002</v>
      </c>
      <c r="G24" s="31">
        <f>(F24-D24)/D24*100</f>
        <v>-39.976017333333317</v>
      </c>
      <c r="H24" s="7">
        <f t="shared" si="0"/>
        <v>-22.09640608006767</v>
      </c>
      <c r="I24" s="10"/>
      <c r="M24" s="5">
        <f>4.08/12</f>
        <v>0.34</v>
      </c>
      <c r="P24" s="5">
        <f>1.25*10</f>
        <v>12.5</v>
      </c>
    </row>
    <row r="25" spans="1:16" x14ac:dyDescent="0.35">
      <c r="A25" s="6">
        <v>4.2</v>
      </c>
      <c r="B25" s="6" t="s">
        <v>28</v>
      </c>
      <c r="C25" s="6"/>
      <c r="D25" s="34">
        <f>'UP TO SEP 2019'!D25+'oct-18'!D25+'nov-19'!D25+'dec-18'!D25</f>
        <v>2.8103250000000002</v>
      </c>
      <c r="E25" s="34">
        <f>'UP TO SEP 2019'!E25+'oct-18'!E25+'nov-19'!E25+'dec-18'!E25</f>
        <v>2.7165086000000001</v>
      </c>
      <c r="F25" s="34">
        <f>'UP TO SEP 2019'!F25+'oct-18'!F25+'nov-19'!F25+'dec-18'!F25</f>
        <v>1.8379049000000003</v>
      </c>
      <c r="G25" s="31">
        <f>(E25-D25)/D25*100</f>
        <v>-3.3382758221913882</v>
      </c>
      <c r="H25" s="7">
        <f t="shared" si="0"/>
        <v>-32.343122344615423</v>
      </c>
      <c r="I25" s="13"/>
      <c r="M25" s="5">
        <f>M24*9</f>
        <v>3.06</v>
      </c>
      <c r="P25" s="5">
        <f>0.34*10</f>
        <v>3.4000000000000004</v>
      </c>
    </row>
    <row r="26" spans="1:16" x14ac:dyDescent="0.35">
      <c r="A26" s="6">
        <v>4.3</v>
      </c>
      <c r="B26" s="6" t="s">
        <v>4</v>
      </c>
      <c r="C26" s="6"/>
      <c r="D26" s="34">
        <f>'UP TO SEP 2019'!D26+'oct-18'!D26+'nov-19'!D26+'dec-18'!D26</f>
        <v>0</v>
      </c>
      <c r="E26" s="34">
        <f>'UP TO SEP 2019'!E26+'oct-18'!E26+'nov-19'!E26+'dec-18'!E26</f>
        <v>0.39857790000000004</v>
      </c>
      <c r="F26" s="34">
        <f>'UP TO SEP 2019'!F26+'oct-18'!F26+'nov-19'!F26+'dec-18'!F26</f>
        <v>3.0336500000000002E-2</v>
      </c>
      <c r="G26" s="31" t="e">
        <f t="shared" ref="G26:G31" si="1">(E26-D26)/D26*100</f>
        <v>#DIV/0!</v>
      </c>
      <c r="H26" s="7">
        <f t="shared" si="0"/>
        <v>-92.388815335722327</v>
      </c>
      <c r="I26" s="12"/>
      <c r="J26" s="5">
        <f>80247+20824+183924</f>
        <v>284995</v>
      </c>
      <c r="K26" s="5">
        <f>2501966+180298+75082</f>
        <v>2757346</v>
      </c>
      <c r="P26" s="5">
        <f>SUM(P24:P25)</f>
        <v>15.9</v>
      </c>
    </row>
    <row r="27" spans="1:16" x14ac:dyDescent="0.35">
      <c r="A27" s="6">
        <v>4.4000000000000004</v>
      </c>
      <c r="B27" s="6" t="s">
        <v>29</v>
      </c>
      <c r="C27" s="6"/>
      <c r="D27" s="34">
        <f>'UP TO SEP 2019'!D27+'oct-18'!D27+'nov-19'!D27+'dec-18'!D27</f>
        <v>0</v>
      </c>
      <c r="E27" s="34">
        <f>'UP TO SEP 2019'!E27+'oct-18'!E27+'nov-19'!E27+'dec-18'!E27</f>
        <v>1.3372E-3</v>
      </c>
      <c r="F27" s="34">
        <f>'UP TO SEP 2019'!F27+'oct-18'!F27+'nov-19'!F27+'dec-18'!F27</f>
        <v>0</v>
      </c>
      <c r="G27" s="31" t="e">
        <f t="shared" si="1"/>
        <v>#DIV/0!</v>
      </c>
      <c r="H27" s="7">
        <f t="shared" si="0"/>
        <v>-100</v>
      </c>
      <c r="J27" s="5">
        <f>J26/10000000</f>
        <v>2.8499500000000001E-2</v>
      </c>
      <c r="K27" s="5">
        <f>K26/10000000</f>
        <v>0.2757346</v>
      </c>
    </row>
    <row r="28" spans="1:16" x14ac:dyDescent="0.35">
      <c r="A28" s="6">
        <v>4.5</v>
      </c>
      <c r="B28" s="6" t="s">
        <v>30</v>
      </c>
      <c r="C28" s="6"/>
      <c r="D28" s="34">
        <f>'UP TO SEP 2019'!D28+'oct-18'!D28+'nov-19'!D28+'dec-18'!D28</f>
        <v>0</v>
      </c>
      <c r="E28" s="34">
        <f>'UP TO SEP 2019'!E28+'oct-18'!E28+'nov-19'!E28+'dec-18'!E28</f>
        <v>8.5030999999999995E-3</v>
      </c>
      <c r="F28" s="34">
        <f>'UP TO SEP 2019'!F28+'oct-18'!F28+'nov-19'!F28+'dec-18'!F28</f>
        <v>0</v>
      </c>
      <c r="G28" s="31" t="e">
        <f t="shared" si="1"/>
        <v>#DIV/0!</v>
      </c>
      <c r="H28" s="7">
        <f t="shared" si="0"/>
        <v>-100</v>
      </c>
      <c r="I28" s="13"/>
    </row>
    <row r="29" spans="1:16" x14ac:dyDescent="0.35">
      <c r="A29" s="6">
        <v>4.7</v>
      </c>
      <c r="B29" s="6" t="s">
        <v>3</v>
      </c>
      <c r="C29" s="6"/>
      <c r="D29" s="34">
        <f>'UP TO SEP 2019'!D29+'oct-18'!D29+'nov-19'!D29+'dec-18'!D29</f>
        <v>0.95083333333333342</v>
      </c>
      <c r="E29" s="34">
        <f>'UP TO SEP 2019'!E29+'oct-18'!E29+'nov-19'!E29+'dec-18'!E29</f>
        <v>0.81819200000000003</v>
      </c>
      <c r="F29" s="34">
        <f>'UP TO SEP 2019'!F29+'oct-18'!F29+'nov-19'!F29+'dec-18'!F29</f>
        <v>1.0711462999999999</v>
      </c>
      <c r="G29" s="31">
        <f t="shared" si="1"/>
        <v>-13.950008764241897</v>
      </c>
      <c r="H29" s="7">
        <f t="shared" si="0"/>
        <v>30.916251931087064</v>
      </c>
      <c r="I29" s="12"/>
    </row>
    <row r="30" spans="1:16" x14ac:dyDescent="0.35">
      <c r="A30" s="6">
        <v>4.8</v>
      </c>
      <c r="B30" s="6" t="s">
        <v>31</v>
      </c>
      <c r="C30" s="6"/>
      <c r="D30" s="34">
        <f>'UP TO SEP 2019'!D30+'oct-18'!D30+'nov-19'!D30+'dec-18'!D30</f>
        <v>0</v>
      </c>
      <c r="E30" s="34">
        <f>'UP TO SEP 2019'!E30+'oct-18'!E30+'nov-19'!E30+'dec-18'!E30</f>
        <v>0</v>
      </c>
      <c r="F30" s="34">
        <f>'UP TO SEP 2019'!F30+'oct-18'!F30+'nov-19'!F30+'dec-18'!F30</f>
        <v>0</v>
      </c>
      <c r="G30" s="31" t="e">
        <f t="shared" si="1"/>
        <v>#DIV/0!</v>
      </c>
      <c r="H30" s="7" t="e">
        <f t="shared" si="0"/>
        <v>#DIV/0!</v>
      </c>
    </row>
    <row r="31" spans="1:16" x14ac:dyDescent="0.35">
      <c r="A31" s="6">
        <v>4.9000000000000004</v>
      </c>
      <c r="B31" s="6" t="s">
        <v>32</v>
      </c>
      <c r="C31" s="6"/>
      <c r="D31" s="27">
        <f>SUM(D24:D30)</f>
        <v>11.261158333333332</v>
      </c>
      <c r="E31" s="27">
        <f>SUM(E24:E30)</f>
        <v>9.7217978999999985</v>
      </c>
      <c r="F31" s="27">
        <f>SUM(F24:F30)</f>
        <v>7.4411863999999994</v>
      </c>
      <c r="G31" s="31">
        <f t="shared" si="1"/>
        <v>-13.669645588560686</v>
      </c>
      <c r="H31" s="7">
        <f t="shared" si="0"/>
        <v>-23.458742132460905</v>
      </c>
    </row>
    <row r="32" spans="1:16" ht="13.9" x14ac:dyDescent="0.4">
      <c r="A32" s="9">
        <v>5</v>
      </c>
      <c r="B32" s="9" t="s">
        <v>33</v>
      </c>
      <c r="C32" s="9">
        <f>C10+C14+C22+C31</f>
        <v>0</v>
      </c>
      <c r="D32" s="48">
        <f>D10+D14+D22+D31</f>
        <v>949.43115833333343</v>
      </c>
      <c r="E32" s="28">
        <f>E10+E14+E22+E31</f>
        <v>849.39554809100002</v>
      </c>
      <c r="F32" s="28">
        <f>F10+F14+F22+F31</f>
        <v>902.20118639999998</v>
      </c>
      <c r="G32" s="7">
        <f>(F32-D32)/D32*100</f>
        <v>-4.9745546603128856</v>
      </c>
      <c r="H32" s="7">
        <f t="shared" si="0"/>
        <v>6.2168489613207427</v>
      </c>
    </row>
    <row r="33" spans="1:8" ht="14.25" x14ac:dyDescent="0.4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</row>
    <row r="34" spans="1:8" x14ac:dyDescent="0.35">
      <c r="A34" s="6">
        <v>6.1</v>
      </c>
      <c r="B34" s="6" t="s">
        <v>16</v>
      </c>
      <c r="C34" s="6"/>
      <c r="D34" s="34">
        <v>29.9</v>
      </c>
      <c r="E34" s="34">
        <v>29.12</v>
      </c>
      <c r="F34" s="34">
        <v>31.63</v>
      </c>
      <c r="G34" s="7">
        <f>(F34-D34)/D34*100</f>
        <v>5.785953177257527</v>
      </c>
      <c r="H34" s="7">
        <f>(F34-E34)/E34*100</f>
        <v>8.6195054945054874</v>
      </c>
    </row>
    <row r="35" spans="1:8" x14ac:dyDescent="0.35">
      <c r="A35" s="6">
        <v>6.2</v>
      </c>
      <c r="B35" s="6" t="s">
        <v>15</v>
      </c>
      <c r="C35" s="6"/>
      <c r="D35" s="34">
        <f>D36-D34</f>
        <v>38.1</v>
      </c>
      <c r="E35" s="34">
        <v>37.880000000000003</v>
      </c>
      <c r="F35" s="34">
        <v>37.549999999999997</v>
      </c>
      <c r="G35" s="7">
        <f>(F35-D35)/D35*100</f>
        <v>-1.4435695538057853</v>
      </c>
      <c r="H35" s="7">
        <f t="shared" si="0"/>
        <v>-0.87117212249209453</v>
      </c>
    </row>
    <row r="36" spans="1:8" x14ac:dyDescent="0.35">
      <c r="A36" s="6">
        <v>6.3</v>
      </c>
      <c r="B36" s="6" t="s">
        <v>34</v>
      </c>
      <c r="C36" s="6">
        <f>SUM(C34:C35)</f>
        <v>0</v>
      </c>
      <c r="D36" s="34">
        <v>68</v>
      </c>
      <c r="E36" s="34">
        <f>SUM(E34:E35)</f>
        <v>67</v>
      </c>
      <c r="F36" s="34">
        <f>SUM(F34:F35)</f>
        <v>69.179999999999993</v>
      </c>
      <c r="G36" s="7">
        <f>(F36-D36)/D36*100</f>
        <v>1.735294117647048</v>
      </c>
      <c r="H36" s="7">
        <f t="shared" si="0"/>
        <v>3.2537313432835711</v>
      </c>
    </row>
    <row r="37" spans="1:8" ht="14.25" x14ac:dyDescent="0.4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</row>
    <row r="38" spans="1:8" x14ac:dyDescent="0.35">
      <c r="A38" s="6">
        <v>7.1</v>
      </c>
      <c r="B38" s="6" t="s">
        <v>16</v>
      </c>
      <c r="C38" s="14"/>
      <c r="D38" s="15"/>
      <c r="E38" s="6"/>
      <c r="F38" s="6"/>
      <c r="G38" s="1925"/>
      <c r="H38" s="7" t="e">
        <f t="shared" si="0"/>
        <v>#DIV/0!</v>
      </c>
    </row>
    <row r="39" spans="1:8" x14ac:dyDescent="0.35">
      <c r="A39" s="6">
        <v>7.2</v>
      </c>
      <c r="B39" s="6" t="s">
        <v>15</v>
      </c>
      <c r="C39" s="16"/>
      <c r="D39" s="17"/>
      <c r="E39" s="6"/>
      <c r="F39" s="6"/>
      <c r="G39" s="1926"/>
      <c r="H39" s="7" t="e">
        <f t="shared" si="0"/>
        <v>#DIV/0!</v>
      </c>
    </row>
    <row r="40" spans="1:8" x14ac:dyDescent="0.35">
      <c r="A40" s="6">
        <v>7.3</v>
      </c>
      <c r="B40" s="6" t="s">
        <v>35</v>
      </c>
      <c r="C40" s="21"/>
      <c r="D40" s="22"/>
      <c r="E40" s="6">
        <f>SUM(E38:E39)</f>
        <v>0</v>
      </c>
      <c r="F40" s="6">
        <f>SUM(F38:F39)</f>
        <v>0</v>
      </c>
      <c r="G40" s="1927"/>
      <c r="H40" s="7" t="e">
        <f t="shared" si="0"/>
        <v>#DIV/0!</v>
      </c>
    </row>
    <row r="41" spans="1:8" ht="14.25" x14ac:dyDescent="0.4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</row>
    <row r="42" spans="1:8" x14ac:dyDescent="0.35">
      <c r="A42" s="6">
        <v>8.1</v>
      </c>
      <c r="B42" s="6" t="s">
        <v>41</v>
      </c>
      <c r="C42" s="32"/>
      <c r="D42" s="260">
        <v>528000</v>
      </c>
      <c r="E42" s="260">
        <f>'UP TO SEP 2019'!E42+'oct-18'!E42+'nov-19'!E42+'dec-18'!E42</f>
        <v>227342</v>
      </c>
      <c r="F42" s="260">
        <f>'UP TO SEP 2019'!F42+'oct-18'!F42+'nov-19'!F42+'dec-18'!F42</f>
        <v>252352</v>
      </c>
      <c r="G42" s="31">
        <f>(F42-D42)/D42*100</f>
        <v>-52.20606060606061</v>
      </c>
      <c r="H42" s="31">
        <f t="shared" si="0"/>
        <v>11.0010468809107</v>
      </c>
    </row>
    <row r="43" spans="1:8" ht="14.25" x14ac:dyDescent="0.45">
      <c r="A43" s="9">
        <v>9</v>
      </c>
      <c r="B43" s="1931" t="s">
        <v>60</v>
      </c>
      <c r="C43" s="1932"/>
      <c r="D43" s="1932"/>
      <c r="E43" s="1932"/>
      <c r="F43" s="1932"/>
      <c r="G43" s="1932"/>
      <c r="H43" s="1933"/>
    </row>
    <row r="44" spans="1:8" x14ac:dyDescent="0.35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</row>
    <row r="45" spans="1:8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 t="shared" ref="H45:H50" si="2">(E45-F45)/F45*100</f>
        <v>#DIV/0!</v>
      </c>
    </row>
    <row r="46" spans="1:8" x14ac:dyDescent="0.35">
      <c r="A46" s="6">
        <v>9.3000000000000007</v>
      </c>
      <c r="B46" s="6" t="s">
        <v>38</v>
      </c>
      <c r="C46" s="21"/>
      <c r="D46" s="22"/>
      <c r="E46" s="27">
        <f>SUM(E44:E45)</f>
        <v>0</v>
      </c>
      <c r="F46" s="27">
        <f>SUM(F44:F45)</f>
        <v>0</v>
      </c>
      <c r="G46" s="1927"/>
      <c r="H46" s="7" t="e">
        <f t="shared" si="2"/>
        <v>#DIV/0!</v>
      </c>
    </row>
    <row r="47" spans="1:8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8" x14ac:dyDescent="0.35">
      <c r="A48" s="6">
        <v>10.1</v>
      </c>
      <c r="B48" s="6" t="s">
        <v>39</v>
      </c>
      <c r="C48" s="14"/>
      <c r="D48" s="15"/>
      <c r="E48" s="6">
        <v>10</v>
      </c>
      <c r="F48" s="6"/>
      <c r="G48" s="1925"/>
      <c r="H48" s="7" t="e">
        <f t="shared" si="2"/>
        <v>#DIV/0!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>
        <v>14</v>
      </c>
      <c r="F49" s="6"/>
      <c r="G49" s="1926"/>
      <c r="H49" s="7" t="e">
        <f t="shared" si="2"/>
        <v>#DIV/0!</v>
      </c>
    </row>
    <row r="50" spans="1:8" x14ac:dyDescent="0.35">
      <c r="A50" s="6">
        <v>10.3</v>
      </c>
      <c r="B50" s="6" t="s">
        <v>0</v>
      </c>
      <c r="C50" s="21"/>
      <c r="D50" s="22"/>
      <c r="E50" s="6">
        <f>SUM(E48:E49)</f>
        <v>24</v>
      </c>
      <c r="F50" s="6">
        <f>SUM(F48:F49)</f>
        <v>0</v>
      </c>
      <c r="G50" s="1927"/>
      <c r="H50" s="7" t="e">
        <f t="shared" si="2"/>
        <v>#DIV/0!</v>
      </c>
    </row>
    <row r="63" spans="1:8" x14ac:dyDescent="0.35">
      <c r="E63" s="5">
        <v>2016</v>
      </c>
      <c r="F63" s="5">
        <v>2015</v>
      </c>
    </row>
    <row r="64" spans="1:8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0">
    <mergeCell ref="B23:H23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C18:C21"/>
    <mergeCell ref="B47:H47"/>
    <mergeCell ref="G48:G50"/>
    <mergeCell ref="B33:H33"/>
    <mergeCell ref="B37:H37"/>
    <mergeCell ref="G38:G40"/>
    <mergeCell ref="B41:H41"/>
    <mergeCell ref="B43:H43"/>
    <mergeCell ref="G44:G4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69"/>
  <sheetViews>
    <sheetView workbookViewId="0">
      <selection activeCell="R35" sqref="R35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4" width="9.1328125" style="5" customWidth="1"/>
    <col min="5" max="5" width="12.3984375" style="5" customWidth="1"/>
    <col min="6" max="6" width="11.265625" style="5" customWidth="1"/>
    <col min="7" max="7" width="9.1328125" style="5" customWidth="1"/>
    <col min="8" max="8" width="7.86328125" style="5" customWidth="1"/>
    <col min="9" max="9" width="9.1328125" style="5" customWidth="1"/>
    <col min="10" max="10" width="9.1328125" style="5"/>
    <col min="11" max="11" width="10.1328125" style="5" customWidth="1"/>
    <col min="12" max="12" width="9.1328125" style="5"/>
    <col min="13" max="13" width="11.86328125" style="5" customWidth="1"/>
    <col min="14" max="16384" width="9.1328125" style="5"/>
  </cols>
  <sheetData>
    <row r="1" spans="1:16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6" ht="13.9" x14ac:dyDescent="0.4">
      <c r="A2" s="1938" t="s">
        <v>184</v>
      </c>
      <c r="B2" s="1938"/>
      <c r="C2" s="1938"/>
      <c r="D2" s="1938"/>
      <c r="E2" s="1938"/>
      <c r="F2" s="1938"/>
      <c r="G2" s="1938"/>
      <c r="H2" s="1938"/>
    </row>
    <row r="3" spans="1:16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16" ht="30.75" customHeight="1" x14ac:dyDescent="0.4">
      <c r="A4" s="6"/>
      <c r="B4" s="6"/>
      <c r="C4" s="6" t="s">
        <v>9</v>
      </c>
      <c r="D4" s="6" t="s">
        <v>55</v>
      </c>
      <c r="E4" s="6" t="str">
        <f>D4</f>
        <v>JAN</v>
      </c>
      <c r="F4" s="6" t="str">
        <f>D4</f>
        <v>JAN</v>
      </c>
      <c r="G4" s="25" t="s">
        <v>12</v>
      </c>
      <c r="H4" s="25" t="s">
        <v>13</v>
      </c>
    </row>
    <row r="5" spans="1:16" x14ac:dyDescent="0.35">
      <c r="A5" s="6"/>
      <c r="B5" s="6"/>
      <c r="C5" s="1934" t="s">
        <v>77</v>
      </c>
      <c r="D5" s="1934"/>
      <c r="E5" s="6" t="s">
        <v>66</v>
      </c>
      <c r="F5" s="6" t="s">
        <v>77</v>
      </c>
      <c r="G5" s="6"/>
      <c r="H5" s="6"/>
    </row>
    <row r="6" spans="1:16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16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16" x14ac:dyDescent="0.35">
      <c r="A8" s="6">
        <v>1.1000000000000001</v>
      </c>
      <c r="B8" s="6" t="s">
        <v>16</v>
      </c>
      <c r="C8" s="6"/>
      <c r="D8" s="27">
        <v>1.81</v>
      </c>
      <c r="E8" s="27">
        <v>1.65</v>
      </c>
      <c r="F8" s="27">
        <v>1.7147235630000002</v>
      </c>
      <c r="G8" s="7">
        <f>(F8-D8)/D8*100</f>
        <v>-5.263891546961319</v>
      </c>
      <c r="H8" s="7">
        <f>(F8-E8)/E8*100</f>
        <v>3.9226401818181982</v>
      </c>
      <c r="J8" s="12">
        <f>E8+'UPTO DEC'!E8</f>
        <v>16.243750191</v>
      </c>
      <c r="K8" s="12">
        <f>F8+'UPTO DEC'!F8</f>
        <v>16.904723563000001</v>
      </c>
    </row>
    <row r="9" spans="1:16" x14ac:dyDescent="0.35">
      <c r="A9" s="6">
        <v>1.2</v>
      </c>
      <c r="B9" s="6" t="s">
        <v>15</v>
      </c>
      <c r="C9" s="6"/>
      <c r="D9" s="27">
        <v>83.81</v>
      </c>
      <c r="E9" s="30">
        <v>76.239999999999995</v>
      </c>
      <c r="F9" s="30">
        <v>84.189638197999997</v>
      </c>
      <c r="G9" s="7">
        <f>(F9-D9)/D9*100</f>
        <v>0.45297482162032565</v>
      </c>
      <c r="H9" s="7">
        <f>(F9-E9)/E9*100</f>
        <v>10.427122505246594</v>
      </c>
      <c r="J9" s="12">
        <f>E9+'UPTO DEC'!E9</f>
        <v>696.6</v>
      </c>
      <c r="K9" s="12">
        <f>F9+'UPTO DEC'!F9</f>
        <v>742.90963819800004</v>
      </c>
    </row>
    <row r="10" spans="1:16" x14ac:dyDescent="0.35">
      <c r="A10" s="6">
        <v>1.3</v>
      </c>
      <c r="B10" s="6" t="s">
        <v>17</v>
      </c>
      <c r="C10" s="6">
        <f>C8+C9</f>
        <v>0</v>
      </c>
      <c r="D10" s="34">
        <f>SUM(D8:D9)</f>
        <v>85.62</v>
      </c>
      <c r="E10" s="43">
        <f>SUM(E8:E9)</f>
        <v>77.89</v>
      </c>
      <c r="F10" s="43">
        <f>SUM(F8:F9)</f>
        <v>85.904361761000004</v>
      </c>
      <c r="G10" s="7">
        <f>(F10-D10)/D10*100</f>
        <v>0.33212072062602144</v>
      </c>
      <c r="H10" s="7">
        <f>(F10-E10)/E10*100</f>
        <v>10.289333368853516</v>
      </c>
      <c r="J10" s="12">
        <f>E10+'UPTO DEC'!E10</f>
        <v>712.84375019100003</v>
      </c>
      <c r="K10" s="12">
        <f>F10+'UPTO DEC'!F10</f>
        <v>759.8143617610001</v>
      </c>
    </row>
    <row r="11" spans="1:16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16" x14ac:dyDescent="0.35">
      <c r="A12" s="6">
        <v>2.1</v>
      </c>
      <c r="B12" s="6" t="s">
        <v>19</v>
      </c>
      <c r="C12" s="1934"/>
      <c r="D12" s="27">
        <v>23.81</v>
      </c>
      <c r="E12" s="27">
        <f>218981599/10000000</f>
        <v>21.8981599</v>
      </c>
      <c r="F12" s="27">
        <f>188630833/10000000</f>
        <v>18.8630833</v>
      </c>
      <c r="G12" s="7">
        <f>(F12-D12)/D12*100</f>
        <v>-20.776634607307852</v>
      </c>
      <c r="H12" s="7">
        <f t="shared" ref="H12:H42" si="0">(F12-E12)/E12*100</f>
        <v>-13.859961813503791</v>
      </c>
      <c r="J12" s="12">
        <f>E12+'UPTO DEC'!E12</f>
        <v>170.62815989999999</v>
      </c>
      <c r="K12" s="12">
        <f>F12+'UPTO DEC'!F12</f>
        <v>175.41308330000001</v>
      </c>
      <c r="O12" s="5" t="s">
        <v>196</v>
      </c>
    </row>
    <row r="13" spans="1:16" x14ac:dyDescent="0.35">
      <c r="A13" s="6">
        <v>2.2000000000000002</v>
      </c>
      <c r="B13" s="6" t="s">
        <v>20</v>
      </c>
      <c r="C13" s="1934"/>
      <c r="D13" s="6"/>
      <c r="E13" s="27"/>
      <c r="F13" s="27"/>
      <c r="G13" s="7"/>
      <c r="H13" s="7" t="e">
        <f t="shared" si="0"/>
        <v>#DIV/0!</v>
      </c>
      <c r="O13" s="5" t="s">
        <v>107</v>
      </c>
      <c r="P13" s="5" t="s">
        <v>126</v>
      </c>
    </row>
    <row r="14" spans="1:16" x14ac:dyDescent="0.35">
      <c r="A14" s="6">
        <v>2.2999999999999998</v>
      </c>
      <c r="B14" s="6" t="s">
        <v>21</v>
      </c>
      <c r="C14" s="6"/>
      <c r="D14" s="34">
        <f>SUM(D12:D13)</f>
        <v>23.81</v>
      </c>
      <c r="E14" s="34">
        <f>SUM(E12:E13)</f>
        <v>21.8981599</v>
      </c>
      <c r="F14" s="34">
        <f>SUM(F12:F13)</f>
        <v>18.8630833</v>
      </c>
      <c r="G14" s="7">
        <f>(F14-D14)/D14*100</f>
        <v>-20.776634607307852</v>
      </c>
      <c r="H14" s="7">
        <f t="shared" si="0"/>
        <v>-13.859961813503791</v>
      </c>
      <c r="O14" s="5">
        <v>1718400</v>
      </c>
      <c r="P14" s="5">
        <v>372230</v>
      </c>
    </row>
    <row r="15" spans="1:16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  <c r="O15" s="5">
        <v>968840</v>
      </c>
      <c r="P15" s="5">
        <v>41220</v>
      </c>
    </row>
    <row r="16" spans="1:16" x14ac:dyDescent="0.35">
      <c r="A16" s="6">
        <v>3.1</v>
      </c>
      <c r="B16" s="6" t="s">
        <v>2</v>
      </c>
      <c r="C16" s="6"/>
      <c r="D16" s="34">
        <v>1.43</v>
      </c>
      <c r="E16" s="34">
        <f>12327627/10000000</f>
        <v>1.2327627000000001</v>
      </c>
      <c r="F16" s="34">
        <f>16422335/10000000</f>
        <v>1.6422334999999999</v>
      </c>
      <c r="G16" s="31">
        <f>(F16-D16)/D16*100</f>
        <v>14.841503496503494</v>
      </c>
      <c r="H16" s="7">
        <f>(F16-E16)/E16*100</f>
        <v>33.215703233071523</v>
      </c>
      <c r="J16" s="12">
        <f>E16+'UPTO DEC'!E16</f>
        <v>13.449195399999999</v>
      </c>
      <c r="K16" s="12">
        <f>F16+'UPTO DEC'!F16</f>
        <v>16.020428600000002</v>
      </c>
    </row>
    <row r="17" spans="1:16" x14ac:dyDescent="0.35">
      <c r="A17" s="6">
        <v>3.2</v>
      </c>
      <c r="B17" s="6" t="s">
        <v>23</v>
      </c>
      <c r="C17" s="20"/>
      <c r="D17" s="193">
        <v>2.16</v>
      </c>
      <c r="E17" s="43">
        <f>18749111/10000000</f>
        <v>1.8749111000000001</v>
      </c>
      <c r="F17" s="43">
        <f>18924170/10000000</f>
        <v>1.892417</v>
      </c>
      <c r="G17" s="7">
        <f>(F17-D17)/D17*100</f>
        <v>-12.388101851851857</v>
      </c>
      <c r="H17" s="7">
        <f>(F17-E17)/E17*100</f>
        <v>0.93369226946280093</v>
      </c>
      <c r="J17" s="12">
        <f>E17+'UPTO DEC'!E17</f>
        <v>19.660378899999998</v>
      </c>
      <c r="K17" s="12">
        <f>F17+'UPTO DEC'!F17</f>
        <v>20.040944199999998</v>
      </c>
      <c r="O17" s="5">
        <f>SUM(O14:O16)</f>
        <v>2687240</v>
      </c>
      <c r="P17" s="5">
        <f>SUM(P14:P16)</f>
        <v>413450</v>
      </c>
    </row>
    <row r="18" spans="1:16" x14ac:dyDescent="0.35">
      <c r="A18" s="6">
        <v>3.3</v>
      </c>
      <c r="B18" s="6" t="s">
        <v>1</v>
      </c>
      <c r="C18" s="1936"/>
      <c r="D18" s="194">
        <v>0.38</v>
      </c>
      <c r="E18" s="43">
        <f>1131849/10000000</f>
        <v>0.1131849</v>
      </c>
      <c r="F18" s="43">
        <f>888733/10000000</f>
        <v>8.8873300000000002E-2</v>
      </c>
      <c r="G18" s="7">
        <f>(F18-D18)/D18*100</f>
        <v>-76.612289473684214</v>
      </c>
      <c r="H18" s="7">
        <f t="shared" si="0"/>
        <v>-21.479543649373724</v>
      </c>
      <c r="J18" s="12">
        <f>E18+'UPTO DEC'!E18</f>
        <v>1.6283348000000002</v>
      </c>
      <c r="K18" s="12">
        <f>F18+'UPTO DEC'!F18</f>
        <v>1.2705491</v>
      </c>
      <c r="O18" s="5">
        <f>O17/10000000</f>
        <v>0.26872400000000002</v>
      </c>
      <c r="P18" s="5">
        <f>P17/10000000</f>
        <v>4.1345E-2</v>
      </c>
    </row>
    <row r="19" spans="1:16" x14ac:dyDescent="0.35">
      <c r="A19" s="6">
        <v>3.4</v>
      </c>
      <c r="B19" s="6" t="s">
        <v>24</v>
      </c>
      <c r="C19" s="1936"/>
      <c r="D19" s="129"/>
      <c r="E19" s="43">
        <f>'[3]jan 2020'!$AU$319</f>
        <v>0.22577700000000001</v>
      </c>
      <c r="F19" s="43">
        <f>'[3]jan 2020'!$AT$319</f>
        <v>4.9486000000000002E-2</v>
      </c>
      <c r="G19" s="10"/>
      <c r="H19" s="7">
        <f>(F19-E19)/E19*100</f>
        <v>-78.081912683754325</v>
      </c>
      <c r="J19" s="12">
        <f>E19+'UPTO DEC'!E19</f>
        <v>3.1664569999999994</v>
      </c>
      <c r="K19" s="12">
        <f>F19+'UPTO DEC'!F19</f>
        <v>1.7902390000000001</v>
      </c>
    </row>
    <row r="20" spans="1:16" ht="30.75" customHeight="1" x14ac:dyDescent="0.35">
      <c r="A20" s="6">
        <v>3.5</v>
      </c>
      <c r="B20" s="24" t="s">
        <v>25</v>
      </c>
      <c r="C20" s="1936"/>
      <c r="D20" s="129"/>
      <c r="E20" s="30">
        <f>0.75+0.57</f>
        <v>1.3199999999999998</v>
      </c>
      <c r="F20" s="30">
        <v>0.34</v>
      </c>
      <c r="G20" s="10"/>
      <c r="H20" s="7">
        <f>(F20-E20)/E20*100</f>
        <v>-74.242424242424235</v>
      </c>
      <c r="J20" s="12">
        <f>E20+'UPTO DEC'!E20</f>
        <v>3.7991131999999994</v>
      </c>
      <c r="K20" s="12">
        <f>F20+'UPTO DEC'!F20</f>
        <v>2.5001634999999998</v>
      </c>
      <c r="N20" s="5">
        <v>3.23</v>
      </c>
    </row>
    <row r="21" spans="1:16" ht="35.25" customHeight="1" x14ac:dyDescent="0.35">
      <c r="A21" s="6">
        <v>3.6</v>
      </c>
      <c r="B21" s="23" t="s">
        <v>26</v>
      </c>
      <c r="C21" s="1937"/>
      <c r="D21" s="130"/>
      <c r="E21" s="27">
        <v>2.5626240999999998</v>
      </c>
      <c r="F21" s="27">
        <v>2.5502646000000002</v>
      </c>
      <c r="G21" s="45"/>
      <c r="H21" s="7">
        <f>(F21-E21)/E21*100</f>
        <v>-0.48229859385149915</v>
      </c>
      <c r="J21" s="12">
        <f>E21+'UPTO DEC'!E21</f>
        <v>22.972828200000002</v>
      </c>
      <c r="K21" s="12">
        <f>F21+'UPTO DEC'!F21</f>
        <v>27.711769900000007</v>
      </c>
      <c r="N21" s="5">
        <f>N20-3.8</f>
        <v>-0.56999999999999984</v>
      </c>
    </row>
    <row r="22" spans="1:16" ht="34.5" customHeight="1" x14ac:dyDescent="0.35">
      <c r="A22" s="6">
        <v>3.7</v>
      </c>
      <c r="B22" s="23" t="s">
        <v>58</v>
      </c>
      <c r="C22" s="6"/>
      <c r="D22" s="27">
        <f>'TARGET 2019-20'!J9</f>
        <v>11.05</v>
      </c>
      <c r="E22" s="27">
        <v>6.32</v>
      </c>
      <c r="F22" s="27">
        <v>6.73</v>
      </c>
      <c r="G22" s="7">
        <f>(F22-D22)/D22*100</f>
        <v>-39.095022624434392</v>
      </c>
      <c r="H22" s="7">
        <f t="shared" si="0"/>
        <v>6.4873417721519004</v>
      </c>
      <c r="J22" s="12">
        <f>E22+'UPTO DEC'!E22</f>
        <v>62.31</v>
      </c>
      <c r="K22" s="12">
        <f>F22+'UPTO DEC'!F22</f>
        <v>71.03</v>
      </c>
    </row>
    <row r="23" spans="1:16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16" x14ac:dyDescent="0.35">
      <c r="A24" s="6">
        <v>4.0999999999999996</v>
      </c>
      <c r="B24" s="6" t="s">
        <v>27</v>
      </c>
      <c r="C24" s="6"/>
      <c r="D24" s="6">
        <v>0.83333333333333326</v>
      </c>
      <c r="E24" s="30">
        <f>2928250/10000000</f>
        <v>0.292825</v>
      </c>
      <c r="F24" s="30">
        <v>0.3363469</v>
      </c>
      <c r="G24" s="31">
        <f t="shared" ref="G24:G30" si="1">(F24-D24)/D24*100</f>
        <v>-59.638371999999997</v>
      </c>
      <c r="H24" s="31">
        <f t="shared" si="0"/>
        <v>14.862767864765647</v>
      </c>
      <c r="I24" s="10"/>
      <c r="J24" s="12">
        <f>E24+'UPTO DEC'!E24</f>
        <v>6.0715040999999994</v>
      </c>
      <c r="K24" s="12">
        <f>F24+'UPTO DEC'!F24</f>
        <v>4.8381455999999998</v>
      </c>
      <c r="L24" s="11"/>
      <c r="M24" s="41">
        <f>3613469-250000</f>
        <v>3363469</v>
      </c>
    </row>
    <row r="25" spans="1:16" x14ac:dyDescent="0.35">
      <c r="A25" s="6">
        <v>4.2</v>
      </c>
      <c r="B25" s="6" t="s">
        <v>28</v>
      </c>
      <c r="C25" s="6"/>
      <c r="D25" s="12">
        <v>0.31225833333333336</v>
      </c>
      <c r="E25" s="40">
        <f>5399441/10000000</f>
        <v>0.53994410000000004</v>
      </c>
      <c r="F25" s="40">
        <f>1152680/10000000</f>
        <v>0.115268</v>
      </c>
      <c r="G25" s="31">
        <f t="shared" si="1"/>
        <v>-63.085692935870419</v>
      </c>
      <c r="H25" s="31">
        <f t="shared" si="0"/>
        <v>-78.651864146677411</v>
      </c>
      <c r="I25" s="13"/>
      <c r="J25" s="12">
        <f>E25+'UPTO DEC'!E25</f>
        <v>3.2564527000000001</v>
      </c>
      <c r="K25" s="12">
        <f>F25+'UPTO DEC'!F25</f>
        <v>1.9531729000000002</v>
      </c>
      <c r="L25" s="11"/>
      <c r="M25" s="12">
        <f>M24/10000000</f>
        <v>0.3363469</v>
      </c>
    </row>
    <row r="26" spans="1:16" x14ac:dyDescent="0.35">
      <c r="A26" s="6">
        <v>4.3</v>
      </c>
      <c r="B26" s="6" t="s">
        <v>4</v>
      </c>
      <c r="C26" s="1948"/>
      <c r="D26" s="15">
        <v>0</v>
      </c>
      <c r="E26" s="6">
        <f>41301/10000000</f>
        <v>4.1301000000000003E-3</v>
      </c>
      <c r="F26" s="6">
        <v>0</v>
      </c>
      <c r="G26" s="31" t="e">
        <f t="shared" si="1"/>
        <v>#DIV/0!</v>
      </c>
      <c r="H26" s="31">
        <f t="shared" si="0"/>
        <v>-100</v>
      </c>
      <c r="I26" s="12"/>
      <c r="J26" s="12">
        <f>E26+'UPTO DEC'!E26</f>
        <v>0.40270800000000007</v>
      </c>
      <c r="K26" s="12">
        <f>F26+'UPTO DEC'!F26</f>
        <v>3.0336500000000002E-2</v>
      </c>
      <c r="L26" s="11"/>
      <c r="M26" s="12"/>
    </row>
    <row r="27" spans="1:16" x14ac:dyDescent="0.35">
      <c r="A27" s="6">
        <v>4.4000000000000004</v>
      </c>
      <c r="B27" s="6" t="s">
        <v>29</v>
      </c>
      <c r="C27" s="1947"/>
      <c r="D27" s="17"/>
      <c r="E27" s="6">
        <v>0</v>
      </c>
      <c r="F27" s="6">
        <v>0</v>
      </c>
      <c r="G27" s="31" t="e">
        <f t="shared" si="1"/>
        <v>#DIV/0!</v>
      </c>
      <c r="H27" s="31" t="e">
        <f t="shared" si="0"/>
        <v>#DIV/0!</v>
      </c>
      <c r="J27" s="12">
        <f>E27+'UPTO DEC'!E27</f>
        <v>1.3372E-3</v>
      </c>
      <c r="K27" s="12">
        <f>F27+'UPTO DEC'!F27</f>
        <v>0</v>
      </c>
      <c r="L27" s="11"/>
      <c r="M27" s="12"/>
    </row>
    <row r="28" spans="1:16" x14ac:dyDescent="0.35">
      <c r="A28" s="6">
        <v>4.5</v>
      </c>
      <c r="B28" s="6" t="s">
        <v>30</v>
      </c>
      <c r="C28" s="1947"/>
      <c r="D28" s="17"/>
      <c r="E28" s="6">
        <v>0</v>
      </c>
      <c r="F28" s="6">
        <v>0</v>
      </c>
      <c r="G28" s="31" t="e">
        <f t="shared" si="1"/>
        <v>#DIV/0!</v>
      </c>
      <c r="H28" s="31" t="e">
        <f t="shared" si="0"/>
        <v>#DIV/0!</v>
      </c>
      <c r="I28" s="13"/>
      <c r="J28" s="12">
        <f>E28+'UPTO DEC'!E28</f>
        <v>8.5030999999999995E-3</v>
      </c>
      <c r="K28" s="12">
        <f>F28+'UPTO DEC'!F28</f>
        <v>0</v>
      </c>
      <c r="L28" s="11"/>
      <c r="M28" s="12"/>
      <c r="O28" s="6"/>
      <c r="P28" s="6"/>
    </row>
    <row r="29" spans="1:16" x14ac:dyDescent="0.35">
      <c r="A29" s="6">
        <v>4.7</v>
      </c>
      <c r="B29" s="6" t="s">
        <v>3</v>
      </c>
      <c r="C29" s="1947"/>
      <c r="D29" s="17">
        <v>0.13583333333333333</v>
      </c>
      <c r="E29" s="30">
        <v>0.2068779</v>
      </c>
      <c r="F29" s="30">
        <v>0.166209</v>
      </c>
      <c r="G29" s="31">
        <f t="shared" si="1"/>
        <v>22.362453987730056</v>
      </c>
      <c r="H29" s="31">
        <f t="shared" si="0"/>
        <v>-19.658407205409571</v>
      </c>
      <c r="I29" s="12"/>
      <c r="J29" s="12">
        <f>E29+'UPTO DEC'!E29</f>
        <v>1.0250699000000001</v>
      </c>
      <c r="K29" s="12">
        <f>F29+'UPTO DEC'!F29</f>
        <v>1.2373552999999999</v>
      </c>
      <c r="L29" s="11"/>
      <c r="M29" s="12"/>
    </row>
    <row r="30" spans="1:16" x14ac:dyDescent="0.35">
      <c r="A30" s="6">
        <v>4.8</v>
      </c>
      <c r="B30" s="6" t="s">
        <v>31</v>
      </c>
      <c r="C30" s="1949"/>
      <c r="D30" s="22"/>
      <c r="E30" s="6">
        <v>0</v>
      </c>
      <c r="F30" s="6">
        <v>0</v>
      </c>
      <c r="G30" s="31" t="e">
        <f t="shared" si="1"/>
        <v>#DIV/0!</v>
      </c>
      <c r="H30" s="31" t="e">
        <f t="shared" si="0"/>
        <v>#DIV/0!</v>
      </c>
      <c r="J30" s="12">
        <f>E30+'UPTO DEC'!E30</f>
        <v>0</v>
      </c>
      <c r="K30" s="12">
        <f>F30+'UPTO DEC'!F30</f>
        <v>0</v>
      </c>
      <c r="L30" s="11"/>
      <c r="M30" s="12"/>
    </row>
    <row r="31" spans="1:16" x14ac:dyDescent="0.35">
      <c r="A31" s="6">
        <v>4.9000000000000004</v>
      </c>
      <c r="B31" s="6" t="s">
        <v>32</v>
      </c>
      <c r="C31" s="6">
        <f>C24+C25</f>
        <v>0</v>
      </c>
      <c r="D31" s="27">
        <f>SUM(D24:D30)</f>
        <v>1.2814249999999998</v>
      </c>
      <c r="E31" s="27">
        <f>SUM(E24:E30)</f>
        <v>1.0437771</v>
      </c>
      <c r="F31" s="27">
        <f>SUM(F24:F30)</f>
        <v>0.61782389999999998</v>
      </c>
      <c r="G31" s="31">
        <f t="shared" ref="G31:G36" si="2">(F31-D31)/D31*100</f>
        <v>-51.786183350566752</v>
      </c>
      <c r="H31" s="31">
        <f t="shared" si="0"/>
        <v>-40.808827861810727</v>
      </c>
      <c r="J31" s="12">
        <f>E31+'UPTO DEC'!E31</f>
        <v>10.765574999999998</v>
      </c>
      <c r="K31" s="12">
        <f>F31+'UPTO DEC'!F31</f>
        <v>8.0590102999999988</v>
      </c>
      <c r="L31" s="11"/>
    </row>
    <row r="32" spans="1:16" ht="14.25" thickBot="1" x14ac:dyDescent="0.45">
      <c r="A32" s="9">
        <v>5</v>
      </c>
      <c r="B32" s="9" t="s">
        <v>33</v>
      </c>
      <c r="C32" s="9">
        <f>C10+C14+C22+C31</f>
        <v>0</v>
      </c>
      <c r="D32" s="28">
        <f>D10+D14+D22+D31</f>
        <v>121.761425</v>
      </c>
      <c r="E32" s="28">
        <f>E10+E14+E22+E31</f>
        <v>107.151937</v>
      </c>
      <c r="F32" s="28">
        <f>F10+F14+F22+F31</f>
        <v>112.11526896100001</v>
      </c>
      <c r="G32" s="31">
        <f t="shared" si="2"/>
        <v>-7.9221773554309092</v>
      </c>
      <c r="H32" s="31">
        <f t="shared" si="0"/>
        <v>4.6320506189262902</v>
      </c>
      <c r="J32" s="12">
        <f>E32+'UPTO DEC'!E32</f>
        <v>956.547485091</v>
      </c>
      <c r="K32" s="12">
        <f>F32+'UPTO DEC'!F32</f>
        <v>1014.316455361</v>
      </c>
    </row>
    <row r="33" spans="1:14" ht="14.65" thickBot="1" x14ac:dyDescent="0.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  <c r="L33" s="2"/>
      <c r="M33" s="2"/>
      <c r="N33" s="2"/>
    </row>
    <row r="34" spans="1:14" ht="13.9" thickBot="1" x14ac:dyDescent="0.4">
      <c r="A34" s="6">
        <v>6.1</v>
      </c>
      <c r="B34" s="6" t="s">
        <v>16</v>
      </c>
      <c r="C34" s="6"/>
      <c r="D34" s="27">
        <v>31.900000000000002</v>
      </c>
      <c r="E34" s="27">
        <v>31.05</v>
      </c>
      <c r="F34" s="27">
        <v>31.41469</v>
      </c>
      <c r="G34" s="7">
        <f t="shared" si="2"/>
        <v>-1.5213479623824511</v>
      </c>
      <c r="H34" s="7">
        <f t="shared" si="0"/>
        <v>1.1745249597423495</v>
      </c>
      <c r="K34" s="3"/>
      <c r="L34" s="4"/>
      <c r="M34" s="4"/>
      <c r="N34" s="4"/>
    </row>
    <row r="35" spans="1:14" ht="13.9" thickBot="1" x14ac:dyDescent="0.4">
      <c r="A35" s="6">
        <v>6.2</v>
      </c>
      <c r="B35" s="6" t="s">
        <v>15</v>
      </c>
      <c r="C35" s="6"/>
      <c r="D35" s="27">
        <v>38</v>
      </c>
      <c r="E35" s="27">
        <v>37.67</v>
      </c>
      <c r="F35" s="27">
        <v>36.225230000000003</v>
      </c>
      <c r="G35" s="7">
        <f t="shared" si="2"/>
        <v>-4.6704473684210432</v>
      </c>
      <c r="H35" s="7">
        <f t="shared" si="0"/>
        <v>-3.8353331563578399</v>
      </c>
      <c r="K35" s="3"/>
      <c r="L35" s="4"/>
      <c r="M35" s="4"/>
      <c r="N35" s="4"/>
    </row>
    <row r="36" spans="1:14" ht="13.9" thickBot="1" x14ac:dyDescent="0.4">
      <c r="A36" s="6">
        <v>6.3</v>
      </c>
      <c r="B36" s="6" t="s">
        <v>34</v>
      </c>
      <c r="C36" s="6">
        <f>SUM(C34:C35)</f>
        <v>0</v>
      </c>
      <c r="D36" s="34">
        <f>SUM(D34:D35)</f>
        <v>69.900000000000006</v>
      </c>
      <c r="E36" s="34">
        <f>SUM(E34:E35)</f>
        <v>68.72</v>
      </c>
      <c r="F36" s="34">
        <f>SUM(F34:F35)</f>
        <v>67.639920000000004</v>
      </c>
      <c r="G36" s="7">
        <f t="shared" si="2"/>
        <v>-3.2333047210300454</v>
      </c>
      <c r="H36" s="7">
        <f t="shared" si="0"/>
        <v>-1.5717112922002261</v>
      </c>
      <c r="K36" s="3"/>
      <c r="L36" s="4"/>
      <c r="M36" s="4"/>
      <c r="N36" s="4"/>
    </row>
    <row r="37" spans="1:14" ht="14.65" thickBot="1" x14ac:dyDescent="0.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  <c r="M37" s="4"/>
    </row>
    <row r="38" spans="1:14" ht="13.9" thickBot="1" x14ac:dyDescent="0.4">
      <c r="A38" s="6">
        <v>7.1</v>
      </c>
      <c r="B38" s="6" t="s">
        <v>16</v>
      </c>
      <c r="C38" s="14"/>
      <c r="D38" s="15"/>
      <c r="E38" s="6"/>
      <c r="F38" s="6"/>
      <c r="G38" s="1925"/>
      <c r="H38" s="7" t="e">
        <f t="shared" si="0"/>
        <v>#DIV/0!</v>
      </c>
      <c r="M38" s="4"/>
    </row>
    <row r="39" spans="1:14" ht="13.9" thickBot="1" x14ac:dyDescent="0.4">
      <c r="A39" s="6">
        <v>7.2</v>
      </c>
      <c r="B39" s="6" t="s">
        <v>15</v>
      </c>
      <c r="C39" s="16"/>
      <c r="D39" s="17"/>
      <c r="E39" s="6"/>
      <c r="F39" s="6"/>
      <c r="G39" s="1926"/>
      <c r="H39" s="7" t="e">
        <f t="shared" si="0"/>
        <v>#DIV/0!</v>
      </c>
      <c r="J39" s="5">
        <f>857433+182140</f>
        <v>1039573</v>
      </c>
    </row>
    <row r="40" spans="1:14" ht="13.9" thickBot="1" x14ac:dyDescent="0.4">
      <c r="A40" s="6">
        <v>7.3</v>
      </c>
      <c r="B40" s="6" t="s">
        <v>35</v>
      </c>
      <c r="C40" s="21"/>
      <c r="D40" s="22"/>
      <c r="E40" s="6">
        <f>SUM(E38:E39)</f>
        <v>0</v>
      </c>
      <c r="F40" s="31">
        <f>SUM(F38:F39)</f>
        <v>0</v>
      </c>
      <c r="G40" s="1927"/>
      <c r="H40" s="7" t="e">
        <f t="shared" si="0"/>
        <v>#DIV/0!</v>
      </c>
      <c r="J40" s="5">
        <f>770023+148149</f>
        <v>918172</v>
      </c>
      <c r="L40" s="1"/>
    </row>
    <row r="41" spans="1:14" ht="14.65" thickBot="1" x14ac:dyDescent="0.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  <c r="L41" s="3"/>
    </row>
    <row r="42" spans="1:14" ht="13.9" thickBot="1" x14ac:dyDescent="0.4">
      <c r="A42" s="6">
        <v>8.1</v>
      </c>
      <c r="B42" s="6" t="s">
        <v>41</v>
      </c>
      <c r="C42" s="6"/>
      <c r="D42" s="6">
        <v>46000</v>
      </c>
      <c r="E42" s="6">
        <v>26892</v>
      </c>
      <c r="F42" s="6">
        <v>32875</v>
      </c>
      <c r="G42" s="7">
        <f>(F42-D42)/D42*100</f>
        <v>-28.532608695652172</v>
      </c>
      <c r="H42" s="7">
        <f t="shared" si="0"/>
        <v>22.248252268332589</v>
      </c>
      <c r="L42" s="3"/>
    </row>
    <row r="43" spans="1:14" ht="14.65" thickBot="1" x14ac:dyDescent="0.5">
      <c r="A43" s="9">
        <v>9</v>
      </c>
      <c r="B43" s="1931" t="s">
        <v>61</v>
      </c>
      <c r="C43" s="1932"/>
      <c r="D43" s="1932"/>
      <c r="E43" s="1932"/>
      <c r="F43" s="1932"/>
      <c r="G43" s="1932"/>
      <c r="H43" s="1933"/>
      <c r="L43" s="3"/>
    </row>
    <row r="44" spans="1:14" ht="13.9" thickBot="1" x14ac:dyDescent="0.4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  <c r="L44" s="3"/>
    </row>
    <row r="45" spans="1:14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 t="shared" ref="H45:H50" si="3">(E45-F45)/F45*100</f>
        <v>#DIV/0!</v>
      </c>
    </row>
    <row r="46" spans="1:14" x14ac:dyDescent="0.35">
      <c r="A46" s="6">
        <v>9.3000000000000007</v>
      </c>
      <c r="B46" s="6" t="s">
        <v>38</v>
      </c>
      <c r="C46" s="21"/>
      <c r="D46" s="22"/>
      <c r="E46" s="27">
        <f>SUM(E44:E45)</f>
        <v>0</v>
      </c>
      <c r="F46" s="27">
        <f>SUM(F44:F45)</f>
        <v>0</v>
      </c>
      <c r="G46" s="1927"/>
      <c r="H46" s="7" t="e">
        <f t="shared" si="3"/>
        <v>#DIV/0!</v>
      </c>
    </row>
    <row r="47" spans="1:14" ht="14.25" hidden="1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4" hidden="1" x14ac:dyDescent="0.35">
      <c r="A48" s="6">
        <v>10.1</v>
      </c>
      <c r="B48" s="6" t="s">
        <v>39</v>
      </c>
      <c r="C48" s="14"/>
      <c r="D48" s="15"/>
      <c r="E48" s="6">
        <v>10</v>
      </c>
      <c r="F48" s="6"/>
      <c r="G48" s="1925"/>
      <c r="H48" s="7" t="e">
        <f t="shared" si="3"/>
        <v>#DIV/0!</v>
      </c>
    </row>
    <row r="49" spans="1:8" hidden="1" x14ac:dyDescent="0.35">
      <c r="A49" s="6">
        <v>10.199999999999999</v>
      </c>
      <c r="B49" s="6" t="s">
        <v>40</v>
      </c>
      <c r="C49" s="16"/>
      <c r="D49" s="17"/>
      <c r="E49" s="6">
        <v>14</v>
      </c>
      <c r="F49" s="6"/>
      <c r="G49" s="1926"/>
      <c r="H49" s="7" t="e">
        <f t="shared" si="3"/>
        <v>#DIV/0!</v>
      </c>
    </row>
    <row r="50" spans="1:8" hidden="1" x14ac:dyDescent="0.35">
      <c r="A50" s="6">
        <v>10.3</v>
      </c>
      <c r="B50" s="6" t="s">
        <v>0</v>
      </c>
      <c r="C50" s="21"/>
      <c r="D50" s="22"/>
      <c r="E50" s="6">
        <f>SUM(E48:E49)</f>
        <v>24</v>
      </c>
      <c r="F50" s="6">
        <f>SUM(F48:F49)</f>
        <v>0</v>
      </c>
      <c r="G50" s="1927"/>
      <c r="H50" s="7" t="e">
        <f t="shared" si="3"/>
        <v>#DIV/0!</v>
      </c>
    </row>
    <row r="63" spans="1:8" x14ac:dyDescent="0.35">
      <c r="E63" s="5">
        <v>2016</v>
      </c>
      <c r="F63" s="5">
        <v>2015</v>
      </c>
    </row>
    <row r="64" spans="1:8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1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G48:G50"/>
    <mergeCell ref="B23:H23"/>
    <mergeCell ref="C26:C30"/>
    <mergeCell ref="B33:H33"/>
    <mergeCell ref="B37:H37"/>
    <mergeCell ref="G38:G40"/>
    <mergeCell ref="B41:H41"/>
    <mergeCell ref="B43:H43"/>
    <mergeCell ref="G44:G46"/>
    <mergeCell ref="B47:H47"/>
  </mergeCells>
  <pageMargins left="0.70866141732283472" right="0.70866141732283472" top="0.74803149606299213" bottom="0.74803149606299213" header="0.31496062992125984" footer="0.31496062992125984"/>
  <pageSetup scale="85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A69"/>
  <sheetViews>
    <sheetView topLeftCell="A12" workbookViewId="0">
      <selection activeCell="O27" sqref="O27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4" width="9.1328125" style="5" customWidth="1"/>
    <col min="5" max="5" width="12.3984375" style="5" customWidth="1"/>
    <col min="6" max="6" width="11" style="5" customWidth="1"/>
    <col min="7" max="7" width="9.1328125" style="5" customWidth="1"/>
    <col min="8" max="8" width="9.3984375" style="5" customWidth="1"/>
    <col min="9" max="9" width="9.1328125" style="5" customWidth="1"/>
    <col min="10" max="10" width="9.1328125" style="5"/>
    <col min="11" max="11" width="11.265625" style="5" customWidth="1"/>
    <col min="12" max="21" width="9.1328125" style="5"/>
    <col min="22" max="24" width="13.73046875" style="5" customWidth="1"/>
    <col min="25" max="16384" width="9.1328125" style="5"/>
  </cols>
  <sheetData>
    <row r="1" spans="1:27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27" ht="13.9" x14ac:dyDescent="0.4">
      <c r="A2" s="1938" t="s">
        <v>76</v>
      </c>
      <c r="B2" s="1938"/>
      <c r="C2" s="1938"/>
      <c r="D2" s="1938"/>
      <c r="E2" s="1938"/>
      <c r="F2" s="1938"/>
      <c r="G2" s="1938"/>
      <c r="H2" s="1938"/>
    </row>
    <row r="3" spans="1:27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27" ht="30.75" customHeight="1" x14ac:dyDescent="0.4">
      <c r="A4" s="6"/>
      <c r="B4" s="6"/>
      <c r="C4" s="6" t="s">
        <v>9</v>
      </c>
      <c r="D4" s="6" t="s">
        <v>56</v>
      </c>
      <c r="E4" s="6" t="str">
        <f>D4</f>
        <v>FEB</v>
      </c>
      <c r="F4" s="6" t="str">
        <f>D4</f>
        <v>FEB</v>
      </c>
      <c r="G4" s="25" t="s">
        <v>12</v>
      </c>
      <c r="H4" s="25" t="s">
        <v>13</v>
      </c>
    </row>
    <row r="5" spans="1:27" x14ac:dyDescent="0.35">
      <c r="A5" s="6"/>
      <c r="B5" s="6"/>
      <c r="C5" s="1934" t="s">
        <v>77</v>
      </c>
      <c r="D5" s="1934"/>
      <c r="E5" s="6" t="s">
        <v>66</v>
      </c>
      <c r="F5" s="6" t="s">
        <v>77</v>
      </c>
      <c r="G5" s="6"/>
      <c r="H5" s="6"/>
    </row>
    <row r="6" spans="1:27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  <c r="N6" s="5" t="s">
        <v>152</v>
      </c>
      <c r="P6" s="5" t="s">
        <v>200</v>
      </c>
      <c r="S6" s="5" t="s">
        <v>181</v>
      </c>
    </row>
    <row r="7" spans="1:27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  <c r="N7" s="5" t="s">
        <v>156</v>
      </c>
      <c r="O7" s="5" t="s">
        <v>157</v>
      </c>
      <c r="P7" s="5" t="s">
        <v>201</v>
      </c>
      <c r="Q7" s="5" t="s">
        <v>157</v>
      </c>
    </row>
    <row r="8" spans="1:27" x14ac:dyDescent="0.35">
      <c r="A8" s="6">
        <v>1.1000000000000001</v>
      </c>
      <c r="B8" s="6" t="s">
        <v>16</v>
      </c>
      <c r="C8" s="6"/>
      <c r="D8" s="27">
        <v>1.56</v>
      </c>
      <c r="E8" s="27">
        <v>1.42</v>
      </c>
      <c r="F8" s="73">
        <v>1.57</v>
      </c>
      <c r="G8" s="7">
        <f>(F8-D8)/D8*100</f>
        <v>0.64102564102564163</v>
      </c>
      <c r="H8" s="7">
        <f>(F8-E8)/E8*100</f>
        <v>10.563380281690151</v>
      </c>
      <c r="K8" s="13">
        <f>15696255.32/10000000</f>
        <v>1.5696255320000001</v>
      </c>
      <c r="M8" s="5">
        <v>17</v>
      </c>
      <c r="N8" s="5">
        <v>134470</v>
      </c>
      <c r="O8" s="5">
        <v>679578.11</v>
      </c>
      <c r="P8" s="5">
        <v>102668</v>
      </c>
      <c r="Q8" s="5">
        <v>6244749.9800000004</v>
      </c>
      <c r="S8" s="5">
        <v>21550</v>
      </c>
      <c r="U8" s="5">
        <v>1548416</v>
      </c>
      <c r="V8" s="11">
        <f>U8/100000</f>
        <v>15.484159999999999</v>
      </c>
      <c r="W8" s="11">
        <f>V8+N15</f>
        <v>21.15089</v>
      </c>
    </row>
    <row r="9" spans="1:27" x14ac:dyDescent="0.35">
      <c r="A9" s="6">
        <v>1.2</v>
      </c>
      <c r="B9" s="6" t="s">
        <v>15</v>
      </c>
      <c r="C9" s="6"/>
      <c r="D9" s="27">
        <v>73.58</v>
      </c>
      <c r="E9" s="27">
        <v>66.94</v>
      </c>
      <c r="F9" s="73">
        <v>78.14</v>
      </c>
      <c r="G9" s="7">
        <f>(F9-D9)/D9*100</f>
        <v>6.1973362326719252</v>
      </c>
      <c r="H9" s="7">
        <f>(F9-E9)/E9*100</f>
        <v>16.731401254855101</v>
      </c>
      <c r="K9" s="12">
        <f>165259480.54/10000000</f>
        <v>16.525948054000001</v>
      </c>
      <c r="M9" s="5">
        <v>18</v>
      </c>
      <c r="N9" s="5">
        <v>100699</v>
      </c>
      <c r="O9" s="5">
        <v>534746.6</v>
      </c>
      <c r="P9" s="5">
        <v>84126</v>
      </c>
      <c r="Q9" s="5">
        <v>5757467</v>
      </c>
      <c r="S9" s="5">
        <v>24350</v>
      </c>
      <c r="U9" s="5">
        <v>1340740</v>
      </c>
      <c r="V9" s="11">
        <f>U9/100000</f>
        <v>13.407400000000001</v>
      </c>
      <c r="W9" s="11">
        <f>P15+V9</f>
        <v>18.411860000000001</v>
      </c>
      <c r="X9" s="5">
        <v>8691859.0300000012</v>
      </c>
      <c r="Y9" s="12">
        <f>X9/10000000</f>
        <v>0.86918590300000009</v>
      </c>
      <c r="Z9" s="12">
        <f>Y9+O15</f>
        <v>1.1465091439999999</v>
      </c>
    </row>
    <row r="10" spans="1:27" x14ac:dyDescent="0.35">
      <c r="A10" s="6">
        <v>1.3</v>
      </c>
      <c r="B10" s="6" t="s">
        <v>17</v>
      </c>
      <c r="C10" s="6">
        <f>C8+C9</f>
        <v>0</v>
      </c>
      <c r="D10" s="34">
        <f>SUM(D8:D9)</f>
        <v>75.14</v>
      </c>
      <c r="E10" s="34">
        <f>SUM(E8:E9)</f>
        <v>68.36</v>
      </c>
      <c r="F10" s="39">
        <f>SUM(F8:F9)</f>
        <v>79.709999999999994</v>
      </c>
      <c r="G10" s="7">
        <f>(F10-D10)/D10*100</f>
        <v>6.081980303433582</v>
      </c>
      <c r="H10" s="7">
        <f>(F10-E10)/E10*100</f>
        <v>16.603276770040949</v>
      </c>
      <c r="K10" s="11">
        <f>616164604/10000000</f>
        <v>61.616460400000001</v>
      </c>
      <c r="M10" s="5">
        <v>19</v>
      </c>
      <c r="N10" s="5">
        <v>77621</v>
      </c>
      <c r="O10" s="5">
        <v>456749.67</v>
      </c>
      <c r="P10" s="5">
        <v>76644</v>
      </c>
      <c r="Q10" s="5">
        <v>5780325</v>
      </c>
      <c r="S10" s="5">
        <v>20080</v>
      </c>
      <c r="U10" s="5">
        <v>730512</v>
      </c>
      <c r="V10" s="11">
        <f>U10/100000</f>
        <v>7.3051199999999996</v>
      </c>
      <c r="W10" s="11">
        <f>V10</f>
        <v>7.3051199999999996</v>
      </c>
      <c r="X10" s="5">
        <v>89904934.489999995</v>
      </c>
      <c r="Y10" s="12">
        <f>X10/10000000</f>
        <v>8.9904934489999988</v>
      </c>
      <c r="Z10" s="12">
        <f>Y10+Q15</f>
        <v>12.477569846999998</v>
      </c>
      <c r="AA10" s="12">
        <f>Z10+Z11</f>
        <v>59.751868046999995</v>
      </c>
    </row>
    <row r="11" spans="1:27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  <c r="K11" s="13">
        <f>SUM(K9:K10)</f>
        <v>78.142408454000005</v>
      </c>
      <c r="M11" s="5">
        <v>20</v>
      </c>
      <c r="N11" s="5">
        <v>94970</v>
      </c>
      <c r="O11" s="5">
        <v>540007.82999999996</v>
      </c>
      <c r="P11" s="5">
        <v>85477</v>
      </c>
      <c r="Q11" s="5">
        <v>5850274.2400000002</v>
      </c>
      <c r="S11" s="5">
        <v>19170</v>
      </c>
      <c r="W11" s="11">
        <f>SUM(W8:W10)</f>
        <v>46.867870000000003</v>
      </c>
      <c r="X11" s="5">
        <v>472742982</v>
      </c>
      <c r="Y11" s="12">
        <f>X11/10000000</f>
        <v>47.274298199999997</v>
      </c>
      <c r="Z11" s="12">
        <f>Y11</f>
        <v>47.274298199999997</v>
      </c>
    </row>
    <row r="12" spans="1:27" x14ac:dyDescent="0.35">
      <c r="A12" s="6">
        <v>2.1</v>
      </c>
      <c r="B12" s="6" t="s">
        <v>19</v>
      </c>
      <c r="C12" s="1948"/>
      <c r="D12" s="52">
        <v>18.989999999999998</v>
      </c>
      <c r="E12" s="27">
        <v>17.46</v>
      </c>
      <c r="F12" s="27">
        <v>9.8000000000000007</v>
      </c>
      <c r="G12" s="7">
        <f>(F12-D12)/D12*100</f>
        <v>-48.393891521853597</v>
      </c>
      <c r="H12" s="7">
        <f>(F12-E12)/E12*100</f>
        <v>-43.871706758304697</v>
      </c>
      <c r="M12" s="5">
        <v>21</v>
      </c>
      <c r="N12" s="5">
        <v>83396</v>
      </c>
      <c r="O12" s="5">
        <v>514709.59</v>
      </c>
      <c r="P12" s="5">
        <v>75931</v>
      </c>
      <c r="Q12" s="5">
        <v>5580239.0599999996</v>
      </c>
      <c r="S12" s="5">
        <v>19550</v>
      </c>
      <c r="Z12" s="12">
        <f>SUM(Z9:Z11)</f>
        <v>60.898377190999994</v>
      </c>
    </row>
    <row r="13" spans="1:27" x14ac:dyDescent="0.3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7"/>
      <c r="M13" s="5">
        <v>22</v>
      </c>
      <c r="N13" s="5">
        <v>75517</v>
      </c>
      <c r="O13" s="5">
        <v>47440.61</v>
      </c>
      <c r="P13" s="5">
        <v>75600</v>
      </c>
      <c r="Q13" s="5">
        <v>5657708.7000000002</v>
      </c>
      <c r="S13" s="5">
        <v>2280</v>
      </c>
    </row>
    <row r="14" spans="1:27" x14ac:dyDescent="0.35">
      <c r="A14" s="6">
        <v>2.2999999999999998</v>
      </c>
      <c r="B14" s="6" t="s">
        <v>21</v>
      </c>
      <c r="C14" s="6"/>
      <c r="D14" s="34">
        <f>SUM(D12:D13)</f>
        <v>18.989999999999998</v>
      </c>
      <c r="E14" s="34">
        <f>SUM(E12:E13)</f>
        <v>17.46</v>
      </c>
      <c r="F14" s="34">
        <f>SUM(F12:F13)</f>
        <v>9.8000000000000007</v>
      </c>
      <c r="G14" s="7">
        <f>(F14-D14)/D14*100</f>
        <v>-48.393891521853597</v>
      </c>
      <c r="H14" s="7">
        <f>(F14-E14)/E14*100</f>
        <v>-43.871706758304697</v>
      </c>
      <c r="N14" s="5">
        <f>SUM(N8:N13)</f>
        <v>566673</v>
      </c>
      <c r="O14" s="5">
        <f>SUM(O8:O13)</f>
        <v>2773232.4099999997</v>
      </c>
      <c r="P14" s="5">
        <f>SUM(P8:P13)</f>
        <v>500446</v>
      </c>
      <c r="Q14" s="5">
        <f>SUM(Q8:Q13)</f>
        <v>34870763.979999997</v>
      </c>
      <c r="S14" s="5">
        <f>SUM(S8:S13)</f>
        <v>106980</v>
      </c>
    </row>
    <row r="15" spans="1:27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  <c r="J15" s="13"/>
      <c r="K15" s="12"/>
      <c r="L15" s="12"/>
      <c r="N15" s="5">
        <f>N14/100000</f>
        <v>5.6667300000000003</v>
      </c>
      <c r="O15" s="5">
        <f>O14/10000000</f>
        <v>0.27732324099999994</v>
      </c>
      <c r="P15" s="5">
        <f>P14/100000</f>
        <v>5.0044599999999999</v>
      </c>
      <c r="Q15" s="5">
        <f>Q14/10000000</f>
        <v>3.4870763979999997</v>
      </c>
      <c r="S15" s="5">
        <f>S14/10000000</f>
        <v>1.0697999999999999E-2</v>
      </c>
    </row>
    <row r="16" spans="1:27" x14ac:dyDescent="0.35">
      <c r="A16" s="6">
        <v>3.1</v>
      </c>
      <c r="B16" s="6" t="s">
        <v>2</v>
      </c>
      <c r="C16" s="6"/>
      <c r="D16" s="34">
        <v>1.43</v>
      </c>
      <c r="E16" s="34">
        <v>1.26</v>
      </c>
      <c r="F16" s="34">
        <f>18004445/10000000</f>
        <v>1.8004445</v>
      </c>
      <c r="G16" s="7">
        <f>(F16-D16)/D16*100</f>
        <v>25.905209790209792</v>
      </c>
      <c r="H16" s="7">
        <f t="shared" ref="H16:H21" si="0">(F16-E16)/E16*100</f>
        <v>42.892420634920633</v>
      </c>
      <c r="J16" s="12"/>
      <c r="S16" s="12">
        <f>S15+F19</f>
        <v>7.0061999999999999E-2</v>
      </c>
    </row>
    <row r="17" spans="1:21" x14ac:dyDescent="0.35">
      <c r="A17" s="6">
        <v>3.2</v>
      </c>
      <c r="B17" s="6" t="s">
        <v>23</v>
      </c>
      <c r="C17" s="20"/>
      <c r="D17" s="193">
        <v>2.08</v>
      </c>
      <c r="E17" s="74">
        <v>1.861</v>
      </c>
      <c r="F17" s="34">
        <v>1.919</v>
      </c>
      <c r="G17" s="7">
        <f>(F17-D17)/D17*100</f>
        <v>-7.7403846153846168</v>
      </c>
      <c r="H17" s="7">
        <f>(F17-E17)/E17*100</f>
        <v>3.1166039763568003</v>
      </c>
      <c r="I17" s="12">
        <f>D17+D18</f>
        <v>2.35</v>
      </c>
      <c r="J17" s="12">
        <f>E17+E18</f>
        <v>1.9809999999999999</v>
      </c>
      <c r="K17" s="12">
        <f>F17+F18</f>
        <v>2.0190000000000001</v>
      </c>
      <c r="L17" s="12">
        <f>(K17-I17)/I17*100</f>
        <v>-14.08510638297872</v>
      </c>
      <c r="O17" s="5">
        <v>0.86918590300000009</v>
      </c>
    </row>
    <row r="18" spans="1:21" x14ac:dyDescent="0.35">
      <c r="A18" s="6">
        <v>3.3</v>
      </c>
      <c r="B18" s="6" t="s">
        <v>1</v>
      </c>
      <c r="C18" s="129"/>
      <c r="D18" s="194">
        <v>0.27</v>
      </c>
      <c r="E18" s="74">
        <v>0.12</v>
      </c>
      <c r="F18" s="34">
        <v>0.1</v>
      </c>
      <c r="G18" s="7">
        <f>(F18-D18)/D18*100</f>
        <v>-62.962962962962962</v>
      </c>
      <c r="H18" s="7">
        <f t="shared" si="0"/>
        <v>-16.666666666666661</v>
      </c>
      <c r="O18" s="5">
        <v>56.264791649000003</v>
      </c>
      <c r="T18" s="5">
        <v>1583520</v>
      </c>
      <c r="U18" s="172">
        <v>362250</v>
      </c>
    </row>
    <row r="19" spans="1:21" x14ac:dyDescent="0.35">
      <c r="A19" s="6">
        <v>3.4</v>
      </c>
      <c r="B19" s="6" t="s">
        <v>24</v>
      </c>
      <c r="C19" s="129"/>
      <c r="D19" s="129"/>
      <c r="E19" s="73">
        <v>0.24900800000000001</v>
      </c>
      <c r="F19" s="73">
        <v>5.9364E-2</v>
      </c>
      <c r="G19" s="10"/>
      <c r="H19" s="7">
        <f t="shared" si="0"/>
        <v>-76.159802094711821</v>
      </c>
      <c r="T19" s="5">
        <v>906560</v>
      </c>
      <c r="U19" s="5">
        <v>217530</v>
      </c>
    </row>
    <row r="20" spans="1:21" ht="30.75" customHeight="1" x14ac:dyDescent="0.35">
      <c r="A20" s="6">
        <v>3.5</v>
      </c>
      <c r="B20" s="24" t="s">
        <v>25</v>
      </c>
      <c r="C20" s="129"/>
      <c r="D20" s="129"/>
      <c r="E20" s="30">
        <v>0</v>
      </c>
      <c r="F20" s="30">
        <v>0</v>
      </c>
      <c r="G20" s="10"/>
      <c r="H20" s="7"/>
      <c r="U20" s="5">
        <v>13860</v>
      </c>
    </row>
    <row r="21" spans="1:21" ht="35.25" customHeight="1" x14ac:dyDescent="0.35">
      <c r="A21" s="6">
        <v>3.6</v>
      </c>
      <c r="B21" s="23" t="s">
        <v>26</v>
      </c>
      <c r="C21" s="130"/>
      <c r="D21" s="130"/>
      <c r="E21" s="27">
        <v>2.39</v>
      </c>
      <c r="F21" s="27">
        <v>2.59</v>
      </c>
      <c r="G21" s="45"/>
      <c r="H21" s="7">
        <f t="shared" si="0"/>
        <v>8.3682008368200727</v>
      </c>
      <c r="J21" s="5">
        <f>7-6.44</f>
        <v>0.55999999999999961</v>
      </c>
      <c r="O21" s="5">
        <f>O15+O17</f>
        <v>1.1465091439999999</v>
      </c>
      <c r="T21" s="5">
        <f>SUM(T18:T20)</f>
        <v>2490080</v>
      </c>
      <c r="U21" s="5">
        <f>SUM(U18:U20)</f>
        <v>593640</v>
      </c>
    </row>
    <row r="22" spans="1:21" ht="34.5" customHeight="1" x14ac:dyDescent="0.35">
      <c r="A22" s="6">
        <v>3.7</v>
      </c>
      <c r="B22" s="23" t="s">
        <v>58</v>
      </c>
      <c r="C22" s="6"/>
      <c r="D22" s="27">
        <v>10.53</v>
      </c>
      <c r="E22" s="31">
        <v>6.79</v>
      </c>
      <c r="F22" s="31">
        <v>7</v>
      </c>
      <c r="G22" s="7">
        <f>(F22-D22)/D22*100</f>
        <v>-33.523266856600188</v>
      </c>
      <c r="H22" s="7">
        <f>(F22-E22)/E22*100</f>
        <v>3.0927835051546384</v>
      </c>
      <c r="T22" s="5">
        <f>T21/10000000</f>
        <v>0.24900800000000001</v>
      </c>
      <c r="U22" s="5">
        <f>U21/10000000</f>
        <v>5.9364E-2</v>
      </c>
    </row>
    <row r="23" spans="1:21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21" x14ac:dyDescent="0.35">
      <c r="A24" s="6">
        <v>4.0999999999999996</v>
      </c>
      <c r="B24" s="6" t="s">
        <v>27</v>
      </c>
      <c r="C24" s="6"/>
      <c r="D24" s="30">
        <v>0.83333333333333326</v>
      </c>
      <c r="E24" s="283">
        <f>3832172/10000000</f>
        <v>0.38321719999999998</v>
      </c>
      <c r="F24" s="283">
        <f>6923420/10000000</f>
        <v>0.69234200000000001</v>
      </c>
      <c r="G24" s="7">
        <f>(F24-D24)/D24*100</f>
        <v>-16.918959999999991</v>
      </c>
      <c r="H24" s="7">
        <f t="shared" ref="H24:H29" si="1">(F24-E24)/E24*100</f>
        <v>80.665690370891511</v>
      </c>
      <c r="I24" s="10"/>
      <c r="L24" s="11"/>
      <c r="M24" s="12"/>
    </row>
    <row r="25" spans="1:21" x14ac:dyDescent="0.35">
      <c r="A25" s="6">
        <v>4.2</v>
      </c>
      <c r="B25" s="6" t="s">
        <v>28</v>
      </c>
      <c r="C25" s="6"/>
      <c r="D25" s="13">
        <v>0.31225833333333336</v>
      </c>
      <c r="E25" s="283">
        <f>749916/10000000</f>
        <v>7.4991600000000005E-2</v>
      </c>
      <c r="F25" s="283">
        <f>679708/10000000</f>
        <v>6.7970799999999998E-2</v>
      </c>
      <c r="G25" s="7">
        <f>(E25-D25)/D25*100</f>
        <v>-75.984115716153838</v>
      </c>
      <c r="H25" s="7">
        <f t="shared" si="1"/>
        <v>-9.3621152235717169</v>
      </c>
      <c r="I25" s="13"/>
      <c r="L25" s="11"/>
      <c r="M25" s="12"/>
    </row>
    <row r="26" spans="1:21" x14ac:dyDescent="0.35">
      <c r="A26" s="6">
        <v>4.3</v>
      </c>
      <c r="B26" s="6" t="s">
        <v>4</v>
      </c>
      <c r="C26" s="1948"/>
      <c r="D26" s="30">
        <v>0</v>
      </c>
      <c r="E26" s="85">
        <v>0</v>
      </c>
      <c r="F26" s="283">
        <v>0</v>
      </c>
      <c r="G26" s="7" t="e">
        <f>(E26-D26)/D26*100</f>
        <v>#DIV/0!</v>
      </c>
      <c r="H26" s="7" t="e">
        <f t="shared" si="1"/>
        <v>#DIV/0!</v>
      </c>
      <c r="I26" s="12"/>
      <c r="L26" s="11"/>
      <c r="M26" s="12"/>
    </row>
    <row r="27" spans="1:21" x14ac:dyDescent="0.35">
      <c r="A27" s="6">
        <v>4.4000000000000004</v>
      </c>
      <c r="B27" s="6" t="s">
        <v>29</v>
      </c>
      <c r="C27" s="1947"/>
      <c r="D27" s="30"/>
      <c r="E27" s="85">
        <v>0</v>
      </c>
      <c r="F27" s="85">
        <v>0</v>
      </c>
      <c r="G27" s="7" t="e">
        <f>(E27-D27)/D27*100</f>
        <v>#DIV/0!</v>
      </c>
      <c r="H27" s="7" t="e">
        <f t="shared" si="1"/>
        <v>#DIV/0!</v>
      </c>
      <c r="L27" s="11"/>
      <c r="M27" s="12"/>
    </row>
    <row r="28" spans="1:21" x14ac:dyDescent="0.35">
      <c r="A28" s="6">
        <v>4.5</v>
      </c>
      <c r="B28" s="6" t="s">
        <v>30</v>
      </c>
      <c r="C28" s="1947"/>
      <c r="D28" s="30"/>
      <c r="E28" s="85">
        <v>0</v>
      </c>
      <c r="F28" s="85">
        <v>0</v>
      </c>
      <c r="G28" s="7" t="e">
        <f>(E28-D28)/D28*100</f>
        <v>#DIV/0!</v>
      </c>
      <c r="H28" s="7" t="e">
        <f t="shared" si="1"/>
        <v>#DIV/0!</v>
      </c>
      <c r="I28" s="13"/>
      <c r="L28" s="11"/>
      <c r="M28" s="12"/>
      <c r="O28" s="6"/>
      <c r="P28" s="6"/>
    </row>
    <row r="29" spans="1:21" x14ac:dyDescent="0.35">
      <c r="A29" s="6">
        <v>4.7</v>
      </c>
      <c r="B29" s="6" t="s">
        <v>3</v>
      </c>
      <c r="C29" s="1947"/>
      <c r="D29" s="30">
        <v>0.13583333333333333</v>
      </c>
      <c r="E29" s="85">
        <v>1.49E-2</v>
      </c>
      <c r="F29" s="85">
        <v>0.11</v>
      </c>
      <c r="G29" s="7">
        <f>(E29-D29)/D29*100</f>
        <v>-89.030674846625772</v>
      </c>
      <c r="H29" s="7">
        <f t="shared" si="1"/>
        <v>638.255033557047</v>
      </c>
      <c r="I29" s="12"/>
      <c r="M29" s="12"/>
    </row>
    <row r="30" spans="1:21" ht="14.25" hidden="1" customHeight="1" x14ac:dyDescent="0.35">
      <c r="A30" s="6">
        <v>4.8</v>
      </c>
      <c r="B30" s="6" t="s">
        <v>31</v>
      </c>
      <c r="C30" s="1949"/>
      <c r="D30" s="22"/>
      <c r="E30" s="6"/>
      <c r="F30" s="6"/>
      <c r="G30" s="45"/>
      <c r="H30" s="7"/>
      <c r="L30" s="11"/>
      <c r="M30" s="12"/>
    </row>
    <row r="31" spans="1:21" ht="13.9" x14ac:dyDescent="0.4">
      <c r="A31" s="6">
        <v>4.9000000000000004</v>
      </c>
      <c r="B31" s="6" t="s">
        <v>32</v>
      </c>
      <c r="C31" s="6">
        <f>C24+C25</f>
        <v>0</v>
      </c>
      <c r="D31" s="28">
        <f>SUM(D24:D30)</f>
        <v>1.2814249999999998</v>
      </c>
      <c r="E31" s="136">
        <f>SUM(E24:E30)</f>
        <v>0.4731088</v>
      </c>
      <c r="F31" s="136">
        <f>SUM(F24:F30)</f>
        <v>0.8703128</v>
      </c>
      <c r="G31" s="7">
        <f t="shared" ref="G31:G36" si="2">(F31-D31)/D31*100</f>
        <v>-32.082423864057581</v>
      </c>
      <c r="H31" s="7">
        <f>(F31-E31)/E31*100</f>
        <v>83.956163994413117</v>
      </c>
      <c r="L31" s="11"/>
    </row>
    <row r="32" spans="1:21" ht="14.25" thickBot="1" x14ac:dyDescent="0.45">
      <c r="A32" s="9">
        <v>5</v>
      </c>
      <c r="B32" s="9" t="s">
        <v>33</v>
      </c>
      <c r="C32" s="9">
        <f>C10+C14+C22+C31</f>
        <v>0</v>
      </c>
      <c r="D32" s="136">
        <f>D10+D14+D22+D31</f>
        <v>105.941425</v>
      </c>
      <c r="E32" s="136">
        <f>E10+E14+E22+E31</f>
        <v>93.083108800000005</v>
      </c>
      <c r="F32" s="136">
        <f>F10+F14+F22+F31</f>
        <v>97.380312799999984</v>
      </c>
      <c r="G32" s="210">
        <f t="shared" si="2"/>
        <v>-8.0809864507674973</v>
      </c>
      <c r="H32" s="210">
        <f>(F32-E32)/E32*100</f>
        <v>4.6165239380143896</v>
      </c>
    </row>
    <row r="33" spans="1:14" ht="14.65" thickBot="1" x14ac:dyDescent="0.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  <c r="L33" s="2"/>
      <c r="M33" s="2"/>
      <c r="N33" s="2"/>
    </row>
    <row r="34" spans="1:14" ht="13.9" thickBot="1" x14ac:dyDescent="0.4">
      <c r="A34" s="6">
        <v>6.1</v>
      </c>
      <c r="B34" s="6" t="s">
        <v>16</v>
      </c>
      <c r="C34" s="6"/>
      <c r="D34" s="27">
        <v>26.3</v>
      </c>
      <c r="E34" s="27">
        <v>25.61</v>
      </c>
      <c r="F34" s="27">
        <v>27.59</v>
      </c>
      <c r="G34" s="31">
        <f t="shared" si="2"/>
        <v>4.9049429657794645</v>
      </c>
      <c r="H34" s="31">
        <f>(F34-E34)/E34*100</f>
        <v>7.7313549394767689</v>
      </c>
      <c r="K34" s="3">
        <f>2759099/100000</f>
        <v>27.590990000000001</v>
      </c>
      <c r="L34" s="4"/>
      <c r="M34" s="4"/>
      <c r="N34" s="4"/>
    </row>
    <row r="35" spans="1:14" ht="13.9" thickBot="1" x14ac:dyDescent="0.4">
      <c r="A35" s="6">
        <v>6.2</v>
      </c>
      <c r="B35" s="6" t="s">
        <v>15</v>
      </c>
      <c r="C35" s="6"/>
      <c r="D35" s="27">
        <v>33.700000000000003</v>
      </c>
      <c r="E35" s="27">
        <v>33.380000000000003</v>
      </c>
      <c r="F35" s="27">
        <v>33.68</v>
      </c>
      <c r="G35" s="31">
        <f>(F35-D35)/D35*100</f>
        <v>-5.9347181008911343E-2</v>
      </c>
      <c r="H35" s="31">
        <f>(F35-E35)/E35*100</f>
        <v>0.89874176153384411</v>
      </c>
      <c r="K35" s="299">
        <f>2408864/100000</f>
        <v>24.088640000000002</v>
      </c>
      <c r="L35" s="4"/>
      <c r="M35" s="4"/>
      <c r="N35" s="4"/>
    </row>
    <row r="36" spans="1:14" ht="13.9" thickBot="1" x14ac:dyDescent="0.4">
      <c r="A36" s="6">
        <v>6.3</v>
      </c>
      <c r="B36" s="6" t="s">
        <v>34</v>
      </c>
      <c r="C36" s="6">
        <f>SUM(C34:C35)</f>
        <v>0</v>
      </c>
      <c r="D36" s="34">
        <f>SUM(D34:D35)</f>
        <v>60</v>
      </c>
      <c r="E36" s="34">
        <f>SUM(E34:E35)</f>
        <v>58.99</v>
      </c>
      <c r="F36" s="34">
        <f>SUM(F34:F35)</f>
        <v>61.269999999999996</v>
      </c>
      <c r="G36" s="31">
        <f t="shared" si="2"/>
        <v>2.11666666666666</v>
      </c>
      <c r="H36" s="31">
        <f>(F36-E36)/E36*100</f>
        <v>3.8650618748940393</v>
      </c>
      <c r="K36" s="3">
        <f>958961/100000</f>
        <v>9.5896100000000004</v>
      </c>
      <c r="L36" s="4"/>
      <c r="M36" s="4"/>
      <c r="N36" s="4"/>
    </row>
    <row r="37" spans="1:14" ht="14.65" thickBot="1" x14ac:dyDescent="0.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  <c r="K37" s="12">
        <f>SUM(K35:K36)</f>
        <v>33.678250000000006</v>
      </c>
      <c r="M37" s="4"/>
    </row>
    <row r="38" spans="1:14" ht="13.9" thickBot="1" x14ac:dyDescent="0.4">
      <c r="A38" s="6">
        <v>7.1</v>
      </c>
      <c r="B38" s="6" t="s">
        <v>16</v>
      </c>
      <c r="C38" s="14"/>
      <c r="D38" s="15"/>
      <c r="E38" s="6"/>
      <c r="F38" s="6"/>
      <c r="G38" s="1925"/>
      <c r="H38" s="7" t="e">
        <f>(F38-E38)/E38*100</f>
        <v>#DIV/0!</v>
      </c>
      <c r="M38" s="4"/>
    </row>
    <row r="39" spans="1:14" ht="13.9" thickBot="1" x14ac:dyDescent="0.4">
      <c r="A39" s="6">
        <v>7.2</v>
      </c>
      <c r="B39" s="6" t="s">
        <v>15</v>
      </c>
      <c r="C39" s="16"/>
      <c r="D39" s="17"/>
      <c r="E39" s="6"/>
      <c r="F39" s="6"/>
      <c r="G39" s="1926"/>
      <c r="H39" s="7" t="e">
        <f>(F39-E39)/E39*100</f>
        <v>#DIV/0!</v>
      </c>
    </row>
    <row r="40" spans="1:14" ht="13.9" thickBot="1" x14ac:dyDescent="0.4">
      <c r="A40" s="6">
        <v>7.3</v>
      </c>
      <c r="B40" s="6" t="s">
        <v>35</v>
      </c>
      <c r="C40" s="21"/>
      <c r="D40" s="22"/>
      <c r="E40" s="6"/>
      <c r="F40" s="6"/>
      <c r="G40" s="1927"/>
      <c r="H40" s="7" t="e">
        <f>(F40-E40)/E40*100</f>
        <v>#DIV/0!</v>
      </c>
      <c r="L40" s="1"/>
    </row>
    <row r="41" spans="1:14" ht="14.65" thickBot="1" x14ac:dyDescent="0.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  <c r="L41" s="3"/>
    </row>
    <row r="42" spans="1:14" ht="13.9" thickBot="1" x14ac:dyDescent="0.4">
      <c r="A42" s="6">
        <v>8.1</v>
      </c>
      <c r="B42" s="6" t="s">
        <v>41</v>
      </c>
      <c r="C42" s="6"/>
      <c r="D42" s="6">
        <f>46*1000</f>
        <v>46000</v>
      </c>
      <c r="E42" s="6">
        <v>26892</v>
      </c>
      <c r="F42" s="6">
        <v>33740</v>
      </c>
      <c r="G42" s="7">
        <f>(F42-D42)/D42*100</f>
        <v>-26.65217391304348</v>
      </c>
      <c r="H42" s="7">
        <f>(F42-E42)/E42*100</f>
        <v>25.464822251970848</v>
      </c>
      <c r="L42" s="3"/>
    </row>
    <row r="43" spans="1:14" ht="14.65" thickBot="1" x14ac:dyDescent="0.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  <c r="L43" s="3"/>
    </row>
    <row r="44" spans="1:14" ht="13.9" thickBot="1" x14ac:dyDescent="0.4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  <c r="L44" s="3"/>
    </row>
    <row r="45" spans="1:14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 t="shared" ref="H45:H50" si="3">(E45-F45)/F45*100</f>
        <v>#DIV/0!</v>
      </c>
    </row>
    <row r="46" spans="1:14" x14ac:dyDescent="0.35">
      <c r="A46" s="6">
        <v>9.3000000000000007</v>
      </c>
      <c r="B46" s="6" t="s">
        <v>38</v>
      </c>
      <c r="C46" s="21"/>
      <c r="D46" s="22"/>
      <c r="E46" s="27">
        <f>SUM(E44:E45)</f>
        <v>0</v>
      </c>
      <c r="F46" s="27">
        <f>SUM(F44:F45)</f>
        <v>0</v>
      </c>
      <c r="G46" s="1927"/>
      <c r="H46" s="7" t="e">
        <f t="shared" si="3"/>
        <v>#DIV/0!</v>
      </c>
    </row>
    <row r="47" spans="1:14" ht="14.25" hidden="1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4" hidden="1" x14ac:dyDescent="0.35">
      <c r="A48" s="6">
        <v>10.1</v>
      </c>
      <c r="B48" s="6" t="s">
        <v>39</v>
      </c>
      <c r="C48" s="14"/>
      <c r="D48" s="15"/>
      <c r="E48" s="6">
        <v>10</v>
      </c>
      <c r="F48" s="6"/>
      <c r="G48" s="1925"/>
      <c r="H48" s="7" t="e">
        <f t="shared" si="3"/>
        <v>#DIV/0!</v>
      </c>
    </row>
    <row r="49" spans="1:8" hidden="1" x14ac:dyDescent="0.35">
      <c r="A49" s="6">
        <v>10.199999999999999</v>
      </c>
      <c r="B49" s="6" t="s">
        <v>40</v>
      </c>
      <c r="C49" s="16"/>
      <c r="D49" s="17"/>
      <c r="E49" s="6">
        <v>14</v>
      </c>
      <c r="F49" s="6"/>
      <c r="G49" s="1926"/>
      <c r="H49" s="7" t="e">
        <f t="shared" si="3"/>
        <v>#DIV/0!</v>
      </c>
    </row>
    <row r="50" spans="1:8" hidden="1" x14ac:dyDescent="0.35">
      <c r="A50" s="6">
        <v>10.3</v>
      </c>
      <c r="B50" s="6" t="s">
        <v>0</v>
      </c>
      <c r="C50" s="21"/>
      <c r="D50" s="22"/>
      <c r="E50" s="6">
        <f>SUM(E48:E49)</f>
        <v>24</v>
      </c>
      <c r="F50" s="6">
        <f>SUM(F48:F49)</f>
        <v>0</v>
      </c>
      <c r="G50" s="1927"/>
      <c r="H50" s="7" t="e">
        <f t="shared" si="3"/>
        <v>#DIV/0!</v>
      </c>
    </row>
    <row r="53" spans="1:8" x14ac:dyDescent="0.35">
      <c r="C53" s="5">
        <f>C42/12</f>
        <v>0</v>
      </c>
    </row>
    <row r="63" spans="1:8" x14ac:dyDescent="0.35">
      <c r="E63" s="5">
        <v>2016</v>
      </c>
      <c r="F63" s="5">
        <v>2015</v>
      </c>
    </row>
    <row r="64" spans="1:8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0"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G48:G50"/>
    <mergeCell ref="B23:H23"/>
    <mergeCell ref="C26:C30"/>
    <mergeCell ref="B33:H33"/>
    <mergeCell ref="B37:H37"/>
    <mergeCell ref="G38:G40"/>
    <mergeCell ref="B41:H41"/>
    <mergeCell ref="B43:H43"/>
    <mergeCell ref="G44:G46"/>
    <mergeCell ref="B47:H47"/>
  </mergeCells>
  <pageMargins left="0.70866141732283472" right="0.70866141732283472" top="0.74803149606299213" bottom="0.74803149606299213" header="0.31496062992125984" footer="0.31496062992125984"/>
  <pageSetup scale="96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A69"/>
  <sheetViews>
    <sheetView workbookViewId="0">
      <selection activeCell="K42" sqref="K42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4" width="9.1328125" style="5" customWidth="1"/>
    <col min="5" max="5" width="12.3984375" style="5" customWidth="1"/>
    <col min="6" max="6" width="11" style="5" customWidth="1"/>
    <col min="7" max="7" width="9.1328125" style="5" customWidth="1"/>
    <col min="8" max="8" width="9.3984375" style="5" customWidth="1"/>
    <col min="9" max="9" width="9.1328125" style="5" customWidth="1"/>
    <col min="10" max="10" width="9.1328125" style="5"/>
    <col min="11" max="11" width="11.265625" style="5" customWidth="1"/>
    <col min="12" max="21" width="9.1328125" style="5"/>
    <col min="22" max="24" width="13.73046875" style="5" customWidth="1"/>
    <col min="25" max="16384" width="9.1328125" style="5"/>
  </cols>
  <sheetData>
    <row r="1" spans="1:27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27" ht="13.9" x14ac:dyDescent="0.4">
      <c r="A2" s="1938" t="s">
        <v>245</v>
      </c>
      <c r="B2" s="1938"/>
      <c r="C2" s="1938"/>
      <c r="D2" s="1938"/>
      <c r="E2" s="1938"/>
      <c r="F2" s="1938"/>
      <c r="G2" s="1938"/>
      <c r="H2" s="1938"/>
    </row>
    <row r="3" spans="1:27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27" ht="30.75" customHeight="1" x14ac:dyDescent="0.4">
      <c r="A4" s="6"/>
      <c r="B4" s="6"/>
      <c r="C4" s="6" t="s">
        <v>9</v>
      </c>
      <c r="D4" s="6" t="s">
        <v>56</v>
      </c>
      <c r="E4" s="6" t="str">
        <f>D4</f>
        <v>FEB</v>
      </c>
      <c r="F4" s="6" t="str">
        <f>D4</f>
        <v>FEB</v>
      </c>
      <c r="G4" s="25" t="s">
        <v>12</v>
      </c>
      <c r="H4" s="25" t="s">
        <v>13</v>
      </c>
    </row>
    <row r="5" spans="1:27" x14ac:dyDescent="0.35">
      <c r="A5" s="6"/>
      <c r="B5" s="6"/>
      <c r="C5" s="1934" t="s">
        <v>77</v>
      </c>
      <c r="D5" s="1934"/>
      <c r="E5" s="6" t="s">
        <v>66</v>
      </c>
      <c r="F5" s="6" t="s">
        <v>77</v>
      </c>
      <c r="G5" s="6"/>
      <c r="H5" s="6"/>
    </row>
    <row r="6" spans="1:27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  <c r="N6" s="5" t="s">
        <v>152</v>
      </c>
      <c r="P6" s="5" t="s">
        <v>200</v>
      </c>
      <c r="S6" s="5" t="s">
        <v>181</v>
      </c>
    </row>
    <row r="7" spans="1:27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  <c r="N7" s="5" t="s">
        <v>156</v>
      </c>
      <c r="O7" s="5" t="s">
        <v>157</v>
      </c>
      <c r="P7" s="5" t="s">
        <v>201</v>
      </c>
      <c r="Q7" s="5" t="s">
        <v>157</v>
      </c>
    </row>
    <row r="8" spans="1:27" x14ac:dyDescent="0.35">
      <c r="A8" s="6">
        <v>1.1000000000000001</v>
      </c>
      <c r="B8" s="6" t="s">
        <v>16</v>
      </c>
      <c r="C8" s="6"/>
      <c r="D8" s="27">
        <f>'UPTO DEC'!D8+'jan-20'!D8+'feb-19'!D8</f>
        <v>19.419999999999998</v>
      </c>
      <c r="E8" s="27">
        <f>'UPTO DEC'!E8+'jan-20'!E8+'feb-19'!E8</f>
        <v>17.663750190999998</v>
      </c>
      <c r="F8" s="27">
        <f>'UPTO DEC'!F8+'jan-20'!F8+'feb-19'!F8</f>
        <v>18.474723563000001</v>
      </c>
      <c r="G8" s="7">
        <f>(F8-D8)/D8*100</f>
        <v>-4.8675408702368532</v>
      </c>
      <c r="H8" s="7">
        <f>(F8-E8)/E8*100</f>
        <v>4.5911732402851158</v>
      </c>
      <c r="K8" s="13">
        <f>15696255.32/10000000</f>
        <v>1.5696255320000001</v>
      </c>
      <c r="M8" s="5">
        <v>17</v>
      </c>
      <c r="N8" s="5">
        <v>134470</v>
      </c>
      <c r="O8" s="5">
        <v>679578.11</v>
      </c>
      <c r="P8" s="5">
        <v>102668</v>
      </c>
      <c r="Q8" s="5">
        <v>6244749.9800000004</v>
      </c>
      <c r="S8" s="5">
        <v>21550</v>
      </c>
      <c r="U8" s="5">
        <v>1548416</v>
      </c>
      <c r="V8" s="11">
        <f>U8/100000</f>
        <v>15.484159999999999</v>
      </c>
      <c r="W8" s="11">
        <f>V8+N15</f>
        <v>21.15089</v>
      </c>
    </row>
    <row r="9" spans="1:27" x14ac:dyDescent="0.35">
      <c r="A9" s="6">
        <v>1.2</v>
      </c>
      <c r="B9" s="6" t="s">
        <v>15</v>
      </c>
      <c r="C9" s="6"/>
      <c r="D9" s="27">
        <f>'UPTO DEC'!D9+'jan-20'!D9+'feb-19'!D9</f>
        <v>831.03000000000009</v>
      </c>
      <c r="E9" s="27">
        <f>'UPTO DEC'!E9+'jan-20'!E9+'feb-19'!E9</f>
        <v>763.54</v>
      </c>
      <c r="F9" s="27">
        <f>'UPTO DEC'!F9+'jan-20'!F9+'feb-19'!F9</f>
        <v>821.04963819800003</v>
      </c>
      <c r="G9" s="7">
        <f>(F9-D9)/D9*100</f>
        <v>-1.2009628776337871</v>
      </c>
      <c r="H9" s="7">
        <f>(F9-E9)/E9*100</f>
        <v>7.5319745131885778</v>
      </c>
      <c r="K9" s="12">
        <f>165259480.54/10000000</f>
        <v>16.525948054000001</v>
      </c>
      <c r="M9" s="5">
        <v>18</v>
      </c>
      <c r="N9" s="5">
        <v>100699</v>
      </c>
      <c r="O9" s="5">
        <v>534746.6</v>
      </c>
      <c r="P9" s="5">
        <v>84126</v>
      </c>
      <c r="Q9" s="5">
        <v>5757467</v>
      </c>
      <c r="S9" s="5">
        <v>24350</v>
      </c>
      <c r="U9" s="5">
        <v>1340740</v>
      </c>
      <c r="V9" s="11">
        <f>U9/100000</f>
        <v>13.407400000000001</v>
      </c>
      <c r="W9" s="11">
        <f>P15+V9</f>
        <v>18.411860000000001</v>
      </c>
      <c r="X9" s="5">
        <v>8691859.0300000012</v>
      </c>
      <c r="Y9" s="12">
        <f>X9/10000000</f>
        <v>0.86918590300000009</v>
      </c>
      <c r="Z9" s="12">
        <f>Y9+O15</f>
        <v>1.1465091439999999</v>
      </c>
    </row>
    <row r="10" spans="1:27" x14ac:dyDescent="0.35">
      <c r="A10" s="6">
        <v>1.3</v>
      </c>
      <c r="B10" s="6" t="s">
        <v>17</v>
      </c>
      <c r="C10" s="6">
        <f>C8+C9</f>
        <v>0</v>
      </c>
      <c r="D10" s="34">
        <f>SUM(D8:D9)</f>
        <v>850.45</v>
      </c>
      <c r="E10" s="34">
        <f>SUM(E8:E9)</f>
        <v>781.20375019099993</v>
      </c>
      <c r="F10" s="39">
        <f>SUM(F8:F9)</f>
        <v>839.52436176100002</v>
      </c>
      <c r="G10" s="7">
        <f>(F10-D10)/D10*100</f>
        <v>-1.2846890750779025</v>
      </c>
      <c r="H10" s="7">
        <f>(F10-E10)/E10*100</f>
        <v>7.4654802355647973</v>
      </c>
      <c r="K10" s="11">
        <f>616164604/10000000</f>
        <v>61.616460400000001</v>
      </c>
      <c r="M10" s="5">
        <v>19</v>
      </c>
      <c r="N10" s="5">
        <v>77621</v>
      </c>
      <c r="O10" s="5">
        <v>456749.67</v>
      </c>
      <c r="P10" s="5">
        <v>76644</v>
      </c>
      <c r="Q10" s="5">
        <v>5780325</v>
      </c>
      <c r="S10" s="5">
        <v>20080</v>
      </c>
      <c r="U10" s="5">
        <v>730512</v>
      </c>
      <c r="V10" s="11">
        <f>U10/100000</f>
        <v>7.3051199999999996</v>
      </c>
      <c r="W10" s="11">
        <f>V10</f>
        <v>7.3051199999999996</v>
      </c>
      <c r="X10" s="5">
        <v>89904934.489999995</v>
      </c>
      <c r="Y10" s="12">
        <f>X10/10000000</f>
        <v>8.9904934489999988</v>
      </c>
      <c r="Z10" s="12">
        <f>Y10+Q15</f>
        <v>12.477569846999998</v>
      </c>
      <c r="AA10" s="12">
        <f>Z10+Z11</f>
        <v>59.751868046999995</v>
      </c>
    </row>
    <row r="11" spans="1:27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  <c r="K11" s="13">
        <f>SUM(K9:K10)</f>
        <v>78.142408454000005</v>
      </c>
      <c r="M11" s="5">
        <v>20</v>
      </c>
      <c r="N11" s="5">
        <v>94970</v>
      </c>
      <c r="O11" s="5">
        <v>540007.82999999996</v>
      </c>
      <c r="P11" s="5">
        <v>85477</v>
      </c>
      <c r="Q11" s="5">
        <v>5850274.2400000002</v>
      </c>
      <c r="S11" s="5">
        <v>19170</v>
      </c>
      <c r="W11" s="11">
        <f>SUM(W8:W10)</f>
        <v>46.867870000000003</v>
      </c>
      <c r="X11" s="5">
        <v>472742982</v>
      </c>
      <c r="Y11" s="12">
        <f>X11/10000000</f>
        <v>47.274298199999997</v>
      </c>
      <c r="Z11" s="12">
        <f>Y11</f>
        <v>47.274298199999997</v>
      </c>
    </row>
    <row r="12" spans="1:27" x14ac:dyDescent="0.35">
      <c r="A12" s="6">
        <v>2.1</v>
      </c>
      <c r="B12" s="6" t="s">
        <v>19</v>
      </c>
      <c r="C12" s="1948"/>
      <c r="D12" s="27">
        <f>'UPTO DEC'!D12+'jan-20'!D12+'feb-19'!D12</f>
        <v>204.56</v>
      </c>
      <c r="E12" s="27">
        <f>'UPTO DEC'!E12+'jan-20'!E12+'feb-19'!E12</f>
        <v>188.08815989999999</v>
      </c>
      <c r="F12" s="27">
        <f>'UPTO DEC'!F12+'jan-20'!F12+'feb-19'!F12</f>
        <v>185.21308330000002</v>
      </c>
      <c r="G12" s="7">
        <f>(F12-D12)/D12*100</f>
        <v>-9.4578200527962348</v>
      </c>
      <c r="H12" s="7">
        <f>(F12-E12)/E12*100</f>
        <v>-1.52857925853948</v>
      </c>
      <c r="M12" s="5">
        <v>21</v>
      </c>
      <c r="N12" s="5">
        <v>83396</v>
      </c>
      <c r="O12" s="5">
        <v>514709.59</v>
      </c>
      <c r="P12" s="5">
        <v>75931</v>
      </c>
      <c r="Q12" s="5">
        <v>5580239.0599999996</v>
      </c>
      <c r="S12" s="5">
        <v>19550</v>
      </c>
      <c r="Z12" s="12">
        <f>SUM(Z9:Z11)</f>
        <v>60.898377190999994</v>
      </c>
    </row>
    <row r="13" spans="1:27" x14ac:dyDescent="0.3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7"/>
      <c r="M13" s="5">
        <v>22</v>
      </c>
      <c r="N13" s="5">
        <v>75517</v>
      </c>
      <c r="O13" s="5">
        <v>47440.61</v>
      </c>
      <c r="P13" s="5">
        <v>75600</v>
      </c>
      <c r="Q13" s="5">
        <v>5657708.7000000002</v>
      </c>
      <c r="S13" s="5">
        <v>2280</v>
      </c>
    </row>
    <row r="14" spans="1:27" x14ac:dyDescent="0.35">
      <c r="A14" s="6">
        <v>2.2999999999999998</v>
      </c>
      <c r="B14" s="6" t="s">
        <v>21</v>
      </c>
      <c r="C14" s="6"/>
      <c r="D14" s="34">
        <f>SUM(D12:D13)</f>
        <v>204.56</v>
      </c>
      <c r="E14" s="34">
        <f>SUM(E12:E13)</f>
        <v>188.08815989999999</v>
      </c>
      <c r="F14" s="34">
        <f>SUM(F12:F13)</f>
        <v>185.21308330000002</v>
      </c>
      <c r="G14" s="7">
        <f>(F14-D14)/D14*100</f>
        <v>-9.4578200527962348</v>
      </c>
      <c r="H14" s="7">
        <f>(F14-E14)/E14*100</f>
        <v>-1.52857925853948</v>
      </c>
      <c r="N14" s="5">
        <f>SUM(N8:N13)</f>
        <v>566673</v>
      </c>
      <c r="O14" s="5">
        <f>SUM(O8:O13)</f>
        <v>2773232.4099999997</v>
      </c>
      <c r="P14" s="5">
        <f>SUM(P8:P13)</f>
        <v>500446</v>
      </c>
      <c r="Q14" s="5">
        <f>SUM(Q8:Q13)</f>
        <v>34870763.979999997</v>
      </c>
      <c r="S14" s="5">
        <f>SUM(S8:S13)</f>
        <v>106980</v>
      </c>
    </row>
    <row r="15" spans="1:27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  <c r="J15" s="13"/>
      <c r="K15" s="12"/>
      <c r="L15" s="12"/>
      <c r="N15" s="5">
        <f>N14/100000</f>
        <v>5.6667300000000003</v>
      </c>
      <c r="O15" s="5">
        <f>O14/10000000</f>
        <v>0.27732324099999994</v>
      </c>
      <c r="P15" s="5">
        <f>P14/100000</f>
        <v>5.0044599999999999</v>
      </c>
      <c r="Q15" s="5">
        <f>Q14/10000000</f>
        <v>3.4870763979999997</v>
      </c>
      <c r="S15" s="5">
        <f>S14/10000000</f>
        <v>1.0697999999999999E-2</v>
      </c>
    </row>
    <row r="16" spans="1:27" x14ac:dyDescent="0.35">
      <c r="A16" s="6">
        <v>3.1</v>
      </c>
      <c r="B16" s="6" t="s">
        <v>2</v>
      </c>
      <c r="C16" s="6"/>
      <c r="D16" s="27">
        <f>'UPTO DEC'!D16+'jan-20'!D16+'feb-19'!D16</f>
        <v>16.479999999999997</v>
      </c>
      <c r="E16" s="27">
        <f>'UPTO DEC'!E16+'jan-20'!E16+'feb-19'!E16</f>
        <v>14.709195399999999</v>
      </c>
      <c r="F16" s="27">
        <f>'UPTO DEC'!F16+'jan-20'!F16+'feb-19'!F16</f>
        <v>17.820873100000004</v>
      </c>
      <c r="G16" s="7">
        <f>(F16-D16)/D16*100</f>
        <v>8.136365898058294</v>
      </c>
      <c r="H16" s="7">
        <f t="shared" ref="H16:H21" si="0">(F16-E16)/E16*100</f>
        <v>21.1546424898265</v>
      </c>
      <c r="J16" s="12"/>
      <c r="S16" s="12">
        <f>S15+F19</f>
        <v>1.8603010000000002</v>
      </c>
    </row>
    <row r="17" spans="1:21" x14ac:dyDescent="0.35">
      <c r="A17" s="6">
        <v>3.2</v>
      </c>
      <c r="B17" s="6" t="s">
        <v>23</v>
      </c>
      <c r="C17" s="20"/>
      <c r="D17" s="27">
        <f>'UPTO DEC'!D17+'jan-20'!D17+'feb-19'!D17</f>
        <v>24.450000000000003</v>
      </c>
      <c r="E17" s="27">
        <f>'UPTO DEC'!E17+'jan-20'!E17+'feb-19'!E17</f>
        <v>21.521378899999998</v>
      </c>
      <c r="F17" s="27">
        <f>'UPTO DEC'!F17+'jan-20'!F17+'feb-19'!F17</f>
        <v>21.959944199999999</v>
      </c>
      <c r="G17" s="7">
        <f>(F17-D17)/D17*100</f>
        <v>-10.184277300613513</v>
      </c>
      <c r="H17" s="7">
        <f>(F17-E17)/E17*100</f>
        <v>2.0378122704767794</v>
      </c>
      <c r="I17" s="12">
        <f>D17+D18</f>
        <v>28.450000000000003</v>
      </c>
      <c r="J17" s="12">
        <f>E17+E18</f>
        <v>23.269713699999997</v>
      </c>
      <c r="K17" s="12">
        <f>F17+F18</f>
        <v>23.330493300000001</v>
      </c>
      <c r="L17" s="12">
        <f>(K17-I17)/I17*100</f>
        <v>-17.994751142355014</v>
      </c>
      <c r="O17" s="5">
        <v>0.86918590300000009</v>
      </c>
    </row>
    <row r="18" spans="1:21" x14ac:dyDescent="0.35">
      <c r="A18" s="6">
        <v>3.3</v>
      </c>
      <c r="B18" s="6" t="s">
        <v>1</v>
      </c>
      <c r="C18" s="129"/>
      <c r="D18" s="27">
        <f>'UPTO DEC'!D18+'jan-20'!D18+'feb-19'!D18</f>
        <v>4</v>
      </c>
      <c r="E18" s="27">
        <f>'UPTO DEC'!E18+'jan-20'!E18+'feb-19'!E18</f>
        <v>1.7483348000000003</v>
      </c>
      <c r="F18" s="27">
        <f>'UPTO DEC'!F18+'jan-20'!F18+'feb-19'!F18</f>
        <v>1.3705491000000001</v>
      </c>
      <c r="G18" s="7">
        <f>(F18-D18)/D18*100</f>
        <v>-65.736272499999998</v>
      </c>
      <c r="H18" s="7">
        <f t="shared" si="0"/>
        <v>-21.608315524006052</v>
      </c>
      <c r="O18" s="5">
        <v>56.264791649000003</v>
      </c>
      <c r="T18" s="5">
        <v>1583520</v>
      </c>
      <c r="U18" s="172">
        <v>362250</v>
      </c>
    </row>
    <row r="19" spans="1:21" x14ac:dyDescent="0.35">
      <c r="A19" s="6">
        <v>3.4</v>
      </c>
      <c r="B19" s="6" t="s">
        <v>24</v>
      </c>
      <c r="C19" s="129"/>
      <c r="D19" s="129"/>
      <c r="E19" s="27">
        <f>'UPTO DEC'!E19+'jan-20'!E19+'feb-19'!E19</f>
        <v>3.4154649999999993</v>
      </c>
      <c r="F19" s="27">
        <f>'UPTO DEC'!F19+'jan-20'!F19+'feb-19'!F19</f>
        <v>1.8496030000000001</v>
      </c>
      <c r="G19" s="10"/>
      <c r="H19" s="7">
        <f t="shared" si="0"/>
        <v>-45.846231772247684</v>
      </c>
      <c r="T19" s="5">
        <v>906560</v>
      </c>
      <c r="U19" s="5">
        <v>217530</v>
      </c>
    </row>
    <row r="20" spans="1:21" x14ac:dyDescent="0.35">
      <c r="A20" s="6">
        <v>3.5</v>
      </c>
      <c r="B20" s="24" t="s">
        <v>25</v>
      </c>
      <c r="C20" s="129"/>
      <c r="D20" s="129"/>
      <c r="E20" s="27">
        <f>'UPTO DEC'!E20+'jan-20'!E20+'feb-19'!E20</f>
        <v>3.7991131999999994</v>
      </c>
      <c r="F20" s="27">
        <f>'UPTO DEC'!F20+'jan-20'!F20+'feb-19'!F20</f>
        <v>2.5001634999999998</v>
      </c>
      <c r="G20" s="10"/>
      <c r="H20" s="7"/>
      <c r="U20" s="5">
        <v>13860</v>
      </c>
    </row>
    <row r="21" spans="1:21" ht="27" x14ac:dyDescent="0.35">
      <c r="A21" s="6">
        <v>3.6</v>
      </c>
      <c r="B21" s="23" t="s">
        <v>26</v>
      </c>
      <c r="C21" s="130"/>
      <c r="D21" s="130"/>
      <c r="E21" s="27">
        <f>'UPTO DEC'!E21+'jan-20'!E21+'feb-19'!E21</f>
        <v>25.362828200000003</v>
      </c>
      <c r="F21" s="27">
        <f>'UPTO DEC'!F21+'jan-20'!F21+'feb-19'!F21</f>
        <v>30.301769900000007</v>
      </c>
      <c r="G21" s="45"/>
      <c r="H21" s="7">
        <f t="shared" si="0"/>
        <v>19.473150474598903</v>
      </c>
      <c r="O21" s="5">
        <f>O15+O17</f>
        <v>1.1465091439999999</v>
      </c>
      <c r="T21" s="5">
        <f>SUM(T18:T20)</f>
        <v>2490080</v>
      </c>
      <c r="U21" s="5">
        <f>SUM(U18:U20)</f>
        <v>593640</v>
      </c>
    </row>
    <row r="22" spans="1:21" x14ac:dyDescent="0.35">
      <c r="A22" s="6">
        <v>3.7</v>
      </c>
      <c r="B22" s="23" t="s">
        <v>58</v>
      </c>
      <c r="C22" s="6"/>
      <c r="D22" s="27">
        <v>10.53</v>
      </c>
      <c r="E22" s="31">
        <f>SUM(E16:E21)</f>
        <v>70.556315500000011</v>
      </c>
      <c r="F22" s="31">
        <f>SUM(F16:F21)</f>
        <v>75.802902800000012</v>
      </c>
      <c r="G22" s="7">
        <f>(F22-D22)/D22*100</f>
        <v>619.8756201329536</v>
      </c>
      <c r="H22" s="7">
        <f>(F22-E22)/E22*100</f>
        <v>7.4360278917909213</v>
      </c>
      <c r="T22" s="5">
        <f>T21/10000000</f>
        <v>0.24900800000000001</v>
      </c>
      <c r="U22" s="5">
        <f>U21/10000000</f>
        <v>5.9364E-2</v>
      </c>
    </row>
    <row r="23" spans="1:21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21" x14ac:dyDescent="0.35">
      <c r="A24" s="6">
        <v>4.0999999999999996</v>
      </c>
      <c r="B24" s="6" t="s">
        <v>27</v>
      </c>
      <c r="C24" s="6"/>
      <c r="D24" s="27">
        <f>'UPTO DEC'!D24+'jan-20'!D24+'feb-19'!D24</f>
        <v>9.1666666666666661</v>
      </c>
      <c r="E24" s="27">
        <f>'UPTO DEC'!E24+'jan-20'!E24+'feb-19'!E24</f>
        <v>6.4547212999999992</v>
      </c>
      <c r="F24" s="27">
        <f>'UPTO DEC'!F24+'jan-20'!F24+'feb-19'!F24</f>
        <v>5.5304875999999998</v>
      </c>
      <c r="G24" s="7">
        <f>(F24-D24)/D24*100</f>
        <v>-39.667408000000002</v>
      </c>
      <c r="H24" s="7">
        <f t="shared" ref="H24:H29" si="1">(F24-E24)/E24*100</f>
        <v>-14.318723567507083</v>
      </c>
      <c r="I24" s="10"/>
      <c r="L24" s="11"/>
      <c r="M24" s="12"/>
    </row>
    <row r="25" spans="1:21" x14ac:dyDescent="0.35">
      <c r="A25" s="6">
        <v>4.2</v>
      </c>
      <c r="B25" s="6" t="s">
        <v>28</v>
      </c>
      <c r="C25" s="6"/>
      <c r="D25" s="27">
        <f>'UPTO DEC'!D25+'jan-20'!D25+'feb-19'!D25</f>
        <v>3.4348416666666668</v>
      </c>
      <c r="E25" s="27">
        <f>'UPTO DEC'!E25+'jan-20'!E25+'feb-19'!E25</f>
        <v>3.3314443000000002</v>
      </c>
      <c r="F25" s="27">
        <v>1.98</v>
      </c>
      <c r="G25" s="7">
        <f>(E25-D25)/D25*100</f>
        <v>-3.0102513216281159</v>
      </c>
      <c r="H25" s="7">
        <f t="shared" si="1"/>
        <v>-40.566318338265482</v>
      </c>
      <c r="I25" s="13"/>
      <c r="L25" s="11"/>
      <c r="M25" s="12"/>
    </row>
    <row r="26" spans="1:21" x14ac:dyDescent="0.35">
      <c r="A26" s="6">
        <v>4.3</v>
      </c>
      <c r="B26" s="6" t="s">
        <v>4</v>
      </c>
      <c r="C26" s="1948"/>
      <c r="D26" s="27">
        <f>'UPTO DEC'!D26+'jan-20'!D26+'feb-19'!D26</f>
        <v>0</v>
      </c>
      <c r="E26" s="27">
        <f>'UPTO DEC'!E26+'jan-20'!E26+'feb-19'!E26</f>
        <v>0.40270800000000007</v>
      </c>
      <c r="F26" s="27">
        <f>'UPTO DEC'!F26+'jan-20'!F26+'feb-19'!F26</f>
        <v>3.0336500000000002E-2</v>
      </c>
      <c r="G26" s="7" t="e">
        <f>(E26-D26)/D26*100</f>
        <v>#DIV/0!</v>
      </c>
      <c r="H26" s="7">
        <f t="shared" si="1"/>
        <v>-92.466874261251334</v>
      </c>
      <c r="I26" s="12"/>
      <c r="L26" s="11"/>
      <c r="M26" s="12"/>
    </row>
    <row r="27" spans="1:21" x14ac:dyDescent="0.35">
      <c r="A27" s="6">
        <v>4.4000000000000004</v>
      </c>
      <c r="B27" s="6" t="s">
        <v>29</v>
      </c>
      <c r="C27" s="1947"/>
      <c r="D27" s="27">
        <f>'UPTO DEC'!D27+'jan-20'!D27+'feb-19'!D27</f>
        <v>0</v>
      </c>
      <c r="E27" s="27">
        <f>'UPTO DEC'!E27+'jan-20'!E27+'feb-19'!E27</f>
        <v>1.3372E-3</v>
      </c>
      <c r="F27" s="27">
        <f>'UPTO DEC'!F27+'jan-20'!F27+'feb-19'!F27</f>
        <v>0</v>
      </c>
      <c r="G27" s="7" t="e">
        <f>(E27-D27)/D27*100</f>
        <v>#DIV/0!</v>
      </c>
      <c r="H27" s="7">
        <f t="shared" si="1"/>
        <v>-100</v>
      </c>
      <c r="L27" s="11"/>
      <c r="M27" s="12"/>
    </row>
    <row r="28" spans="1:21" x14ac:dyDescent="0.35">
      <c r="A28" s="6">
        <v>4.5</v>
      </c>
      <c r="B28" s="6" t="s">
        <v>30</v>
      </c>
      <c r="C28" s="1947"/>
      <c r="D28" s="27">
        <f>'UPTO DEC'!D28+'jan-20'!D28+'feb-19'!D28</f>
        <v>0</v>
      </c>
      <c r="E28" s="27">
        <f>'UPTO DEC'!E28+'jan-20'!E28+'feb-19'!E28</f>
        <v>8.5030999999999995E-3</v>
      </c>
      <c r="F28" s="27">
        <f>'UPTO DEC'!F28+'jan-20'!F28+'feb-19'!F28</f>
        <v>0</v>
      </c>
      <c r="G28" s="7" t="e">
        <f>(E28-D28)/D28*100</f>
        <v>#DIV/0!</v>
      </c>
      <c r="H28" s="7">
        <f t="shared" si="1"/>
        <v>-100</v>
      </c>
      <c r="I28" s="13"/>
      <c r="L28" s="11"/>
      <c r="M28" s="12"/>
      <c r="O28" s="6"/>
      <c r="P28" s="6"/>
    </row>
    <row r="29" spans="1:21" x14ac:dyDescent="0.35">
      <c r="A29" s="6">
        <v>4.7</v>
      </c>
      <c r="B29" s="6" t="s">
        <v>3</v>
      </c>
      <c r="C29" s="1947"/>
      <c r="D29" s="27">
        <f>'UPTO DEC'!D29+'jan-20'!D29+'feb-19'!D29</f>
        <v>1.2224999999999999</v>
      </c>
      <c r="E29" s="27">
        <f>'UPTO DEC'!E29+'jan-20'!E29+'feb-19'!E29</f>
        <v>1.0399699</v>
      </c>
      <c r="F29" s="27">
        <f>'UPTO DEC'!F29+'jan-20'!F29+'feb-19'!F29</f>
        <v>1.3473553</v>
      </c>
      <c r="G29" s="7">
        <f>(E29-D29)/D29*100</f>
        <v>-14.930887525562367</v>
      </c>
      <c r="H29" s="7">
        <f t="shared" si="1"/>
        <v>29.557143913492112</v>
      </c>
      <c r="I29" s="12"/>
      <c r="M29" s="12"/>
    </row>
    <row r="30" spans="1:21" x14ac:dyDescent="0.35">
      <c r="A30" s="6">
        <v>4.8</v>
      </c>
      <c r="B30" s="6" t="s">
        <v>31</v>
      </c>
      <c r="C30" s="1949"/>
      <c r="D30" s="22"/>
      <c r="E30" s="6"/>
      <c r="F30" s="6"/>
      <c r="G30" s="45"/>
      <c r="H30" s="7"/>
      <c r="L30" s="11"/>
      <c r="M30" s="12"/>
    </row>
    <row r="31" spans="1:21" ht="13.9" x14ac:dyDescent="0.4">
      <c r="A31" s="6">
        <v>4.9000000000000004</v>
      </c>
      <c r="B31" s="6" t="s">
        <v>32</v>
      </c>
      <c r="C31" s="6">
        <f>C24+C25</f>
        <v>0</v>
      </c>
      <c r="D31" s="28">
        <f>SUM(D24:D30)</f>
        <v>13.824008333333333</v>
      </c>
      <c r="E31" s="136">
        <f>SUM(E24:E30)</f>
        <v>11.2386838</v>
      </c>
      <c r="F31" s="136">
        <f>SUM(F24:F30)</f>
        <v>8.8881793999999985</v>
      </c>
      <c r="G31" s="7">
        <f t="shared" ref="G31:G36" si="2">(F31-D31)/D31*100</f>
        <v>-35.704759533685667</v>
      </c>
      <c r="H31" s="7">
        <f>(F31-E31)/E31*100</f>
        <v>-20.9144099240518</v>
      </c>
      <c r="L31" s="11"/>
    </row>
    <row r="32" spans="1:21" ht="14.25" thickBot="1" x14ac:dyDescent="0.45">
      <c r="A32" s="9">
        <v>5</v>
      </c>
      <c r="B32" s="9" t="s">
        <v>33</v>
      </c>
      <c r="C32" s="9">
        <f>C10+C14+C22+C31</f>
        <v>0</v>
      </c>
      <c r="D32" s="136">
        <f>D10+D14+D22+D31</f>
        <v>1079.3640083333332</v>
      </c>
      <c r="E32" s="136">
        <f>E10+E14+E22+E31</f>
        <v>1051.0869093909998</v>
      </c>
      <c r="F32" s="136">
        <f>F10+F14+F22+F31</f>
        <v>1109.428527261</v>
      </c>
      <c r="G32" s="210">
        <f t="shared" si="2"/>
        <v>2.7853920174798095</v>
      </c>
      <c r="H32" s="210">
        <f>(F32-E32)/E32*100</f>
        <v>5.5505988466551557</v>
      </c>
    </row>
    <row r="33" spans="1:14" ht="14.65" thickBot="1" x14ac:dyDescent="0.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  <c r="L33" s="2"/>
      <c r="M33" s="2"/>
      <c r="N33" s="2"/>
    </row>
    <row r="34" spans="1:14" ht="13.9" thickBot="1" x14ac:dyDescent="0.4">
      <c r="A34" s="6">
        <v>6.1</v>
      </c>
      <c r="B34" s="6" t="s">
        <v>16</v>
      </c>
      <c r="C34" s="6"/>
      <c r="D34" s="27">
        <f>'UPTO DEC'!D34+'jan-20'!D34+'feb-19'!D34</f>
        <v>88.1</v>
      </c>
      <c r="E34" s="27">
        <f>'UPTO DEC'!E34+'jan-20'!E34+'feb-19'!E34</f>
        <v>85.78</v>
      </c>
      <c r="F34" s="27">
        <f>'UPTO DEC'!F34+'jan-20'!F34+'feb-19'!F34</f>
        <v>90.634690000000006</v>
      </c>
      <c r="G34" s="31">
        <f t="shared" si="2"/>
        <v>2.8770601589103428</v>
      </c>
      <c r="H34" s="31">
        <f>(F34-E34)/E34*100</f>
        <v>5.6594660760083997</v>
      </c>
      <c r="K34" s="3">
        <f>2759099/100000</f>
        <v>27.590990000000001</v>
      </c>
      <c r="L34" s="4"/>
      <c r="M34" s="4"/>
      <c r="N34" s="4"/>
    </row>
    <row r="35" spans="1:14" ht="13.9" thickBot="1" x14ac:dyDescent="0.4">
      <c r="A35" s="6">
        <v>6.2</v>
      </c>
      <c r="B35" s="6" t="s">
        <v>15</v>
      </c>
      <c r="C35" s="6"/>
      <c r="D35" s="27">
        <f>'UPTO DEC'!D35+'jan-20'!D35+'feb-19'!D35</f>
        <v>109.8</v>
      </c>
      <c r="E35" s="27">
        <f>'UPTO DEC'!E35+'jan-20'!E35+'feb-19'!E35</f>
        <v>108.93</v>
      </c>
      <c r="F35" s="27">
        <f>'UPTO DEC'!F35+'jan-20'!F35+'feb-19'!F35</f>
        <v>107.45523</v>
      </c>
      <c r="G35" s="31">
        <f>(F35-D35)/D35*100</f>
        <v>-2.1354918032786858</v>
      </c>
      <c r="H35" s="31">
        <f>(F35-E35)/E35*100</f>
        <v>-1.3538694574497443</v>
      </c>
      <c r="K35" s="299">
        <f>2408864/100000</f>
        <v>24.088640000000002</v>
      </c>
      <c r="L35" s="4"/>
      <c r="M35" s="4"/>
      <c r="N35" s="4"/>
    </row>
    <row r="36" spans="1:14" ht="13.9" thickBot="1" x14ac:dyDescent="0.4">
      <c r="A36" s="6">
        <v>6.3</v>
      </c>
      <c r="B36" s="6" t="s">
        <v>34</v>
      </c>
      <c r="C36" s="6">
        <f>SUM(C34:C35)</f>
        <v>0</v>
      </c>
      <c r="D36" s="34">
        <f>SUM(D34:D35)</f>
        <v>197.89999999999998</v>
      </c>
      <c r="E36" s="34">
        <f>SUM(E34:E35)</f>
        <v>194.71</v>
      </c>
      <c r="F36" s="34">
        <f>SUM(F34:F35)</f>
        <v>198.08992000000001</v>
      </c>
      <c r="G36" s="31">
        <f t="shared" si="2"/>
        <v>9.5967660434577662E-2</v>
      </c>
      <c r="H36" s="31">
        <f>(F36-E36)/E36*100</f>
        <v>1.7358738636947246</v>
      </c>
      <c r="K36" s="3">
        <f>958961/100000</f>
        <v>9.5896100000000004</v>
      </c>
      <c r="L36" s="4"/>
      <c r="M36" s="4"/>
      <c r="N36" s="4"/>
    </row>
    <row r="37" spans="1:14" ht="14.65" thickBot="1" x14ac:dyDescent="0.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  <c r="K37" s="12">
        <f>SUM(K35:K36)</f>
        <v>33.678250000000006</v>
      </c>
      <c r="M37" s="4"/>
    </row>
    <row r="38" spans="1:14" ht="13.9" thickBot="1" x14ac:dyDescent="0.4">
      <c r="A38" s="6">
        <v>7.1</v>
      </c>
      <c r="B38" s="6" t="s">
        <v>16</v>
      </c>
      <c r="C38" s="14"/>
      <c r="D38" s="15"/>
      <c r="E38" s="6"/>
      <c r="F38" s="6"/>
      <c r="G38" s="1925"/>
      <c r="H38" s="7" t="e">
        <f>(F38-E38)/E38*100</f>
        <v>#DIV/0!</v>
      </c>
      <c r="M38" s="4"/>
    </row>
    <row r="39" spans="1:14" ht="13.9" thickBot="1" x14ac:dyDescent="0.4">
      <c r="A39" s="6">
        <v>7.2</v>
      </c>
      <c r="B39" s="6" t="s">
        <v>15</v>
      </c>
      <c r="C39" s="16"/>
      <c r="D39" s="17"/>
      <c r="E39" s="6"/>
      <c r="F39" s="6"/>
      <c r="G39" s="1926"/>
      <c r="H39" s="7" t="e">
        <f>(F39-E39)/E39*100</f>
        <v>#DIV/0!</v>
      </c>
    </row>
    <row r="40" spans="1:14" ht="13.9" thickBot="1" x14ac:dyDescent="0.4">
      <c r="A40" s="6">
        <v>7.3</v>
      </c>
      <c r="B40" s="6" t="s">
        <v>35</v>
      </c>
      <c r="C40" s="21"/>
      <c r="D40" s="22"/>
      <c r="E40" s="6"/>
      <c r="F40" s="6"/>
      <c r="G40" s="1927"/>
      <c r="H40" s="7" t="e">
        <f>(F40-E40)/E40*100</f>
        <v>#DIV/0!</v>
      </c>
      <c r="L40" s="1"/>
    </row>
    <row r="41" spans="1:14" ht="14.65" thickBot="1" x14ac:dyDescent="0.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  <c r="L41" s="3"/>
    </row>
    <row r="42" spans="1:14" ht="13.9" thickBot="1" x14ac:dyDescent="0.4">
      <c r="A42" s="6">
        <v>8.1</v>
      </c>
      <c r="B42" s="6" t="s">
        <v>41</v>
      </c>
      <c r="C42" s="6"/>
      <c r="D42" s="6">
        <f>46*1000</f>
        <v>46000</v>
      </c>
      <c r="E42" s="6">
        <v>26892</v>
      </c>
      <c r="F42" s="6">
        <v>33740</v>
      </c>
      <c r="G42" s="7">
        <f>(F42-D42)/D42*100</f>
        <v>-26.65217391304348</v>
      </c>
      <c r="H42" s="7">
        <f>(F42-E42)/E42*100</f>
        <v>25.464822251970848</v>
      </c>
      <c r="L42" s="3"/>
    </row>
    <row r="43" spans="1:14" ht="14.65" thickBot="1" x14ac:dyDescent="0.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  <c r="L43" s="3"/>
    </row>
    <row r="44" spans="1:14" ht="13.9" thickBot="1" x14ac:dyDescent="0.4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  <c r="L44" s="3"/>
    </row>
    <row r="45" spans="1:14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 t="shared" ref="H45:H50" si="3">(E45-F45)/F45*100</f>
        <v>#DIV/0!</v>
      </c>
    </row>
    <row r="46" spans="1:14" x14ac:dyDescent="0.35">
      <c r="A46" s="6">
        <v>9.3000000000000007</v>
      </c>
      <c r="B46" s="6" t="s">
        <v>38</v>
      </c>
      <c r="C46" s="21"/>
      <c r="D46" s="22"/>
      <c r="E46" s="27">
        <f>SUM(E44:E45)</f>
        <v>0</v>
      </c>
      <c r="F46" s="27">
        <f>SUM(F44:F45)</f>
        <v>0</v>
      </c>
      <c r="G46" s="1927"/>
      <c r="H46" s="7" t="e">
        <f t="shared" si="3"/>
        <v>#DIV/0!</v>
      </c>
    </row>
    <row r="47" spans="1:14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4" x14ac:dyDescent="0.35">
      <c r="A48" s="6">
        <v>10.1</v>
      </c>
      <c r="B48" s="6" t="s">
        <v>39</v>
      </c>
      <c r="C48" s="14"/>
      <c r="D48" s="15"/>
      <c r="E48" s="6">
        <v>10</v>
      </c>
      <c r="F48" s="6"/>
      <c r="G48" s="1925"/>
      <c r="H48" s="7" t="e">
        <f t="shared" si="3"/>
        <v>#DIV/0!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>
        <v>14</v>
      </c>
      <c r="F49" s="6"/>
      <c r="G49" s="1926"/>
      <c r="H49" s="7" t="e">
        <f t="shared" si="3"/>
        <v>#DIV/0!</v>
      </c>
    </row>
    <row r="50" spans="1:8" x14ac:dyDescent="0.35">
      <c r="A50" s="6">
        <v>10.3</v>
      </c>
      <c r="B50" s="6" t="s">
        <v>0</v>
      </c>
      <c r="C50" s="21"/>
      <c r="D50" s="22"/>
      <c r="E50" s="6">
        <f>SUM(E48:E49)</f>
        <v>24</v>
      </c>
      <c r="F50" s="6">
        <f>SUM(F48:F49)</f>
        <v>0</v>
      </c>
      <c r="G50" s="1927"/>
      <c r="H50" s="7" t="e">
        <f t="shared" si="3"/>
        <v>#DIV/0!</v>
      </c>
    </row>
    <row r="53" spans="1:8" x14ac:dyDescent="0.35">
      <c r="C53" s="5">
        <f>C42/12</f>
        <v>0</v>
      </c>
    </row>
    <row r="63" spans="1:8" x14ac:dyDescent="0.35">
      <c r="E63" s="5">
        <v>2016</v>
      </c>
      <c r="F63" s="5">
        <v>2015</v>
      </c>
    </row>
    <row r="64" spans="1:8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0">
    <mergeCell ref="B47:H47"/>
    <mergeCell ref="G48:G50"/>
    <mergeCell ref="B33:H33"/>
    <mergeCell ref="B37:H37"/>
    <mergeCell ref="G38:G40"/>
    <mergeCell ref="B41:H41"/>
    <mergeCell ref="B43:H43"/>
    <mergeCell ref="G44:G46"/>
    <mergeCell ref="C26:C30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B23:H23"/>
  </mergeCells>
  <pageMargins left="0.7" right="0.7" top="0.75" bottom="0.75" header="0.3" footer="0.3"/>
  <pageSetup paperSize="9" scale="3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69"/>
  <sheetViews>
    <sheetView topLeftCell="A4" zoomScale="90" zoomScaleNormal="90" workbookViewId="0">
      <selection activeCell="E5" sqref="E5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4" width="9.1328125" style="5" customWidth="1"/>
    <col min="5" max="5" width="12.3984375" style="5" customWidth="1"/>
    <col min="6" max="6" width="11" style="5" customWidth="1"/>
    <col min="7" max="7" width="9.1328125" style="5" customWidth="1"/>
    <col min="8" max="8" width="7.86328125" style="5" customWidth="1"/>
    <col min="9" max="9" width="9.1328125" style="5" customWidth="1"/>
    <col min="10" max="10" width="10.1328125" style="5" customWidth="1"/>
    <col min="11" max="11" width="9.1328125" style="5"/>
    <col min="12" max="12" width="11.265625" style="5" customWidth="1"/>
    <col min="13" max="13" width="10.3984375" style="5" customWidth="1"/>
    <col min="14" max="16384" width="9.1328125" style="5"/>
  </cols>
  <sheetData>
    <row r="1" spans="1:24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24" ht="13.9" x14ac:dyDescent="0.4">
      <c r="A2" s="1938" t="s">
        <v>65</v>
      </c>
      <c r="B2" s="1938"/>
      <c r="C2" s="1938"/>
      <c r="D2" s="1938"/>
      <c r="E2" s="1938"/>
      <c r="F2" s="1938"/>
      <c r="G2" s="1938"/>
      <c r="H2" s="1938"/>
    </row>
    <row r="3" spans="1:24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24" ht="30.75" customHeight="1" x14ac:dyDescent="0.4">
      <c r="A4" s="6"/>
      <c r="B4" s="6"/>
      <c r="C4" s="6" t="s">
        <v>9</v>
      </c>
      <c r="D4" s="6" t="s">
        <v>57</v>
      </c>
      <c r="E4" s="6" t="str">
        <f>D4</f>
        <v>MAR</v>
      </c>
      <c r="F4" s="6" t="str">
        <f>D4</f>
        <v>MAR</v>
      </c>
      <c r="G4" s="25" t="s">
        <v>12</v>
      </c>
      <c r="H4" s="25" t="s">
        <v>13</v>
      </c>
    </row>
    <row r="5" spans="1:24" x14ac:dyDescent="0.35">
      <c r="A5" s="6"/>
      <c r="B5" s="6"/>
      <c r="C5" s="1934" t="s">
        <v>77</v>
      </c>
      <c r="D5" s="1934"/>
      <c r="E5" s="6" t="s">
        <v>66</v>
      </c>
      <c r="F5" s="6" t="s">
        <v>77</v>
      </c>
      <c r="G5" s="6"/>
      <c r="H5" s="6"/>
    </row>
    <row r="6" spans="1:24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24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  <c r="L7" s="5">
        <v>131039197</v>
      </c>
      <c r="M7" s="5">
        <f>L7/10000000</f>
        <v>13.103919700000001</v>
      </c>
      <c r="P7" s="5">
        <v>1.49</v>
      </c>
      <c r="Q7" s="5">
        <v>1.5693594799999999</v>
      </c>
      <c r="R7" s="5">
        <v>1.5693594799999999</v>
      </c>
    </row>
    <row r="8" spans="1:24" ht="14.25" x14ac:dyDescent="0.45">
      <c r="A8" s="6">
        <v>1.1000000000000001</v>
      </c>
      <c r="B8" s="6" t="s">
        <v>16</v>
      </c>
      <c r="C8" s="6"/>
      <c r="D8" s="34">
        <f>'TARGET 2019-20'!B9</f>
        <v>1.69</v>
      </c>
      <c r="E8" s="30">
        <v>1.49</v>
      </c>
      <c r="F8" s="30">
        <f>9362563/10000000</f>
        <v>0.93625630000000004</v>
      </c>
      <c r="G8" s="7">
        <f>(F8-D8)/D8*100</f>
        <v>-44.60021893491124</v>
      </c>
      <c r="H8" s="7">
        <f>(F8-E8)/E8*100</f>
        <v>-37.164006711409392</v>
      </c>
      <c r="J8" s="5">
        <v>1.53</v>
      </c>
      <c r="K8"/>
      <c r="L8">
        <v>195743764</v>
      </c>
      <c r="M8" s="5">
        <f>L8/10000000</f>
        <v>19.574376399999998</v>
      </c>
      <c r="P8" s="5">
        <v>76.98</v>
      </c>
      <c r="Q8" s="5">
        <v>55.693704799999999</v>
      </c>
      <c r="R8" s="5">
        <v>76.900000000000006</v>
      </c>
      <c r="T8" s="5">
        <f>R8-S9</f>
        <v>76.900640519999996</v>
      </c>
    </row>
    <row r="9" spans="1:24" x14ac:dyDescent="0.35">
      <c r="A9" s="6">
        <v>1.2</v>
      </c>
      <c r="B9" s="6" t="s">
        <v>15</v>
      </c>
      <c r="C9" s="6"/>
      <c r="D9" s="34">
        <f>'TARGET 2019-20'!B11</f>
        <v>80.89</v>
      </c>
      <c r="E9" s="27">
        <f>76.9+0.09</f>
        <v>76.990000000000009</v>
      </c>
      <c r="F9" s="27">
        <v>32.678296099999997</v>
      </c>
      <c r="G9" s="7">
        <f>(F9-D9)/D9*100</f>
        <v>-59.601562492273466</v>
      </c>
      <c r="H9" s="7">
        <f>(F9-E9)/E9*100</f>
        <v>-57.555142096376166</v>
      </c>
      <c r="J9" s="5">
        <f>1.49-J8</f>
        <v>-4.0000000000000036E-2</v>
      </c>
      <c r="K9" s="5">
        <f>76.99-0.04</f>
        <v>76.949999999999989</v>
      </c>
      <c r="M9" s="5">
        <f>SUM(M7:M8)</f>
        <v>32.678296099999997</v>
      </c>
      <c r="P9" s="5">
        <f>SUM(P7:P8)</f>
        <v>78.47</v>
      </c>
      <c r="R9" s="5">
        <f>SUM(R7:R8)</f>
        <v>78.469359480000008</v>
      </c>
      <c r="S9" s="5">
        <f>R9-P9</f>
        <v>-6.4051999999037434E-4</v>
      </c>
    </row>
    <row r="10" spans="1:24" x14ac:dyDescent="0.35">
      <c r="A10" s="6">
        <v>1.3</v>
      </c>
      <c r="B10" s="6" t="s">
        <v>17</v>
      </c>
      <c r="C10" s="6">
        <f>C8+C9</f>
        <v>0</v>
      </c>
      <c r="D10" s="34">
        <f>SUM(D8:D9)</f>
        <v>82.58</v>
      </c>
      <c r="E10" s="27">
        <f>SUM(E8:E9)</f>
        <v>78.48</v>
      </c>
      <c r="F10" s="27">
        <f>SUM(F8:F9)</f>
        <v>33.614552399999994</v>
      </c>
      <c r="G10" s="7">
        <f>(F10-D10)/D10*100</f>
        <v>-59.294559941874546</v>
      </c>
      <c r="H10" s="7">
        <f>(F10-E10)/E10*100</f>
        <v>-57.168001529051992</v>
      </c>
    </row>
    <row r="11" spans="1:24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  <c r="P11" s="12"/>
    </row>
    <row r="12" spans="1:24" x14ac:dyDescent="0.35">
      <c r="A12" s="6">
        <v>2.1</v>
      </c>
      <c r="B12" s="6" t="s">
        <v>19</v>
      </c>
      <c r="C12" s="1948"/>
      <c r="D12" s="52">
        <f>'TARGET 2019-20'!N9</f>
        <v>10.93</v>
      </c>
      <c r="E12" s="27">
        <v>10.09</v>
      </c>
      <c r="F12" s="27">
        <v>9.75</v>
      </c>
      <c r="G12" s="7">
        <f>(F12-D12)/D12*100</f>
        <v>-10.795974382433666</v>
      </c>
      <c r="H12" s="7">
        <f t="shared" ref="H12:H42" si="0">(F12-E12)/E12*100</f>
        <v>-3.3696729435084229</v>
      </c>
    </row>
    <row r="13" spans="1:24" x14ac:dyDescent="0.3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7"/>
    </row>
    <row r="14" spans="1:24" x14ac:dyDescent="0.35">
      <c r="A14" s="6">
        <v>2.2999999999999998</v>
      </c>
      <c r="B14" s="6" t="s">
        <v>21</v>
      </c>
      <c r="C14" s="6"/>
      <c r="D14" s="34">
        <f>SUM(D12:D13)</f>
        <v>10.93</v>
      </c>
      <c r="E14" s="34">
        <f>SUM(E12:E13)</f>
        <v>10.09</v>
      </c>
      <c r="F14" s="34">
        <f>SUM(F12:F13)</f>
        <v>9.75</v>
      </c>
      <c r="G14" s="7">
        <f>(F14-D14)/D14*100</f>
        <v>-10.795974382433666</v>
      </c>
      <c r="H14" s="7">
        <f t="shared" si="0"/>
        <v>-3.3696729435084229</v>
      </c>
    </row>
    <row r="15" spans="1:24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  <c r="U15" s="5">
        <v>124840</v>
      </c>
      <c r="W15" s="5">
        <v>10870</v>
      </c>
      <c r="X15" s="5">
        <v>5920</v>
      </c>
    </row>
    <row r="16" spans="1:24" x14ac:dyDescent="0.35">
      <c r="A16" s="6">
        <v>3.1</v>
      </c>
      <c r="B16" s="6" t="s">
        <v>2</v>
      </c>
      <c r="C16" s="6"/>
      <c r="D16" s="32">
        <v>1.43</v>
      </c>
      <c r="E16" s="32">
        <v>1.59</v>
      </c>
      <c r="F16" s="32">
        <v>1.6</v>
      </c>
      <c r="G16" s="7">
        <f>(F16-D16)/D16*100</f>
        <v>11.888111888111899</v>
      </c>
      <c r="H16" s="7">
        <f>(F16-E16)/E16*100</f>
        <v>0.62893081761006342</v>
      </c>
      <c r="K16" s="5">
        <v>155.5</v>
      </c>
      <c r="L16" s="5">
        <v>159.32</v>
      </c>
      <c r="N16" s="5">
        <f>K16-K17</f>
        <v>141.76</v>
      </c>
      <c r="O16" s="5">
        <f>L16-L17</f>
        <v>149.72999999999999</v>
      </c>
      <c r="U16" s="5">
        <v>73790</v>
      </c>
      <c r="W16" s="5">
        <v>9430</v>
      </c>
      <c r="X16" s="5">
        <v>5730</v>
      </c>
    </row>
    <row r="17" spans="1:24" x14ac:dyDescent="0.35">
      <c r="A17" s="6">
        <v>3.2</v>
      </c>
      <c r="B17" s="6" t="s">
        <v>23</v>
      </c>
      <c r="C17" s="20"/>
      <c r="D17" s="20">
        <f>'TARGET 2019-20'!X11</f>
        <v>2.44</v>
      </c>
      <c r="E17" s="34">
        <v>1.42</v>
      </c>
      <c r="F17" s="34">
        <v>1.5</v>
      </c>
      <c r="G17" s="44"/>
      <c r="H17" s="7">
        <f>(F17-E17)/E17*100</f>
        <v>5.6338028169014134</v>
      </c>
      <c r="K17" s="5">
        <v>13.74</v>
      </c>
      <c r="L17" s="5">
        <v>9.59</v>
      </c>
      <c r="U17" s="5">
        <f>W19+X19</f>
        <v>61460</v>
      </c>
      <c r="W17" s="5">
        <v>8790</v>
      </c>
      <c r="X17" s="5">
        <v>4800</v>
      </c>
    </row>
    <row r="18" spans="1:24" x14ac:dyDescent="0.35">
      <c r="A18" s="6">
        <v>3.3</v>
      </c>
      <c r="B18" s="6" t="s">
        <v>1</v>
      </c>
      <c r="C18" s="1936"/>
      <c r="D18" s="129">
        <f>'TARGET 2019-20'!Y13</f>
        <v>0.4</v>
      </c>
      <c r="E18" s="32">
        <v>0.13700000000000001</v>
      </c>
      <c r="F18" s="32">
        <v>9.5000000000000001E-2</v>
      </c>
      <c r="G18" s="10"/>
      <c r="H18" s="7">
        <f t="shared" si="0"/>
        <v>-30.656934306569351</v>
      </c>
      <c r="U18" s="5">
        <f>SUM(U15:U17)</f>
        <v>260090</v>
      </c>
      <c r="W18" s="5">
        <v>10180</v>
      </c>
      <c r="X18" s="5">
        <v>5740</v>
      </c>
    </row>
    <row r="19" spans="1:24" x14ac:dyDescent="0.35">
      <c r="A19" s="6">
        <v>3.4</v>
      </c>
      <c r="B19" s="6" t="s">
        <v>24</v>
      </c>
      <c r="C19" s="1936"/>
      <c r="D19" s="129"/>
      <c r="E19" s="6">
        <v>5.5399999999999998E-2</v>
      </c>
      <c r="F19" s="6">
        <v>3.8594000000000003E-2</v>
      </c>
      <c r="G19" s="10"/>
      <c r="H19" s="7">
        <f>(F19-E19)/E19*100</f>
        <v>-30.335740072202157</v>
      </c>
      <c r="M19" s="5">
        <v>230050</v>
      </c>
      <c r="U19" s="5">
        <f>U18/10000000</f>
        <v>2.6009000000000001E-2</v>
      </c>
      <c r="W19" s="5">
        <f>SUM(W15:W18)</f>
        <v>39270</v>
      </c>
      <c r="X19" s="5">
        <f>SUM(X15:X18)</f>
        <v>22190</v>
      </c>
    </row>
    <row r="20" spans="1:24" ht="30.75" customHeight="1" x14ac:dyDescent="0.35">
      <c r="A20" s="6">
        <v>3.5</v>
      </c>
      <c r="B20" s="24" t="s">
        <v>25</v>
      </c>
      <c r="C20" s="1936"/>
      <c r="D20" s="129"/>
      <c r="E20" s="6">
        <v>0</v>
      </c>
      <c r="F20" s="6">
        <v>0</v>
      </c>
      <c r="G20" s="10"/>
      <c r="H20" s="7" t="e">
        <f>(F20-E20)/E20*100</f>
        <v>#DIV/0!</v>
      </c>
      <c r="M20" s="5">
        <v>130280</v>
      </c>
    </row>
    <row r="21" spans="1:24" ht="35.25" customHeight="1" x14ac:dyDescent="0.35">
      <c r="A21" s="6">
        <v>3.6</v>
      </c>
      <c r="B21" s="23" t="s">
        <v>26</v>
      </c>
      <c r="C21" s="1937"/>
      <c r="D21" s="130"/>
      <c r="E21" s="27">
        <f>[3]MARCH20!$L$46</f>
        <v>2.6859126999999998</v>
      </c>
      <c r="F21" s="27">
        <v>4.7221814999999996</v>
      </c>
      <c r="G21" s="45"/>
      <c r="H21" s="7">
        <f>(F21-E21)/E21*100</f>
        <v>75.812918267969025</v>
      </c>
      <c r="L21" s="319">
        <v>47221815</v>
      </c>
      <c r="M21" s="319">
        <v>25610</v>
      </c>
    </row>
    <row r="22" spans="1:24" ht="34.5" customHeight="1" x14ac:dyDescent="0.35">
      <c r="A22" s="6">
        <v>3.7</v>
      </c>
      <c r="B22" s="23" t="s">
        <v>58</v>
      </c>
      <c r="C22" s="6"/>
      <c r="D22" s="27">
        <f>'TARGET 2019-20'!J9</f>
        <v>11.05</v>
      </c>
      <c r="E22" s="31">
        <v>7.13</v>
      </c>
      <c r="F22" s="31">
        <f>SUM(F16:F21)</f>
        <v>7.9557754999999997</v>
      </c>
      <c r="G22" s="7">
        <f>(F22-D22)/D22*100</f>
        <v>-28.002031674208151</v>
      </c>
      <c r="H22" s="7">
        <f t="shared" si="0"/>
        <v>11.581704067321175</v>
      </c>
      <c r="M22" s="5">
        <f>SUM(M19:M21)</f>
        <v>385940</v>
      </c>
      <c r="N22" s="5">
        <f>M22/10000000</f>
        <v>3.8594000000000003E-2</v>
      </c>
    </row>
    <row r="23" spans="1:24" ht="13.9" x14ac:dyDescent="0.4">
      <c r="A23" s="9">
        <v>4</v>
      </c>
      <c r="B23" s="1928">
        <v>3</v>
      </c>
      <c r="C23" s="1929"/>
      <c r="D23" s="1929"/>
      <c r="E23" s="1929"/>
      <c r="F23" s="1929"/>
      <c r="G23" s="1929"/>
      <c r="H23" s="1930"/>
    </row>
    <row r="24" spans="1:24" x14ac:dyDescent="0.35">
      <c r="A24" s="6">
        <v>4.0999999999999996</v>
      </c>
      <c r="B24" s="6" t="s">
        <v>27</v>
      </c>
      <c r="C24" s="6"/>
      <c r="D24" s="30">
        <v>0.83333333333333326</v>
      </c>
      <c r="E24" s="6">
        <f>11041943/10000000</f>
        <v>1.1041943000000001</v>
      </c>
      <c r="F24" s="6">
        <f>388217/10000000</f>
        <v>3.8821700000000001E-2</v>
      </c>
      <c r="G24" s="7">
        <f>(F24-D24)/D24*100</f>
        <v>-95.341396000000003</v>
      </c>
      <c r="H24" s="7">
        <f t="shared" si="0"/>
        <v>-96.484160441690378</v>
      </c>
      <c r="I24" s="10"/>
      <c r="L24" s="11"/>
      <c r="M24" s="12"/>
    </row>
    <row r="25" spans="1:24" x14ac:dyDescent="0.35">
      <c r="A25" s="6">
        <v>4.2</v>
      </c>
      <c r="B25" s="6" t="s">
        <v>28</v>
      </c>
      <c r="C25" s="6"/>
      <c r="D25" s="13">
        <v>0.31225833333333336</v>
      </c>
      <c r="E25" s="6">
        <f>2264158/10000000</f>
        <v>0.2264158</v>
      </c>
      <c r="F25" s="6">
        <f>882159/10000000</f>
        <v>8.82159E-2</v>
      </c>
      <c r="G25" s="7">
        <f>(E25-D25)/D25*100</f>
        <v>-27.490870273011137</v>
      </c>
      <c r="H25" s="7">
        <f t="shared" si="0"/>
        <v>-61.038098931258325</v>
      </c>
      <c r="I25" s="13"/>
      <c r="L25" s="11"/>
      <c r="M25" s="12"/>
    </row>
    <row r="26" spans="1:24" x14ac:dyDescent="0.35">
      <c r="A26" s="6">
        <v>4.3</v>
      </c>
      <c r="B26" s="6" t="s">
        <v>4</v>
      </c>
      <c r="C26" s="1948"/>
      <c r="D26" s="30">
        <v>0</v>
      </c>
      <c r="E26" s="6"/>
      <c r="F26" s="6"/>
      <c r="G26" s="7" t="e">
        <f>(E26-D26)/D26*100</f>
        <v>#DIV/0!</v>
      </c>
      <c r="H26" s="7" t="e">
        <f>(F26-E26)/E26*100</f>
        <v>#DIV/0!</v>
      </c>
      <c r="I26" s="12"/>
      <c r="L26" s="11"/>
      <c r="M26" s="12"/>
    </row>
    <row r="27" spans="1:24" x14ac:dyDescent="0.35">
      <c r="A27" s="6">
        <v>4.4000000000000004</v>
      </c>
      <c r="B27" s="6" t="s">
        <v>29</v>
      </c>
      <c r="C27" s="1947"/>
      <c r="D27" s="30"/>
      <c r="E27" s="6"/>
      <c r="F27" s="6"/>
      <c r="G27" s="7" t="e">
        <f>(E27-D27)/D27*100</f>
        <v>#DIV/0!</v>
      </c>
      <c r="H27" s="7" t="e">
        <f>(F27-E27)/E27*100</f>
        <v>#DIV/0!</v>
      </c>
      <c r="L27" s="11"/>
      <c r="M27" s="12"/>
    </row>
    <row r="28" spans="1:24" x14ac:dyDescent="0.35">
      <c r="A28" s="6">
        <v>4.5</v>
      </c>
      <c r="B28" s="6" t="s">
        <v>30</v>
      </c>
      <c r="C28" s="1947"/>
      <c r="D28" s="30"/>
      <c r="E28" s="6"/>
      <c r="F28" s="6"/>
      <c r="G28" s="7" t="e">
        <f>(E28-D28)/D28*100</f>
        <v>#DIV/0!</v>
      </c>
      <c r="H28" s="7" t="e">
        <f>(F28-E28)/E28*100</f>
        <v>#DIV/0!</v>
      </c>
      <c r="I28" s="13"/>
      <c r="L28" s="11"/>
      <c r="M28" s="12"/>
      <c r="O28" s="6"/>
      <c r="P28" s="6"/>
    </row>
    <row r="29" spans="1:24" x14ac:dyDescent="0.35">
      <c r="A29" s="6">
        <v>4.7</v>
      </c>
      <c r="B29" s="6" t="s">
        <v>3</v>
      </c>
      <c r="C29" s="1947"/>
      <c r="D29" s="30">
        <v>0.13583333333333333</v>
      </c>
      <c r="E29" s="5">
        <f>1.12-1.04</f>
        <v>8.0000000000000071E-2</v>
      </c>
      <c r="F29" s="6">
        <f>649346/10000000</f>
        <v>6.4934599999999995E-2</v>
      </c>
      <c r="G29" s="7">
        <f>(E29-D29)/D29*100</f>
        <v>-41.104294478527557</v>
      </c>
      <c r="H29" s="7">
        <f>(F29-E29)/E29*100</f>
        <v>-18.831750000000078</v>
      </c>
      <c r="I29" s="12"/>
      <c r="J29" s="5">
        <f>1.38-1.41</f>
        <v>-3.0000000000000027E-2</v>
      </c>
      <c r="L29" s="11">
        <f>363047+300000</f>
        <v>663047</v>
      </c>
      <c r="M29" s="12"/>
    </row>
    <row r="30" spans="1:24" ht="14.25" hidden="1" customHeight="1" x14ac:dyDescent="0.35">
      <c r="A30" s="6">
        <v>4.8</v>
      </c>
      <c r="B30" s="6" t="s">
        <v>31</v>
      </c>
      <c r="C30" s="1949"/>
      <c r="D30" s="22"/>
      <c r="E30" s="6"/>
      <c r="F30" s="6"/>
      <c r="G30" s="45"/>
      <c r="H30" s="7"/>
      <c r="L30" s="11"/>
      <c r="M30" s="12"/>
    </row>
    <row r="31" spans="1:24" x14ac:dyDescent="0.35">
      <c r="A31" s="6">
        <v>4.9000000000000004</v>
      </c>
      <c r="B31" s="6" t="s">
        <v>32</v>
      </c>
      <c r="C31" s="6">
        <f>C24+C25</f>
        <v>0</v>
      </c>
      <c r="D31" s="6">
        <f>D24+D25</f>
        <v>1.1455916666666666</v>
      </c>
      <c r="E31" s="27">
        <f>SUM(E24:E30)</f>
        <v>1.4106101000000002</v>
      </c>
      <c r="F31" s="27">
        <f>SUM(F24:F30)</f>
        <v>0.19197219999999998</v>
      </c>
      <c r="G31" s="7">
        <f t="shared" ref="G31:G36" si="1">(F31-D31)/D31*100</f>
        <v>-83.242528242320205</v>
      </c>
      <c r="H31" s="7">
        <f t="shared" si="0"/>
        <v>-86.390838971023967</v>
      </c>
      <c r="L31" s="11"/>
    </row>
    <row r="32" spans="1:24" ht="14.25" thickBot="1" x14ac:dyDescent="0.45">
      <c r="A32" s="9">
        <v>5</v>
      </c>
      <c r="B32" s="9" t="s">
        <v>33</v>
      </c>
      <c r="C32" s="9">
        <f>C10+C14+C22+C31</f>
        <v>0</v>
      </c>
      <c r="D32" s="9">
        <f>D10+D14+D22+D31</f>
        <v>105.70559166666665</v>
      </c>
      <c r="E32" s="28">
        <f>E10+E14+E22+E31</f>
        <v>97.110610100000002</v>
      </c>
      <c r="F32" s="28">
        <f>F10+F14+F22+F31</f>
        <v>51.512300099999997</v>
      </c>
      <c r="G32" s="7">
        <f t="shared" si="1"/>
        <v>-51.268140797660408</v>
      </c>
      <c r="H32" s="7">
        <f t="shared" si="0"/>
        <v>-46.955023712697283</v>
      </c>
    </row>
    <row r="33" spans="1:17" ht="14.65" thickBot="1" x14ac:dyDescent="0.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  <c r="L33" s="2"/>
      <c r="M33" s="2"/>
      <c r="N33" s="2"/>
    </row>
    <row r="34" spans="1:17" ht="13.9" thickBot="1" x14ac:dyDescent="0.4">
      <c r="A34" s="6">
        <v>6.1</v>
      </c>
      <c r="B34" s="6" t="s">
        <v>16</v>
      </c>
      <c r="C34" s="6"/>
      <c r="D34" s="34">
        <f>'TARGET 2019-20'!B29</f>
        <v>28.3</v>
      </c>
      <c r="E34" s="27">
        <v>27.6</v>
      </c>
      <c r="F34" s="27">
        <v>31.35</v>
      </c>
      <c r="G34" s="7">
        <f>(F34-D34)/D34*100</f>
        <v>10.777385159010603</v>
      </c>
      <c r="H34" s="7">
        <f t="shared" si="0"/>
        <v>13.586956521739129</v>
      </c>
      <c r="K34" s="3"/>
      <c r="L34" s="4">
        <v>1531910</v>
      </c>
      <c r="M34" s="4"/>
      <c r="N34" s="4"/>
    </row>
    <row r="35" spans="1:17" ht="14.65" thickBot="1" x14ac:dyDescent="0.4">
      <c r="A35" s="6">
        <v>6.2</v>
      </c>
      <c r="B35" s="6" t="s">
        <v>15</v>
      </c>
      <c r="C35" s="6"/>
      <c r="D35" s="34">
        <f>'TARGET 2019-20'!B31</f>
        <v>36.200000000000003</v>
      </c>
      <c r="E35" s="27">
        <v>35.909999999999997</v>
      </c>
      <c r="F35" s="27">
        <v>27.86</v>
      </c>
      <c r="G35" s="7">
        <f t="shared" si="1"/>
        <v>-23.038674033149178</v>
      </c>
      <c r="H35" s="7">
        <f t="shared" si="0"/>
        <v>-22.417153996101359</v>
      </c>
      <c r="K35" s="3"/>
      <c r="L35" s="319">
        <v>274936</v>
      </c>
      <c r="M35" s="319"/>
      <c r="N35" s="4"/>
    </row>
    <row r="36" spans="1:17" ht="13.9" thickBot="1" x14ac:dyDescent="0.4">
      <c r="A36" s="6">
        <v>6.3</v>
      </c>
      <c r="B36" s="6" t="s">
        <v>34</v>
      </c>
      <c r="C36" s="6">
        <f>SUM(C34:C35)</f>
        <v>0</v>
      </c>
      <c r="D36" s="34">
        <f>SUM(D34:D35)</f>
        <v>64.5</v>
      </c>
      <c r="E36" s="34">
        <f>SUM(E34:E35)</f>
        <v>63.51</v>
      </c>
      <c r="F36" s="34">
        <f>SUM(F34:F35)</f>
        <v>59.21</v>
      </c>
      <c r="G36" s="7">
        <f t="shared" si="1"/>
        <v>-8.2015503875968978</v>
      </c>
      <c r="H36" s="7">
        <f t="shared" si="0"/>
        <v>-6.7705873090851796</v>
      </c>
      <c r="K36" s="3"/>
      <c r="L36" s="4">
        <f>SUM(L34:L35)</f>
        <v>1806846</v>
      </c>
      <c r="M36" s="4"/>
      <c r="N36" s="4"/>
    </row>
    <row r="37" spans="1:17" ht="14.65" thickBot="1" x14ac:dyDescent="0.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  <c r="M37" s="4"/>
    </row>
    <row r="38" spans="1:17" ht="13.9" thickBot="1" x14ac:dyDescent="0.4">
      <c r="A38" s="6">
        <v>7.1</v>
      </c>
      <c r="B38" s="6" t="s">
        <v>16</v>
      </c>
      <c r="C38" s="14"/>
      <c r="D38" s="15"/>
      <c r="E38" s="6"/>
      <c r="F38" s="6"/>
      <c r="G38" s="1925"/>
      <c r="H38" s="7" t="e">
        <f t="shared" si="0"/>
        <v>#DIV/0!</v>
      </c>
      <c r="K38" s="5">
        <v>17.670000000000002</v>
      </c>
      <c r="L38" s="5">
        <v>18.47</v>
      </c>
      <c r="M38" s="4">
        <v>1.53</v>
      </c>
      <c r="N38" s="5">
        <v>0.93600000000000005</v>
      </c>
      <c r="O38" s="12">
        <f t="shared" ref="O38:P40" si="2">K38+M38</f>
        <v>19.200000000000003</v>
      </c>
      <c r="P38" s="12">
        <f t="shared" si="2"/>
        <v>19.405999999999999</v>
      </c>
    </row>
    <row r="39" spans="1:17" ht="13.9" thickBot="1" x14ac:dyDescent="0.4">
      <c r="A39" s="6">
        <v>7.2</v>
      </c>
      <c r="B39" s="6" t="s">
        <v>15</v>
      </c>
      <c r="C39" s="16"/>
      <c r="D39" s="17"/>
      <c r="E39" s="6"/>
      <c r="F39" s="6"/>
      <c r="G39" s="1926"/>
      <c r="H39" s="7" t="e">
        <f t="shared" si="0"/>
        <v>#DIV/0!</v>
      </c>
      <c r="K39" s="5">
        <v>165.57</v>
      </c>
      <c r="L39" s="5">
        <v>171.41</v>
      </c>
      <c r="M39" s="5">
        <f>15.83+0.2</f>
        <v>16.03</v>
      </c>
      <c r="N39" s="12">
        <v>13.103919700000001</v>
      </c>
      <c r="O39" s="12">
        <f t="shared" si="2"/>
        <v>181.6</v>
      </c>
      <c r="P39" s="12">
        <f t="shared" si="2"/>
        <v>184.5139197</v>
      </c>
    </row>
    <row r="40" spans="1:17" ht="13.9" thickBot="1" x14ac:dyDescent="0.4">
      <c r="A40" s="6">
        <v>7.3</v>
      </c>
      <c r="B40" s="6" t="s">
        <v>35</v>
      </c>
      <c r="C40" s="21"/>
      <c r="D40" s="22"/>
      <c r="E40" s="6">
        <f>SUM(E38:E39)</f>
        <v>0</v>
      </c>
      <c r="F40" s="6">
        <f>SUM(F38:F39)</f>
        <v>0</v>
      </c>
      <c r="G40" s="1927"/>
      <c r="H40" s="7" t="e">
        <f t="shared" si="0"/>
        <v>#DIV/0!</v>
      </c>
      <c r="K40" s="5">
        <v>597.96</v>
      </c>
      <c r="L40" s="1">
        <v>649.6</v>
      </c>
      <c r="M40" s="5">
        <f>60.7+0.22</f>
        <v>60.92</v>
      </c>
      <c r="N40" s="12">
        <v>19.574376399999998</v>
      </c>
      <c r="O40" s="12">
        <f t="shared" si="2"/>
        <v>658.88</v>
      </c>
      <c r="P40" s="12">
        <f t="shared" si="2"/>
        <v>669.17437640000003</v>
      </c>
    </row>
    <row r="41" spans="1:17" ht="14.65" thickBot="1" x14ac:dyDescent="0.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  <c r="L41" s="3"/>
      <c r="O41" s="12">
        <f>SUM(O38:O40)</f>
        <v>859.68000000000006</v>
      </c>
      <c r="P41" s="12">
        <f>SUM(P38:P40)</f>
        <v>873.09429610000007</v>
      </c>
      <c r="Q41" s="12">
        <f>859.68-O41</f>
        <v>0</v>
      </c>
    </row>
    <row r="42" spans="1:17" ht="14.65" thickBot="1" x14ac:dyDescent="0.5">
      <c r="A42" s="6">
        <v>8.1</v>
      </c>
      <c r="B42" s="6" t="s">
        <v>41</v>
      </c>
      <c r="C42" s="6"/>
      <c r="D42" s="259">
        <v>46746</v>
      </c>
      <c r="E42" s="6">
        <v>24156</v>
      </c>
      <c r="F42" s="6">
        <v>25004</v>
      </c>
      <c r="G42" s="7">
        <f>(F42-D42)/D42*100</f>
        <v>-46.510931416591795</v>
      </c>
      <c r="H42" s="7">
        <f t="shared" si="0"/>
        <v>3.5105149859248224</v>
      </c>
      <c r="L42" s="3"/>
    </row>
    <row r="43" spans="1:17" ht="14.65" thickBot="1" x14ac:dyDescent="0.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  <c r="K43" s="5">
        <v>313.89999999999998</v>
      </c>
      <c r="L43" s="3">
        <v>323.82</v>
      </c>
      <c r="M43" s="5">
        <v>27.6</v>
      </c>
      <c r="N43" s="5">
        <v>31.35</v>
      </c>
      <c r="O43" s="5">
        <f>M43+K43</f>
        <v>341.5</v>
      </c>
      <c r="P43" s="12">
        <f>L43+N43</f>
        <v>355.17</v>
      </c>
    </row>
    <row r="44" spans="1:17" ht="13.9" thickBot="1" x14ac:dyDescent="0.4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  <c r="K44" s="5">
        <v>300.26</v>
      </c>
      <c r="L44" s="3">
        <v>284.82</v>
      </c>
      <c r="M44" s="5">
        <v>25.62</v>
      </c>
      <c r="N44" s="12">
        <v>25.12</v>
      </c>
      <c r="O44" s="5">
        <f>M44+K44</f>
        <v>325.88</v>
      </c>
      <c r="P44" s="12">
        <f>L44+N44</f>
        <v>309.94</v>
      </c>
    </row>
    <row r="45" spans="1:17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 t="shared" ref="H45:H50" si="3">(E45-F45)/F45*100</f>
        <v>#DIV/0!</v>
      </c>
      <c r="K45" s="5">
        <v>104.21</v>
      </c>
      <c r="L45" s="5">
        <v>104.81</v>
      </c>
      <c r="M45" s="5">
        <v>10.29</v>
      </c>
      <c r="N45" s="12">
        <v>2.7429999999999999</v>
      </c>
      <c r="O45" s="5">
        <f>M45+K45</f>
        <v>114.5</v>
      </c>
      <c r="P45" s="12">
        <f>L45+N45</f>
        <v>107.553</v>
      </c>
    </row>
    <row r="46" spans="1:17" x14ac:dyDescent="0.35">
      <c r="A46" s="6">
        <v>9.3000000000000007</v>
      </c>
      <c r="B46" s="6" t="s">
        <v>38</v>
      </c>
      <c r="C46" s="21"/>
      <c r="D46" s="22"/>
      <c r="E46" s="27">
        <f>SUM(E44:E45)</f>
        <v>0</v>
      </c>
      <c r="F46" s="27">
        <f>SUM(F44:F45)</f>
        <v>0</v>
      </c>
      <c r="G46" s="1927"/>
      <c r="H46" s="7" t="e">
        <f t="shared" si="3"/>
        <v>#DIV/0!</v>
      </c>
      <c r="O46" s="5">
        <f>SUM(O43:O45)</f>
        <v>781.88</v>
      </c>
      <c r="P46" s="12">
        <f>SUM(P43:P45)</f>
        <v>772.66300000000001</v>
      </c>
    </row>
    <row r="47" spans="1:17" ht="14.25" hidden="1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7" hidden="1" x14ac:dyDescent="0.35">
      <c r="A48" s="6">
        <v>10.1</v>
      </c>
      <c r="B48" s="6" t="s">
        <v>39</v>
      </c>
      <c r="C48" s="14"/>
      <c r="D48" s="15"/>
      <c r="E48" s="6">
        <v>10</v>
      </c>
      <c r="F48" s="6"/>
      <c r="G48" s="1925"/>
      <c r="H48" s="7" t="e">
        <f t="shared" si="3"/>
        <v>#DIV/0!</v>
      </c>
    </row>
    <row r="49" spans="1:24" hidden="1" x14ac:dyDescent="0.35">
      <c r="A49" s="6">
        <v>10.199999999999999</v>
      </c>
      <c r="B49" s="6" t="s">
        <v>40</v>
      </c>
      <c r="C49" s="16"/>
      <c r="D49" s="17"/>
      <c r="E49" s="6">
        <v>14</v>
      </c>
      <c r="F49" s="6"/>
      <c r="G49" s="1926"/>
      <c r="H49" s="7" t="e">
        <f t="shared" si="3"/>
        <v>#DIV/0!</v>
      </c>
    </row>
    <row r="50" spans="1:24" hidden="1" x14ac:dyDescent="0.35">
      <c r="A50" s="8">
        <v>10.3</v>
      </c>
      <c r="B50" s="8" t="s">
        <v>0</v>
      </c>
      <c r="C50" s="18"/>
      <c r="D50" s="19"/>
      <c r="E50" s="8">
        <f>SUM(E48:E49)</f>
        <v>24</v>
      </c>
      <c r="F50" s="8">
        <f>SUM(F48:F49)</f>
        <v>0</v>
      </c>
      <c r="G50" s="1927"/>
      <c r="H50" s="7" t="e">
        <f t="shared" si="3"/>
        <v>#DIV/0!</v>
      </c>
    </row>
    <row r="51" spans="1:24" x14ac:dyDescent="0.35">
      <c r="P51" s="5">
        <v>772.66191000000003</v>
      </c>
    </row>
    <row r="52" spans="1:24" x14ac:dyDescent="0.35">
      <c r="P52" s="12">
        <f>P51-P46</f>
        <v>-1.0899999999764987E-3</v>
      </c>
    </row>
    <row r="54" spans="1:24" x14ac:dyDescent="0.35">
      <c r="O54" s="5">
        <f t="shared" ref="O54:P56" si="4">O43/10</f>
        <v>34.15</v>
      </c>
      <c r="P54" s="5">
        <f t="shared" si="4"/>
        <v>35.517000000000003</v>
      </c>
      <c r="Q54" s="5">
        <f t="shared" ref="Q54:X54" si="5">Q43/10</f>
        <v>0</v>
      </c>
      <c r="R54" s="5">
        <f t="shared" si="5"/>
        <v>0</v>
      </c>
      <c r="S54" s="5">
        <f t="shared" si="5"/>
        <v>0</v>
      </c>
      <c r="T54" s="5">
        <f t="shared" si="5"/>
        <v>0</v>
      </c>
      <c r="U54" s="5">
        <f t="shared" si="5"/>
        <v>0</v>
      </c>
      <c r="V54" s="5">
        <f t="shared" si="5"/>
        <v>0</v>
      </c>
      <c r="W54" s="5">
        <f t="shared" si="5"/>
        <v>0</v>
      </c>
      <c r="X54" s="5">
        <f t="shared" si="5"/>
        <v>0</v>
      </c>
    </row>
    <row r="55" spans="1:24" x14ac:dyDescent="0.35">
      <c r="O55" s="5">
        <f t="shared" si="4"/>
        <v>32.588000000000001</v>
      </c>
      <c r="P55" s="5">
        <f t="shared" si="4"/>
        <v>30.994</v>
      </c>
    </row>
    <row r="56" spans="1:24" x14ac:dyDescent="0.35">
      <c r="O56" s="5">
        <f t="shared" si="4"/>
        <v>11.45</v>
      </c>
      <c r="P56" s="5">
        <f t="shared" si="4"/>
        <v>10.7553</v>
      </c>
    </row>
    <row r="63" spans="1:24" x14ac:dyDescent="0.35">
      <c r="E63" s="5">
        <v>2016</v>
      </c>
      <c r="F63" s="5">
        <v>2015</v>
      </c>
    </row>
    <row r="64" spans="1:24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1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G48:G50"/>
    <mergeCell ref="B23:H23"/>
    <mergeCell ref="C26:C30"/>
    <mergeCell ref="B33:H33"/>
    <mergeCell ref="B37:H37"/>
    <mergeCell ref="G38:G40"/>
    <mergeCell ref="B41:H41"/>
    <mergeCell ref="B43:H43"/>
    <mergeCell ref="G44:G46"/>
    <mergeCell ref="B47:H47"/>
  </mergeCells>
  <pageMargins left="0.70866141732283472" right="0.70866141732283472" top="0.74803149606299213" bottom="0.74803149606299213" header="0.31496062992125984" footer="0.31496062992125984"/>
  <pageSetup scale="8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  <pageSetUpPr fitToPage="1"/>
  </sheetPr>
  <dimension ref="A1:S57"/>
  <sheetViews>
    <sheetView workbookViewId="0">
      <selection activeCell="D29" sqref="D29"/>
    </sheetView>
  </sheetViews>
  <sheetFormatPr defaultColWidth="9.1328125" defaultRowHeight="13.5" x14ac:dyDescent="0.35"/>
  <cols>
    <col min="1" max="1" width="5.73046875" style="5" customWidth="1"/>
    <col min="2" max="2" width="27.59765625" style="5" customWidth="1"/>
    <col min="3" max="3" width="11.73046875" style="84" customWidth="1"/>
    <col min="4" max="4" width="12.73046875" style="47" customWidth="1"/>
    <col min="5" max="5" width="14.86328125" style="5" customWidth="1"/>
    <col min="6" max="6" width="14.73046875" style="5" customWidth="1"/>
    <col min="7" max="7" width="10.265625" style="11" customWidth="1"/>
    <col min="8" max="8" width="9.1328125" style="82" customWidth="1"/>
    <col min="9" max="9" width="9.1328125" style="5" customWidth="1"/>
    <col min="10" max="10" width="14.265625" style="5" customWidth="1"/>
    <col min="11" max="11" width="9.59765625" style="5" customWidth="1"/>
    <col min="12" max="12" width="13.265625" style="5" customWidth="1"/>
    <col min="13" max="13" width="10.73046875" style="5" customWidth="1"/>
    <col min="14" max="15" width="11.265625" style="5" customWidth="1"/>
    <col min="16" max="16" width="16.3984375" style="5" customWidth="1"/>
    <col min="17" max="17" width="12.86328125" style="5" customWidth="1"/>
    <col min="18" max="18" width="15" style="5" customWidth="1"/>
    <col min="19" max="19" width="11.73046875" style="5" customWidth="1"/>
    <col min="20" max="20" width="14.59765625" style="5" customWidth="1"/>
    <col min="21" max="16384" width="9.1328125" style="5"/>
  </cols>
  <sheetData>
    <row r="1" spans="1:19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9" ht="13.9" x14ac:dyDescent="0.4">
      <c r="A2" s="1970" t="s">
        <v>216</v>
      </c>
      <c r="B2" s="1971"/>
      <c r="C2" s="1971"/>
      <c r="D2" s="1971"/>
      <c r="E2" s="1971"/>
      <c r="F2" s="1971"/>
      <c r="G2" s="1971"/>
      <c r="H2" s="1972"/>
    </row>
    <row r="3" spans="1:19" ht="13.9" x14ac:dyDescent="0.4">
      <c r="A3" s="1977" t="s">
        <v>144</v>
      </c>
      <c r="B3" s="1982" t="s">
        <v>7</v>
      </c>
      <c r="C3" s="1973" t="s">
        <v>8</v>
      </c>
      <c r="D3" s="1974"/>
      <c r="E3" s="1970" t="s">
        <v>10</v>
      </c>
      <c r="F3" s="1972"/>
      <c r="G3" s="1975" t="s">
        <v>11</v>
      </c>
      <c r="H3" s="1976"/>
    </row>
    <row r="4" spans="1:19" s="35" customFormat="1" ht="33.75" customHeight="1" x14ac:dyDescent="0.45">
      <c r="A4" s="1978"/>
      <c r="B4" s="1983"/>
      <c r="C4" s="272" t="s">
        <v>9</v>
      </c>
      <c r="D4" s="204" t="str">
        <f>F4</f>
        <v>Upto 
7 th Mar -2020</v>
      </c>
      <c r="E4" s="204" t="s">
        <v>218</v>
      </c>
      <c r="F4" s="204" t="s">
        <v>217</v>
      </c>
      <c r="G4" s="1980" t="s">
        <v>12</v>
      </c>
      <c r="H4" s="1980" t="s">
        <v>13</v>
      </c>
    </row>
    <row r="5" spans="1:19" ht="16.5" customHeight="1" x14ac:dyDescent="0.4">
      <c r="A5" s="1979"/>
      <c r="B5" s="1984"/>
      <c r="C5" s="1970" t="s">
        <v>77</v>
      </c>
      <c r="D5" s="1972"/>
      <c r="E5" s="76" t="s">
        <v>66</v>
      </c>
      <c r="F5" s="76" t="s">
        <v>77</v>
      </c>
      <c r="G5" s="1981"/>
      <c r="H5" s="1981"/>
    </row>
    <row r="6" spans="1:19" ht="13.9" hidden="1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81">
        <v>7</v>
      </c>
      <c r="H6" s="81">
        <v>8</v>
      </c>
      <c r="S6" s="11"/>
    </row>
    <row r="7" spans="1:19" ht="13.9" x14ac:dyDescent="0.4">
      <c r="A7" s="76">
        <v>1</v>
      </c>
      <c r="B7" s="1985" t="s">
        <v>14</v>
      </c>
      <c r="C7" s="1986"/>
      <c r="D7" s="1986"/>
      <c r="E7" s="1986"/>
      <c r="F7" s="1986"/>
      <c r="G7" s="1986"/>
      <c r="H7" s="1987"/>
      <c r="S7" s="11"/>
    </row>
    <row r="8" spans="1:19" x14ac:dyDescent="0.35">
      <c r="A8" s="77">
        <v>1.1000000000000001</v>
      </c>
      <c r="B8" s="77" t="s">
        <v>16</v>
      </c>
      <c r="C8" s="85">
        <v>21.11</v>
      </c>
      <c r="D8" s="78">
        <f>'apr-19'!D8+'may-19'!D8+'jun-18'!D8+'july-19'!D8+'aug-18'!D8+'sept-18'!D8+'oct-18'!D8+'nov-19'!D8+'dec-18'!D8+'jan-20'!D8+'feb-19'!D8+'mar-18'!D8</f>
        <v>21.11</v>
      </c>
      <c r="E8" s="134">
        <f>'apr-19'!E8+'may-19'!E8+'jun-18'!E8+'july-19'!E8+'aug-18'!E8+'sept-18'!E8+'oct-18'!E8+'nov-19'!E8+'dec-18'!E8+'jan-20'!E8+'feb-19'!E8+'mar-18'!E8</f>
        <v>19.153750190999997</v>
      </c>
      <c r="F8" s="134">
        <f>'apr-19'!F8+'may-19'!F8+'jun-18'!F8+'july-19'!F8+'aug-18'!F8+'sept-18'!F8+'oct-18'!F8+'nov-19'!F8+'dec-18'!F8+'jan-20'!F8+'feb-19'!F8+'mar-18'!F8</f>
        <v>19.410979863000001</v>
      </c>
      <c r="G8" s="79">
        <f>(F8-D8)/D8*100</f>
        <v>-8.0484137233538515</v>
      </c>
      <c r="H8" s="79">
        <f>(F8-E8)/E8*100</f>
        <v>1.3429728874759592</v>
      </c>
      <c r="J8" s="12"/>
      <c r="K8" s="134">
        <f t="shared" ref="K8:M9" si="0">D8</f>
        <v>21.11</v>
      </c>
      <c r="L8" s="134">
        <f t="shared" si="0"/>
        <v>19.153750190999997</v>
      </c>
      <c r="M8" s="134">
        <f t="shared" si="0"/>
        <v>19.410979863000001</v>
      </c>
      <c r="S8" s="11"/>
    </row>
    <row r="9" spans="1:19" x14ac:dyDescent="0.35">
      <c r="A9" s="77">
        <v>1.2</v>
      </c>
      <c r="B9" s="77" t="s">
        <v>15</v>
      </c>
      <c r="C9" s="85">
        <v>911.92</v>
      </c>
      <c r="D9" s="78">
        <f>'apr-19'!D9+'may-19'!D9+'jun-18'!D9+'july-19'!D9+'aug-18'!D9+'sept-18'!D9+'oct-18'!D9+'nov-19'!D9+'dec-18'!D9+'jan-20'!D9+'feb-19'!D9+'mar-18'!D9</f>
        <v>911.92000000000007</v>
      </c>
      <c r="E9" s="134">
        <f>'apr-19'!E9+'may-19'!E9+'jun-18'!E9+'july-19'!E9+'aug-18'!E9+'sept-18'!E9+'oct-18'!E9+'nov-19'!E9+'dec-18'!E9+'jan-20'!E9+'feb-19'!E9+'mar-18'!E9</f>
        <v>840.53</v>
      </c>
      <c r="F9" s="134">
        <f>'apr-19'!F9+'may-19'!F9+'jun-18'!F9+'july-19'!F9+'aug-18'!F9+'sept-18'!F9+'oct-18'!F9+'nov-19'!F9+'dec-18'!F9+'jan-20'!F9+'feb-19'!F9+'mar-18'!F9</f>
        <v>853.72793429800004</v>
      </c>
      <c r="G9" s="79">
        <f>(F9-D9)/D9*100</f>
        <v>-6.3812687189665791</v>
      </c>
      <c r="H9" s="79">
        <f>(F9-E9)/E9*100</f>
        <v>1.570191938181869</v>
      </c>
      <c r="J9" s="12"/>
      <c r="K9" s="134">
        <f t="shared" si="0"/>
        <v>911.92000000000007</v>
      </c>
      <c r="L9" s="134">
        <f t="shared" si="0"/>
        <v>840.53</v>
      </c>
      <c r="M9" s="134">
        <f t="shared" si="0"/>
        <v>853.72793429800004</v>
      </c>
      <c r="S9" s="11"/>
    </row>
    <row r="10" spans="1:19" ht="13.9" x14ac:dyDescent="0.4">
      <c r="A10" s="76">
        <v>1.3</v>
      </c>
      <c r="B10" s="76" t="s">
        <v>17</v>
      </c>
      <c r="C10" s="136">
        <f>SUM(C8:C9)</f>
        <v>933.03</v>
      </c>
      <c r="D10" s="72">
        <f>SUM(D8:D9)</f>
        <v>933.03000000000009</v>
      </c>
      <c r="E10" s="136">
        <f>'apr-19'!E10+'may-19'!E10+'jun-18'!E10+'july-19'!E10+'aug-18'!E10+'sept-18'!E10+'oct-18'!E10+'nov-19'!E10+'dec-18'!E10+'jan-20'!E10+'feb-19'!E10+'mar-18'!E10</f>
        <v>859.68375019100006</v>
      </c>
      <c r="F10" s="136">
        <f>SUM(F8:F9)</f>
        <v>873.138914161</v>
      </c>
      <c r="G10" s="80">
        <f>(F10-D10)/D10*100</f>
        <v>-6.4189882253518196</v>
      </c>
      <c r="H10" s="80">
        <f>(F10-E10)/E10*100</f>
        <v>1.5651294987267754</v>
      </c>
      <c r="J10" s="12"/>
      <c r="K10" s="136">
        <f>SUM(K8:K9)</f>
        <v>933.03000000000009</v>
      </c>
      <c r="L10" s="136">
        <f>SUM(L8:L9)</f>
        <v>859.68375019099994</v>
      </c>
      <c r="M10" s="136">
        <f>SUM(M8:M9)</f>
        <v>873.138914161</v>
      </c>
      <c r="S10" s="11"/>
    </row>
    <row r="11" spans="1:19" ht="13.9" x14ac:dyDescent="0.4">
      <c r="A11" s="76">
        <v>2</v>
      </c>
      <c r="B11" s="1985" t="s">
        <v>18</v>
      </c>
      <c r="C11" s="1986"/>
      <c r="D11" s="1986"/>
      <c r="E11" s="1986"/>
      <c r="F11" s="1986"/>
      <c r="G11" s="1986"/>
      <c r="H11" s="1987"/>
      <c r="J11" s="12"/>
    </row>
    <row r="12" spans="1:19" x14ac:dyDescent="0.35">
      <c r="A12" s="77">
        <v>2.1</v>
      </c>
      <c r="B12" s="77" t="s">
        <v>19</v>
      </c>
      <c r="C12" s="1925">
        <v>215.49</v>
      </c>
      <c r="D12" s="78">
        <f>'apr-19'!D12+'may-19'!D12+'jun-18'!D12+'july-19'!D12+'aug-18'!D12+'sept-18'!D12+'oct-18'!D12+'nov-19'!D12+'dec-18'!D12+'jan-20'!D12+'feb-19'!D12+'mar-18'!D12</f>
        <v>215.49</v>
      </c>
      <c r="E12" s="134">
        <f>'apr-19'!E12+'may-19'!E12+'jun-18'!E12+'july-19'!E12+'aug-18'!E12+'sept-18'!E12+'oct-18'!E12+'nov-19'!E12+'dec-18'!E12+'jan-20'!E12+'feb-19'!E12+'mar-18'!E12</f>
        <v>198.15815990000002</v>
      </c>
      <c r="F12" s="134">
        <f>'apr-19'!F12+'may-19'!F12+'jun-18'!F12+'july-19'!F12+'aug-18'!F12+'sept-18'!F12+'oct-18'!F12+'nov-19'!F12+'dec-18'!F12+'jan-20'!F12+'feb-19'!F12+'mar-18'!F12</f>
        <v>194.9530833</v>
      </c>
      <c r="G12" s="79">
        <f>(F12-D12)/D12*100</f>
        <v>-9.5303339830154563</v>
      </c>
      <c r="H12" s="79">
        <f>(F12-E12)/E12*100</f>
        <v>-1.6174335700419533</v>
      </c>
      <c r="J12" s="12"/>
    </row>
    <row r="13" spans="1:19" ht="14.25" hidden="1" customHeight="1" x14ac:dyDescent="0.35">
      <c r="A13" s="77">
        <v>2.2000000000000002</v>
      </c>
      <c r="B13" s="77" t="s">
        <v>20</v>
      </c>
      <c r="C13" s="1927"/>
      <c r="D13" s="78">
        <f>'apr-19'!D13+'may-19'!D13+'jun-18'!D13+'july-19'!D13+'aug-18'!D13+'sept-18'!D13+'oct-18'!D13+'nov-19'!D13+'dec-18'!D13+'jan-20'!D13+'feb-19'!D13+'mar-18'!D13</f>
        <v>0</v>
      </c>
      <c r="E13" s="134">
        <f>'apr-19'!E13+'may-19'!E13+'jun-18'!E13+'july-19'!E13+'aug-18'!E13+'sept-18'!E13+'oct-18'!E13+'nov-19'!E13+'dec-18'!E13+'jan-20'!E13+'feb-19'!E13+'mar-18'!E13</f>
        <v>0</v>
      </c>
      <c r="F13" s="134">
        <f>'apr-19'!F13+'may-19'!F13+'jun-18'!F13+'july-19'!F13+'aug-18'!F13+'sept-18'!F13+'oct-18'!F13+'nov-19'!F13+'dec-18'!F13+'jan-20'!F13+'feb-19'!F13+'mar-18'!F13</f>
        <v>0</v>
      </c>
      <c r="G13" s="79" t="e">
        <f>(F13-D13)/D13*100</f>
        <v>#DIV/0!</v>
      </c>
      <c r="H13" s="79" t="e">
        <f>(F13-E13)/E13*100</f>
        <v>#DIV/0!</v>
      </c>
      <c r="J13" s="12"/>
    </row>
    <row r="14" spans="1:19" ht="13.9" x14ac:dyDescent="0.4">
      <c r="A14" s="76">
        <v>2.2999999999999998</v>
      </c>
      <c r="B14" s="76" t="s">
        <v>21</v>
      </c>
      <c r="C14" s="29">
        <f>SUM(C12)</f>
        <v>215.49</v>
      </c>
      <c r="D14" s="72">
        <f>SUM(D12)</f>
        <v>215.49</v>
      </c>
      <c r="E14" s="136">
        <f>SUM(E12)</f>
        <v>198.15815990000002</v>
      </c>
      <c r="F14" s="136">
        <f>SUM(F12)</f>
        <v>194.9530833</v>
      </c>
      <c r="G14" s="80">
        <f>(F14-D14)/D14*100</f>
        <v>-9.5303339830154563</v>
      </c>
      <c r="H14" s="80">
        <f>(F14-E14)/E14*100</f>
        <v>-1.6174335700419533</v>
      </c>
      <c r="J14" s="12"/>
    </row>
    <row r="15" spans="1:19" ht="13.9" x14ac:dyDescent="0.4">
      <c r="A15" s="76">
        <v>3</v>
      </c>
      <c r="B15" s="1985" t="s">
        <v>22</v>
      </c>
      <c r="C15" s="1986"/>
      <c r="D15" s="1986"/>
      <c r="E15" s="1986"/>
      <c r="F15" s="1986"/>
      <c r="G15" s="1986"/>
      <c r="H15" s="1987"/>
      <c r="J15" s="12"/>
    </row>
    <row r="16" spans="1:19" ht="13.9" x14ac:dyDescent="0.4">
      <c r="A16" s="76">
        <v>3.1</v>
      </c>
      <c r="B16" s="76" t="s">
        <v>2</v>
      </c>
      <c r="C16" s="29">
        <v>17.920000000000002</v>
      </c>
      <c r="D16" s="72">
        <v>17.920000000000002</v>
      </c>
      <c r="E16" s="136">
        <v>16.29</v>
      </c>
      <c r="F16" s="136">
        <v>19.43</v>
      </c>
      <c r="G16" s="80">
        <f>(F16-D16)/D16*100</f>
        <v>8.426339285714274</v>
      </c>
      <c r="H16" s="80">
        <f t="shared" ref="H16:H21" si="1">(F16-E16)/E16*100</f>
        <v>19.275629220380605</v>
      </c>
      <c r="J16" s="12"/>
    </row>
    <row r="17" spans="1:16" ht="15" customHeight="1" x14ac:dyDescent="0.35">
      <c r="A17" s="77">
        <v>3.2</v>
      </c>
      <c r="B17" s="77" t="s">
        <v>23</v>
      </c>
      <c r="C17" s="85">
        <v>26.9</v>
      </c>
      <c r="D17" s="78">
        <f>'apr-19'!D17+'may-19'!D17+'jun-18'!D17+'july-19'!D17+'aug-18'!D17+'sept-18'!D17+'oct-18'!D17+'nov-19'!D17+'dec-18'!D17+'jan-20'!D17+'feb-19'!D17+'mar-18'!D17</f>
        <v>26.890000000000004</v>
      </c>
      <c r="E17" s="134">
        <v>23.69</v>
      </c>
      <c r="F17" s="134">
        <f>'apr-19'!F17+'may-19'!F17+'jun-18'!F17+'july-19'!F17+'aug-18'!F17+'sept-18'!F17+'oct-18'!F17+'nov-19'!F17+'dec-18'!F17+'jan-20'!F17+'feb-19'!F17+'mar-18'!F17</f>
        <v>23.464482900000004</v>
      </c>
      <c r="G17" s="79">
        <f>(F17-D17)/D17*100</f>
        <v>-12.739000000000001</v>
      </c>
      <c r="H17" s="79">
        <f>(F17-E17)/E17*100</f>
        <v>-0.95195061207259424</v>
      </c>
      <c r="I17" s="12"/>
      <c r="J17" s="12"/>
      <c r="K17" s="12"/>
      <c r="L17" s="12">
        <f>859.68-E10</f>
        <v>-3.7501910001083161E-3</v>
      </c>
    </row>
    <row r="18" spans="1:16" ht="14.25" customHeight="1" x14ac:dyDescent="0.35">
      <c r="A18" s="77">
        <v>3.3</v>
      </c>
      <c r="B18" s="77" t="s">
        <v>1</v>
      </c>
      <c r="C18" s="85">
        <v>4.4000000000000004</v>
      </c>
      <c r="D18" s="78">
        <f>'apr-19'!D18+'may-19'!D18+'jun-18'!D18+'july-19'!D18+'aug-18'!D18+'sept-18'!D18+'oct-18'!D18+'nov-19'!D18+'dec-18'!D18+'jan-20'!D18+'feb-19'!D18+'mar-18'!D18</f>
        <v>4.4000000000000004</v>
      </c>
      <c r="E18" s="134">
        <v>1.95</v>
      </c>
      <c r="F18" s="134">
        <f>'apr-19'!F18+'may-19'!F18+'jun-18'!F18+'july-19'!F18+'aug-18'!F18+'sept-18'!F18+'oct-18'!F18+'nov-19'!F18+'dec-18'!F18+'jan-20'!F18+'feb-19'!F18+'mar-18'!F18</f>
        <v>1.4655491</v>
      </c>
      <c r="G18" s="79">
        <f>(F18-D18)/D18*100</f>
        <v>-66.692065909090914</v>
      </c>
      <c r="H18" s="79">
        <f t="shared" si="1"/>
        <v>-24.843635897435892</v>
      </c>
      <c r="K18" s="41"/>
    </row>
    <row r="19" spans="1:16" x14ac:dyDescent="0.35">
      <c r="A19" s="77">
        <v>3.4</v>
      </c>
      <c r="B19" s="77" t="s">
        <v>24</v>
      </c>
      <c r="C19" s="275"/>
      <c r="D19" s="184"/>
      <c r="E19" s="134">
        <v>3.56</v>
      </c>
      <c r="F19" s="134">
        <v>1.9</v>
      </c>
      <c r="G19" s="185"/>
      <c r="H19" s="79">
        <f t="shared" si="1"/>
        <v>-46.629213483146067</v>
      </c>
      <c r="J19" s="12"/>
      <c r="K19" s="12"/>
    </row>
    <row r="20" spans="1:16" ht="30.75" customHeight="1" x14ac:dyDescent="0.35">
      <c r="A20" s="77">
        <v>3.5</v>
      </c>
      <c r="B20" s="71" t="s">
        <v>25</v>
      </c>
      <c r="C20" s="275"/>
      <c r="D20" s="184"/>
      <c r="E20" s="264">
        <v>6.96</v>
      </c>
      <c r="F20" s="264">
        <f>'apr-19'!F20+'may-19'!F20+'jun-18'!F20+'july-19'!F20+'aug-18'!F20+'sept-18'!F20+'oct-18'!F20+'nov-19'!F20+'dec-18'!F20+'jan-20'!F20+'feb-19'!F20+'mar-18'!F20</f>
        <v>2.5001634999999998</v>
      </c>
      <c r="G20" s="185"/>
      <c r="H20" s="79">
        <f t="shared" si="1"/>
        <v>-64.078110632183908</v>
      </c>
      <c r="K20" s="41"/>
      <c r="O20" s="5">
        <f>8414129-901447</f>
        <v>7512682</v>
      </c>
      <c r="P20" s="5">
        <v>901447</v>
      </c>
    </row>
    <row r="21" spans="1:16" ht="35.25" customHeight="1" x14ac:dyDescent="0.35">
      <c r="A21" s="77">
        <v>3.6</v>
      </c>
      <c r="B21" s="71" t="s">
        <v>26</v>
      </c>
      <c r="C21" s="276"/>
      <c r="D21" s="178"/>
      <c r="E21" s="264">
        <f>'apr-19'!E21+'may-19'!E21+'jun-18'!E21+'july-19'!E21+'aug-18'!E21+'sept-18'!E21+'oct-18'!E21+'nov-19'!E21+'dec-18'!E21+'jan-20'!E21+'feb-19'!E21+'mar-18'!E21</f>
        <v>28.048740900000002</v>
      </c>
      <c r="F21" s="264">
        <f>'apr-19'!F21+'may-19'!F21+'jun-18'!F21+'july-19'!F21+'aug-18'!F21+'sept-18'!F21+'oct-18'!F21+'nov-19'!F21+'dec-18'!F21+'jan-20'!F21+'feb-19'!F21+'mar-18'!F21</f>
        <v>35.023951400000009</v>
      </c>
      <c r="G21" s="186"/>
      <c r="H21" s="79">
        <f t="shared" si="1"/>
        <v>24.868176881337323</v>
      </c>
      <c r="K21" s="41"/>
      <c r="N21" s="84"/>
      <c r="O21" s="5">
        <f>O20+P20</f>
        <v>8414129</v>
      </c>
    </row>
    <row r="22" spans="1:16" ht="34.5" customHeight="1" x14ac:dyDescent="0.4">
      <c r="A22" s="76">
        <v>3.7</v>
      </c>
      <c r="B22" s="266" t="s">
        <v>58</v>
      </c>
      <c r="C22" s="272">
        <v>118.09</v>
      </c>
      <c r="D22" s="265">
        <v>118.09</v>
      </c>
      <c r="E22" s="264">
        <f>'apr-19'!E22+'may-19'!E22+'jun-18'!E22+'july-19'!E22+'aug-18'!E22+'sept-18'!E22+'oct-18'!E22+'nov-19'!E22+'dec-18'!E22+'jan-20'!E22+'feb-19'!E22+'mar-18'!E22</f>
        <v>76.230454600000002</v>
      </c>
      <c r="F22" s="265">
        <f>'apr-19'!F22+'may-19'!F22+'jun-18'!F22+'july-19'!F22+'aug-18'!F22+'sept-18'!F22+'oct-18'!F22+'nov-19'!F22+'dec-18'!F22+'jan-20'!F22+'feb-19'!F22+'mar-18'!F22</f>
        <v>85.985007100000004</v>
      </c>
      <c r="G22" s="282">
        <f>(F22-D22)/D22*100</f>
        <v>-27.186885341688544</v>
      </c>
      <c r="H22" s="282">
        <f>(F22-E22)/E22*100</f>
        <v>12.796135811054185</v>
      </c>
      <c r="I22" s="12"/>
      <c r="J22" s="12"/>
      <c r="K22" s="41"/>
    </row>
    <row r="23" spans="1:16" ht="15.75" customHeight="1" x14ac:dyDescent="0.4">
      <c r="A23" s="76">
        <v>4</v>
      </c>
      <c r="B23" s="1985" t="s">
        <v>42</v>
      </c>
      <c r="C23" s="1986"/>
      <c r="D23" s="1986"/>
      <c r="E23" s="1986"/>
      <c r="F23" s="1986"/>
      <c r="G23" s="1986"/>
      <c r="H23" s="1987"/>
    </row>
    <row r="24" spans="1:16" ht="15.75" customHeight="1" x14ac:dyDescent="0.35">
      <c r="A24" s="77">
        <v>4.0999999999999996</v>
      </c>
      <c r="B24" s="77" t="s">
        <v>27</v>
      </c>
      <c r="C24" s="85">
        <v>10</v>
      </c>
      <c r="D24" s="134">
        <f>'apr-19'!D24+'may-19'!D24+'jun-18'!D24+'july-19'!D24+'aug-18'!D24+'sept-18'!D24+'oct-18'!D24+'nov-19'!D24+'dec-18'!D24+'jan-20'!D24+'feb-19'!D24+'mar-18'!D24</f>
        <v>10</v>
      </c>
      <c r="E24" s="134">
        <f>'apr-19'!E24+'may-19'!E24+'jun-18'!E24+'july-19'!E24+'aug-18'!E24+'sept-18'!E24+'oct-18'!E24+'nov-19'!E24+'dec-18'!E24+'jan-20'!E24+'feb-19'!E24+'mar-18'!E24</f>
        <v>7.5589155999999988</v>
      </c>
      <c r="F24" s="134">
        <f>'apr-19'!F24+'may-19'!F24+'jun-18'!F24+'july-19'!F24+'aug-18'!F24+'sept-18'!F24+'oct-18'!F24+'nov-19'!F24+'dec-18'!F24+'jan-20'!F24+'feb-19'!F24+'mar-18'!F24</f>
        <v>5.5693092999999996</v>
      </c>
      <c r="G24" s="79">
        <f>(F24-D24)/D24*100</f>
        <v>-44.30690700000001</v>
      </c>
      <c r="H24" s="79">
        <f>(F24-E24)/E24*100</f>
        <v>-26.321319158531146</v>
      </c>
      <c r="J24" s="12"/>
      <c r="K24" s="11"/>
    </row>
    <row r="25" spans="1:16" x14ac:dyDescent="0.35">
      <c r="A25" s="77">
        <v>4.2</v>
      </c>
      <c r="B25" s="77" t="s">
        <v>28</v>
      </c>
      <c r="C25" s="134">
        <v>3.7471000000000001</v>
      </c>
      <c r="D25" s="134">
        <f>'apr-19'!D25+'may-19'!D25+'jun-18'!D25+'july-19'!D25+'aug-18'!D25+'sept-18'!D25+'oct-18'!D25+'nov-19'!D25+'dec-18'!D25+'jan-20'!D25+'feb-19'!D25+'mar-18'!D25</f>
        <v>3.7471000000000001</v>
      </c>
      <c r="E25" s="134">
        <f>'apr-19'!E25+'may-19'!E25+'jun-18'!E25+'july-19'!E25+'aug-18'!E25+'sept-18'!E25+'oct-18'!E25+'nov-19'!E25+'dec-18'!E25+'jan-20'!E25+'feb-19'!E25+'mar-18'!E25</f>
        <v>3.5578601000000001</v>
      </c>
      <c r="F25" s="134">
        <f>'apr-19'!F25+'may-19'!F25+'jun-18'!F25+'july-19'!F25+'aug-18'!F25+'sept-18'!F25+'oct-18'!F25+'nov-19'!F25+'dec-18'!F25+'jan-20'!F25+'feb-19'!F25+'mar-18'!F25</f>
        <v>2.1093595999999999</v>
      </c>
      <c r="G25" s="79">
        <f>(F25-D25)/D25*100</f>
        <v>-43.706877318459611</v>
      </c>
      <c r="H25" s="79">
        <f t="shared" ref="H25:H31" si="2">(F25-E25)/E25*100</f>
        <v>-40.712688506217546</v>
      </c>
      <c r="I25" s="13"/>
      <c r="J25" s="12">
        <f>8414129/10000000</f>
        <v>0.84141290000000002</v>
      </c>
      <c r="K25" s="12">
        <f>F25-J25</f>
        <v>1.2679467</v>
      </c>
      <c r="N25" s="5">
        <v>20126158</v>
      </c>
      <c r="O25" s="5">
        <f>4753004+3292496+3128955+1513560+1790345</f>
        <v>14478360</v>
      </c>
    </row>
    <row r="26" spans="1:16" x14ac:dyDescent="0.35">
      <c r="A26" s="77">
        <v>4.3</v>
      </c>
      <c r="B26" s="77" t="s">
        <v>4</v>
      </c>
      <c r="C26" s="277"/>
      <c r="D26" s="134">
        <f>'apr-19'!D26+'may-19'!D26+'jun-18'!D26+'july-19'!D26+'aug-18'!D26+'sept-18'!D26+'oct-18'!D26+'nov-19'!D26+'dec-18'!D26+'jan-20'!D26+'feb-19'!D26+'mar-18'!D26</f>
        <v>0</v>
      </c>
      <c r="E26" s="134">
        <f>'apr-19'!E26+'may-19'!E26+'jun-18'!E26+'july-19'!E26+'aug-18'!E26+'sept-18'!E26+'oct-18'!E26+'nov-19'!E26+'dec-18'!E26+'jan-20'!E26+'feb-19'!E26+'mar-18'!E26</f>
        <v>0.40270800000000007</v>
      </c>
      <c r="F26" s="134">
        <f>'apr-19'!F26+'may-19'!F26+'jun-18'!F26+'july-19'!F26+'aug-18'!F26+'sept-18'!F26+'oct-18'!F26+'nov-19'!F26+'dec-18'!F26+'jan-20'!F26+'feb-19'!F26+'mar-18'!F26</f>
        <v>3.0336500000000002E-2</v>
      </c>
      <c r="G26" s="278"/>
      <c r="H26" s="79">
        <f>(F26-E26)/E26*100</f>
        <v>-92.466874261251334</v>
      </c>
      <c r="I26" s="12"/>
      <c r="J26" s="12"/>
      <c r="N26" s="5">
        <v>1775443</v>
      </c>
      <c r="O26" s="5">
        <v>998040</v>
      </c>
    </row>
    <row r="27" spans="1:16" hidden="1" x14ac:dyDescent="0.35">
      <c r="A27" s="77">
        <v>4.4000000000000004</v>
      </c>
      <c r="B27" s="77" t="s">
        <v>29</v>
      </c>
      <c r="C27" s="275"/>
      <c r="D27" s="134">
        <f>'apr-19'!D27+'may-19'!D27+'jun-18'!D27+'july-19'!D27+'aug-18'!D27+'sept-18'!D27+'oct-18'!D27+'nov-19'!D27+'dec-18'!D27+'jan-20'!D27+'feb-19'!D27+'mar-18'!D27</f>
        <v>0</v>
      </c>
      <c r="E27" s="134">
        <f>'apr-19'!E27+'may-19'!E27+'jun-18'!E27+'july-19'!E27+'aug-18'!E27+'sept-18'!E27+'oct-18'!E27+'nov-19'!E27+'dec-18'!E27+'jan-20'!E27+'feb-19'!E27+'mar-18'!E27</f>
        <v>1.3372E-3</v>
      </c>
      <c r="F27" s="134">
        <f>'apr-19'!F27+'may-19'!F27+'jun-18'!F27+'july-19'!F27+'aug-18'!F27+'sept-18'!F27+'oct-18'!F27+'nov-19'!F27+'dec-18'!F27+'jan-20'!F27+'feb-19'!F27+'mar-18'!F27</f>
        <v>0</v>
      </c>
      <c r="G27" s="279"/>
      <c r="H27" s="79">
        <f t="shared" si="2"/>
        <v>-100</v>
      </c>
      <c r="J27" s="12"/>
    </row>
    <row r="28" spans="1:16" x14ac:dyDescent="0.35">
      <c r="A28" s="77">
        <v>4.5</v>
      </c>
      <c r="B28" s="77" t="s">
        <v>64</v>
      </c>
      <c r="C28" s="275"/>
      <c r="D28" s="134">
        <f>'apr-19'!D28+'may-19'!D28+'jun-18'!D28+'july-19'!D28+'aug-18'!D28+'sept-18'!D28+'oct-18'!D28+'nov-19'!D28+'dec-18'!D28+'jan-20'!D28+'feb-19'!D28+'mar-18'!D28</f>
        <v>0</v>
      </c>
      <c r="E28" s="134">
        <f>'apr-19'!E28+'may-19'!E28+'jun-18'!E28+'july-19'!E28+'aug-18'!E28+'sept-18'!E28+'oct-18'!E28+'nov-19'!E28+'dec-18'!E28+'jan-20'!E28+'feb-19'!E28+'mar-18'!E28</f>
        <v>8.5030999999999995E-3</v>
      </c>
      <c r="F28" s="134">
        <f>'apr-19'!F28+'may-19'!F28+'jun-18'!F28+'july-19'!F28+'aug-18'!F28+'sept-18'!F28+'oct-18'!F28+'nov-19'!F28+'dec-18'!F28+'jan-20'!F28+'feb-19'!F28+'mar-18'!F28</f>
        <v>0</v>
      </c>
      <c r="G28" s="279"/>
      <c r="H28" s="79">
        <f t="shared" si="2"/>
        <v>-100</v>
      </c>
      <c r="I28" s="13"/>
      <c r="J28" s="13"/>
    </row>
    <row r="29" spans="1:16" ht="13.9" x14ac:dyDescent="0.4">
      <c r="A29" s="77">
        <v>4.7</v>
      </c>
      <c r="B29" s="77" t="s">
        <v>3</v>
      </c>
      <c r="C29" s="274">
        <v>1.63</v>
      </c>
      <c r="D29" s="134">
        <f>'apr-19'!D29+'may-19'!D29+'jun-18'!D29+'july-19'!D29+'aug-18'!D29+'sept-18'!D29+'oct-18'!D29+'nov-19'!D29+'dec-18'!D29+'jan-20'!D29+'feb-19'!D29+'mar-18'!D29</f>
        <v>1.6299999999999997</v>
      </c>
      <c r="E29" s="134">
        <f>'apr-19'!E29+'may-19'!E29+'jun-18'!E29+'july-19'!E29+'aug-18'!E29+'sept-18'!E29+'oct-18'!E29+'nov-19'!E29+'dec-18'!E29+'jan-20'!E29+'feb-19'!E29+'mar-18'!E29</f>
        <v>1.1199699000000001</v>
      </c>
      <c r="F29" s="134">
        <f>'apr-19'!F29+'may-19'!F29+'jun-18'!F29+'july-19'!F29+'aug-18'!F29+'sept-18'!F29+'oct-18'!F29+'nov-19'!F29+'dec-18'!F29+'jan-20'!F29+'feb-19'!F29+'mar-18'!F29</f>
        <v>1.4122899</v>
      </c>
      <c r="G29" s="79">
        <f>(F29-D29)/D29*100</f>
        <v>-13.35644785276072</v>
      </c>
      <c r="H29" s="80">
        <f>(F29-E29)/E29*100</f>
        <v>26.100701456351633</v>
      </c>
      <c r="I29" s="12"/>
      <c r="J29" s="12"/>
      <c r="K29" s="12"/>
    </row>
    <row r="30" spans="1:16" ht="14.25" customHeight="1" x14ac:dyDescent="0.35">
      <c r="A30" s="77">
        <v>4.8</v>
      </c>
      <c r="B30" s="77" t="s">
        <v>31</v>
      </c>
      <c r="C30" s="276"/>
      <c r="D30" s="134">
        <f>'apr-19'!D30+'may-19'!D30+'jun-18'!D30+'july-19'!D30+'aug-18'!D30+'sept-18'!D30+'oct-18'!D30+'nov-19'!D30+'dec-18'!D30+'jan-20'!D30+'feb-19'!D30+'mar-18'!D30</f>
        <v>0</v>
      </c>
      <c r="E30" s="134">
        <f>'apr-19'!E30+'may-19'!E30+'jun-18'!E30+'july-19'!E30+'aug-18'!E30+'sept-18'!E30+'oct-18'!E30+'nov-19'!E30+'dec-18'!E30+'jan-20'!E30+'feb-19'!E30+'mar-18'!E30</f>
        <v>0</v>
      </c>
      <c r="F30" s="134">
        <f>'apr-19'!F30+'may-19'!F30+'jun-18'!F30+'july-19'!F30+'aug-18'!F30+'sept-18'!F30+'oct-18'!F30+'nov-19'!F30+'dec-18'!F30+'jan-20'!F30+'feb-19'!F30+'mar-18'!F30</f>
        <v>0</v>
      </c>
      <c r="G30" s="79" t="e">
        <f>(F30-D30)/D30*100</f>
        <v>#DIV/0!</v>
      </c>
      <c r="H30" s="79" t="e">
        <f t="shared" si="2"/>
        <v>#DIV/0!</v>
      </c>
      <c r="J30" s="12">
        <f>9.09+0.59</f>
        <v>9.68</v>
      </c>
      <c r="N30" s="5">
        <v>216427438</v>
      </c>
      <c r="O30" s="5">
        <v>219876723</v>
      </c>
    </row>
    <row r="31" spans="1:16" ht="13.9" x14ac:dyDescent="0.4">
      <c r="A31" s="76">
        <v>4.9000000000000004</v>
      </c>
      <c r="B31" s="76" t="s">
        <v>32</v>
      </c>
      <c r="C31" s="136">
        <f>C24+C25+C26+C29</f>
        <v>15.377099999999999</v>
      </c>
      <c r="D31" s="265">
        <f>SUM(D24:D29)</f>
        <v>15.377099999999999</v>
      </c>
      <c r="E31" s="265">
        <f>SUM(E24:E30)</f>
        <v>12.6492939</v>
      </c>
      <c r="F31" s="265">
        <f>SUM(F24:F30)</f>
        <v>9.1212952999999999</v>
      </c>
      <c r="G31" s="80">
        <f>(F31-D31)/D31*100</f>
        <v>-40.682604002055001</v>
      </c>
      <c r="H31" s="80">
        <f t="shared" si="2"/>
        <v>-27.890873813913043</v>
      </c>
      <c r="J31" s="12"/>
      <c r="M31" s="5">
        <f>1.12-1.04</f>
        <v>8.0000000000000071E-2</v>
      </c>
      <c r="N31" s="5">
        <v>17468194</v>
      </c>
      <c r="O31" s="5">
        <v>13694330</v>
      </c>
    </row>
    <row r="32" spans="1:16" ht="13.9" x14ac:dyDescent="0.4">
      <c r="A32" s="76">
        <v>5</v>
      </c>
      <c r="B32" s="83" t="s">
        <v>33</v>
      </c>
      <c r="C32" s="136">
        <f>C10+C14+C22+C31</f>
        <v>1281.9870999999998</v>
      </c>
      <c r="D32" s="80">
        <f>D10+D14+D22+D31</f>
        <v>1281.9870999999998</v>
      </c>
      <c r="E32" s="136">
        <f>E10+E14+E22+E31</f>
        <v>1146.7216585910001</v>
      </c>
      <c r="F32" s="136">
        <f>F10+F14+F22+F31</f>
        <v>1163.1982998610001</v>
      </c>
      <c r="G32" s="80">
        <f>(F32-D32)/D32*100</f>
        <v>-9.2659902848476179</v>
      </c>
      <c r="H32" s="80">
        <f>(F32-E32)/E32*100</f>
        <v>1.4368474813884</v>
      </c>
      <c r="J32" s="12"/>
    </row>
    <row r="33" spans="1:18" ht="14.25" x14ac:dyDescent="0.45">
      <c r="A33" s="76">
        <v>6</v>
      </c>
      <c r="B33" s="1958" t="s">
        <v>198</v>
      </c>
      <c r="C33" s="1959"/>
      <c r="D33" s="1959"/>
      <c r="E33" s="1959"/>
      <c r="F33" s="1959"/>
      <c r="G33" s="1959"/>
      <c r="H33" s="1960"/>
    </row>
    <row r="34" spans="1:18" ht="13.9" x14ac:dyDescent="0.4">
      <c r="A34" s="77">
        <v>6.1</v>
      </c>
      <c r="B34" s="77" t="s">
        <v>16</v>
      </c>
      <c r="C34" s="85">
        <v>351</v>
      </c>
      <c r="D34" s="78">
        <f>'apr-19'!D34+'may-19'!D34+'jun-18'!D34+'july-19'!D34+'aug-18'!D34+'sept-18'!D34+'oct-18'!D34+'nov-19'!D34+'dec-18'!D34+'jan-20'!D34+'feb-19'!D34+'mar-18'!D34</f>
        <v>351</v>
      </c>
      <c r="E34" s="134">
        <f>'apr-19'!E34+'may-19'!E34+'jun-18'!E34+'july-19'!E34+'aug-18'!E34+'sept-18'!E34+'oct-18'!E34+'nov-19'!E34+'dec-18'!E34+'jan-20'!E34+'feb-19'!E34+'mar-18'!E34</f>
        <v>341.50000000000006</v>
      </c>
      <c r="F34" s="134">
        <f>'apr-19'!F34+'may-19'!F34+'jun-18'!F34+'july-19'!F34+'aug-18'!F34+'sept-18'!F34+'oct-18'!F34+'nov-19'!F34+'dec-18'!F34+'jan-20'!F34+'feb-19'!F34+'mar-18'!F34</f>
        <v>355.16667999999999</v>
      </c>
      <c r="G34" s="79">
        <f>(F34-D34)/D34*100</f>
        <v>1.1870883190883148</v>
      </c>
      <c r="H34" s="80">
        <f>(F34-E34)/E34*100</f>
        <v>4.001956076134678</v>
      </c>
      <c r="J34" s="12"/>
      <c r="K34" s="73">
        <f>(D34)/10</f>
        <v>35.1</v>
      </c>
      <c r="L34" s="73">
        <f t="shared" ref="L34:M36" si="3">(E34)/10</f>
        <v>34.150000000000006</v>
      </c>
      <c r="M34" s="73">
        <f t="shared" si="3"/>
        <v>35.516667999999996</v>
      </c>
      <c r="N34" s="5">
        <f>N25+N30</f>
        <v>236553596</v>
      </c>
      <c r="O34" s="5">
        <f>O25+O30</f>
        <v>234355083</v>
      </c>
    </row>
    <row r="35" spans="1:18" ht="27" x14ac:dyDescent="0.35">
      <c r="A35" s="77">
        <v>6.2</v>
      </c>
      <c r="B35" s="77" t="s">
        <v>15</v>
      </c>
      <c r="C35" s="85">
        <v>443.1</v>
      </c>
      <c r="D35" s="78">
        <f>'apr-19'!D35+'may-19'!D35+'jun-18'!D35+'july-19'!D35+'aug-18'!D35+'sept-18'!D35+'oct-18'!D35+'nov-19'!D35+'dec-18'!D35+'jan-20'!D35+'feb-19'!D35+'mar-18'!D35</f>
        <v>443</v>
      </c>
      <c r="E35" s="134">
        <f>'apr-19'!E35+'may-19'!E35+'jun-18'!E35+'july-19'!E35+'aug-18'!E35+'sept-18'!E35+'oct-18'!E35+'nov-19'!E35+'dec-18'!E35+'jan-20'!E35+'feb-19'!E35+'mar-18'!E35</f>
        <v>440.38</v>
      </c>
      <c r="F35" s="134">
        <f>'apr-19'!F35+'may-19'!F35+'jun-18'!F35+'july-19'!F35+'aug-18'!F35+'sept-18'!F35+'oct-18'!F35+'nov-19'!F35+'dec-18'!F35+'jan-20'!F35+'feb-19'!F35+'mar-18'!F35</f>
        <v>417.49523000000005</v>
      </c>
      <c r="G35" s="79">
        <f>(F35-D35)/D35*100</f>
        <v>-5.7572844243792209</v>
      </c>
      <c r="H35" s="79">
        <f>(F35-E35)/E35*100</f>
        <v>-5.1965961215313925</v>
      </c>
      <c r="J35" s="12"/>
      <c r="K35" s="73">
        <f>(D35)/10</f>
        <v>44.3</v>
      </c>
      <c r="L35" s="73">
        <f t="shared" si="3"/>
        <v>44.037999999999997</v>
      </c>
      <c r="M35" s="73">
        <f t="shared" si="3"/>
        <v>41.749523000000003</v>
      </c>
      <c r="N35" s="5">
        <f>N26+N31</f>
        <v>19243637</v>
      </c>
      <c r="O35" s="5">
        <f>O26+O31</f>
        <v>14692370</v>
      </c>
      <c r="Q35" s="6" t="s">
        <v>536</v>
      </c>
      <c r="R35" s="785" t="s">
        <v>537</v>
      </c>
    </row>
    <row r="36" spans="1:18" ht="13.9" x14ac:dyDescent="0.4">
      <c r="A36" s="76">
        <v>6.3</v>
      </c>
      <c r="B36" s="76" t="s">
        <v>34</v>
      </c>
      <c r="C36" s="29">
        <f>SUM(C34:C35)</f>
        <v>794.1</v>
      </c>
      <c r="D36" s="72">
        <f>'apr-19'!D36+'may-19'!D36+'jun-18'!D36+'july-19'!D36+'aug-18'!D36+'sept-18'!D36+'oct-18'!D36+'nov-19'!D36+'dec-18'!D36+'jan-20'!D36+'feb-19'!D36+'mar-18'!D36</f>
        <v>794</v>
      </c>
      <c r="E36" s="136">
        <f>SUM(E34:E35)</f>
        <v>781.88000000000011</v>
      </c>
      <c r="F36" s="136">
        <f>SUM(F34:F35)</f>
        <v>772.66191000000003</v>
      </c>
      <c r="G36" s="80">
        <f>(F36-D36)/D36*100</f>
        <v>-2.6874168765743027</v>
      </c>
      <c r="H36" s="80">
        <f>(F36-E36)/E36*100</f>
        <v>-1.1789648027830451</v>
      </c>
      <c r="J36" s="12"/>
      <c r="K36" s="73">
        <f>(D36)/10</f>
        <v>79.400000000000006</v>
      </c>
      <c r="L36" s="73">
        <f t="shared" si="3"/>
        <v>78.188000000000017</v>
      </c>
      <c r="M36" s="73">
        <f t="shared" si="3"/>
        <v>77.266191000000006</v>
      </c>
      <c r="Q36" s="6" t="s">
        <v>534</v>
      </c>
      <c r="R36" s="6">
        <v>351.84</v>
      </c>
    </row>
    <row r="37" spans="1:18" ht="14.25" x14ac:dyDescent="0.45">
      <c r="A37" s="76">
        <v>7</v>
      </c>
      <c r="B37" s="1964" t="s">
        <v>197</v>
      </c>
      <c r="C37" s="1965"/>
      <c r="D37" s="1965"/>
      <c r="E37" s="1965"/>
      <c r="F37" s="1965"/>
      <c r="G37" s="1965"/>
      <c r="H37" s="1966"/>
      <c r="Q37" s="6" t="s">
        <v>262</v>
      </c>
      <c r="R37" s="6">
        <v>358.35</v>
      </c>
    </row>
    <row r="38" spans="1:18" x14ac:dyDescent="0.35">
      <c r="A38" s="77">
        <v>7.1</v>
      </c>
      <c r="B38" s="77" t="s">
        <v>16</v>
      </c>
      <c r="C38" s="85"/>
      <c r="D38" s="77"/>
      <c r="E38" s="168">
        <f>'apr-19'!E38+'may-19'!E38+'jun-18'!E38+'july-19'!E38+'aug-18'!E38+'sept-18'!E38+'oct-18'!E38+'nov-19'!E38+'dec-18'!E38+'jan-20'!E38+'feb-19'!E38+'mar-18'!E38</f>
        <v>101.41832000000001</v>
      </c>
      <c r="F38" s="168">
        <f>'apr-19'!F38+'may-19'!F38+'jun-18'!F38+'july-19'!F38+'aug-18'!F38+'sept-18'!F38+'oct-18'!F38+'nov-19'!F38+'dec-18'!F38+'jan-20'!F38+'feb-19'!F38+'mar-18'!F38</f>
        <v>102.3</v>
      </c>
      <c r="G38" s="1967"/>
      <c r="H38" s="79">
        <f>(F38-E38)/E38*100</f>
        <v>0.86934983738637028</v>
      </c>
      <c r="Q38" s="6" t="s">
        <v>62</v>
      </c>
      <c r="R38" s="6">
        <v>340.41</v>
      </c>
    </row>
    <row r="39" spans="1:18" x14ac:dyDescent="0.35">
      <c r="A39" s="77">
        <v>7.2</v>
      </c>
      <c r="B39" s="77" t="s">
        <v>15</v>
      </c>
      <c r="C39" s="85"/>
      <c r="D39" s="77"/>
      <c r="E39" s="168">
        <f>'apr-19'!E39+'may-19'!E39+'jun-18'!E39+'july-19'!E39+'aug-18'!E39+'sept-18'!E39+'oct-18'!E39+'nov-19'!E39+'dec-18'!E39+'jan-20'!E39+'feb-19'!E39+'mar-18'!E39</f>
        <v>1161.9000000000001</v>
      </c>
      <c r="F39" s="168">
        <f>'apr-19'!F39+'may-19'!F39+'jun-18'!F39+'july-19'!F39+'aug-18'!F39+'sept-18'!F39+'oct-18'!F39+'nov-19'!F39+'dec-18'!F39+'jan-20'!F39+'feb-19'!F39+'mar-18'!F39</f>
        <v>1332.40473</v>
      </c>
      <c r="G39" s="1968"/>
      <c r="H39" s="79">
        <f>(F39-E39)/E39*100</f>
        <v>14.674647560030973</v>
      </c>
      <c r="Q39" s="6" t="s">
        <v>66</v>
      </c>
      <c r="R39" s="6">
        <v>341.5</v>
      </c>
    </row>
    <row r="40" spans="1:18" x14ac:dyDescent="0.35">
      <c r="A40" s="77">
        <v>7.3</v>
      </c>
      <c r="B40" s="77" t="s">
        <v>35</v>
      </c>
      <c r="C40" s="85"/>
      <c r="D40" s="77"/>
      <c r="E40" s="168">
        <f>SUM(E38:E39)</f>
        <v>1263.3183200000001</v>
      </c>
      <c r="F40" s="168">
        <f>SUM(F38:F39)</f>
        <v>1434.7047299999999</v>
      </c>
      <c r="G40" s="1969"/>
      <c r="H40" s="79">
        <f>(F40-E40)/E40*100</f>
        <v>13.566367817732575</v>
      </c>
      <c r="Q40" s="6" t="s">
        <v>77</v>
      </c>
      <c r="R40" s="6">
        <v>355.15</v>
      </c>
    </row>
    <row r="41" spans="1:18" ht="14.25" x14ac:dyDescent="0.45">
      <c r="A41" s="76">
        <v>8</v>
      </c>
      <c r="B41" s="1958" t="s">
        <v>45</v>
      </c>
      <c r="C41" s="1959"/>
      <c r="D41" s="1959"/>
      <c r="E41" s="1959"/>
      <c r="F41" s="1959"/>
      <c r="G41" s="1959"/>
      <c r="H41" s="1960"/>
      <c r="Q41" s="6" t="s">
        <v>249</v>
      </c>
      <c r="R41" s="6">
        <v>4.7</v>
      </c>
    </row>
    <row r="42" spans="1:18" ht="28.9" x14ac:dyDescent="0.6">
      <c r="A42" s="76">
        <v>8.1</v>
      </c>
      <c r="B42" s="76" t="s">
        <v>41</v>
      </c>
      <c r="C42" s="29">
        <f>689*1000</f>
        <v>689000</v>
      </c>
      <c r="D42" s="70">
        <v>689000</v>
      </c>
      <c r="E42" s="81">
        <v>337595</v>
      </c>
      <c r="F42" s="377">
        <v>370343</v>
      </c>
      <c r="G42" s="80">
        <f>(F42-D42)/D42*100</f>
        <v>-46.249201741654574</v>
      </c>
      <c r="H42" s="80">
        <f>(F42-E42)/E42*100</f>
        <v>9.7003806335994316</v>
      </c>
      <c r="J42" s="5">
        <f>D42/1000</f>
        <v>689</v>
      </c>
      <c r="Q42" s="23" t="s">
        <v>535</v>
      </c>
      <c r="R42" s="6">
        <v>4.8</v>
      </c>
    </row>
    <row r="43" spans="1:18" ht="14.25" x14ac:dyDescent="0.45">
      <c r="A43" s="76">
        <v>9</v>
      </c>
      <c r="B43" s="1958" t="s">
        <v>219</v>
      </c>
      <c r="C43" s="1959"/>
      <c r="D43" s="1959"/>
      <c r="E43" s="1959"/>
      <c r="F43" s="1959"/>
      <c r="G43" s="1959"/>
      <c r="H43" s="1960"/>
    </row>
    <row r="44" spans="1:18" ht="13.9" x14ac:dyDescent="0.4">
      <c r="A44" s="77">
        <v>9.1</v>
      </c>
      <c r="B44" s="77" t="s">
        <v>36</v>
      </c>
      <c r="C44" s="85"/>
      <c r="D44" s="1925"/>
      <c r="E44" s="78">
        <v>253.94</v>
      </c>
      <c r="F44" s="78">
        <v>230.6</v>
      </c>
      <c r="G44" s="1961"/>
      <c r="H44" s="80">
        <f>(E44-F44)/F44*100</f>
        <v>10.121422376409368</v>
      </c>
      <c r="J44" s="12"/>
    </row>
    <row r="45" spans="1:18" ht="13.9" x14ac:dyDescent="0.4">
      <c r="A45" s="77">
        <v>9.1999999999999993</v>
      </c>
      <c r="B45" s="77" t="s">
        <v>37</v>
      </c>
      <c r="C45" s="85"/>
      <c r="D45" s="1926"/>
      <c r="E45" s="78">
        <v>20.32</v>
      </c>
      <c r="F45" s="78">
        <v>34.1</v>
      </c>
      <c r="G45" s="1962"/>
      <c r="H45" s="80">
        <f>(E45-F45)/F45*100</f>
        <v>-40.410557184750736</v>
      </c>
    </row>
    <row r="46" spans="1:18" ht="13.9" x14ac:dyDescent="0.4">
      <c r="A46" s="77">
        <v>9.3000000000000007</v>
      </c>
      <c r="B46" s="77" t="s">
        <v>38</v>
      </c>
      <c r="C46" s="85"/>
      <c r="D46" s="1927"/>
      <c r="E46" s="72">
        <f>SUM(E44:E45)</f>
        <v>274.26</v>
      </c>
      <c r="F46" s="72">
        <f>SUM(F44:F45)</f>
        <v>264.7</v>
      </c>
      <c r="G46" s="1963"/>
      <c r="H46" s="80">
        <f>(E46-F46)/F46*100</f>
        <v>3.6116358141292042</v>
      </c>
    </row>
    <row r="47" spans="1:18" ht="14.25" hidden="1" x14ac:dyDescent="0.45">
      <c r="A47" s="9">
        <v>10</v>
      </c>
      <c r="B47" s="1931" t="s">
        <v>199</v>
      </c>
      <c r="C47" s="1932"/>
      <c r="D47" s="1932"/>
      <c r="E47" s="1932"/>
      <c r="F47" s="1932"/>
      <c r="G47" s="1932"/>
      <c r="H47" s="1933"/>
    </row>
    <row r="48" spans="1:18" hidden="1" x14ac:dyDescent="0.35">
      <c r="A48" s="6">
        <v>10.1</v>
      </c>
      <c r="B48" s="6" t="s">
        <v>39</v>
      </c>
      <c r="C48" s="131"/>
      <c r="D48" s="75"/>
      <c r="E48" s="6"/>
      <c r="F48" s="6"/>
      <c r="G48" s="1961"/>
      <c r="H48" s="79" t="e">
        <f>(E48-F48)/F48*100</f>
        <v>#DIV/0!</v>
      </c>
    </row>
    <row r="49" spans="1:19" hidden="1" x14ac:dyDescent="0.35">
      <c r="A49" s="6">
        <v>10.199999999999999</v>
      </c>
      <c r="B49" s="6" t="s">
        <v>40</v>
      </c>
      <c r="C49" s="132"/>
      <c r="D49" s="262"/>
      <c r="E49" s="6"/>
      <c r="F49" s="6"/>
      <c r="G49" s="1962"/>
      <c r="H49" s="79" t="e">
        <f>(E49-F49)/F49*100</f>
        <v>#DIV/0!</v>
      </c>
    </row>
    <row r="50" spans="1:19" hidden="1" x14ac:dyDescent="0.35">
      <c r="A50" s="6">
        <v>10.3</v>
      </c>
      <c r="B50" s="6" t="s">
        <v>0</v>
      </c>
      <c r="C50" s="268"/>
      <c r="D50" s="46"/>
      <c r="E50" s="6">
        <f>SUM(E48:E49)</f>
        <v>0</v>
      </c>
      <c r="F50" s="6">
        <f>SUM(F48:F49)</f>
        <v>0</v>
      </c>
      <c r="G50" s="1963"/>
      <c r="H50" s="79" t="e">
        <f>(E50-F50)/F50*100</f>
        <v>#DIV/0!</v>
      </c>
    </row>
    <row r="53" spans="1:19" x14ac:dyDescent="0.35">
      <c r="D53" s="5"/>
      <c r="G53" s="5"/>
    </row>
    <row r="54" spans="1:19" ht="27" x14ac:dyDescent="0.35">
      <c r="Q54" s="33" t="s">
        <v>536</v>
      </c>
      <c r="R54" s="785" t="s">
        <v>538</v>
      </c>
      <c r="S54" s="785" t="s">
        <v>539</v>
      </c>
    </row>
    <row r="55" spans="1:19" x14ac:dyDescent="0.35">
      <c r="Q55" s="85">
        <v>2004</v>
      </c>
      <c r="R55" s="85">
        <v>4</v>
      </c>
      <c r="S55" s="85">
        <v>40</v>
      </c>
    </row>
    <row r="56" spans="1:19" x14ac:dyDescent="0.35">
      <c r="Q56" s="85">
        <v>2014</v>
      </c>
      <c r="R56" s="85">
        <v>4</v>
      </c>
      <c r="S56" s="85">
        <v>40</v>
      </c>
    </row>
    <row r="57" spans="1:19" x14ac:dyDescent="0.35">
      <c r="Q57" s="85">
        <v>2021</v>
      </c>
      <c r="R57" s="85">
        <v>4</v>
      </c>
      <c r="S57" s="85">
        <v>44</v>
      </c>
    </row>
  </sheetData>
  <mergeCells count="24">
    <mergeCell ref="B23:H23"/>
    <mergeCell ref="B15:H15"/>
    <mergeCell ref="B7:H7"/>
    <mergeCell ref="B11:H11"/>
    <mergeCell ref="C12:C13"/>
    <mergeCell ref="A1:H1"/>
    <mergeCell ref="A2:H2"/>
    <mergeCell ref="C3:D3"/>
    <mergeCell ref="E3:F3"/>
    <mergeCell ref="G3:H3"/>
    <mergeCell ref="A3:A5"/>
    <mergeCell ref="C5:D5"/>
    <mergeCell ref="G4:G5"/>
    <mergeCell ref="H4:H5"/>
    <mergeCell ref="B3:B5"/>
    <mergeCell ref="B43:H43"/>
    <mergeCell ref="G44:G46"/>
    <mergeCell ref="B47:H47"/>
    <mergeCell ref="G48:G50"/>
    <mergeCell ref="B33:H33"/>
    <mergeCell ref="B37:H37"/>
    <mergeCell ref="G38:G40"/>
    <mergeCell ref="B41:H41"/>
    <mergeCell ref="D44:D46"/>
  </mergeCells>
  <printOptions horizontalCentered="1"/>
  <pageMargins left="0.19685039370078741" right="0.19685039370078741" top="0.23622047244094491" bottom="0.15748031496062992" header="10.78740157480315" footer="0.15748031496062992"/>
  <pageSetup scale="96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C000"/>
    <pageSetUpPr fitToPage="1"/>
  </sheetPr>
  <dimension ref="A3:AJ54"/>
  <sheetViews>
    <sheetView zoomScale="90" zoomScaleNormal="90" workbookViewId="0">
      <selection activeCell="N50" sqref="N50"/>
    </sheetView>
  </sheetViews>
  <sheetFormatPr defaultRowHeight="14.25" x14ac:dyDescent="0.45"/>
  <cols>
    <col min="2" max="2" width="9.1328125" style="91"/>
    <col min="3" max="3" width="10.86328125" customWidth="1"/>
    <col min="4" max="4" width="6.73046875" customWidth="1"/>
    <col min="5" max="5" width="9.1328125" style="89"/>
    <col min="7" max="7" width="9.1328125" style="89"/>
    <col min="10" max="10" width="10.1328125" style="93" customWidth="1"/>
    <col min="11" max="11" width="12.265625" customWidth="1"/>
    <col min="12" max="12" width="9.73046875" customWidth="1"/>
    <col min="14" max="14" width="7.86328125" style="91" customWidth="1"/>
    <col min="15" max="15" width="10.86328125" customWidth="1"/>
    <col min="18" max="19" width="10" customWidth="1"/>
    <col min="20" max="20" width="3.265625" style="91" customWidth="1"/>
    <col min="21" max="21" width="12" customWidth="1"/>
    <col min="22" max="23" width="10.73046875" customWidth="1"/>
    <col min="24" max="24" width="13" customWidth="1"/>
    <col min="25" max="25" width="12" customWidth="1"/>
    <col min="26" max="27" width="10.86328125" customWidth="1"/>
    <col min="28" max="28" width="9.265625" customWidth="1"/>
    <col min="29" max="29" width="9.59765625" customWidth="1"/>
    <col min="31" max="31" width="10" customWidth="1"/>
    <col min="32" max="32" width="11" customWidth="1"/>
  </cols>
  <sheetData>
    <row r="3" spans="1:36" x14ac:dyDescent="0.45">
      <c r="C3" s="88" t="s">
        <v>79</v>
      </c>
      <c r="D3" s="89"/>
      <c r="F3" s="89"/>
      <c r="H3" s="89"/>
      <c r="I3" s="89"/>
      <c r="J3" s="169"/>
      <c r="K3" s="88" t="s">
        <v>79</v>
      </c>
      <c r="L3" s="89"/>
      <c r="M3" s="89"/>
      <c r="N3" s="90"/>
      <c r="O3" s="88" t="s">
        <v>79</v>
      </c>
      <c r="P3" s="89"/>
      <c r="Q3" s="89"/>
      <c r="R3" s="89"/>
      <c r="S3" s="89"/>
      <c r="W3" s="88" t="s">
        <v>79</v>
      </c>
      <c r="AB3" s="88" t="s">
        <v>79</v>
      </c>
    </row>
    <row r="4" spans="1:36" ht="15" customHeight="1" x14ac:dyDescent="0.45">
      <c r="C4" s="1994" t="s">
        <v>80</v>
      </c>
      <c r="D4" s="1994"/>
      <c r="E4" s="1994"/>
      <c r="F4" s="1994"/>
      <c r="G4" s="1994"/>
      <c r="H4" s="1994"/>
      <c r="I4" s="1994"/>
      <c r="J4" s="92"/>
      <c r="K4" s="1995" t="s">
        <v>81</v>
      </c>
      <c r="L4" s="1995"/>
      <c r="M4" s="1995"/>
      <c r="N4" s="92"/>
      <c r="O4" s="1995" t="s">
        <v>82</v>
      </c>
      <c r="P4" s="1995"/>
      <c r="Q4" s="1995"/>
      <c r="R4" s="1996" t="s">
        <v>83</v>
      </c>
      <c r="S4" s="1997"/>
      <c r="U4" s="1989" t="s">
        <v>84</v>
      </c>
      <c r="V4" s="1989"/>
      <c r="W4" s="1989"/>
      <c r="X4" s="91"/>
      <c r="Y4" s="91"/>
      <c r="Z4" s="1989" t="s">
        <v>151</v>
      </c>
      <c r="AA4" s="1989"/>
      <c r="AB4" s="1989"/>
      <c r="AC4" s="91"/>
      <c r="AD4" s="91"/>
      <c r="AE4" s="91"/>
      <c r="AF4" s="91"/>
      <c r="AG4" s="93"/>
      <c r="AH4" s="93"/>
      <c r="AI4" s="93"/>
    </row>
    <row r="5" spans="1:36" x14ac:dyDescent="0.45">
      <c r="B5" s="90"/>
      <c r="C5" s="1994"/>
      <c r="D5" s="1994"/>
      <c r="E5" s="1994"/>
      <c r="F5" s="1994"/>
      <c r="G5" s="1994"/>
      <c r="H5" s="1994"/>
      <c r="I5" s="1994"/>
      <c r="J5" s="92"/>
      <c r="K5" s="1995"/>
      <c r="L5" s="1995"/>
      <c r="M5" s="1995"/>
      <c r="N5" s="92"/>
      <c r="O5" s="1995"/>
      <c r="P5" s="1995"/>
      <c r="Q5" s="1995"/>
      <c r="R5" s="1998"/>
      <c r="S5" s="1999"/>
      <c r="U5" s="1989"/>
      <c r="V5" s="1989"/>
      <c r="W5" s="1989"/>
      <c r="X5" s="91"/>
      <c r="Y5" s="91"/>
      <c r="Z5" s="1989"/>
      <c r="AA5" s="1989"/>
      <c r="AB5" s="1989"/>
      <c r="AC5" s="91"/>
      <c r="AD5" s="91"/>
      <c r="AE5" s="91"/>
      <c r="AF5" s="91"/>
      <c r="AG5" s="93"/>
      <c r="AH5" s="93"/>
      <c r="AI5" s="93"/>
    </row>
    <row r="6" spans="1:36" ht="26.25" customHeight="1" x14ac:dyDescent="0.45">
      <c r="B6" s="90"/>
      <c r="C6" s="88" t="s">
        <v>70</v>
      </c>
      <c r="D6" s="94" t="s">
        <v>85</v>
      </c>
      <c r="E6" s="94" t="s">
        <v>86</v>
      </c>
      <c r="F6" s="95" t="s">
        <v>87</v>
      </c>
      <c r="G6" s="95" t="s">
        <v>86</v>
      </c>
      <c r="H6" s="95" t="s">
        <v>0</v>
      </c>
      <c r="I6" s="95" t="s">
        <v>86</v>
      </c>
      <c r="J6" s="174"/>
      <c r="K6" s="88" t="s">
        <v>70</v>
      </c>
      <c r="L6" s="96" t="s">
        <v>88</v>
      </c>
      <c r="M6" s="95" t="s">
        <v>86</v>
      </c>
      <c r="N6" s="92"/>
      <c r="O6" s="88" t="s">
        <v>70</v>
      </c>
      <c r="P6" s="88" t="s">
        <v>88</v>
      </c>
      <c r="Q6" s="88" t="s">
        <v>86</v>
      </c>
      <c r="R6" s="88" t="s">
        <v>89</v>
      </c>
      <c r="S6" s="88" t="s">
        <v>90</v>
      </c>
      <c r="T6" s="93"/>
      <c r="U6" s="88" t="s">
        <v>70</v>
      </c>
      <c r="V6" s="94" t="s">
        <v>85</v>
      </c>
      <c r="W6" s="94" t="s">
        <v>86</v>
      </c>
      <c r="X6" s="93"/>
      <c r="Y6" s="93"/>
      <c r="Z6" s="88" t="s">
        <v>70</v>
      </c>
      <c r="AA6" s="94" t="s">
        <v>85</v>
      </c>
      <c r="AB6" s="94" t="s">
        <v>86</v>
      </c>
      <c r="AC6" s="93"/>
      <c r="AD6" s="93"/>
      <c r="AE6" s="91"/>
      <c r="AF6" s="91"/>
      <c r="AG6" s="91"/>
      <c r="AH6" s="91"/>
      <c r="AI6" s="93"/>
    </row>
    <row r="7" spans="1:36" ht="18.75" customHeight="1" x14ac:dyDescent="0.45">
      <c r="B7" s="90"/>
      <c r="C7" s="88"/>
      <c r="D7" s="94">
        <v>1</v>
      </c>
      <c r="E7" s="94">
        <v>2</v>
      </c>
      <c r="F7" s="95">
        <v>3</v>
      </c>
      <c r="G7" s="95">
        <v>4</v>
      </c>
      <c r="H7" s="95" t="s">
        <v>91</v>
      </c>
      <c r="I7" s="95" t="s">
        <v>92</v>
      </c>
      <c r="J7" s="92"/>
      <c r="K7" s="88"/>
      <c r="L7" s="96"/>
      <c r="M7" s="95"/>
      <c r="N7" s="92"/>
      <c r="O7" s="88"/>
      <c r="P7" s="88"/>
      <c r="Q7" s="86"/>
      <c r="R7" s="88"/>
      <c r="S7" s="86"/>
      <c r="T7" s="93"/>
      <c r="U7" s="88"/>
      <c r="V7" s="94"/>
      <c r="W7" s="94"/>
      <c r="X7" s="93"/>
      <c r="Y7" s="93"/>
      <c r="Z7" s="88"/>
      <c r="AA7" s="94"/>
      <c r="AB7" s="94"/>
      <c r="AC7" s="93"/>
      <c r="AD7" s="93"/>
      <c r="AE7" s="91"/>
      <c r="AF7" s="91"/>
      <c r="AG7" s="91"/>
      <c r="AH7" s="91"/>
      <c r="AI7" s="93"/>
    </row>
    <row r="8" spans="1:36" x14ac:dyDescent="0.45">
      <c r="B8" s="187">
        <f>D19/31</f>
        <v>5.4516129032258061E-2</v>
      </c>
      <c r="C8" s="97" t="s">
        <v>93</v>
      </c>
      <c r="D8" s="98">
        <v>1.66</v>
      </c>
      <c r="E8" s="95">
        <f>D8</f>
        <v>1.66</v>
      </c>
      <c r="F8" s="98">
        <v>70.87</v>
      </c>
      <c r="G8" s="95">
        <f>F8</f>
        <v>70.87</v>
      </c>
      <c r="H8" s="99">
        <f>D8+F8</f>
        <v>72.53</v>
      </c>
      <c r="I8" s="99">
        <f>H8</f>
        <v>72.53</v>
      </c>
      <c r="J8" s="187">
        <f>L19/31</f>
        <v>0.35645161290322586</v>
      </c>
      <c r="K8" s="97" t="s">
        <v>93</v>
      </c>
      <c r="L8" s="122">
        <v>10.75</v>
      </c>
      <c r="M8" s="100">
        <f>L8</f>
        <v>10.75</v>
      </c>
      <c r="N8" s="187">
        <f>P19/31</f>
        <v>0.35258064516129034</v>
      </c>
      <c r="O8" s="97" t="s">
        <v>93</v>
      </c>
      <c r="P8" s="122">
        <v>9.57</v>
      </c>
      <c r="Q8" s="101">
        <f>P8</f>
        <v>9.57</v>
      </c>
      <c r="R8" s="98"/>
      <c r="S8" s="101">
        <f>R8</f>
        <v>0</v>
      </c>
      <c r="T8" s="102">
        <f>V9/31</f>
        <v>7.4193548387096769E-2</v>
      </c>
      <c r="U8" s="97" t="s">
        <v>93</v>
      </c>
      <c r="V8" s="205">
        <v>2.25</v>
      </c>
      <c r="W8" s="205">
        <f>V8</f>
        <v>2.25</v>
      </c>
      <c r="X8" s="93">
        <f>Y8/100000</f>
        <v>225</v>
      </c>
      <c r="Y8" s="93">
        <f>V8*10000000</f>
        <v>22500000</v>
      </c>
      <c r="Z8" s="97" t="s">
        <v>93</v>
      </c>
      <c r="AA8" s="98">
        <v>0.53</v>
      </c>
      <c r="AB8" s="100">
        <f>AA8</f>
        <v>0.53</v>
      </c>
      <c r="AC8" s="93">
        <f>0.14*1000000</f>
        <v>140000</v>
      </c>
      <c r="AD8" s="93">
        <f>AE8/100000</f>
        <v>957</v>
      </c>
      <c r="AE8" s="91">
        <f>P8*10000000</f>
        <v>95700000</v>
      </c>
      <c r="AF8" s="91">
        <f>AE8</f>
        <v>95700000</v>
      </c>
      <c r="AG8" s="91">
        <f>AF8/100000</f>
        <v>957</v>
      </c>
      <c r="AH8" s="91"/>
      <c r="AI8" s="91">
        <f>AA8*10000000</f>
        <v>5300000</v>
      </c>
      <c r="AJ8">
        <f>AI8/100000</f>
        <v>53</v>
      </c>
    </row>
    <row r="9" spans="1:36" x14ac:dyDescent="0.45">
      <c r="A9" t="s">
        <v>94</v>
      </c>
      <c r="B9" s="263">
        <f>B8*A14</f>
        <v>1.69</v>
      </c>
      <c r="C9" s="97" t="s">
        <v>95</v>
      </c>
      <c r="D9" s="98">
        <v>1.67</v>
      </c>
      <c r="E9" s="95">
        <f>D9+E8</f>
        <v>3.33</v>
      </c>
      <c r="F9" s="98">
        <v>73.040000000000006</v>
      </c>
      <c r="G9" s="95">
        <f t="shared" ref="G9:G19" si="0">G8+F9</f>
        <v>143.91000000000003</v>
      </c>
      <c r="H9" s="99">
        <f t="shared" ref="H9:H18" si="1">D9+F9</f>
        <v>74.710000000000008</v>
      </c>
      <c r="I9" s="99">
        <f t="shared" ref="I9:I18" si="2">I8+H9</f>
        <v>147.24</v>
      </c>
      <c r="J9" s="187">
        <f>J8*A14</f>
        <v>11.05</v>
      </c>
      <c r="K9" s="97" t="s">
        <v>95</v>
      </c>
      <c r="L9" s="252">
        <v>9.6</v>
      </c>
      <c r="M9" s="104">
        <f t="shared" ref="M9:M19" si="3">M8+L9</f>
        <v>20.350000000000001</v>
      </c>
      <c r="N9" s="187">
        <f>N8*A14</f>
        <v>10.93</v>
      </c>
      <c r="O9" s="97" t="s">
        <v>95</v>
      </c>
      <c r="P9" s="122">
        <v>13.47</v>
      </c>
      <c r="Q9" s="101">
        <f t="shared" ref="Q9:S16" si="4">Q8+P9</f>
        <v>23.04</v>
      </c>
      <c r="R9" s="98"/>
      <c r="S9" s="101">
        <f t="shared" si="4"/>
        <v>0</v>
      </c>
      <c r="T9" s="102">
        <f>T8*12</f>
        <v>0.89032258064516123</v>
      </c>
      <c r="U9" s="97" t="s">
        <v>95</v>
      </c>
      <c r="V9" s="205">
        <v>2.2999999999999998</v>
      </c>
      <c r="W9" s="206">
        <f>V9+W8</f>
        <v>4.55</v>
      </c>
      <c r="X9" s="93">
        <f t="shared" ref="X9:X20" si="5">Y9/100000</f>
        <v>0</v>
      </c>
      <c r="Y9" s="93"/>
      <c r="Z9" s="97" t="s">
        <v>95</v>
      </c>
      <c r="AA9" s="98">
        <v>0.44</v>
      </c>
      <c r="AB9" s="105">
        <f>AA9+AB8</f>
        <v>0.97</v>
      </c>
      <c r="AC9" s="93">
        <f>AB9*1000000</f>
        <v>970000</v>
      </c>
      <c r="AD9" s="93">
        <f t="shared" ref="AD9:AD19" si="6">AE9/100000</f>
        <v>1347</v>
      </c>
      <c r="AE9" s="91">
        <f t="shared" ref="AE9:AE19" si="7">P9*10000000</f>
        <v>134700000</v>
      </c>
      <c r="AF9" s="91">
        <f>AF8+AE9</f>
        <v>230400000</v>
      </c>
      <c r="AG9" s="91">
        <f t="shared" ref="AG9:AG19" si="8">AF9/100000</f>
        <v>2304</v>
      </c>
      <c r="AH9" s="91"/>
      <c r="AI9" s="91">
        <f t="shared" ref="AI9:AI20" si="9">AA9*10000000</f>
        <v>4400000</v>
      </c>
      <c r="AJ9">
        <f t="shared" ref="AJ9:AJ19" si="10">AI9/100000</f>
        <v>44</v>
      </c>
    </row>
    <row r="10" spans="1:36" x14ac:dyDescent="0.45">
      <c r="B10" s="187">
        <f>F19/31</f>
        <v>2.6093548387096774</v>
      </c>
      <c r="C10" s="97" t="s">
        <v>96</v>
      </c>
      <c r="D10" s="98">
        <v>1.77</v>
      </c>
      <c r="E10" s="95">
        <f>D10+E9</f>
        <v>5.0999999999999996</v>
      </c>
      <c r="F10" s="98">
        <v>72.069999999999993</v>
      </c>
      <c r="G10" s="95">
        <f t="shared" si="0"/>
        <v>215.98000000000002</v>
      </c>
      <c r="H10" s="99">
        <f t="shared" si="1"/>
        <v>73.839999999999989</v>
      </c>
      <c r="I10" s="99">
        <f t="shared" si="2"/>
        <v>221.07999999999998</v>
      </c>
      <c r="J10" s="90"/>
      <c r="K10" s="97" t="s">
        <v>96</v>
      </c>
      <c r="L10" s="122">
        <v>8.7799999999999994</v>
      </c>
      <c r="M10" s="104">
        <f t="shared" si="3"/>
        <v>29.130000000000003</v>
      </c>
      <c r="O10" s="97" t="s">
        <v>96</v>
      </c>
      <c r="P10" s="122">
        <v>21.16</v>
      </c>
      <c r="Q10" s="101">
        <f t="shared" si="4"/>
        <v>44.2</v>
      </c>
      <c r="R10" s="98"/>
      <c r="S10" s="101">
        <f t="shared" si="4"/>
        <v>0</v>
      </c>
      <c r="T10" s="93"/>
      <c r="U10" s="97" t="s">
        <v>96</v>
      </c>
      <c r="V10" s="205">
        <v>2.0299999999999998</v>
      </c>
      <c r="W10" s="205">
        <f>V10+W9</f>
        <v>6.58</v>
      </c>
      <c r="X10" s="190">
        <f>V19/31</f>
        <v>7.8709677419354834E-2</v>
      </c>
      <c r="Z10" s="97" t="s">
        <v>96</v>
      </c>
      <c r="AA10" s="98">
        <v>0.42</v>
      </c>
      <c r="AB10" s="100">
        <f>AA10+AB9</f>
        <v>1.39</v>
      </c>
      <c r="AC10" s="93">
        <f t="shared" ref="AC10:AC19" si="11">AB10*1000000</f>
        <v>1390000</v>
      </c>
      <c r="AD10" s="93">
        <f t="shared" si="6"/>
        <v>2116</v>
      </c>
      <c r="AE10" s="91">
        <f t="shared" si="7"/>
        <v>211600000</v>
      </c>
      <c r="AF10" s="91">
        <f t="shared" ref="AF10:AF19" si="12">AF9+AE10</f>
        <v>442000000</v>
      </c>
      <c r="AG10" s="91">
        <f t="shared" si="8"/>
        <v>4420</v>
      </c>
      <c r="AH10" s="91"/>
      <c r="AI10" s="91">
        <f t="shared" si="9"/>
        <v>4200000</v>
      </c>
      <c r="AJ10">
        <f t="shared" si="10"/>
        <v>42</v>
      </c>
    </row>
    <row r="11" spans="1:36" x14ac:dyDescent="0.45">
      <c r="A11" t="s">
        <v>97</v>
      </c>
      <c r="B11" s="263">
        <f>B10*A14</f>
        <v>80.89</v>
      </c>
      <c r="C11" s="97" t="s">
        <v>98</v>
      </c>
      <c r="D11" s="98">
        <v>2.0499999999999998</v>
      </c>
      <c r="E11" s="95">
        <f>E10+D11</f>
        <v>7.1499999999999995</v>
      </c>
      <c r="F11" s="98">
        <v>83.73</v>
      </c>
      <c r="G11" s="95">
        <f t="shared" si="0"/>
        <v>299.71000000000004</v>
      </c>
      <c r="H11" s="99">
        <f t="shared" si="1"/>
        <v>85.78</v>
      </c>
      <c r="I11" s="99">
        <f t="shared" si="2"/>
        <v>306.86</v>
      </c>
      <c r="J11" s="90"/>
      <c r="K11" s="97" t="s">
        <v>98</v>
      </c>
      <c r="L11" s="122">
        <v>8.9700000000000006</v>
      </c>
      <c r="M11" s="104">
        <f t="shared" si="3"/>
        <v>38.1</v>
      </c>
      <c r="O11" s="97" t="s">
        <v>98</v>
      </c>
      <c r="P11" s="122">
        <v>18.329999999999998</v>
      </c>
      <c r="Q11" s="101">
        <f t="shared" si="4"/>
        <v>62.53</v>
      </c>
      <c r="R11" s="98"/>
      <c r="S11" s="101">
        <f t="shared" si="4"/>
        <v>0</v>
      </c>
      <c r="T11" s="93"/>
      <c r="U11" s="97" t="s">
        <v>98</v>
      </c>
      <c r="V11" s="205">
        <v>2.5299999999999998</v>
      </c>
      <c r="W11" s="205">
        <f>W10+V11</f>
        <v>9.11</v>
      </c>
      <c r="X11" s="190">
        <f>X10*A14</f>
        <v>2.44</v>
      </c>
      <c r="Z11" s="97" t="s">
        <v>98</v>
      </c>
      <c r="AA11" s="98">
        <v>0.38</v>
      </c>
      <c r="AB11" s="100">
        <f>AB10+AA11</f>
        <v>1.77</v>
      </c>
      <c r="AC11" s="91">
        <f>V11+AA11</f>
        <v>2.9099999999999997</v>
      </c>
      <c r="AD11" s="93">
        <f t="shared" si="6"/>
        <v>1832.9999999999998</v>
      </c>
      <c r="AE11" s="91">
        <f t="shared" si="7"/>
        <v>183299999.99999997</v>
      </c>
      <c r="AF11" s="91">
        <f t="shared" si="12"/>
        <v>625300000</v>
      </c>
      <c r="AG11" s="91">
        <f t="shared" si="8"/>
        <v>6253</v>
      </c>
      <c r="AH11" s="91"/>
      <c r="AI11" s="91">
        <f t="shared" si="9"/>
        <v>3800000</v>
      </c>
      <c r="AJ11">
        <f t="shared" si="10"/>
        <v>38</v>
      </c>
    </row>
    <row r="12" spans="1:36" x14ac:dyDescent="0.45">
      <c r="B12" s="188"/>
      <c r="C12" s="97" t="s">
        <v>99</v>
      </c>
      <c r="D12" s="98">
        <v>1.92</v>
      </c>
      <c r="E12" s="95">
        <f>E11+D12</f>
        <v>9.07</v>
      </c>
      <c r="F12" s="98">
        <v>76.040000000000006</v>
      </c>
      <c r="G12" s="95">
        <f t="shared" si="0"/>
        <v>375.75000000000006</v>
      </c>
      <c r="H12" s="99">
        <f t="shared" si="1"/>
        <v>77.960000000000008</v>
      </c>
      <c r="I12" s="99">
        <f t="shared" si="2"/>
        <v>384.82000000000005</v>
      </c>
      <c r="J12" s="90"/>
      <c r="K12" s="97" t="s">
        <v>99</v>
      </c>
      <c r="L12" s="122">
        <v>9.16</v>
      </c>
      <c r="M12" s="104">
        <f t="shared" si="3"/>
        <v>47.260000000000005</v>
      </c>
      <c r="O12" s="97" t="s">
        <v>99</v>
      </c>
      <c r="P12" s="122">
        <v>15.58</v>
      </c>
      <c r="Q12" s="101">
        <f t="shared" si="4"/>
        <v>78.11</v>
      </c>
      <c r="R12" s="98"/>
      <c r="S12" s="101">
        <f t="shared" si="4"/>
        <v>0</v>
      </c>
      <c r="U12" s="97" t="s">
        <v>99</v>
      </c>
      <c r="V12" s="250">
        <v>2.48</v>
      </c>
      <c r="W12" s="205">
        <f>W11+V12</f>
        <v>11.59</v>
      </c>
      <c r="X12" s="93">
        <f t="shared" si="5"/>
        <v>1.2903225806451614E-7</v>
      </c>
      <c r="Y12" s="190">
        <f>AA19/31</f>
        <v>1.2903225806451613E-2</v>
      </c>
      <c r="Z12" s="97" t="s">
        <v>99</v>
      </c>
      <c r="AA12" s="103">
        <v>0.33</v>
      </c>
      <c r="AB12" s="100">
        <f>AB11+AA12</f>
        <v>2.1</v>
      </c>
      <c r="AC12" s="93">
        <f t="shared" si="11"/>
        <v>2100000</v>
      </c>
      <c r="AD12" s="93">
        <f t="shared" si="6"/>
        <v>1558</v>
      </c>
      <c r="AE12" s="91">
        <f t="shared" si="7"/>
        <v>155800000</v>
      </c>
      <c r="AF12" s="91">
        <f t="shared" si="12"/>
        <v>781100000</v>
      </c>
      <c r="AG12" s="91">
        <f t="shared" si="8"/>
        <v>7811</v>
      </c>
      <c r="AH12" s="91"/>
      <c r="AI12" s="91">
        <f t="shared" si="9"/>
        <v>3300000</v>
      </c>
      <c r="AJ12">
        <f t="shared" si="10"/>
        <v>33</v>
      </c>
    </row>
    <row r="13" spans="1:36" x14ac:dyDescent="0.45">
      <c r="B13" s="187"/>
      <c r="C13" s="97" t="s">
        <v>100</v>
      </c>
      <c r="D13" s="98">
        <v>1.78</v>
      </c>
      <c r="E13" s="95">
        <f>E12+D13</f>
        <v>10.85</v>
      </c>
      <c r="F13" s="98">
        <v>73.290000000000006</v>
      </c>
      <c r="G13" s="95">
        <f t="shared" si="0"/>
        <v>449.04000000000008</v>
      </c>
      <c r="H13" s="99">
        <f t="shared" si="1"/>
        <v>75.070000000000007</v>
      </c>
      <c r="I13" s="99">
        <f t="shared" si="2"/>
        <v>459.89000000000004</v>
      </c>
      <c r="J13" s="169"/>
      <c r="K13" s="97" t="s">
        <v>100</v>
      </c>
      <c r="L13" s="122">
        <v>8.83</v>
      </c>
      <c r="M13" s="104">
        <f t="shared" si="3"/>
        <v>56.09</v>
      </c>
      <c r="O13" s="97" t="s">
        <v>100</v>
      </c>
      <c r="P13" s="122">
        <v>18.63</v>
      </c>
      <c r="Q13" s="101">
        <f t="shared" si="4"/>
        <v>96.74</v>
      </c>
      <c r="R13" s="98"/>
      <c r="S13" s="101">
        <f t="shared" si="4"/>
        <v>0</v>
      </c>
      <c r="U13" s="97" t="s">
        <v>100</v>
      </c>
      <c r="V13" s="205">
        <v>2.14</v>
      </c>
      <c r="W13" s="205">
        <f>W12+V13</f>
        <v>13.73</v>
      </c>
      <c r="X13" s="93">
        <f>Y13/100000</f>
        <v>3.9999999999999998E-6</v>
      </c>
      <c r="Y13" s="190">
        <f>Y12*A14</f>
        <v>0.4</v>
      </c>
      <c r="Z13" s="97" t="s">
        <v>100</v>
      </c>
      <c r="AA13" s="98">
        <v>0.35</v>
      </c>
      <c r="AB13" s="100">
        <f>AB12+AA13</f>
        <v>2.4500000000000002</v>
      </c>
      <c r="AC13" s="93">
        <f t="shared" si="11"/>
        <v>2450000</v>
      </c>
      <c r="AD13" s="93">
        <f>AE13/100000</f>
        <v>1863</v>
      </c>
      <c r="AE13" s="91">
        <f t="shared" si="7"/>
        <v>186300000</v>
      </c>
      <c r="AF13" s="91">
        <f t="shared" si="12"/>
        <v>967400000</v>
      </c>
      <c r="AG13" s="91">
        <f t="shared" si="8"/>
        <v>9674</v>
      </c>
      <c r="AH13" s="91"/>
      <c r="AI13" s="91">
        <f t="shared" si="9"/>
        <v>3500000</v>
      </c>
      <c r="AJ13">
        <f t="shared" si="10"/>
        <v>35</v>
      </c>
    </row>
    <row r="14" spans="1:36" ht="18" x14ac:dyDescent="0.55000000000000004">
      <c r="A14" s="232">
        <v>31</v>
      </c>
      <c r="B14" s="187"/>
      <c r="C14" s="97" t="s">
        <v>101</v>
      </c>
      <c r="D14" s="98">
        <v>1.67</v>
      </c>
      <c r="E14" s="95">
        <f>E13+D14</f>
        <v>12.52</v>
      </c>
      <c r="F14" s="98">
        <v>72.53</v>
      </c>
      <c r="G14" s="95">
        <f t="shared" si="0"/>
        <v>521.57000000000005</v>
      </c>
      <c r="H14" s="99">
        <f t="shared" si="1"/>
        <v>74.2</v>
      </c>
      <c r="I14" s="99">
        <f t="shared" si="2"/>
        <v>534.09</v>
      </c>
      <c r="K14" s="97" t="s">
        <v>101</v>
      </c>
      <c r="L14" s="122">
        <v>8.85</v>
      </c>
      <c r="M14" s="104">
        <f t="shared" si="3"/>
        <v>64.94</v>
      </c>
      <c r="O14" s="97" t="s">
        <v>101</v>
      </c>
      <c r="P14" s="122">
        <v>23.99</v>
      </c>
      <c r="Q14" s="101">
        <f t="shared" si="4"/>
        <v>120.72999999999999</v>
      </c>
      <c r="R14" s="98"/>
      <c r="S14" s="101">
        <f t="shared" si="4"/>
        <v>0</v>
      </c>
      <c r="U14" s="97" t="s">
        <v>101</v>
      </c>
      <c r="V14" s="205">
        <v>2.21</v>
      </c>
      <c r="W14" s="205">
        <f>W13+V14</f>
        <v>15.940000000000001</v>
      </c>
      <c r="X14" s="93">
        <f>Y14/100000</f>
        <v>0</v>
      </c>
      <c r="Y14" s="91"/>
      <c r="Z14" s="97" t="s">
        <v>101</v>
      </c>
      <c r="AA14" s="98">
        <v>0.33</v>
      </c>
      <c r="AB14" s="100">
        <f>AB13+AA14</f>
        <v>2.7800000000000002</v>
      </c>
      <c r="AC14" s="93">
        <f t="shared" si="11"/>
        <v>2780000.0000000005</v>
      </c>
      <c r="AD14" s="93">
        <f t="shared" si="6"/>
        <v>2398.9999999999995</v>
      </c>
      <c r="AE14" s="91">
        <f t="shared" si="7"/>
        <v>239899999.99999997</v>
      </c>
      <c r="AF14" s="91">
        <f t="shared" si="12"/>
        <v>1207300000</v>
      </c>
      <c r="AG14" s="91">
        <f t="shared" si="8"/>
        <v>12073</v>
      </c>
      <c r="AH14" s="91"/>
      <c r="AI14" s="91">
        <f t="shared" si="9"/>
        <v>3300000</v>
      </c>
      <c r="AJ14">
        <f t="shared" si="10"/>
        <v>33</v>
      </c>
    </row>
    <row r="15" spans="1:36" x14ac:dyDescent="0.45">
      <c r="B15" s="187"/>
      <c r="C15" s="97" t="s">
        <v>102</v>
      </c>
      <c r="D15" s="98">
        <v>1.74</v>
      </c>
      <c r="E15" s="95">
        <f>E14+D15</f>
        <v>14.26</v>
      </c>
      <c r="F15" s="98">
        <v>75.92</v>
      </c>
      <c r="G15" s="95">
        <f t="shared" si="0"/>
        <v>597.49</v>
      </c>
      <c r="H15" s="99">
        <f t="shared" si="1"/>
        <v>77.66</v>
      </c>
      <c r="I15" s="99">
        <f t="shared" si="2"/>
        <v>611.75</v>
      </c>
      <c r="K15" s="97" t="s">
        <v>102</v>
      </c>
      <c r="L15" s="122">
        <v>11.44</v>
      </c>
      <c r="M15" s="104">
        <f t="shared" si="3"/>
        <v>76.38</v>
      </c>
      <c r="N15" s="93"/>
      <c r="O15" s="97" t="s">
        <v>102</v>
      </c>
      <c r="P15" s="122">
        <v>19.739999999999998</v>
      </c>
      <c r="Q15" s="101">
        <f t="shared" si="4"/>
        <v>140.47</v>
      </c>
      <c r="R15" s="98"/>
      <c r="S15" s="101">
        <f t="shared" si="4"/>
        <v>0</v>
      </c>
      <c r="U15" s="97" t="s">
        <v>102</v>
      </c>
      <c r="V15" s="205">
        <v>2.04</v>
      </c>
      <c r="W15" s="205">
        <f>W14+V15</f>
        <v>17.98</v>
      </c>
      <c r="X15" s="93">
        <f t="shared" si="5"/>
        <v>0</v>
      </c>
      <c r="Y15" s="93"/>
      <c r="Z15" s="97" t="s">
        <v>102</v>
      </c>
      <c r="AA15" s="98">
        <v>0.31</v>
      </c>
      <c r="AB15" s="100">
        <f>AB14+AA15</f>
        <v>3.0900000000000003</v>
      </c>
      <c r="AC15" s="93">
        <f t="shared" si="11"/>
        <v>3090000.0000000005</v>
      </c>
      <c r="AD15" s="93">
        <f t="shared" si="6"/>
        <v>1973.9999999999998</v>
      </c>
      <c r="AE15" s="91">
        <f t="shared" si="7"/>
        <v>197399999.99999997</v>
      </c>
      <c r="AF15" s="91">
        <f t="shared" si="12"/>
        <v>1404700000</v>
      </c>
      <c r="AG15" s="91">
        <f t="shared" si="8"/>
        <v>14047</v>
      </c>
      <c r="AH15" s="91"/>
      <c r="AI15" s="91">
        <f t="shared" si="9"/>
        <v>3100000</v>
      </c>
      <c r="AJ15">
        <f t="shared" si="10"/>
        <v>31</v>
      </c>
    </row>
    <row r="16" spans="1:36" x14ac:dyDescent="0.45">
      <c r="B16" s="90"/>
      <c r="C16" s="97" t="s">
        <v>103</v>
      </c>
      <c r="D16" s="98">
        <v>1.79</v>
      </c>
      <c r="E16" s="95">
        <f>D16+E15</f>
        <v>16.05</v>
      </c>
      <c r="F16" s="98">
        <v>76.150000000000006</v>
      </c>
      <c r="G16" s="95">
        <f t="shared" si="0"/>
        <v>673.64</v>
      </c>
      <c r="H16" s="99">
        <f t="shared" si="1"/>
        <v>77.940000000000012</v>
      </c>
      <c r="I16" s="99">
        <f t="shared" si="2"/>
        <v>689.69</v>
      </c>
      <c r="K16" s="97" t="s">
        <v>103</v>
      </c>
      <c r="L16" s="122">
        <v>10.34</v>
      </c>
      <c r="M16" s="104">
        <f t="shared" si="3"/>
        <v>86.72</v>
      </c>
      <c r="N16" s="93"/>
      <c r="O16" s="97" t="s">
        <v>103</v>
      </c>
      <c r="P16" s="122">
        <v>21.29</v>
      </c>
      <c r="Q16" s="101">
        <f t="shared" si="4"/>
        <v>161.76</v>
      </c>
      <c r="R16" s="98"/>
      <c r="S16" s="101">
        <f t="shared" si="4"/>
        <v>0</v>
      </c>
      <c r="U16" s="97" t="s">
        <v>103</v>
      </c>
      <c r="V16" s="205">
        <v>2.23</v>
      </c>
      <c r="W16" s="205">
        <f>V16+W15</f>
        <v>20.21</v>
      </c>
      <c r="X16" s="93">
        <f t="shared" si="5"/>
        <v>0</v>
      </c>
      <c r="Y16" s="93"/>
      <c r="Z16" s="97" t="s">
        <v>103</v>
      </c>
      <c r="AA16" s="98">
        <v>0.26</v>
      </c>
      <c r="AB16" s="100">
        <f>AA16+AB15</f>
        <v>3.3500000000000005</v>
      </c>
      <c r="AC16" s="93">
        <f t="shared" si="11"/>
        <v>3350000.0000000005</v>
      </c>
      <c r="AD16" s="93">
        <f t="shared" si="6"/>
        <v>2129</v>
      </c>
      <c r="AE16" s="91">
        <f t="shared" si="7"/>
        <v>212900000</v>
      </c>
      <c r="AF16" s="91">
        <f t="shared" si="12"/>
        <v>1617600000</v>
      </c>
      <c r="AG16" s="91">
        <f t="shared" si="8"/>
        <v>16176</v>
      </c>
      <c r="AH16" s="91"/>
      <c r="AI16" s="91">
        <f t="shared" si="9"/>
        <v>2600000</v>
      </c>
      <c r="AJ16">
        <f t="shared" si="10"/>
        <v>26</v>
      </c>
    </row>
    <row r="17" spans="1:36" x14ac:dyDescent="0.45">
      <c r="B17" s="90"/>
      <c r="C17" s="97" t="s">
        <v>104</v>
      </c>
      <c r="D17" s="98">
        <v>1.81</v>
      </c>
      <c r="E17" s="99">
        <f>E16+D17</f>
        <v>17.86</v>
      </c>
      <c r="F17" s="98">
        <v>83.81</v>
      </c>
      <c r="G17" s="95">
        <f t="shared" si="0"/>
        <v>757.45</v>
      </c>
      <c r="H17" s="99">
        <f t="shared" si="1"/>
        <v>85.62</v>
      </c>
      <c r="I17" s="99">
        <f t="shared" si="2"/>
        <v>775.31000000000006</v>
      </c>
      <c r="K17" s="97" t="s">
        <v>104</v>
      </c>
      <c r="L17" s="122">
        <v>9.7899999999999991</v>
      </c>
      <c r="M17" s="104">
        <f>M16+L17</f>
        <v>96.509999999999991</v>
      </c>
      <c r="N17" s="93"/>
      <c r="O17" s="97" t="s">
        <v>104</v>
      </c>
      <c r="P17" s="122">
        <v>23.81</v>
      </c>
      <c r="Q17" s="101">
        <f>Q16+P17</f>
        <v>185.57</v>
      </c>
      <c r="R17" s="98"/>
      <c r="S17" s="101">
        <f>S16+R17</f>
        <v>0</v>
      </c>
      <c r="U17" s="97" t="s">
        <v>104</v>
      </c>
      <c r="V17" s="205">
        <v>2.16</v>
      </c>
      <c r="W17" s="206">
        <f>W16+V17</f>
        <v>22.37</v>
      </c>
      <c r="X17" s="93">
        <f t="shared" si="5"/>
        <v>0</v>
      </c>
      <c r="Y17" s="93"/>
      <c r="Z17" s="97" t="s">
        <v>104</v>
      </c>
      <c r="AA17" s="98">
        <v>0.38</v>
      </c>
      <c r="AB17" s="105">
        <f>AB16+AA17</f>
        <v>3.7300000000000004</v>
      </c>
      <c r="AC17" s="93">
        <f t="shared" si="11"/>
        <v>3730000.0000000005</v>
      </c>
      <c r="AD17" s="93">
        <f t="shared" si="6"/>
        <v>2381</v>
      </c>
      <c r="AE17" s="91">
        <f t="shared" si="7"/>
        <v>238100000</v>
      </c>
      <c r="AF17" s="91">
        <f t="shared" si="12"/>
        <v>1855700000</v>
      </c>
      <c r="AG17" s="91">
        <f t="shared" si="8"/>
        <v>18557</v>
      </c>
      <c r="AH17" s="91"/>
      <c r="AI17" s="91">
        <f t="shared" si="9"/>
        <v>3800000</v>
      </c>
      <c r="AJ17">
        <f t="shared" si="10"/>
        <v>38</v>
      </c>
    </row>
    <row r="18" spans="1:36" x14ac:dyDescent="0.45">
      <c r="B18" s="187"/>
      <c r="C18" s="97" t="s">
        <v>105</v>
      </c>
      <c r="D18" s="98">
        <v>1.56</v>
      </c>
      <c r="E18" s="99">
        <f>E17+D18</f>
        <v>19.419999999999998</v>
      </c>
      <c r="F18" s="98">
        <v>73.58</v>
      </c>
      <c r="G18" s="95">
        <f t="shared" si="0"/>
        <v>831.03000000000009</v>
      </c>
      <c r="H18" s="99">
        <f t="shared" si="1"/>
        <v>75.14</v>
      </c>
      <c r="I18" s="99">
        <f t="shared" si="2"/>
        <v>850.45</v>
      </c>
      <c r="K18" s="97" t="s">
        <v>105</v>
      </c>
      <c r="L18" s="122">
        <v>10.53</v>
      </c>
      <c r="M18" s="104">
        <f t="shared" si="3"/>
        <v>107.03999999999999</v>
      </c>
      <c r="N18" s="93"/>
      <c r="O18" s="97" t="s">
        <v>105</v>
      </c>
      <c r="P18" s="122">
        <v>18.989999999999998</v>
      </c>
      <c r="Q18" s="106">
        <f>Q17+P18</f>
        <v>204.56</v>
      </c>
      <c r="R18" s="98"/>
      <c r="S18" s="107">
        <f>S17+R18</f>
        <v>0</v>
      </c>
      <c r="U18" s="97" t="s">
        <v>105</v>
      </c>
      <c r="V18" s="205">
        <v>2.08</v>
      </c>
      <c r="W18" s="206">
        <f>W17+V18</f>
        <v>24.450000000000003</v>
      </c>
      <c r="X18" s="93">
        <f t="shared" si="5"/>
        <v>0</v>
      </c>
      <c r="Y18" s="93"/>
      <c r="Z18" s="97" t="s">
        <v>105</v>
      </c>
      <c r="AA18" s="98">
        <v>0.27</v>
      </c>
      <c r="AB18" s="105">
        <f>AB17+AA18</f>
        <v>4</v>
      </c>
      <c r="AC18" s="93">
        <f t="shared" si="11"/>
        <v>4000000</v>
      </c>
      <c r="AD18" s="93">
        <f t="shared" si="6"/>
        <v>1898.9999999999998</v>
      </c>
      <c r="AE18" s="91">
        <f t="shared" si="7"/>
        <v>189899999.99999997</v>
      </c>
      <c r="AF18" s="91">
        <f t="shared" si="12"/>
        <v>2045600000</v>
      </c>
      <c r="AG18" s="91">
        <f t="shared" si="8"/>
        <v>20456</v>
      </c>
      <c r="AH18" s="91"/>
      <c r="AI18" s="91">
        <f t="shared" si="9"/>
        <v>2700000</v>
      </c>
      <c r="AJ18">
        <f t="shared" si="10"/>
        <v>27</v>
      </c>
    </row>
    <row r="19" spans="1:36" x14ac:dyDescent="0.45">
      <c r="C19" s="97" t="s">
        <v>106</v>
      </c>
      <c r="D19" s="98">
        <v>1.69</v>
      </c>
      <c r="E19" s="99">
        <f>E18+D19</f>
        <v>21.11</v>
      </c>
      <c r="F19" s="98">
        <v>80.89</v>
      </c>
      <c r="G19" s="95">
        <f t="shared" si="0"/>
        <v>911.92000000000007</v>
      </c>
      <c r="H19" s="99">
        <f>D19+F19</f>
        <v>82.58</v>
      </c>
      <c r="I19" s="99">
        <f>I18+H19</f>
        <v>933.03000000000009</v>
      </c>
      <c r="K19" s="97" t="s">
        <v>106</v>
      </c>
      <c r="L19" s="122">
        <v>11.05</v>
      </c>
      <c r="M19" s="104">
        <f t="shared" si="3"/>
        <v>118.08999999999999</v>
      </c>
      <c r="O19" s="97" t="s">
        <v>106</v>
      </c>
      <c r="P19" s="122">
        <v>10.93</v>
      </c>
      <c r="Q19" s="101">
        <f>Q18+P19</f>
        <v>215.49</v>
      </c>
      <c r="R19" s="98"/>
      <c r="S19" s="101">
        <f>S18+R19</f>
        <v>0</v>
      </c>
      <c r="U19" s="97" t="s">
        <v>106</v>
      </c>
      <c r="V19" s="205">
        <v>2.44</v>
      </c>
      <c r="W19" s="206">
        <f>W18+V19</f>
        <v>26.890000000000004</v>
      </c>
      <c r="X19" s="93">
        <f t="shared" si="5"/>
        <v>0</v>
      </c>
      <c r="Y19" s="93"/>
      <c r="Z19" s="97" t="s">
        <v>106</v>
      </c>
      <c r="AA19" s="98">
        <v>0.4</v>
      </c>
      <c r="AB19" s="105">
        <f>AB18+AA19</f>
        <v>4.4000000000000004</v>
      </c>
      <c r="AC19" s="93">
        <f t="shared" si="11"/>
        <v>4400000</v>
      </c>
      <c r="AD19" s="93">
        <f t="shared" si="6"/>
        <v>1093</v>
      </c>
      <c r="AE19" s="91">
        <f t="shared" si="7"/>
        <v>109300000</v>
      </c>
      <c r="AF19" s="91">
        <f t="shared" si="12"/>
        <v>2154900000</v>
      </c>
      <c r="AG19" s="91">
        <f t="shared" si="8"/>
        <v>21549</v>
      </c>
      <c r="AH19" s="91">
        <f>11761354/91</f>
        <v>129245.64835164836</v>
      </c>
      <c r="AI19" s="91">
        <f t="shared" si="9"/>
        <v>4000000</v>
      </c>
      <c r="AJ19">
        <f t="shared" si="10"/>
        <v>40</v>
      </c>
    </row>
    <row r="20" spans="1:36" ht="15.75" x14ac:dyDescent="0.5">
      <c r="C20" s="108" t="s">
        <v>0</v>
      </c>
      <c r="D20" s="109">
        <f>SUM(D8:D19)</f>
        <v>21.11</v>
      </c>
      <c r="E20" s="226"/>
      <c r="F20" s="98">
        <f>SUM(F8:F19)</f>
        <v>911.92000000000007</v>
      </c>
      <c r="G20" s="226"/>
      <c r="H20" s="110">
        <f>D20+F20</f>
        <v>933.03000000000009</v>
      </c>
      <c r="I20" s="99"/>
      <c r="K20" s="111" t="s">
        <v>0</v>
      </c>
      <c r="L20" s="127">
        <f>SUM(L8:L19)</f>
        <v>118.08999999999999</v>
      </c>
      <c r="M20" s="122"/>
      <c r="O20" s="112" t="s">
        <v>0</v>
      </c>
      <c r="P20" s="127">
        <f>SUM(P8:P19)</f>
        <v>215.49</v>
      </c>
      <c r="Q20" s="122"/>
      <c r="R20" s="113">
        <f>SUM(R8:R19)</f>
        <v>0</v>
      </c>
      <c r="S20" s="98"/>
      <c r="U20" s="112" t="s">
        <v>0</v>
      </c>
      <c r="V20" s="251">
        <f>SUM(V8:V19)</f>
        <v>26.890000000000004</v>
      </c>
      <c r="W20" s="122"/>
      <c r="X20" s="91">
        <f t="shared" si="5"/>
        <v>0</v>
      </c>
      <c r="Y20" s="93"/>
      <c r="Z20" s="112" t="s">
        <v>0</v>
      </c>
      <c r="AA20" s="133">
        <f>SUM(AA8:AA19)</f>
        <v>4.4000000000000004</v>
      </c>
      <c r="AB20" s="98"/>
      <c r="AC20" s="91"/>
      <c r="AD20" s="91"/>
      <c r="AE20" s="91"/>
      <c r="AF20" s="91"/>
      <c r="AG20" s="91"/>
      <c r="AH20" s="91">
        <f>AH19/100000</f>
        <v>1.2924564835164836</v>
      </c>
      <c r="AI20" s="91">
        <f t="shared" si="9"/>
        <v>44000000</v>
      </c>
    </row>
    <row r="21" spans="1:36" s="93" customFormat="1" x14ac:dyDescent="0.45">
      <c r="B21" s="91"/>
      <c r="C21" s="114" t="s">
        <v>107</v>
      </c>
      <c r="D21" s="115">
        <v>20.100000000000001</v>
      </c>
      <c r="E21" s="115"/>
      <c r="F21" s="115">
        <v>847.72</v>
      </c>
      <c r="G21" s="115"/>
      <c r="H21" s="115">
        <v>867.82</v>
      </c>
      <c r="I21" s="115"/>
      <c r="J21" s="115"/>
      <c r="K21" s="114" t="s">
        <v>107</v>
      </c>
      <c r="L21" s="115">
        <v>106.28</v>
      </c>
      <c r="M21" s="115"/>
      <c r="N21" s="115"/>
      <c r="O21" s="116" t="s">
        <v>66</v>
      </c>
      <c r="P21" s="117">
        <v>196.14</v>
      </c>
      <c r="R21" s="93">
        <f>R20/1000000</f>
        <v>0</v>
      </c>
      <c r="V21" s="189">
        <f>V20+AA20</f>
        <v>31.290000000000006</v>
      </c>
      <c r="X21" s="189"/>
      <c r="AC21" s="91"/>
      <c r="AD21" s="91"/>
      <c r="AE21" s="91"/>
      <c r="AF21" s="91"/>
    </row>
    <row r="22" spans="1:36" s="93" customFormat="1" x14ac:dyDescent="0.45">
      <c r="B22" s="91"/>
      <c r="C22" s="118"/>
      <c r="D22" s="119">
        <f>(D20-D21)/D21*100</f>
        <v>5.024875621890537</v>
      </c>
      <c r="E22" s="119"/>
      <c r="F22" s="119">
        <f>(F20-F21)/F21*100</f>
        <v>7.573255320152886</v>
      </c>
      <c r="G22" s="119"/>
      <c r="H22" s="119">
        <f>(H20-H21)/H21*100</f>
        <v>7.5142310617409187</v>
      </c>
      <c r="I22" s="119"/>
      <c r="J22" s="119"/>
      <c r="K22" s="120"/>
      <c r="L22" s="119">
        <f>(L20-L21)/L21*100</f>
        <v>11.112156567557383</v>
      </c>
      <c r="M22" s="119"/>
      <c r="N22" s="119"/>
      <c r="O22" s="120"/>
      <c r="P22" s="119">
        <f>(P20-P21)/P21*100</f>
        <v>9.865402263689214</v>
      </c>
      <c r="W22" s="91">
        <f>AB11*10000000</f>
        <v>17700000</v>
      </c>
      <c r="X22" s="91"/>
      <c r="Y22" s="91"/>
      <c r="Z22" s="91"/>
      <c r="AA22" s="91"/>
      <c r="AC22" s="91"/>
      <c r="AD22" s="91">
        <v>861.96</v>
      </c>
      <c r="AE22" s="91">
        <v>1176</v>
      </c>
      <c r="AF22" s="91"/>
    </row>
    <row r="23" spans="1:36" x14ac:dyDescent="0.45">
      <c r="C23" s="97" t="s">
        <v>108</v>
      </c>
      <c r="P23">
        <f>P31*1000</f>
        <v>49000</v>
      </c>
      <c r="W23" s="91">
        <f>W22/100000</f>
        <v>177</v>
      </c>
      <c r="X23" s="91">
        <v>272</v>
      </c>
      <c r="Y23" s="91"/>
      <c r="Z23" s="91"/>
      <c r="AA23" s="91"/>
      <c r="AB23" s="93"/>
      <c r="AC23" s="91"/>
      <c r="AD23" s="91">
        <f>(AD22-AE22)/AE22*100</f>
        <v>-26.704081632653061</v>
      </c>
      <c r="AE23" s="91"/>
      <c r="AF23" s="91"/>
      <c r="AG23" s="93"/>
      <c r="AH23" s="93"/>
      <c r="AI23" s="93"/>
    </row>
    <row r="24" spans="1:36" x14ac:dyDescent="0.45">
      <c r="C24" s="1988" t="s">
        <v>109</v>
      </c>
      <c r="D24" s="1988"/>
      <c r="E24" s="1988"/>
      <c r="F24" s="1988"/>
      <c r="G24" s="1988"/>
      <c r="H24" s="1988"/>
      <c r="I24" s="1988"/>
      <c r="J24" s="175"/>
      <c r="K24" s="1990" t="s">
        <v>110</v>
      </c>
      <c r="L24" s="1990"/>
      <c r="M24" s="1990"/>
      <c r="N24" s="1990"/>
      <c r="O24" s="1990"/>
      <c r="P24" s="1990"/>
      <c r="Q24" s="1990"/>
      <c r="R24" s="1990"/>
      <c r="S24" s="1990"/>
      <c r="U24" s="91"/>
      <c r="V24" s="91"/>
      <c r="W24" s="88" t="s">
        <v>79</v>
      </c>
      <c r="X24" s="91"/>
      <c r="Y24" s="91"/>
      <c r="Z24" s="88" t="s">
        <v>79</v>
      </c>
      <c r="AA24" s="91"/>
      <c r="AB24" s="91"/>
      <c r="AC24" s="88" t="s">
        <v>79</v>
      </c>
      <c r="AD24" s="91"/>
      <c r="AE24" s="91"/>
      <c r="AF24" s="91"/>
      <c r="AG24" s="93"/>
      <c r="AH24" s="93"/>
      <c r="AI24" s="93"/>
    </row>
    <row r="25" spans="1:36" x14ac:dyDescent="0.45">
      <c r="C25" s="1988"/>
      <c r="D25" s="1988"/>
      <c r="E25" s="1988"/>
      <c r="F25" s="1988"/>
      <c r="G25" s="1988"/>
      <c r="H25" s="1988"/>
      <c r="I25" s="1988"/>
      <c r="J25" s="175"/>
      <c r="K25" s="1991" t="s">
        <v>111</v>
      </c>
      <c r="L25" s="1992"/>
      <c r="M25" s="1992"/>
      <c r="N25" s="1992"/>
      <c r="O25" s="1992"/>
      <c r="P25" s="1992"/>
      <c r="Q25" s="1993"/>
      <c r="R25" s="1991" t="s">
        <v>112</v>
      </c>
      <c r="S25" s="1993"/>
      <c r="U25" s="1988" t="s">
        <v>119</v>
      </c>
      <c r="V25" s="1988"/>
      <c r="W25" s="1988"/>
      <c r="X25" s="1988" t="s">
        <v>120</v>
      </c>
      <c r="Y25" s="1988"/>
      <c r="Z25" s="1988"/>
      <c r="AA25" s="1988" t="s">
        <v>171</v>
      </c>
      <c r="AB25" s="1988"/>
      <c r="AC25" s="1988"/>
      <c r="AD25" s="91"/>
      <c r="AE25" s="91"/>
      <c r="AF25" s="91"/>
    </row>
    <row r="26" spans="1:36" s="91" customFormat="1" ht="28.5" x14ac:dyDescent="0.45">
      <c r="C26" s="253" t="s">
        <v>70</v>
      </c>
      <c r="D26" s="254" t="s">
        <v>85</v>
      </c>
      <c r="E26" s="254" t="s">
        <v>86</v>
      </c>
      <c r="F26" s="254" t="s">
        <v>87</v>
      </c>
      <c r="G26" s="254" t="s">
        <v>86</v>
      </c>
      <c r="H26" s="254" t="s">
        <v>0</v>
      </c>
      <c r="I26" s="254" t="s">
        <v>86</v>
      </c>
      <c r="J26" s="255"/>
      <c r="K26" s="253" t="s">
        <v>70</v>
      </c>
      <c r="L26" s="121" t="s">
        <v>113</v>
      </c>
      <c r="M26" s="254" t="s">
        <v>86</v>
      </c>
      <c r="N26" s="121" t="s">
        <v>114</v>
      </c>
      <c r="O26" s="254" t="s">
        <v>86</v>
      </c>
      <c r="P26" s="254" t="s">
        <v>0</v>
      </c>
      <c r="Q26" s="254" t="s">
        <v>86</v>
      </c>
      <c r="R26" s="254" t="s">
        <v>115</v>
      </c>
      <c r="S26" s="254" t="s">
        <v>116</v>
      </c>
      <c r="U26" s="1988"/>
      <c r="V26" s="1988"/>
      <c r="W26" s="1988"/>
      <c r="X26" s="1988"/>
      <c r="Y26" s="1988"/>
      <c r="Z26" s="1988"/>
      <c r="AA26" s="1988"/>
      <c r="AB26" s="1988"/>
      <c r="AC26" s="1988"/>
    </row>
    <row r="27" spans="1:36" x14ac:dyDescent="0.45">
      <c r="C27" s="88"/>
      <c r="D27" s="94">
        <v>1</v>
      </c>
      <c r="E27" s="94">
        <v>2</v>
      </c>
      <c r="F27" s="95">
        <v>3</v>
      </c>
      <c r="G27" s="95">
        <v>4</v>
      </c>
      <c r="H27" s="95" t="s">
        <v>91</v>
      </c>
      <c r="I27" s="95" t="s">
        <v>92</v>
      </c>
      <c r="J27" s="176"/>
      <c r="K27" s="88"/>
      <c r="L27" s="96"/>
      <c r="M27" s="95"/>
      <c r="N27" s="121"/>
      <c r="O27" s="95"/>
      <c r="P27" s="95"/>
      <c r="Q27" s="95"/>
      <c r="R27" s="95"/>
      <c r="S27" s="95"/>
      <c r="U27" s="88" t="s">
        <v>70</v>
      </c>
      <c r="V27" s="94" t="s">
        <v>85</v>
      </c>
      <c r="W27" s="94" t="s">
        <v>86</v>
      </c>
      <c r="X27" s="88" t="s">
        <v>70</v>
      </c>
      <c r="Y27" s="94" t="s">
        <v>85</v>
      </c>
      <c r="Z27" s="94" t="s">
        <v>86</v>
      </c>
      <c r="AA27" s="88" t="s">
        <v>70</v>
      </c>
      <c r="AB27" s="94" t="s">
        <v>85</v>
      </c>
      <c r="AC27" s="94" t="s">
        <v>86</v>
      </c>
      <c r="AD27" s="91"/>
      <c r="AE27" s="91"/>
      <c r="AF27" s="91"/>
    </row>
    <row r="28" spans="1:36" x14ac:dyDescent="0.45">
      <c r="B28" s="187">
        <f>D39/31</f>
        <v>0.91290322580645167</v>
      </c>
      <c r="C28" s="97" t="s">
        <v>93</v>
      </c>
      <c r="D28" s="98">
        <v>26.8</v>
      </c>
      <c r="E28" s="95">
        <f>D28</f>
        <v>26.8</v>
      </c>
      <c r="F28" s="98">
        <v>36.1</v>
      </c>
      <c r="G28" s="95">
        <f>F28</f>
        <v>36.1</v>
      </c>
      <c r="H28" s="99">
        <f>D28+F28</f>
        <v>62.900000000000006</v>
      </c>
      <c r="I28" s="99">
        <f>H28</f>
        <v>62.900000000000006</v>
      </c>
      <c r="K28" s="97" t="s">
        <v>93</v>
      </c>
      <c r="L28" s="122">
        <v>30</v>
      </c>
      <c r="M28" s="100">
        <f>L28</f>
        <v>30</v>
      </c>
      <c r="N28" s="123">
        <v>40</v>
      </c>
      <c r="O28" s="100">
        <f>N28</f>
        <v>40</v>
      </c>
      <c r="P28" s="100">
        <f>L28+N28</f>
        <v>70</v>
      </c>
      <c r="Q28" s="100">
        <f>P28</f>
        <v>70</v>
      </c>
      <c r="R28" s="122">
        <v>180</v>
      </c>
      <c r="S28" s="100">
        <f>R28</f>
        <v>180</v>
      </c>
      <c r="U28" s="88"/>
      <c r="V28" s="94"/>
      <c r="W28" s="94"/>
      <c r="X28" s="88"/>
      <c r="Y28" s="94"/>
      <c r="Z28" s="94"/>
      <c r="AA28" s="93">
        <f>P28+P29+P30</f>
        <v>201</v>
      </c>
      <c r="AC28" s="91"/>
      <c r="AD28" s="91"/>
      <c r="AE28" s="91"/>
      <c r="AF28" s="91"/>
    </row>
    <row r="29" spans="1:36" x14ac:dyDescent="0.45">
      <c r="A29" t="s">
        <v>94</v>
      </c>
      <c r="B29" s="263">
        <f>B28*A14</f>
        <v>28.3</v>
      </c>
      <c r="C29" s="97" t="s">
        <v>95</v>
      </c>
      <c r="D29" s="98">
        <v>26</v>
      </c>
      <c r="E29" s="95">
        <f>D29+E28</f>
        <v>52.8</v>
      </c>
      <c r="F29" s="98">
        <v>38</v>
      </c>
      <c r="G29" s="95">
        <f>F29+G28</f>
        <v>74.099999999999994</v>
      </c>
      <c r="H29" s="99">
        <f>D29+F29</f>
        <v>64</v>
      </c>
      <c r="I29" s="99">
        <f t="shared" ref="I29:I39" si="13">I28+H29</f>
        <v>126.9</v>
      </c>
      <c r="K29" s="97" t="s">
        <v>95</v>
      </c>
      <c r="L29" s="122">
        <v>30</v>
      </c>
      <c r="M29" s="100">
        <f t="shared" ref="M29:M39" si="14">M28+L29</f>
        <v>60</v>
      </c>
      <c r="N29" s="123">
        <v>40</v>
      </c>
      <c r="O29" s="100">
        <f t="shared" ref="O29:O39" si="15">O28+N29</f>
        <v>80</v>
      </c>
      <c r="P29" s="100">
        <f t="shared" ref="P29:P38" si="16">L29+N29</f>
        <v>70</v>
      </c>
      <c r="Q29" s="100">
        <f t="shared" ref="Q29:Q39" si="17">Q28+P29</f>
        <v>140</v>
      </c>
      <c r="R29" s="122">
        <v>180</v>
      </c>
      <c r="S29" s="100">
        <f t="shared" ref="S29:S39" si="18">S28+R29</f>
        <v>360</v>
      </c>
      <c r="U29" s="97" t="s">
        <v>93</v>
      </c>
      <c r="V29" s="213">
        <v>0.83333333333333326</v>
      </c>
      <c r="W29" s="104">
        <f>V29</f>
        <v>0.83333333333333326</v>
      </c>
      <c r="X29" s="97" t="s">
        <v>93</v>
      </c>
      <c r="Y29" s="103">
        <v>0.48166666666666702</v>
      </c>
      <c r="Z29" s="104">
        <f>Y29</f>
        <v>0.48166666666666702</v>
      </c>
      <c r="AA29" s="97" t="s">
        <v>93</v>
      </c>
      <c r="AB29" s="91">
        <v>0.125</v>
      </c>
      <c r="AC29" s="104">
        <f>AB29</f>
        <v>0.125</v>
      </c>
      <c r="AD29" s="91"/>
      <c r="AE29" s="91">
        <f>1.5*10000000</f>
        <v>15000000</v>
      </c>
      <c r="AF29" s="91"/>
    </row>
    <row r="30" spans="1:36" x14ac:dyDescent="0.45">
      <c r="B30" s="187">
        <f>F39/31</f>
        <v>1.167741935483871</v>
      </c>
      <c r="C30" s="97" t="s">
        <v>96</v>
      </c>
      <c r="D30" s="98">
        <v>28.2</v>
      </c>
      <c r="E30" s="95">
        <f>D30+E29</f>
        <v>81</v>
      </c>
      <c r="F30" s="98">
        <v>36.799999999999997</v>
      </c>
      <c r="G30" s="95">
        <f>F30+G29</f>
        <v>110.89999999999999</v>
      </c>
      <c r="H30" s="99">
        <f>D30+F30</f>
        <v>65</v>
      </c>
      <c r="I30" s="99">
        <f t="shared" si="13"/>
        <v>191.9</v>
      </c>
      <c r="K30" s="97" t="s">
        <v>96</v>
      </c>
      <c r="L30" s="122">
        <v>27</v>
      </c>
      <c r="M30" s="100">
        <f t="shared" si="14"/>
        <v>87</v>
      </c>
      <c r="N30" s="123">
        <v>34</v>
      </c>
      <c r="O30" s="100">
        <f t="shared" si="15"/>
        <v>114</v>
      </c>
      <c r="P30" s="100">
        <f t="shared" si="16"/>
        <v>61</v>
      </c>
      <c r="Q30" s="100">
        <f t="shared" si="17"/>
        <v>201</v>
      </c>
      <c r="R30" s="122">
        <v>143</v>
      </c>
      <c r="S30" s="100">
        <f t="shared" si="18"/>
        <v>503</v>
      </c>
      <c r="U30" s="97" t="s">
        <v>95</v>
      </c>
      <c r="V30" s="213">
        <v>0.83333333333333326</v>
      </c>
      <c r="W30" s="104">
        <f>V30+W29</f>
        <v>1.6666666666666665</v>
      </c>
      <c r="X30" s="97" t="s">
        <v>95</v>
      </c>
      <c r="Y30" s="103">
        <v>0.48166666666666669</v>
      </c>
      <c r="Z30" s="104">
        <f>Y30+Z29</f>
        <v>0.96333333333333371</v>
      </c>
      <c r="AA30" s="97" t="s">
        <v>95</v>
      </c>
      <c r="AB30" s="91">
        <v>0.125</v>
      </c>
      <c r="AC30" s="104">
        <f>AB30+AC29</f>
        <v>0.25</v>
      </c>
      <c r="AD30" s="91"/>
      <c r="AE30" s="91">
        <f>AE29/12</f>
        <v>1250000</v>
      </c>
      <c r="AF30" s="91"/>
    </row>
    <row r="31" spans="1:36" x14ac:dyDescent="0.45">
      <c r="A31" t="s">
        <v>97</v>
      </c>
      <c r="B31" s="263">
        <f>B30*A14</f>
        <v>36.200000000000003</v>
      </c>
      <c r="C31" s="97" t="s">
        <v>98</v>
      </c>
      <c r="D31" s="98">
        <v>34</v>
      </c>
      <c r="E31" s="99">
        <f>E30+D31</f>
        <v>115</v>
      </c>
      <c r="F31" s="98">
        <v>36.9</v>
      </c>
      <c r="G31" s="95">
        <f>G30+F31</f>
        <v>147.79999999999998</v>
      </c>
      <c r="H31" s="99">
        <f>D31+F31</f>
        <v>70.900000000000006</v>
      </c>
      <c r="I31" s="99">
        <f>I30+H31</f>
        <v>262.8</v>
      </c>
      <c r="K31" s="97" t="s">
        <v>98</v>
      </c>
      <c r="L31" s="122">
        <v>19</v>
      </c>
      <c r="M31" s="100">
        <f t="shared" si="14"/>
        <v>106</v>
      </c>
      <c r="N31" s="123">
        <v>30</v>
      </c>
      <c r="O31" s="100">
        <f t="shared" si="15"/>
        <v>144</v>
      </c>
      <c r="P31" s="100">
        <f t="shared" si="16"/>
        <v>49</v>
      </c>
      <c r="Q31" s="100">
        <f t="shared" si="17"/>
        <v>250</v>
      </c>
      <c r="R31" s="122">
        <v>90</v>
      </c>
      <c r="S31" s="100">
        <f t="shared" si="18"/>
        <v>593</v>
      </c>
      <c r="U31" s="97" t="s">
        <v>96</v>
      </c>
      <c r="V31" s="213">
        <v>0.83333333333333326</v>
      </c>
      <c r="W31" s="104">
        <f>V31+W30</f>
        <v>2.5</v>
      </c>
      <c r="X31" s="97" t="s">
        <v>96</v>
      </c>
      <c r="Y31" s="103">
        <v>0.48166666666666669</v>
      </c>
      <c r="Z31" s="104">
        <f>Y31+Z30</f>
        <v>1.4450000000000003</v>
      </c>
      <c r="AA31" s="97" t="s">
        <v>96</v>
      </c>
      <c r="AB31" s="91">
        <v>0.125</v>
      </c>
      <c r="AC31" s="104">
        <f>AB31+AC30</f>
        <v>0.375</v>
      </c>
      <c r="AD31" s="91"/>
      <c r="AE31" s="91">
        <f>AE30/10000000</f>
        <v>0.125</v>
      </c>
      <c r="AF31" s="91"/>
    </row>
    <row r="32" spans="1:36" x14ac:dyDescent="0.45">
      <c r="C32" s="97" t="s">
        <v>99</v>
      </c>
      <c r="D32" s="98">
        <v>32.6</v>
      </c>
      <c r="E32" s="95">
        <f>E31+D32</f>
        <v>147.6</v>
      </c>
      <c r="F32" s="98">
        <v>37.700000000000003</v>
      </c>
      <c r="G32" s="95">
        <f>G31+F32</f>
        <v>185.5</v>
      </c>
      <c r="H32" s="99">
        <f t="shared" ref="H32:H39" si="19">D32+F32</f>
        <v>70.300000000000011</v>
      </c>
      <c r="I32" s="99">
        <f t="shared" si="13"/>
        <v>333.1</v>
      </c>
      <c r="J32" s="269">
        <f>R39/31</f>
        <v>4.612903225806452</v>
      </c>
      <c r="K32" s="97" t="s">
        <v>99</v>
      </c>
      <c r="L32" s="122">
        <v>19</v>
      </c>
      <c r="M32" s="100">
        <f t="shared" si="14"/>
        <v>125</v>
      </c>
      <c r="N32" s="123">
        <v>25</v>
      </c>
      <c r="O32" s="100">
        <f t="shared" si="15"/>
        <v>169</v>
      </c>
      <c r="P32" s="100">
        <f t="shared" si="16"/>
        <v>44</v>
      </c>
      <c r="Q32" s="100">
        <f t="shared" si="17"/>
        <v>294</v>
      </c>
      <c r="R32" s="122">
        <v>90</v>
      </c>
      <c r="S32" s="100">
        <f t="shared" si="18"/>
        <v>683</v>
      </c>
      <c r="U32" s="97" t="s">
        <v>98</v>
      </c>
      <c r="V32" s="213">
        <v>0.83333333333333326</v>
      </c>
      <c r="W32" s="104">
        <f>W31+V32</f>
        <v>3.333333333333333</v>
      </c>
      <c r="X32" s="97" t="s">
        <v>98</v>
      </c>
      <c r="Y32" s="103">
        <v>0.48166666666666669</v>
      </c>
      <c r="Z32" s="104">
        <f>Z31+Y32</f>
        <v>1.926666666666667</v>
      </c>
      <c r="AA32" s="97" t="s">
        <v>98</v>
      </c>
      <c r="AB32" s="91">
        <v>0.125</v>
      </c>
      <c r="AC32" s="104">
        <f>AC31+AB32</f>
        <v>0.5</v>
      </c>
      <c r="AD32" s="91"/>
      <c r="AE32" s="91"/>
      <c r="AF32" s="91"/>
    </row>
    <row r="33" spans="2:29" x14ac:dyDescent="0.45">
      <c r="C33" s="97" t="s">
        <v>100</v>
      </c>
      <c r="D33" s="98">
        <v>30</v>
      </c>
      <c r="E33" s="95">
        <f>E32+D33</f>
        <v>177.6</v>
      </c>
      <c r="F33" s="124">
        <v>36</v>
      </c>
      <c r="G33" s="95">
        <f>G32+F33</f>
        <v>221.5</v>
      </c>
      <c r="H33" s="99">
        <f t="shared" si="19"/>
        <v>66</v>
      </c>
      <c r="I33" s="99">
        <f t="shared" si="13"/>
        <v>399.1</v>
      </c>
      <c r="J33" s="269">
        <f>J32*A14</f>
        <v>143</v>
      </c>
      <c r="K33" s="97" t="s">
        <v>100</v>
      </c>
      <c r="L33" s="122">
        <v>19</v>
      </c>
      <c r="M33" s="100">
        <f t="shared" si="14"/>
        <v>144</v>
      </c>
      <c r="N33" s="123">
        <v>32</v>
      </c>
      <c r="O33" s="100">
        <f t="shared" si="15"/>
        <v>201</v>
      </c>
      <c r="P33" s="100">
        <f t="shared" si="16"/>
        <v>51</v>
      </c>
      <c r="Q33" s="100">
        <f>Q32+P33</f>
        <v>345</v>
      </c>
      <c r="R33" s="122">
        <v>161</v>
      </c>
      <c r="S33" s="100">
        <f t="shared" si="18"/>
        <v>844</v>
      </c>
      <c r="U33" s="97" t="s">
        <v>99</v>
      </c>
      <c r="V33" s="213">
        <v>0.83333333333333326</v>
      </c>
      <c r="W33" s="104">
        <f>W32+V33</f>
        <v>4.1666666666666661</v>
      </c>
      <c r="X33" s="97" t="s">
        <v>99</v>
      </c>
      <c r="Y33" s="103">
        <v>0.48166666666666669</v>
      </c>
      <c r="Z33" s="104">
        <f>Z32+Y33</f>
        <v>2.4083333333333337</v>
      </c>
      <c r="AA33" s="97" t="s">
        <v>99</v>
      </c>
      <c r="AB33" s="91">
        <v>0.125</v>
      </c>
      <c r="AC33" s="104">
        <f>AC32+AB33</f>
        <v>0.625</v>
      </c>
    </row>
    <row r="34" spans="2:29" x14ac:dyDescent="0.45">
      <c r="C34" s="97" t="s">
        <v>101</v>
      </c>
      <c r="D34" s="98">
        <v>28.6</v>
      </c>
      <c r="E34" s="95">
        <f>E33+D34</f>
        <v>206.2</v>
      </c>
      <c r="F34" s="98">
        <v>35.9</v>
      </c>
      <c r="G34" s="95">
        <f>G33+F34</f>
        <v>257.39999999999998</v>
      </c>
      <c r="H34" s="99">
        <f t="shared" si="19"/>
        <v>64.5</v>
      </c>
      <c r="I34" s="99">
        <f t="shared" si="13"/>
        <v>463.6</v>
      </c>
      <c r="J34" s="215">
        <f>J33*100000</f>
        <v>14300000</v>
      </c>
      <c r="K34" s="97" t="s">
        <v>101</v>
      </c>
      <c r="L34" s="122">
        <v>25</v>
      </c>
      <c r="M34" s="100">
        <f t="shared" si="14"/>
        <v>169</v>
      </c>
      <c r="N34" s="123">
        <v>40</v>
      </c>
      <c r="O34" s="100">
        <f t="shared" si="15"/>
        <v>241</v>
      </c>
      <c r="P34" s="100">
        <f>L34+N34</f>
        <v>65</v>
      </c>
      <c r="Q34" s="100">
        <f t="shared" si="17"/>
        <v>410</v>
      </c>
      <c r="R34" s="122">
        <v>179</v>
      </c>
      <c r="S34" s="100">
        <f t="shared" si="18"/>
        <v>1023</v>
      </c>
      <c r="U34" s="97" t="s">
        <v>100</v>
      </c>
      <c r="V34" s="213">
        <v>0.83333333333333326</v>
      </c>
      <c r="W34" s="104">
        <f>W33+V34</f>
        <v>4.9999999999999991</v>
      </c>
      <c r="X34" s="97" t="s">
        <v>100</v>
      </c>
      <c r="Y34" s="103">
        <v>0.48166666666666669</v>
      </c>
      <c r="Z34" s="104">
        <f>Z33+Y34</f>
        <v>2.8900000000000006</v>
      </c>
      <c r="AA34" s="97" t="s">
        <v>100</v>
      </c>
      <c r="AB34" s="91">
        <v>0.125</v>
      </c>
      <c r="AC34" s="104">
        <f>AC33+AB34</f>
        <v>0.75</v>
      </c>
    </row>
    <row r="35" spans="2:29" x14ac:dyDescent="0.45">
      <c r="C35" s="97" t="s">
        <v>102</v>
      </c>
      <c r="D35" s="98">
        <v>28.4</v>
      </c>
      <c r="E35" s="95">
        <f>E34+D35</f>
        <v>234.6</v>
      </c>
      <c r="F35" s="98">
        <v>39.6</v>
      </c>
      <c r="G35" s="95">
        <f>G34+F35</f>
        <v>297</v>
      </c>
      <c r="H35" s="99">
        <f t="shared" si="19"/>
        <v>68</v>
      </c>
      <c r="I35" s="99">
        <f t="shared" si="13"/>
        <v>531.6</v>
      </c>
      <c r="J35" s="270">
        <f>J34/10000000</f>
        <v>1.43</v>
      </c>
      <c r="K35" s="97" t="s">
        <v>102</v>
      </c>
      <c r="L35" s="122">
        <v>27</v>
      </c>
      <c r="M35" s="100">
        <f t="shared" si="14"/>
        <v>196</v>
      </c>
      <c r="N35" s="123">
        <v>40</v>
      </c>
      <c r="O35" s="100">
        <f t="shared" si="15"/>
        <v>281</v>
      </c>
      <c r="P35" s="100">
        <f t="shared" si="16"/>
        <v>67</v>
      </c>
      <c r="Q35" s="100">
        <f t="shared" si="17"/>
        <v>477</v>
      </c>
      <c r="R35" s="122">
        <v>179</v>
      </c>
      <c r="S35" s="100">
        <f>S34+R35</f>
        <v>1202</v>
      </c>
      <c r="U35" s="97" t="s">
        <v>101</v>
      </c>
      <c r="V35" s="213">
        <v>0.83333333333333326</v>
      </c>
      <c r="W35" s="104">
        <f>W34+V35</f>
        <v>5.8333333333333321</v>
      </c>
      <c r="X35" s="97" t="s">
        <v>101</v>
      </c>
      <c r="Y35" s="103">
        <v>0.48166666666666669</v>
      </c>
      <c r="Z35" s="104">
        <f>Z34+Y35</f>
        <v>3.371666666666667</v>
      </c>
      <c r="AA35" s="97" t="s">
        <v>101</v>
      </c>
      <c r="AB35" s="91">
        <v>0.125</v>
      </c>
      <c r="AC35" s="104">
        <f>AC34+AB35</f>
        <v>0.875</v>
      </c>
    </row>
    <row r="36" spans="2:29" x14ac:dyDescent="0.45">
      <c r="C36" s="97" t="s">
        <v>103</v>
      </c>
      <c r="D36" s="98">
        <v>29.9</v>
      </c>
      <c r="E36" s="95">
        <f>D36+E35</f>
        <v>264.5</v>
      </c>
      <c r="F36" s="98">
        <v>38.1</v>
      </c>
      <c r="G36" s="95">
        <f>F36+G35</f>
        <v>335.1</v>
      </c>
      <c r="H36" s="99">
        <f t="shared" si="19"/>
        <v>68</v>
      </c>
      <c r="I36" s="99">
        <f t="shared" si="13"/>
        <v>599.6</v>
      </c>
      <c r="J36" s="271"/>
      <c r="K36" s="97" t="s">
        <v>103</v>
      </c>
      <c r="L36" s="122">
        <v>19</v>
      </c>
      <c r="M36" s="100">
        <f t="shared" si="14"/>
        <v>215</v>
      </c>
      <c r="N36" s="123">
        <v>32</v>
      </c>
      <c r="O36" s="100">
        <f t="shared" si="15"/>
        <v>313</v>
      </c>
      <c r="P36" s="100">
        <f t="shared" si="16"/>
        <v>51</v>
      </c>
      <c r="Q36" s="100">
        <f t="shared" si="17"/>
        <v>528</v>
      </c>
      <c r="R36" s="122">
        <v>161</v>
      </c>
      <c r="S36" s="100">
        <f t="shared" si="18"/>
        <v>1363</v>
      </c>
      <c r="U36" s="97" t="s">
        <v>102</v>
      </c>
      <c r="V36" s="213">
        <v>0.83333333333333326</v>
      </c>
      <c r="W36" s="104">
        <f>W35+V36</f>
        <v>6.6666666666666652</v>
      </c>
      <c r="X36" s="97" t="s">
        <v>102</v>
      </c>
      <c r="Y36" s="103">
        <v>0.48166666666666669</v>
      </c>
      <c r="Z36" s="104">
        <f>Z35+Y36</f>
        <v>3.8533333333333335</v>
      </c>
      <c r="AA36" s="97" t="s">
        <v>102</v>
      </c>
      <c r="AB36" s="91">
        <v>0.125</v>
      </c>
      <c r="AC36" s="104">
        <f>AC35+AB36</f>
        <v>1</v>
      </c>
    </row>
    <row r="37" spans="2:29" x14ac:dyDescent="0.45">
      <c r="B37" s="189"/>
      <c r="C37" s="97" t="s">
        <v>104</v>
      </c>
      <c r="D37" s="280">
        <v>31.9</v>
      </c>
      <c r="E37" s="281">
        <f>E36+D37</f>
        <v>296.39999999999998</v>
      </c>
      <c r="F37" s="280">
        <v>38</v>
      </c>
      <c r="G37" s="281">
        <f>G36+F37</f>
        <v>373.1</v>
      </c>
      <c r="H37" s="281">
        <f t="shared" si="19"/>
        <v>69.900000000000006</v>
      </c>
      <c r="I37" s="281">
        <f t="shared" si="13"/>
        <v>669.5</v>
      </c>
      <c r="K37" s="97" t="s">
        <v>104</v>
      </c>
      <c r="L37" s="122">
        <v>18</v>
      </c>
      <c r="M37" s="100">
        <f t="shared" si="14"/>
        <v>233</v>
      </c>
      <c r="N37" s="123">
        <v>28</v>
      </c>
      <c r="O37" s="100">
        <f t="shared" si="15"/>
        <v>341</v>
      </c>
      <c r="P37" s="100">
        <f>L37+N37</f>
        <v>46</v>
      </c>
      <c r="Q37" s="100">
        <f t="shared" si="17"/>
        <v>574</v>
      </c>
      <c r="R37" s="122">
        <v>143</v>
      </c>
      <c r="S37" s="100">
        <f t="shared" si="18"/>
        <v>1506</v>
      </c>
      <c r="U37" s="97" t="s">
        <v>103</v>
      </c>
      <c r="V37" s="213">
        <v>0.83333333333333326</v>
      </c>
      <c r="W37" s="104">
        <f>V37+W36</f>
        <v>7.4999999999999982</v>
      </c>
      <c r="X37" s="97" t="s">
        <v>103</v>
      </c>
      <c r="Y37" s="103">
        <v>0.48166666666666669</v>
      </c>
      <c r="Z37" s="104">
        <f>Y37+Z36</f>
        <v>4.335</v>
      </c>
      <c r="AA37" s="97" t="s">
        <v>103</v>
      </c>
      <c r="AB37" s="91">
        <v>0.125</v>
      </c>
      <c r="AC37" s="104">
        <f>AB37+AC36</f>
        <v>1.125</v>
      </c>
    </row>
    <row r="38" spans="2:29" x14ac:dyDescent="0.45">
      <c r="B38" s="189"/>
      <c r="C38" s="97" t="s">
        <v>105</v>
      </c>
      <c r="D38" s="98">
        <v>26.3</v>
      </c>
      <c r="E38" s="99">
        <f>E37+D38</f>
        <v>322.7</v>
      </c>
      <c r="F38" s="98">
        <v>33.700000000000003</v>
      </c>
      <c r="G38" s="99">
        <f>G37+F38</f>
        <v>406.8</v>
      </c>
      <c r="H38" s="99">
        <f t="shared" si="19"/>
        <v>60</v>
      </c>
      <c r="I38" s="99">
        <f t="shared" si="13"/>
        <v>729.5</v>
      </c>
      <c r="K38" s="97" t="s">
        <v>105</v>
      </c>
      <c r="L38" s="122">
        <v>18</v>
      </c>
      <c r="M38" s="100">
        <f t="shared" si="14"/>
        <v>251</v>
      </c>
      <c r="N38" s="123">
        <v>28</v>
      </c>
      <c r="O38" s="100">
        <f t="shared" si="15"/>
        <v>369</v>
      </c>
      <c r="P38" s="100">
        <f t="shared" si="16"/>
        <v>46</v>
      </c>
      <c r="Q38" s="100">
        <f t="shared" si="17"/>
        <v>620</v>
      </c>
      <c r="R38" s="122">
        <v>143</v>
      </c>
      <c r="S38" s="100">
        <f t="shared" si="18"/>
        <v>1649</v>
      </c>
      <c r="U38" s="97" t="s">
        <v>104</v>
      </c>
      <c r="V38" s="213">
        <v>0.83333333333333326</v>
      </c>
      <c r="W38" s="104">
        <f>W37+V38</f>
        <v>8.3333333333333321</v>
      </c>
      <c r="X38" s="97" t="s">
        <v>104</v>
      </c>
      <c r="Y38" s="103">
        <v>0.48166666666666669</v>
      </c>
      <c r="Z38" s="104">
        <f>Z37+Y38</f>
        <v>4.8166666666666664</v>
      </c>
      <c r="AA38" s="97" t="s">
        <v>104</v>
      </c>
      <c r="AB38" s="91">
        <v>0.125</v>
      </c>
      <c r="AC38" s="104">
        <f>AC37+AB38</f>
        <v>1.25</v>
      </c>
    </row>
    <row r="39" spans="2:29" x14ac:dyDescent="0.45">
      <c r="B39" s="189"/>
      <c r="C39" s="97" t="s">
        <v>106</v>
      </c>
      <c r="D39" s="98">
        <v>28.3</v>
      </c>
      <c r="E39" s="99">
        <f>E38+D39</f>
        <v>351</v>
      </c>
      <c r="F39" s="98">
        <v>36.200000000000003</v>
      </c>
      <c r="G39" s="99">
        <f>G38+F39</f>
        <v>443</v>
      </c>
      <c r="H39" s="99">
        <f t="shared" si="19"/>
        <v>64.5</v>
      </c>
      <c r="I39" s="99">
        <f t="shared" si="13"/>
        <v>794</v>
      </c>
      <c r="K39" s="97" t="s">
        <v>106</v>
      </c>
      <c r="L39" s="122">
        <v>29</v>
      </c>
      <c r="M39" s="100">
        <f t="shared" si="14"/>
        <v>280</v>
      </c>
      <c r="N39" s="123">
        <v>40</v>
      </c>
      <c r="O39" s="100">
        <f t="shared" si="15"/>
        <v>409</v>
      </c>
      <c r="P39" s="100">
        <f>L39+N39</f>
        <v>69</v>
      </c>
      <c r="Q39" s="100">
        <f t="shared" si="17"/>
        <v>689</v>
      </c>
      <c r="R39" s="122">
        <v>143</v>
      </c>
      <c r="S39" s="100">
        <f t="shared" si="18"/>
        <v>1792</v>
      </c>
      <c r="U39" s="97" t="s">
        <v>105</v>
      </c>
      <c r="V39" s="213">
        <v>0.83333333333333326</v>
      </c>
      <c r="W39" s="104">
        <f>W38+V39</f>
        <v>9.1666666666666661</v>
      </c>
      <c r="X39" s="97" t="s">
        <v>105</v>
      </c>
      <c r="Y39" s="103">
        <v>0.48166666666666669</v>
      </c>
      <c r="Z39" s="104">
        <f>Z38+Y39</f>
        <v>5.2983333333333329</v>
      </c>
      <c r="AA39" s="97" t="s">
        <v>105</v>
      </c>
      <c r="AB39" s="91">
        <v>0.125</v>
      </c>
      <c r="AC39" s="104">
        <f>AC38+AB39</f>
        <v>1.375</v>
      </c>
    </row>
    <row r="40" spans="2:29" ht="15.75" x14ac:dyDescent="0.5">
      <c r="B40" s="189"/>
      <c r="C40" s="112" t="s">
        <v>0</v>
      </c>
      <c r="D40" s="113">
        <f>SUM(D28:D39)</f>
        <v>351</v>
      </c>
      <c r="E40" s="226"/>
      <c r="F40" s="113">
        <f>SUM(F28:F39)</f>
        <v>443</v>
      </c>
      <c r="G40" s="226"/>
      <c r="H40" s="125">
        <f>SUM(H28:H39)</f>
        <v>794</v>
      </c>
      <c r="I40" s="98"/>
      <c r="K40" s="126" t="s">
        <v>0</v>
      </c>
      <c r="L40" s="109">
        <f>SUM(L28:L39)</f>
        <v>280</v>
      </c>
      <c r="M40" s="109"/>
      <c r="N40" s="109">
        <f>SUM(N28:N39)</f>
        <v>409</v>
      </c>
      <c r="O40" s="109"/>
      <c r="P40" s="109"/>
      <c r="Q40" s="109"/>
      <c r="R40" s="127">
        <f>SUM(R28:R39)</f>
        <v>1792</v>
      </c>
      <c r="S40" s="98"/>
      <c r="U40" s="97" t="s">
        <v>106</v>
      </c>
      <c r="V40" s="213">
        <v>0.83333333333333326</v>
      </c>
      <c r="W40" s="104">
        <f>W39+V40</f>
        <v>10</v>
      </c>
      <c r="X40" s="97" t="s">
        <v>106</v>
      </c>
      <c r="Y40" s="103">
        <v>0.48166666666666669</v>
      </c>
      <c r="Z40" s="104">
        <f>Z39+Y40</f>
        <v>5.7799999999999994</v>
      </c>
      <c r="AA40" s="97" t="s">
        <v>106</v>
      </c>
      <c r="AB40" s="91">
        <v>0.125</v>
      </c>
      <c r="AC40" s="104">
        <f>AC39+AB40</f>
        <v>1.5</v>
      </c>
    </row>
    <row r="41" spans="2:29" ht="15.75" x14ac:dyDescent="0.5">
      <c r="C41" s="114" t="s">
        <v>62</v>
      </c>
      <c r="D41" s="170">
        <v>344.19999999999993</v>
      </c>
      <c r="E41" s="170"/>
      <c r="F41" s="170">
        <v>404.9</v>
      </c>
      <c r="G41" s="170"/>
      <c r="H41" s="171">
        <v>749.1</v>
      </c>
      <c r="I41" s="128"/>
      <c r="P41" s="324">
        <f>P39*1000</f>
        <v>69000</v>
      </c>
      <c r="U41" s="112" t="s">
        <v>0</v>
      </c>
      <c r="V41" s="133">
        <f>SUM(V29:V40)</f>
        <v>10</v>
      </c>
      <c r="W41" s="98"/>
      <c r="X41" s="112" t="s">
        <v>0</v>
      </c>
      <c r="Y41" s="133">
        <f>SUM(Y29:Y40)</f>
        <v>5.7799999999999994</v>
      </c>
      <c r="Z41" s="98"/>
      <c r="AA41" s="112" t="s">
        <v>0</v>
      </c>
      <c r="AB41">
        <f>SUM(AB29:AB40)</f>
        <v>1.5</v>
      </c>
    </row>
    <row r="42" spans="2:29" x14ac:dyDescent="0.45">
      <c r="D42" s="138">
        <f>(D40-D41)/D41*100</f>
        <v>1.9755955839628323</v>
      </c>
      <c r="E42" s="227"/>
      <c r="F42" s="138">
        <f>(F40-F41)/F41*100</f>
        <v>9.4097307977278408</v>
      </c>
      <c r="G42" s="227"/>
      <c r="H42" s="138">
        <f>(H40-H41)/H41*100</f>
        <v>5.9938592978240521</v>
      </c>
      <c r="J42" s="93">
        <f>J32*100000</f>
        <v>461290.32258064521</v>
      </c>
      <c r="K42">
        <f>J42/10000000</f>
        <v>4.6129032258064522E-2</v>
      </c>
      <c r="M42">
        <f>51*1000</f>
        <v>51000</v>
      </c>
      <c r="P42">
        <f>P41/31</f>
        <v>2225.8064516129034</v>
      </c>
      <c r="R42">
        <f>46000/31</f>
        <v>1483.8709677419354</v>
      </c>
      <c r="U42" s="93"/>
      <c r="V42" s="102"/>
      <c r="W42" s="93"/>
      <c r="X42" s="91"/>
      <c r="Y42" s="91"/>
      <c r="Z42" s="93"/>
      <c r="AA42" s="93"/>
    </row>
    <row r="43" spans="2:29" x14ac:dyDescent="0.45">
      <c r="H43">
        <f>H40*100000</f>
        <v>79400000</v>
      </c>
      <c r="M43">
        <f>M42/31</f>
        <v>1645.1612903225807</v>
      </c>
      <c r="O43">
        <f>P37*1000</f>
        <v>46000</v>
      </c>
      <c r="P43" s="259">
        <f>P42*A14</f>
        <v>69000</v>
      </c>
      <c r="Q43">
        <f>Q31*1000</f>
        <v>250000</v>
      </c>
      <c r="R43">
        <f>R42*12</f>
        <v>17806.451612903224</v>
      </c>
      <c r="U43" s="215">
        <f>V29*10000000</f>
        <v>8333333.333333333</v>
      </c>
      <c r="V43" s="215">
        <f>U43/100000</f>
        <v>83.333333333333329</v>
      </c>
      <c r="W43" s="104">
        <f>V43</f>
        <v>83.333333333333329</v>
      </c>
      <c r="X43" s="215">
        <f>Y29*10000000</f>
        <v>4816666.6666666698</v>
      </c>
      <c r="Y43" s="215">
        <f>X43/100000</f>
        <v>48.1666666666667</v>
      </c>
      <c r="Z43" s="104">
        <f>Y43</f>
        <v>48.1666666666667</v>
      </c>
      <c r="AA43" s="215">
        <f>AB29*10000000</f>
        <v>1250000</v>
      </c>
      <c r="AB43" s="214">
        <f>AA43/100000</f>
        <v>12.5</v>
      </c>
      <c r="AC43" s="104">
        <f>AB43</f>
        <v>12.5</v>
      </c>
    </row>
    <row r="44" spans="2:29" x14ac:dyDescent="0.45">
      <c r="H44">
        <f>H43/1000000</f>
        <v>79.400000000000006</v>
      </c>
      <c r="K44">
        <f>P38/31</f>
        <v>1.4838709677419355</v>
      </c>
      <c r="M44" s="259">
        <f>M43*14</f>
        <v>23032.258064516129</v>
      </c>
      <c r="O44" s="259">
        <f>O43/31</f>
        <v>1483.8709677419354</v>
      </c>
      <c r="P44">
        <f>P43*1000</f>
        <v>69000000</v>
      </c>
      <c r="U44" s="215">
        <f t="shared" ref="U44:U54" si="20">V30*10000000</f>
        <v>8333333.333333333</v>
      </c>
      <c r="V44" s="215">
        <f t="shared" ref="V44:V54" si="21">U44/100000</f>
        <v>83.333333333333329</v>
      </c>
      <c r="W44" s="104">
        <f>V44+W43</f>
        <v>166.66666666666666</v>
      </c>
      <c r="X44" s="215">
        <f t="shared" ref="X44:X54" si="22">Y30*10000000</f>
        <v>4816666.666666667</v>
      </c>
      <c r="Y44" s="215">
        <f t="shared" ref="Y44:Y54" si="23">X44/100000</f>
        <v>48.166666666666671</v>
      </c>
      <c r="Z44" s="104">
        <f>Y44+Z43</f>
        <v>96.333333333333371</v>
      </c>
      <c r="AA44" s="215">
        <f t="shared" ref="AA44:AA54" si="24">AB30*10000000</f>
        <v>1250000</v>
      </c>
      <c r="AB44" s="214">
        <f t="shared" ref="AB44:AB54" si="25">AA44/100000</f>
        <v>12.5</v>
      </c>
      <c r="AC44" s="104">
        <f>AB44+AC43</f>
        <v>25</v>
      </c>
    </row>
    <row r="45" spans="2:29" x14ac:dyDescent="0.45">
      <c r="K45">
        <f>K44*4</f>
        <v>5.935483870967742</v>
      </c>
      <c r="O45" s="259">
        <f>O44*A14</f>
        <v>46000</v>
      </c>
      <c r="U45" s="215">
        <f t="shared" si="20"/>
        <v>8333333.333333333</v>
      </c>
      <c r="V45" s="215">
        <f t="shared" si="21"/>
        <v>83.333333333333329</v>
      </c>
      <c r="W45" s="104">
        <f>V45+W44</f>
        <v>250</v>
      </c>
      <c r="X45" s="215">
        <f t="shared" si="22"/>
        <v>4816666.666666667</v>
      </c>
      <c r="Y45" s="215">
        <f t="shared" si="23"/>
        <v>48.166666666666671</v>
      </c>
      <c r="Z45" s="104">
        <f>Y45+Z44</f>
        <v>144.50000000000006</v>
      </c>
      <c r="AA45" s="215">
        <f t="shared" si="24"/>
        <v>1250000</v>
      </c>
      <c r="AB45" s="214">
        <f t="shared" si="25"/>
        <v>12.5</v>
      </c>
      <c r="AC45" s="104">
        <f>AB45+AC44</f>
        <v>37.5</v>
      </c>
    </row>
    <row r="46" spans="2:29" x14ac:dyDescent="0.45">
      <c r="K46" s="259">
        <f>K45*1000</f>
        <v>5935.4838709677424</v>
      </c>
      <c r="U46" s="215">
        <f t="shared" si="20"/>
        <v>8333333.333333333</v>
      </c>
      <c r="V46" s="215">
        <f t="shared" si="21"/>
        <v>83.333333333333329</v>
      </c>
      <c r="W46" s="104">
        <f>W45+V46</f>
        <v>333.33333333333331</v>
      </c>
      <c r="X46" s="215">
        <f t="shared" si="22"/>
        <v>4816666.666666667</v>
      </c>
      <c r="Y46" s="215">
        <f t="shared" si="23"/>
        <v>48.166666666666671</v>
      </c>
      <c r="Z46" s="104">
        <f>Z45+Y46</f>
        <v>192.66666666666674</v>
      </c>
      <c r="AA46" s="215">
        <f t="shared" si="24"/>
        <v>1250000</v>
      </c>
      <c r="AB46" s="214">
        <f t="shared" si="25"/>
        <v>12.5</v>
      </c>
      <c r="AC46" s="104">
        <f>AC45+AB46</f>
        <v>50</v>
      </c>
    </row>
    <row r="47" spans="2:29" x14ac:dyDescent="0.45">
      <c r="R47">
        <f>1.61</f>
        <v>1.61</v>
      </c>
      <c r="U47" s="215">
        <f t="shared" si="20"/>
        <v>8333333.333333333</v>
      </c>
      <c r="V47" s="215">
        <f t="shared" si="21"/>
        <v>83.333333333333329</v>
      </c>
      <c r="W47" s="104">
        <f>W46+V47</f>
        <v>416.66666666666663</v>
      </c>
      <c r="X47" s="215">
        <f t="shared" si="22"/>
        <v>4816666.666666667</v>
      </c>
      <c r="Y47" s="215">
        <f t="shared" si="23"/>
        <v>48.166666666666671</v>
      </c>
      <c r="Z47" s="104">
        <f>Z46+Y47</f>
        <v>240.83333333333343</v>
      </c>
      <c r="AA47" s="215">
        <f t="shared" si="24"/>
        <v>1250000</v>
      </c>
      <c r="AB47" s="214">
        <f t="shared" si="25"/>
        <v>12.5</v>
      </c>
      <c r="AC47" s="104">
        <f>AC46+AB47</f>
        <v>62.5</v>
      </c>
    </row>
    <row r="48" spans="2:29" x14ac:dyDescent="0.45">
      <c r="B48" s="91">
        <f>(377.4-351)/351*100</f>
        <v>7.5213675213675151</v>
      </c>
      <c r="R48">
        <f>R47/31</f>
        <v>5.1935483870967747E-2</v>
      </c>
      <c r="U48" s="215">
        <f t="shared" si="20"/>
        <v>8333333.333333333</v>
      </c>
      <c r="V48" s="215">
        <f t="shared" si="21"/>
        <v>83.333333333333329</v>
      </c>
      <c r="W48" s="104">
        <f>W47+V48</f>
        <v>499.99999999999994</v>
      </c>
      <c r="X48" s="215">
        <f t="shared" si="22"/>
        <v>4816666.666666667</v>
      </c>
      <c r="Y48" s="215">
        <f t="shared" si="23"/>
        <v>48.166666666666671</v>
      </c>
      <c r="Z48" s="104">
        <f>Z47+Y48</f>
        <v>289.00000000000011</v>
      </c>
      <c r="AA48" s="215">
        <f t="shared" si="24"/>
        <v>1250000</v>
      </c>
      <c r="AB48" s="214">
        <f t="shared" si="25"/>
        <v>12.5</v>
      </c>
      <c r="AC48" s="104">
        <f>AC47+AB48</f>
        <v>75</v>
      </c>
    </row>
    <row r="49" spans="18:29" x14ac:dyDescent="0.45">
      <c r="R49">
        <f>R48*28</f>
        <v>1.4541935483870969</v>
      </c>
      <c r="U49" s="215">
        <f t="shared" si="20"/>
        <v>8333333.333333333</v>
      </c>
      <c r="V49" s="215">
        <f t="shared" si="21"/>
        <v>83.333333333333329</v>
      </c>
      <c r="W49" s="104">
        <f>W48+V49</f>
        <v>583.33333333333326</v>
      </c>
      <c r="X49" s="215">
        <f t="shared" si="22"/>
        <v>4816666.666666667</v>
      </c>
      <c r="Y49" s="215">
        <f t="shared" si="23"/>
        <v>48.166666666666671</v>
      </c>
      <c r="Z49" s="104">
        <f>Z48+Y49</f>
        <v>337.1666666666668</v>
      </c>
      <c r="AA49" s="215">
        <f t="shared" si="24"/>
        <v>1250000</v>
      </c>
      <c r="AB49" s="214">
        <f t="shared" si="25"/>
        <v>12.5</v>
      </c>
      <c r="AC49" s="104">
        <f>AC48+AB49</f>
        <v>87.5</v>
      </c>
    </row>
    <row r="50" spans="18:29" x14ac:dyDescent="0.45">
      <c r="U50" s="215">
        <f t="shared" si="20"/>
        <v>8333333.333333333</v>
      </c>
      <c r="V50" s="215">
        <f t="shared" si="21"/>
        <v>83.333333333333329</v>
      </c>
      <c r="W50" s="104">
        <f>W49+V50</f>
        <v>666.66666666666663</v>
      </c>
      <c r="X50" s="215">
        <f t="shared" si="22"/>
        <v>4816666.666666667</v>
      </c>
      <c r="Y50" s="215">
        <f t="shared" si="23"/>
        <v>48.166666666666671</v>
      </c>
      <c r="Z50" s="104">
        <f>Z49+Y50</f>
        <v>385.33333333333348</v>
      </c>
      <c r="AA50" s="215">
        <f t="shared" si="24"/>
        <v>1250000</v>
      </c>
      <c r="AB50" s="214">
        <f t="shared" si="25"/>
        <v>12.5</v>
      </c>
      <c r="AC50" s="104">
        <f>AC49+AB50</f>
        <v>100</v>
      </c>
    </row>
    <row r="51" spans="18:29" x14ac:dyDescent="0.45">
      <c r="U51" s="215">
        <f t="shared" si="20"/>
        <v>8333333.333333333</v>
      </c>
      <c r="V51" s="215">
        <f t="shared" si="21"/>
        <v>83.333333333333329</v>
      </c>
      <c r="W51" s="104">
        <f>V51+W50</f>
        <v>750</v>
      </c>
      <c r="X51" s="215">
        <f t="shared" si="22"/>
        <v>4816666.666666667</v>
      </c>
      <c r="Y51" s="215">
        <f t="shared" si="23"/>
        <v>48.166666666666671</v>
      </c>
      <c r="Z51" s="104">
        <f>Y51+Z50</f>
        <v>433.50000000000017</v>
      </c>
      <c r="AA51" s="215">
        <f t="shared" si="24"/>
        <v>1250000</v>
      </c>
      <c r="AB51" s="214">
        <f t="shared" si="25"/>
        <v>12.5</v>
      </c>
      <c r="AC51" s="104">
        <f>AB51+AC50</f>
        <v>112.5</v>
      </c>
    </row>
    <row r="52" spans="18:29" x14ac:dyDescent="0.45">
      <c r="U52" s="215">
        <f t="shared" si="20"/>
        <v>8333333.333333333</v>
      </c>
      <c r="V52" s="215">
        <f t="shared" si="21"/>
        <v>83.333333333333329</v>
      </c>
      <c r="W52" s="104">
        <f>W51+V52</f>
        <v>833.33333333333337</v>
      </c>
      <c r="X52" s="215">
        <f t="shared" si="22"/>
        <v>4816666.666666667</v>
      </c>
      <c r="Y52" s="215">
        <f t="shared" si="23"/>
        <v>48.166666666666671</v>
      </c>
      <c r="Z52" s="104">
        <f>Z51+Y52</f>
        <v>481.66666666666686</v>
      </c>
      <c r="AA52" s="215">
        <f t="shared" si="24"/>
        <v>1250000</v>
      </c>
      <c r="AB52" s="214">
        <f t="shared" si="25"/>
        <v>12.5</v>
      </c>
      <c r="AC52" s="104">
        <f>AC51+AB52</f>
        <v>125</v>
      </c>
    </row>
    <row r="53" spans="18:29" x14ac:dyDescent="0.45">
      <c r="U53" s="215">
        <f t="shared" si="20"/>
        <v>8333333.333333333</v>
      </c>
      <c r="V53" s="215">
        <f t="shared" si="21"/>
        <v>83.333333333333329</v>
      </c>
      <c r="W53" s="104">
        <f>W52+V53</f>
        <v>916.66666666666674</v>
      </c>
      <c r="X53" s="215">
        <f t="shared" si="22"/>
        <v>4816666.666666667</v>
      </c>
      <c r="Y53" s="215">
        <f t="shared" si="23"/>
        <v>48.166666666666671</v>
      </c>
      <c r="Z53" s="104">
        <f>Z52+Y53</f>
        <v>529.83333333333348</v>
      </c>
      <c r="AA53" s="215">
        <f t="shared" si="24"/>
        <v>1250000</v>
      </c>
      <c r="AB53" s="214">
        <f t="shared" si="25"/>
        <v>12.5</v>
      </c>
      <c r="AC53" s="104">
        <f>AC52+AB53</f>
        <v>137.5</v>
      </c>
    </row>
    <row r="54" spans="18:29" x14ac:dyDescent="0.45">
      <c r="U54" s="215">
        <f t="shared" si="20"/>
        <v>8333333.333333333</v>
      </c>
      <c r="V54" s="215">
        <f t="shared" si="21"/>
        <v>83.333333333333329</v>
      </c>
      <c r="W54" s="104">
        <f>W53+V54</f>
        <v>1000.0000000000001</v>
      </c>
      <c r="X54" s="215">
        <f t="shared" si="22"/>
        <v>4816666.666666667</v>
      </c>
      <c r="Y54" s="215">
        <f t="shared" si="23"/>
        <v>48.166666666666671</v>
      </c>
      <c r="Z54" s="104">
        <f>Z53+Y54</f>
        <v>578.00000000000011</v>
      </c>
      <c r="AA54" s="215">
        <f t="shared" si="24"/>
        <v>1250000</v>
      </c>
      <c r="AB54" s="214">
        <f t="shared" si="25"/>
        <v>12.5</v>
      </c>
      <c r="AC54" s="104">
        <f>AC53+AB54</f>
        <v>150</v>
      </c>
    </row>
  </sheetData>
  <mergeCells count="13">
    <mergeCell ref="X25:Z26"/>
    <mergeCell ref="U4:W5"/>
    <mergeCell ref="C24:I25"/>
    <mergeCell ref="K24:S24"/>
    <mergeCell ref="K25:Q25"/>
    <mergeCell ref="R25:S25"/>
    <mergeCell ref="C4:I5"/>
    <mergeCell ref="K4:M5"/>
    <mergeCell ref="O4:Q5"/>
    <mergeCell ref="R4:S5"/>
    <mergeCell ref="U25:W26"/>
    <mergeCell ref="Z4:AB5"/>
    <mergeCell ref="AA25:AC26"/>
  </mergeCells>
  <printOptions horizontalCentered="1"/>
  <pageMargins left="0.11811023622047245" right="0.11811023622047245" top="0.74803149606299213" bottom="0.74803149606299213" header="0.31496062992125984" footer="0.31496062992125984"/>
  <pageSetup scale="38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  <pageSetUpPr fitToPage="1"/>
  </sheetPr>
  <dimension ref="A1:W73"/>
  <sheetViews>
    <sheetView topLeftCell="A35" zoomScale="90" zoomScaleNormal="90" workbookViewId="0">
      <selection sqref="A1:I48"/>
    </sheetView>
  </sheetViews>
  <sheetFormatPr defaultColWidth="9.1328125" defaultRowHeight="16.899999999999999" x14ac:dyDescent="0.35"/>
  <cols>
    <col min="1" max="1" width="5.73046875" style="376" customWidth="1"/>
    <col min="2" max="2" width="36.1328125" style="300" customWidth="1"/>
    <col min="3" max="3" width="11.86328125" style="5" customWidth="1"/>
    <col min="4" max="4" width="13.265625" style="84" customWidth="1"/>
    <col min="5" max="5" width="15.86328125" style="35" customWidth="1"/>
    <col min="6" max="6" width="15" style="5" customWidth="1"/>
    <col min="7" max="7" width="16" style="5" customWidth="1"/>
    <col min="8" max="8" width="8.59765625" style="11" customWidth="1"/>
    <col min="9" max="9" width="8.265625" style="82" customWidth="1"/>
    <col min="10" max="12" width="9.1328125" style="5"/>
    <col min="13" max="13" width="30.86328125" style="5" customWidth="1"/>
    <col min="14" max="20" width="9.1328125" style="5"/>
    <col min="21" max="21" width="11.86328125" style="5" customWidth="1"/>
    <col min="22" max="22" width="10.73046875" style="5" customWidth="1"/>
    <col min="23" max="16384" width="9.1328125" style="5"/>
  </cols>
  <sheetData>
    <row r="1" spans="1:23" ht="23.25" customHeight="1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23" s="301" customFormat="1" ht="15.75" customHeight="1" thickBot="1" x14ac:dyDescent="0.5">
      <c r="A2" s="2032" t="s">
        <v>242</v>
      </c>
      <c r="B2" s="2033"/>
      <c r="C2" s="2033"/>
      <c r="D2" s="2033"/>
      <c r="E2" s="2033"/>
      <c r="F2" s="2033"/>
      <c r="G2" s="2033"/>
      <c r="H2" s="2033"/>
      <c r="I2" s="2034"/>
    </row>
    <row r="3" spans="1:23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23" s="35" customFormat="1" ht="30" x14ac:dyDescent="0.45">
      <c r="A4" s="2035"/>
      <c r="B4" s="2047"/>
      <c r="C4" s="2048"/>
      <c r="D4" s="366" t="s">
        <v>9</v>
      </c>
      <c r="E4" s="367" t="str">
        <f>G4</f>
        <v>Upto 
 Mar -2020</v>
      </c>
      <c r="F4" s="368" t="s">
        <v>244</v>
      </c>
      <c r="G4" s="368" t="s">
        <v>243</v>
      </c>
      <c r="H4" s="2041" t="s">
        <v>12</v>
      </c>
      <c r="I4" s="2041" t="s">
        <v>13</v>
      </c>
    </row>
    <row r="5" spans="1:23" ht="15" x14ac:dyDescent="0.4">
      <c r="A5" s="2036"/>
      <c r="B5" s="2047"/>
      <c r="C5" s="2048"/>
      <c r="D5" s="2043" t="s">
        <v>77</v>
      </c>
      <c r="E5" s="2044"/>
      <c r="F5" s="369" t="s">
        <v>66</v>
      </c>
      <c r="G5" s="369" t="s">
        <v>77</v>
      </c>
      <c r="H5" s="2042"/>
      <c r="I5" s="2042"/>
    </row>
    <row r="6" spans="1:23" ht="30" customHeight="1" x14ac:dyDescent="0.35">
      <c r="A6" s="372">
        <v>1</v>
      </c>
      <c r="B6" s="2049" t="s">
        <v>14</v>
      </c>
      <c r="C6" s="2049"/>
      <c r="D6" s="304">
        <f>'total -19-20'!C10</f>
        <v>933.03</v>
      </c>
      <c r="E6" s="305">
        <f>'total -19-20'!D10</f>
        <v>933.03000000000009</v>
      </c>
      <c r="F6" s="305">
        <f>'total -19-20'!E10</f>
        <v>859.68375019100006</v>
      </c>
      <c r="G6" s="305">
        <f>'total -19-20'!F10</f>
        <v>873.138914161</v>
      </c>
      <c r="H6" s="306">
        <f>(G6-E6)/E6*100</f>
        <v>-6.4189882253518196</v>
      </c>
      <c r="I6" s="306">
        <f>(G6-F6)/F6*100</f>
        <v>1.5651294987267754</v>
      </c>
      <c r="U6" s="5">
        <v>194.95</v>
      </c>
      <c r="V6" s="5">
        <v>113.73</v>
      </c>
      <c r="W6" s="5">
        <f>U6-V6</f>
        <v>81.219999999999985</v>
      </c>
    </row>
    <row r="7" spans="1:23" ht="26.25" customHeight="1" x14ac:dyDescent="0.4">
      <c r="A7" s="373">
        <v>2</v>
      </c>
      <c r="B7" s="2050" t="s">
        <v>71</v>
      </c>
      <c r="C7" s="2051"/>
      <c r="D7" s="307">
        <f>'total -19-20'!C14</f>
        <v>215.49</v>
      </c>
      <c r="E7" s="307">
        <f>'total -19-20'!D14</f>
        <v>215.49</v>
      </c>
      <c r="F7" s="307">
        <f>'total -19-20'!E14</f>
        <v>198.15815990000002</v>
      </c>
      <c r="G7" s="307">
        <f>'total -19-20'!F14</f>
        <v>194.9530833</v>
      </c>
      <c r="H7" s="308">
        <f>(G7-E7)/E7*100</f>
        <v>-9.5303339830154563</v>
      </c>
      <c r="I7" s="308">
        <f>(G7-F7)/F7*100</f>
        <v>-1.6174335700419533</v>
      </c>
      <c r="L7" s="76">
        <v>1</v>
      </c>
      <c r="M7" s="1985" t="s">
        <v>14</v>
      </c>
      <c r="N7" s="1986"/>
      <c r="O7" s="1986"/>
      <c r="P7" s="1986"/>
      <c r="Q7" s="1986"/>
      <c r="R7" s="1986"/>
      <c r="S7" s="1987"/>
      <c r="U7" s="5">
        <v>9.7100000000000009</v>
      </c>
      <c r="V7" s="5">
        <v>5.93</v>
      </c>
      <c r="W7" s="5">
        <f>U7-V7</f>
        <v>3.7800000000000011</v>
      </c>
    </row>
    <row r="8" spans="1:23" ht="32.25" customHeight="1" x14ac:dyDescent="0.35">
      <c r="A8" s="374">
        <v>3</v>
      </c>
      <c r="B8" s="2021" t="s">
        <v>22</v>
      </c>
      <c r="C8" s="2023"/>
      <c r="D8" s="364">
        <f>'total -19-20'!C22</f>
        <v>118.09</v>
      </c>
      <c r="E8" s="364">
        <v>118.09</v>
      </c>
      <c r="F8" s="364">
        <v>84.29</v>
      </c>
      <c r="G8" s="364">
        <f>'total -19-20'!F22</f>
        <v>85.985007100000004</v>
      </c>
      <c r="H8" s="365">
        <f>(G8-E8)/E8*100</f>
        <v>-27.186885341688544</v>
      </c>
      <c r="I8" s="365">
        <f>(G8-F8)/F8*100</f>
        <v>2.0109231225530881</v>
      </c>
      <c r="L8" s="77">
        <v>1.1000000000000001</v>
      </c>
      <c r="M8" s="77" t="s">
        <v>16</v>
      </c>
      <c r="N8" s="85">
        <v>21.11</v>
      </c>
      <c r="O8" s="78">
        <f>'apr-19'!D8+'may-19'!D8+'jun-18'!D8+'july-19'!D8+'aug-18'!D8+'sept-18'!D8+'oct-18'!D8+'nov-19'!D8+'dec-18'!D8+'jan-20'!D8+'feb-19'!D8+'mar-18'!D8</f>
        <v>21.11</v>
      </c>
      <c r="P8" s="134">
        <f>'apr-19'!E8+'may-19'!E8+'jun-18'!E8+'july-19'!E8+'aug-18'!E8+'sept-18'!E8+'oct-18'!E8+'nov-19'!E8+'dec-18'!E8+'jan-20'!E8+'feb-19'!E8+'mar-18'!E8</f>
        <v>19.153750190999997</v>
      </c>
      <c r="Q8" s="134">
        <f>'apr-19'!F8+'may-19'!F8+'jun-18'!F8+'july-19'!F8+'aug-18'!F8+'sept-18'!F8+'oct-18'!F8+'nov-19'!F8+'dec-18'!F8+'jan-20'!F8+'feb-19'!F8+'mar-18'!F8</f>
        <v>19.410979863000001</v>
      </c>
      <c r="R8" s="79">
        <f>(Q8-O8)/O8*100</f>
        <v>-8.0484137233538515</v>
      </c>
      <c r="S8" s="79">
        <f>(Q8-P8)/P8*100</f>
        <v>1.3429728874759592</v>
      </c>
    </row>
    <row r="9" spans="1:23" ht="34.5" customHeight="1" x14ac:dyDescent="0.35">
      <c r="A9" s="373">
        <v>4</v>
      </c>
      <c r="B9" s="2052" t="s">
        <v>220</v>
      </c>
      <c r="C9" s="2053"/>
      <c r="D9" s="307">
        <f>'total -19-20'!C31</f>
        <v>15.377099999999999</v>
      </c>
      <c r="E9" s="307">
        <f>'total -19-20'!D31</f>
        <v>15.377099999999999</v>
      </c>
      <c r="F9" s="307">
        <v>13.04</v>
      </c>
      <c r="G9" s="307">
        <f>9.68+0.03</f>
        <v>9.7099999999999991</v>
      </c>
      <c r="H9" s="308">
        <f>(G9-E9)/E9*100</f>
        <v>-36.85415325386451</v>
      </c>
      <c r="I9" s="308">
        <f>(G9-F9)/F9*100</f>
        <v>-25.536809815950924</v>
      </c>
      <c r="J9" s="12">
        <f>F10-F9</f>
        <v>1142.131910091</v>
      </c>
      <c r="K9" s="12">
        <f>G10-G9</f>
        <v>1154.0770045610002</v>
      </c>
      <c r="L9" s="77">
        <v>1.2</v>
      </c>
      <c r="M9" s="77" t="s">
        <v>15</v>
      </c>
      <c r="N9" s="85">
        <v>911.92</v>
      </c>
      <c r="O9" s="78">
        <f>'apr-19'!D9+'may-19'!D9+'jun-18'!D9+'july-19'!D9+'aug-18'!D9+'sept-18'!D9+'oct-18'!D9+'nov-19'!D9+'dec-18'!D9+'jan-20'!D9+'feb-19'!D9+'mar-18'!D9</f>
        <v>911.92000000000007</v>
      </c>
      <c r="P9" s="134">
        <f>'apr-19'!E9+'may-19'!E9+'jun-18'!E9+'july-19'!E9+'aug-18'!E9+'sept-18'!E9+'oct-18'!E9+'nov-19'!E9+'dec-18'!E9+'jan-20'!E9+'feb-19'!E9+'mar-18'!E9</f>
        <v>840.53</v>
      </c>
      <c r="Q9" s="134">
        <f>'apr-19'!F9+'may-19'!F9+'jun-18'!F9+'july-19'!F9+'aug-18'!F9+'sept-18'!F9+'oct-18'!F9+'nov-19'!F9+'dec-18'!F9+'jan-20'!F9+'feb-19'!F9+'mar-18'!F9</f>
        <v>853.72793429800004</v>
      </c>
      <c r="R9" s="79">
        <f>(Q9-O9)/O9*100</f>
        <v>-6.3812687189665791</v>
      </c>
      <c r="S9" s="79">
        <f>(Q9-P9)/P9*100</f>
        <v>1.570191938181869</v>
      </c>
      <c r="U9" s="5">
        <f>F9*10000000</f>
        <v>130399999.99999999</v>
      </c>
      <c r="V9" s="5">
        <f>G9*10000000</f>
        <v>97099999.999999985</v>
      </c>
    </row>
    <row r="10" spans="1:23" ht="28.5" customHeight="1" x14ac:dyDescent="0.35">
      <c r="A10" s="374">
        <v>5</v>
      </c>
      <c r="B10" s="2054" t="s">
        <v>33</v>
      </c>
      <c r="C10" s="2055"/>
      <c r="D10" s="321">
        <f>SUM(D6:D9)</f>
        <v>1281.9870999999998</v>
      </c>
      <c r="E10" s="321">
        <f>SUM(E6:E9)</f>
        <v>1281.9870999999998</v>
      </c>
      <c r="F10" s="321">
        <f>SUM(F6:F9)</f>
        <v>1155.171910091</v>
      </c>
      <c r="G10" s="321">
        <f>SUM(G6:G9)</f>
        <v>1163.7870045610002</v>
      </c>
      <c r="H10" s="322">
        <f>(G10-E10)/E10*100</f>
        <v>-9.220069019337215</v>
      </c>
      <c r="I10" s="322">
        <f>(G10-F10)/F10*100</f>
        <v>0.74578462259540179</v>
      </c>
      <c r="K10" s="12">
        <f>G6+G7+G8+G9</f>
        <v>1163.7870045610002</v>
      </c>
      <c r="U10" s="12">
        <f>U9/100000</f>
        <v>1303.9999999999998</v>
      </c>
      <c r="V10" s="12">
        <f>V9/100000</f>
        <v>970.99999999999989</v>
      </c>
    </row>
    <row r="11" spans="1:23" ht="14.2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23" ht="36.75" customHeight="1" thickTop="1" thickBot="1" x14ac:dyDescent="0.4">
      <c r="A12" s="375">
        <v>6.3</v>
      </c>
      <c r="B12" s="2056" t="s">
        <v>226</v>
      </c>
      <c r="C12" s="2057"/>
      <c r="D12" s="371">
        <v>79.41</v>
      </c>
      <c r="E12" s="309">
        <f>'total -19-20'!K36</f>
        <v>79.400000000000006</v>
      </c>
      <c r="F12" s="309">
        <f>'total -19-20'!L36</f>
        <v>78.188000000000017</v>
      </c>
      <c r="G12" s="309">
        <f>'total -19-20'!M36</f>
        <v>77.266191000000006</v>
      </c>
      <c r="H12" s="310">
        <f>(G12-E12)/E12*100</f>
        <v>-2.6874168765743063</v>
      </c>
      <c r="I12" s="311">
        <f>(G12-F12)/F12*100</f>
        <v>-1.1789648027830488</v>
      </c>
    </row>
    <row r="13" spans="1:23" ht="28.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M13" s="5">
        <v>873.09</v>
      </c>
      <c r="N13" s="12">
        <f>G6-M13</f>
        <v>4.8914160999970591E-2</v>
      </c>
    </row>
    <row r="14" spans="1:23" ht="30.75" customHeight="1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  <c r="K14" s="300" t="s">
        <v>227</v>
      </c>
      <c r="L14" s="5" t="s">
        <v>195</v>
      </c>
      <c r="N14" s="300" t="s">
        <v>227</v>
      </c>
      <c r="O14" s="5" t="s">
        <v>195</v>
      </c>
      <c r="U14" s="5">
        <v>6673309</v>
      </c>
    </row>
    <row r="15" spans="1:23" ht="15.4" x14ac:dyDescent="0.4">
      <c r="A15" s="2004"/>
      <c r="B15" s="2006" t="s">
        <v>16</v>
      </c>
      <c r="C15" s="2007"/>
      <c r="D15" s="331">
        <v>21.11</v>
      </c>
      <c r="E15" s="307">
        <f>'total -19-20'!D8</f>
        <v>21.11</v>
      </c>
      <c r="F15" s="315">
        <v>19.200000000000003</v>
      </c>
      <c r="G15" s="315">
        <v>19.405999999999999</v>
      </c>
      <c r="H15" s="314">
        <f>(G15-E15)/E15*100</f>
        <v>-8.0720037896731434</v>
      </c>
      <c r="I15" s="314">
        <f>(G15-F15)/F15*100</f>
        <v>1.0729166666666454</v>
      </c>
      <c r="J15" s="5" t="s">
        <v>166</v>
      </c>
      <c r="K15" s="5">
        <v>171.41</v>
      </c>
      <c r="L15" s="5">
        <v>165.57</v>
      </c>
      <c r="N15" s="5">
        <v>4.05</v>
      </c>
      <c r="O15" s="5">
        <v>3.99</v>
      </c>
    </row>
    <row r="16" spans="1:23" ht="15.4" x14ac:dyDescent="0.4">
      <c r="A16" s="2004"/>
      <c r="B16" s="2071" t="s">
        <v>15</v>
      </c>
      <c r="C16" s="320" t="s">
        <v>166</v>
      </c>
      <c r="D16" s="2064">
        <v>911.92</v>
      </c>
      <c r="E16" s="2065">
        <f>'total -19-20'!D9</f>
        <v>911.92000000000007</v>
      </c>
      <c r="F16" s="313">
        <v>181.6</v>
      </c>
      <c r="G16" s="313">
        <f>184.5139197+0.05</f>
        <v>184.56391970000001</v>
      </c>
      <c r="H16" s="2027">
        <f>'total -19-20'!G9</f>
        <v>-6.3812687189665791</v>
      </c>
      <c r="I16" s="314">
        <f>(G16-F16)/F16*100</f>
        <v>1.6321143722467069</v>
      </c>
      <c r="J16" s="5" t="s">
        <v>228</v>
      </c>
      <c r="K16" s="5">
        <v>649.6</v>
      </c>
      <c r="L16" s="5">
        <v>597.66</v>
      </c>
      <c r="N16" s="5">
        <v>14.32</v>
      </c>
      <c r="O16" s="5">
        <v>13.98</v>
      </c>
      <c r="S16" s="319"/>
      <c r="T16" s="319">
        <v>143275948</v>
      </c>
    </row>
    <row r="17" spans="1:20" ht="15.4" x14ac:dyDescent="0.4">
      <c r="A17" s="2005"/>
      <c r="B17" s="2071"/>
      <c r="C17" s="320" t="s">
        <v>228</v>
      </c>
      <c r="D17" s="2064"/>
      <c r="E17" s="2066"/>
      <c r="F17" s="313">
        <v>658.88</v>
      </c>
      <c r="G17" s="313">
        <v>669.17437640000003</v>
      </c>
      <c r="H17" s="2029"/>
      <c r="I17" s="314">
        <f>(G17-F17)/F17*100</f>
        <v>1.5624053545410443</v>
      </c>
      <c r="N17" s="5">
        <f>K15+N15</f>
        <v>175.46</v>
      </c>
      <c r="O17" s="5">
        <f>L15+O15</f>
        <v>169.56</v>
      </c>
      <c r="T17" s="5">
        <f>T16/10000000</f>
        <v>14.3275948</v>
      </c>
    </row>
    <row r="18" spans="1:20" ht="27" customHeight="1" thickBot="1" x14ac:dyDescent="0.4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  <c r="M18" s="370"/>
      <c r="N18" s="5">
        <f>K16+N16</f>
        <v>663.92000000000007</v>
      </c>
      <c r="O18" s="5">
        <f>L16+O16</f>
        <v>611.64</v>
      </c>
    </row>
    <row r="19" spans="1:20" ht="18.75" customHeight="1" thickTop="1" x14ac:dyDescent="0.4">
      <c r="A19" s="2004"/>
      <c r="B19" s="2008" t="s">
        <v>230</v>
      </c>
      <c r="C19" s="2000" t="s">
        <v>231</v>
      </c>
      <c r="D19" s="2001"/>
      <c r="E19" s="2002"/>
      <c r="F19" s="315">
        <v>108.59188760000001</v>
      </c>
      <c r="G19" s="315">
        <v>91.676508900000002</v>
      </c>
      <c r="H19" s="316" t="s">
        <v>221</v>
      </c>
      <c r="I19" s="314">
        <f>(G19-F19)/F19*100</f>
        <v>-15.577018756970206</v>
      </c>
      <c r="N19" s="12">
        <f>SUM(N17:N18)</f>
        <v>839.38000000000011</v>
      </c>
      <c r="O19" s="12">
        <f>SUM(O17:O18)</f>
        <v>781.2</v>
      </c>
    </row>
    <row r="20" spans="1:20" ht="18.75" customHeight="1" x14ac:dyDescent="0.4">
      <c r="A20" s="2004"/>
      <c r="B20" s="2009"/>
      <c r="C20" s="2000" t="s">
        <v>232</v>
      </c>
      <c r="D20" s="2001"/>
      <c r="E20" s="2002"/>
      <c r="F20" s="315">
        <v>60.996042099999997</v>
      </c>
      <c r="G20" s="315">
        <v>76.362030000000004</v>
      </c>
      <c r="H20" s="316" t="s">
        <v>221</v>
      </c>
      <c r="I20" s="314">
        <f t="shared" ref="I20:I25" si="0">(G20-F20)/F20*100</f>
        <v>25.1917786318139</v>
      </c>
      <c r="N20" s="12"/>
      <c r="O20" s="12"/>
    </row>
    <row r="21" spans="1:20" ht="18.75" customHeight="1" x14ac:dyDescent="0.4">
      <c r="A21" s="2004"/>
      <c r="B21" s="2009"/>
      <c r="C21" s="2000" t="s">
        <v>239</v>
      </c>
      <c r="D21" s="2001"/>
      <c r="E21" s="2002"/>
      <c r="F21" s="315">
        <v>4.4421929000000002</v>
      </c>
      <c r="G21" s="315">
        <v>8.3518971000000004</v>
      </c>
      <c r="H21" s="316" t="s">
        <v>221</v>
      </c>
      <c r="I21" s="314">
        <f t="shared" si="0"/>
        <v>88.012931631132005</v>
      </c>
      <c r="N21" s="12"/>
      <c r="O21" s="12"/>
    </row>
    <row r="22" spans="1:20" ht="18.75" customHeight="1" x14ac:dyDescent="0.4">
      <c r="A22" s="2004"/>
      <c r="B22" s="2009"/>
      <c r="C22" s="2000" t="s">
        <v>233</v>
      </c>
      <c r="D22" s="2001"/>
      <c r="E22" s="2002"/>
      <c r="F22" s="315">
        <v>9.1257967000000004</v>
      </c>
      <c r="G22" s="315">
        <v>14.5956008</v>
      </c>
      <c r="H22" s="316" t="s">
        <v>221</v>
      </c>
      <c r="I22" s="314">
        <f t="shared" si="0"/>
        <v>59.937825483226014</v>
      </c>
      <c r="N22" s="12"/>
      <c r="O22" s="12"/>
    </row>
    <row r="23" spans="1:20" ht="18.75" customHeight="1" x14ac:dyDescent="0.4">
      <c r="A23" s="2004"/>
      <c r="B23" s="2009"/>
      <c r="C23" s="2000" t="s">
        <v>234</v>
      </c>
      <c r="D23" s="2001"/>
      <c r="E23" s="2002"/>
      <c r="F23" s="315">
        <v>2.4370194999999999</v>
      </c>
      <c r="G23" s="315">
        <v>3.7817720000000001</v>
      </c>
      <c r="H23" s="316" t="s">
        <v>221</v>
      </c>
      <c r="I23" s="314">
        <f t="shared" si="0"/>
        <v>55.180210909268489</v>
      </c>
      <c r="N23" s="12"/>
      <c r="O23" s="12"/>
    </row>
    <row r="24" spans="1:20" ht="18.75" customHeight="1" x14ac:dyDescent="0.4">
      <c r="A24" s="2004"/>
      <c r="B24" s="2009"/>
      <c r="C24" s="2000" t="s">
        <v>235</v>
      </c>
      <c r="D24" s="2001"/>
      <c r="E24" s="2002"/>
      <c r="F24" s="315">
        <v>0.39370240000000001</v>
      </c>
      <c r="G24" s="315">
        <v>0.1109137</v>
      </c>
      <c r="H24" s="316"/>
      <c r="I24" s="314">
        <f t="shared" si="0"/>
        <v>-71.828035592366206</v>
      </c>
      <c r="N24" s="12"/>
      <c r="O24" s="12"/>
    </row>
    <row r="25" spans="1:20" ht="31.5" customHeight="1" x14ac:dyDescent="0.4">
      <c r="A25" s="2005"/>
      <c r="B25" s="2010"/>
      <c r="C25" s="2011" t="s">
        <v>236</v>
      </c>
      <c r="D25" s="2012"/>
      <c r="E25" s="2013"/>
      <c r="F25" s="315">
        <v>12.174715900000001</v>
      </c>
      <c r="G25" s="315">
        <v>7.7508900000000006E-2</v>
      </c>
      <c r="H25" s="316" t="s">
        <v>221</v>
      </c>
      <c r="I25" s="314">
        <f t="shared" si="0"/>
        <v>-99.36336173561142</v>
      </c>
      <c r="N25" s="12"/>
      <c r="O25" s="12"/>
    </row>
    <row r="26" spans="1:20" ht="24.75" customHeight="1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  <c r="N26" s="5">
        <f>839.38-N18</f>
        <v>175.45999999999992</v>
      </c>
    </row>
    <row r="27" spans="1:20" ht="15.4" x14ac:dyDescent="0.4">
      <c r="A27" s="2015"/>
      <c r="B27" s="2006" t="s">
        <v>2</v>
      </c>
      <c r="C27" s="2007"/>
      <c r="D27" s="331">
        <v>17.920000000000002</v>
      </c>
      <c r="E27" s="307">
        <f>'apr-19'!D16+'may-19'!D16+'jun-18'!D16+'july-19'!D16+'aug-18'!D16+'sept-18'!D16+'oct-18'!D16+'nov-19'!D16+'dec-18'!D16+'jan-20'!D16+'feb-19'!D16+'mar-18'!D16</f>
        <v>17.909999999999997</v>
      </c>
      <c r="F27" s="313">
        <v>16.29</v>
      </c>
      <c r="G27" s="313">
        <v>19.43</v>
      </c>
      <c r="H27" s="314">
        <f>(G27-E27)/E27*100</f>
        <v>8.4868788386376508</v>
      </c>
      <c r="I27" s="314">
        <f t="shared" ref="I27:I32" si="1">(G27-F27)/F27*100</f>
        <v>19.275629220380605</v>
      </c>
    </row>
    <row r="28" spans="1:20" ht="15.4" x14ac:dyDescent="0.4">
      <c r="A28" s="2015"/>
      <c r="B28" s="2006" t="s">
        <v>23</v>
      </c>
      <c r="C28" s="2007"/>
      <c r="D28" s="331">
        <v>26.9</v>
      </c>
      <c r="E28" s="307">
        <f>'apr-19'!D17+'may-19'!D17+'jun-18'!D17+'july-19'!D17+'aug-18'!D17+'sept-18'!D17+'oct-18'!D17+'nov-19'!D17+'dec-18'!D17+'jan-20'!D17+'feb-19'!D17+'mar-18'!D17</f>
        <v>26.890000000000004</v>
      </c>
      <c r="F28" s="313">
        <f>'total -19-20'!E17</f>
        <v>23.69</v>
      </c>
      <c r="G28" s="313">
        <f>'total -19-20'!F17</f>
        <v>23.464482900000004</v>
      </c>
      <c r="H28" s="314">
        <f>(G28-E28)/E28*100</f>
        <v>-12.739000000000001</v>
      </c>
      <c r="I28" s="314">
        <f t="shared" si="1"/>
        <v>-0.95195061207259424</v>
      </c>
      <c r="K28" s="5">
        <v>84.29</v>
      </c>
      <c r="L28" s="12">
        <f>F28+F29</f>
        <v>25.64</v>
      </c>
      <c r="M28" s="12">
        <f>G28+G29</f>
        <v>24.930032000000004</v>
      </c>
      <c r="N28" s="5">
        <f>(M28-L28)/L28*100</f>
        <v>-2.7689859594383632</v>
      </c>
    </row>
    <row r="29" spans="1:20" ht="15.4" x14ac:dyDescent="0.4">
      <c r="A29" s="2015"/>
      <c r="B29" s="2006" t="s">
        <v>1</v>
      </c>
      <c r="C29" s="2007"/>
      <c r="D29" s="331">
        <v>4.4000000000000004</v>
      </c>
      <c r="E29" s="307">
        <f>'apr-19'!D18+'may-19'!D18+'jun-18'!D18+'july-19'!D18+'aug-18'!D18+'sept-18'!D18+'oct-18'!D18+'nov-19'!D18+'dec-18'!D18+'jan-20'!D18+'feb-19'!D18+'mar-18'!D18</f>
        <v>4.4000000000000004</v>
      </c>
      <c r="F29" s="313">
        <f>'total -19-20'!E18</f>
        <v>1.95</v>
      </c>
      <c r="G29" s="313">
        <f>'total -19-20'!F18</f>
        <v>1.4655491</v>
      </c>
      <c r="H29" s="314">
        <f>(G29-E29)/E29*100</f>
        <v>-66.692065909090914</v>
      </c>
      <c r="I29" s="314">
        <f t="shared" si="1"/>
        <v>-24.843635897435892</v>
      </c>
      <c r="K29" s="5">
        <v>80.5</v>
      </c>
    </row>
    <row r="30" spans="1:20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313">
        <f>'total -19-20'!E19</f>
        <v>3.56</v>
      </c>
      <c r="G30" s="313">
        <f>'total -19-20'!F19</f>
        <v>1.9</v>
      </c>
      <c r="H30" s="316" t="s">
        <v>221</v>
      </c>
      <c r="I30" s="314">
        <f t="shared" si="1"/>
        <v>-46.629213483146067</v>
      </c>
      <c r="K30" s="5">
        <f>K28-K29</f>
        <v>3.7900000000000063</v>
      </c>
      <c r="M30" s="5">
        <f>9.09+0.03</f>
        <v>9.1199999999999992</v>
      </c>
    </row>
    <row r="31" spans="1:20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315">
        <v>6.96</v>
      </c>
      <c r="G31" s="315">
        <f>'apr-19'!F20+'may-19'!F20+'jun-18'!F20+'july-19'!F20+'aug-18'!F20+'sept-18'!F20+'oct-18'!F20+'nov-19'!F20+'dec-18'!F20+'jan-20'!F20+'feb-19'!F20+'mar-18'!F20</f>
        <v>2.5001634999999998</v>
      </c>
      <c r="H31" s="316" t="s">
        <v>221</v>
      </c>
      <c r="I31" s="314">
        <f t="shared" si="1"/>
        <v>-64.078110632183908</v>
      </c>
    </row>
    <row r="32" spans="1:20" ht="16.5" customHeight="1" x14ac:dyDescent="0.4">
      <c r="A32" s="2015"/>
      <c r="B32" s="2017" t="s">
        <v>241</v>
      </c>
      <c r="C32" s="2018"/>
      <c r="D32" s="332" t="s">
        <v>221</v>
      </c>
      <c r="E32" s="308" t="s">
        <v>221</v>
      </c>
      <c r="F32" s="430">
        <f>'apr-19'!E21+'may-19'!E21+'jun-18'!E21+'july-19'!E21+'aug-18'!E21+'sept-18'!E21+'oct-18'!E21+'nov-19'!E21+'dec-18'!E21+'jan-20'!E21+'feb-19'!E21+'mar-18'!E21</f>
        <v>28.048740900000002</v>
      </c>
      <c r="G32" s="315">
        <f>'apr-19'!F21+'may-19'!F21+'jun-18'!F21+'july-19'!F21+'aug-18'!F21+'sept-18'!F21+'oct-18'!F21+'nov-19'!F21+'dec-18'!F21+'jan-20'!F21+'feb-19'!F21+'mar-18'!F21</f>
        <v>35.023951400000009</v>
      </c>
      <c r="H32" s="316" t="s">
        <v>221</v>
      </c>
      <c r="I32" s="314">
        <f t="shared" si="1"/>
        <v>24.868176881337323</v>
      </c>
      <c r="L32" s="5">
        <v>83.78</v>
      </c>
      <c r="S32" s="12">
        <f>1.25+0.96</f>
        <v>2.21</v>
      </c>
    </row>
    <row r="33" spans="1:17" ht="15.4" x14ac:dyDescent="0.4">
      <c r="A33" s="2016"/>
      <c r="B33" s="2017" t="s">
        <v>275</v>
      </c>
      <c r="C33" s="2018"/>
      <c r="D33" s="332" t="s">
        <v>221</v>
      </c>
      <c r="E33" s="308" t="s">
        <v>221</v>
      </c>
      <c r="F33" s="315">
        <v>3.79</v>
      </c>
      <c r="G33" s="315">
        <v>2.21</v>
      </c>
      <c r="H33" s="316" t="s">
        <v>221</v>
      </c>
      <c r="I33" s="314">
        <f>(G33-F33)/F33*100</f>
        <v>-41.688654353562008</v>
      </c>
    </row>
    <row r="34" spans="1:17" ht="26.25" customHeight="1" x14ac:dyDescent="0.35">
      <c r="A34" s="2014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  <c r="L34" s="5">
        <v>85.99</v>
      </c>
    </row>
    <row r="35" spans="1:17" ht="15.4" x14ac:dyDescent="0.4">
      <c r="A35" s="2015"/>
      <c r="B35" s="2006" t="s">
        <v>27</v>
      </c>
      <c r="C35" s="2007"/>
      <c r="D35" s="331">
        <v>10</v>
      </c>
      <c r="E35" s="307">
        <f>'apr-19'!D24+'may-19'!D24+'jun-18'!D24+'july-19'!D24+'aug-18'!D24+'sept-18'!D24+'oct-18'!D24+'nov-19'!D24+'dec-18'!D24+'jan-20'!D24+'feb-19'!D24+'mar-18'!D24</f>
        <v>10</v>
      </c>
      <c r="F35" s="313">
        <v>7.56</v>
      </c>
      <c r="G35" s="313">
        <v>5.58</v>
      </c>
      <c r="H35" s="314">
        <f>(G35-E35)/E35*100</f>
        <v>-44.2</v>
      </c>
      <c r="I35" s="314">
        <f t="shared" ref="I35:I40" si="2">(G35-F35)/F35*100</f>
        <v>-26.190476190476186</v>
      </c>
      <c r="L35" s="5">
        <f>L34-L32</f>
        <v>2.2099999999999937</v>
      </c>
    </row>
    <row r="36" spans="1:17" ht="15.4" x14ac:dyDescent="0.4">
      <c r="A36" s="2015"/>
      <c r="B36" s="2006" t="s">
        <v>28</v>
      </c>
      <c r="C36" s="2007"/>
      <c r="D36" s="333">
        <v>3.7471000000000001</v>
      </c>
      <c r="E36" s="307">
        <v>3.75</v>
      </c>
      <c r="F36" s="313">
        <v>3.55</v>
      </c>
      <c r="G36" s="313">
        <f>'apr-19'!F25+'may-19'!F25+'jun-18'!F25+'july-19'!F25+'aug-18'!F25+'sept-18'!F25+'oct-18'!F25+'nov-19'!F25+'dec-18'!F25+'jan-20'!F25+'feb-19'!F25+'mar-18'!F25</f>
        <v>2.1093595999999999</v>
      </c>
      <c r="H36" s="314">
        <f>(G36-E36)/E36*100</f>
        <v>-43.750410666666667</v>
      </c>
      <c r="I36" s="314">
        <f t="shared" si="2"/>
        <v>-40.58141971830986</v>
      </c>
      <c r="K36" s="5">
        <v>9.7100000000000009</v>
      </c>
    </row>
    <row r="37" spans="1:17" ht="15.4" x14ac:dyDescent="0.4">
      <c r="A37" s="2015"/>
      <c r="B37" s="2006" t="s">
        <v>224</v>
      </c>
      <c r="C37" s="2007"/>
      <c r="D37" s="331">
        <v>1.63</v>
      </c>
      <c r="E37" s="307">
        <f>'apr-19'!D29+'may-19'!D29+'jun-18'!D29+'july-19'!D29+'aug-18'!D29+'sept-18'!D29+'oct-18'!D29+'nov-19'!D29+'dec-18'!D29+'jan-20'!D29+'feb-19'!D29+'mar-18'!D29</f>
        <v>1.6299999999999997</v>
      </c>
      <c r="F37" s="313">
        <f>'apr-19'!E29+'may-19'!E29+'jun-18'!E29+'july-19'!E29+'aug-18'!E29+'sept-18'!E29+'oct-18'!E29+'nov-19'!E29+'dec-18'!E29+'jan-20'!E29+'feb-19'!E29+'mar-18'!E29</f>
        <v>1.1199699000000001</v>
      </c>
      <c r="G37" s="313">
        <v>1.41</v>
      </c>
      <c r="H37" s="314">
        <f>(G37-E37)/E37*100</f>
        <v>-13.496932515337413</v>
      </c>
      <c r="I37" s="314">
        <f t="shared" si="2"/>
        <v>25.896240604323367</v>
      </c>
      <c r="K37" s="5">
        <v>9.1199999999999992</v>
      </c>
    </row>
    <row r="38" spans="1:17" ht="15.4" x14ac:dyDescent="0.4">
      <c r="A38" s="2015"/>
      <c r="B38" s="318" t="s">
        <v>64</v>
      </c>
      <c r="C38" s="302"/>
      <c r="D38" s="332" t="s">
        <v>221</v>
      </c>
      <c r="E38" s="307">
        <f>'apr-19'!D28+'may-19'!D28+'jun-18'!D28+'july-19'!D28+'aug-18'!D28+'sept-18'!D28+'oct-18'!D28+'nov-19'!D28+'dec-18'!D28+'jan-20'!D28+'feb-19'!D28+'mar-18'!D28</f>
        <v>0</v>
      </c>
      <c r="F38" s="313">
        <f>'apr-19'!E28+'may-19'!E28+'jun-18'!E28+'july-19'!E28+'aug-18'!E28+'sept-18'!E28+'oct-18'!E28+'nov-19'!E28+'dec-18'!E28+'jan-20'!E28+'feb-19'!E28+'mar-18'!E28</f>
        <v>8.5030999999999995E-3</v>
      </c>
      <c r="G38" s="313">
        <f>'apr-19'!F28+'may-19'!F28+'jun-18'!F28+'july-19'!F28+'aug-18'!F28+'sept-18'!F28+'oct-18'!F28+'nov-19'!F28+'dec-18'!F28+'jan-20'!F28+'feb-19'!F28+'mar-18'!F28</f>
        <v>0</v>
      </c>
      <c r="H38" s="314" t="s">
        <v>221</v>
      </c>
      <c r="I38" s="314">
        <f t="shared" si="2"/>
        <v>-100</v>
      </c>
      <c r="K38" s="5">
        <f>K36-K37</f>
        <v>0.59000000000000163</v>
      </c>
    </row>
    <row r="39" spans="1:17" ht="15.75" customHeight="1" x14ac:dyDescent="0.4">
      <c r="A39" s="2015"/>
      <c r="B39" s="2006" t="s">
        <v>4</v>
      </c>
      <c r="C39" s="2007"/>
      <c r="D39" s="332" t="s">
        <v>221</v>
      </c>
      <c r="E39" s="307">
        <f>'apr-19'!D26+'may-19'!D26+'jun-18'!D26+'july-19'!D26+'aug-18'!D26+'sept-18'!D26+'oct-18'!D26+'nov-19'!D26+'dec-18'!D26+'jan-20'!D26+'feb-19'!D26+'mar-18'!D26</f>
        <v>0</v>
      </c>
      <c r="F39" s="313">
        <f>'apr-19'!E26+'may-19'!E26+'jun-18'!E26+'july-19'!E26+'aug-18'!E26+'sept-18'!E26+'oct-18'!E26+'nov-19'!E26+'dec-18'!E26+'jan-20'!E26+'feb-19'!E26+'mar-18'!E26</f>
        <v>0.40270800000000007</v>
      </c>
      <c r="G39" s="313">
        <v>3.9E-2</v>
      </c>
      <c r="H39" s="314" t="s">
        <v>221</v>
      </c>
      <c r="I39" s="314">
        <f t="shared" si="2"/>
        <v>-90.315563634196494</v>
      </c>
      <c r="K39" s="5">
        <f>K38/4</f>
        <v>0.14750000000000041</v>
      </c>
    </row>
    <row r="40" spans="1:17" ht="15.4" x14ac:dyDescent="0.4">
      <c r="A40" s="2016"/>
      <c r="B40" s="2006" t="s">
        <v>276</v>
      </c>
      <c r="C40" s="2019"/>
      <c r="D40" s="332" t="s">
        <v>221</v>
      </c>
      <c r="E40" s="307" t="s">
        <v>221</v>
      </c>
      <c r="F40" s="431">
        <v>0.4</v>
      </c>
      <c r="G40" s="431">
        <v>0.5</v>
      </c>
      <c r="H40" s="407" t="s">
        <v>221</v>
      </c>
      <c r="I40" s="314">
        <f t="shared" si="2"/>
        <v>24.999999999999993</v>
      </c>
      <c r="M40" s="5">
        <f>0.59-0.03</f>
        <v>0.55999999999999994</v>
      </c>
    </row>
    <row r="41" spans="1:17" ht="24" customHeight="1" x14ac:dyDescent="0.35">
      <c r="A41" s="2020">
        <v>5</v>
      </c>
      <c r="B41" s="2021" t="s">
        <v>247</v>
      </c>
      <c r="C41" s="2022"/>
      <c r="D41" s="2022"/>
      <c r="E41" s="2022"/>
      <c r="F41" s="2022"/>
      <c r="G41" s="2022"/>
      <c r="H41" s="2022"/>
      <c r="I41" s="2023"/>
    </row>
    <row r="42" spans="1:17" ht="15.4" x14ac:dyDescent="0.4">
      <c r="A42" s="2020"/>
      <c r="B42" s="2006" t="s">
        <v>16</v>
      </c>
      <c r="C42" s="2007"/>
      <c r="D42" s="331">
        <v>35.1</v>
      </c>
      <c r="E42" s="307">
        <f>'total -19-20'!K34</f>
        <v>35.1</v>
      </c>
      <c r="F42" s="315">
        <v>34.15</v>
      </c>
      <c r="G42" s="315">
        <v>35.517000000000003</v>
      </c>
      <c r="H42" s="314">
        <f>(G42-E42)/E42*100</f>
        <v>1.1880341880341925</v>
      </c>
      <c r="I42" s="314">
        <f>(G42-F42)/F42*100</f>
        <v>4.0029282576866896</v>
      </c>
      <c r="K42" s="300" t="s">
        <v>227</v>
      </c>
      <c r="L42" s="5" t="s">
        <v>195</v>
      </c>
      <c r="N42" s="300" t="s">
        <v>227</v>
      </c>
      <c r="O42" s="5" t="s">
        <v>195</v>
      </c>
    </row>
    <row r="43" spans="1:17" ht="15.4" x14ac:dyDescent="0.4">
      <c r="A43" s="2020"/>
      <c r="B43" s="2069" t="s">
        <v>15</v>
      </c>
      <c r="C43" s="320" t="s">
        <v>166</v>
      </c>
      <c r="D43" s="2067">
        <v>44.32</v>
      </c>
      <c r="E43" s="2065">
        <f>'total -19-20'!K35</f>
        <v>44.3</v>
      </c>
      <c r="F43" s="313">
        <v>32.588000000000001</v>
      </c>
      <c r="G43" s="313">
        <v>30.994</v>
      </c>
      <c r="H43" s="2027">
        <f>'total -19-20'!G35</f>
        <v>-5.7572844243792209</v>
      </c>
      <c r="I43" s="314">
        <f>(G43-F43)/F43*100</f>
        <v>-4.8913710568307387</v>
      </c>
      <c r="J43" s="5" t="s">
        <v>166</v>
      </c>
      <c r="K43" s="5">
        <v>284.82</v>
      </c>
      <c r="L43" s="5">
        <v>300.26</v>
      </c>
      <c r="N43" s="5">
        <v>5.15</v>
      </c>
      <c r="O43" s="5">
        <v>6.19</v>
      </c>
    </row>
    <row r="44" spans="1:17" ht="15.4" x14ac:dyDescent="0.4">
      <c r="A44" s="2020"/>
      <c r="B44" s="2070"/>
      <c r="C44" s="320" t="s">
        <v>228</v>
      </c>
      <c r="D44" s="2068"/>
      <c r="E44" s="2066"/>
      <c r="F44" s="313">
        <v>11.45</v>
      </c>
      <c r="G44" s="313">
        <v>10.7553</v>
      </c>
      <c r="H44" s="2029"/>
      <c r="I44" s="314">
        <f>(G44-F44)/F44*100</f>
        <v>-6.0672489082969365</v>
      </c>
      <c r="J44" s="5" t="s">
        <v>228</v>
      </c>
      <c r="K44" s="5">
        <v>104.81</v>
      </c>
      <c r="L44" s="5">
        <v>104.21</v>
      </c>
      <c r="N44" s="5">
        <v>3.2</v>
      </c>
      <c r="O44" s="5">
        <v>2.35</v>
      </c>
    </row>
    <row r="45" spans="1:17" ht="28.5" customHeight="1" x14ac:dyDescent="0.35">
      <c r="A45" s="2020">
        <v>6</v>
      </c>
      <c r="B45" s="2021" t="s">
        <v>248</v>
      </c>
      <c r="C45" s="2022"/>
      <c r="D45" s="2022"/>
      <c r="E45" s="2022"/>
      <c r="F45" s="2022"/>
      <c r="G45" s="2022"/>
      <c r="H45" s="2022"/>
      <c r="I45" s="2023"/>
      <c r="N45" s="5">
        <f>K43+N43</f>
        <v>289.96999999999997</v>
      </c>
      <c r="O45" s="5">
        <f>L43+O43</f>
        <v>306.45</v>
      </c>
    </row>
    <row r="46" spans="1:17" ht="15.4" x14ac:dyDescent="0.4">
      <c r="A46" s="2020"/>
      <c r="B46" s="2006" t="s">
        <v>36</v>
      </c>
      <c r="C46" s="2007"/>
      <c r="D46" s="303"/>
      <c r="E46" s="2024" t="s">
        <v>221</v>
      </c>
      <c r="F46" s="312">
        <v>152.43</v>
      </c>
      <c r="G46" s="312">
        <f>11908667/100000</f>
        <v>119.08667</v>
      </c>
      <c r="H46" s="2027" t="s">
        <v>221</v>
      </c>
      <c r="I46" s="314">
        <f>(G46-F46)/F46*100</f>
        <v>-21.874519451551535</v>
      </c>
      <c r="J46" s="317"/>
      <c r="N46" s="5">
        <f>K44+N44</f>
        <v>108.01</v>
      </c>
      <c r="O46" s="5">
        <f>L44+O44</f>
        <v>106.55999999999999</v>
      </c>
    </row>
    <row r="47" spans="1:17" ht="15.4" x14ac:dyDescent="0.4">
      <c r="A47" s="2020"/>
      <c r="B47" s="2006" t="s">
        <v>37</v>
      </c>
      <c r="C47" s="2007"/>
      <c r="D47" s="303"/>
      <c r="E47" s="2025"/>
      <c r="F47" s="312">
        <v>13.84</v>
      </c>
      <c r="G47" s="312">
        <f>2717296/100000</f>
        <v>27.17296</v>
      </c>
      <c r="H47" s="2028"/>
      <c r="I47" s="314">
        <f>(G47-F47)/F47*100</f>
        <v>96.3364161849711</v>
      </c>
      <c r="J47" s="317"/>
      <c r="N47" s="12">
        <f>SUM(N45:N46)</f>
        <v>397.97999999999996</v>
      </c>
      <c r="O47" s="12">
        <f>SUM(O45:O46)</f>
        <v>413.01</v>
      </c>
      <c r="Q47" s="12">
        <f>O47-L49</f>
        <v>15.084769999999935</v>
      </c>
    </row>
    <row r="48" spans="1:17" ht="15.4" x14ac:dyDescent="0.4">
      <c r="A48" s="2020"/>
      <c r="B48" s="2006" t="s">
        <v>38</v>
      </c>
      <c r="C48" s="2007"/>
      <c r="D48" s="303"/>
      <c r="E48" s="2026"/>
      <c r="F48" s="312">
        <f>SUM(F46:F47)</f>
        <v>166.27</v>
      </c>
      <c r="G48" s="312">
        <f>SUM(G46:G47)</f>
        <v>146.25962999999999</v>
      </c>
      <c r="H48" s="2029"/>
      <c r="I48" s="314">
        <f>(G48-F48)/F48*100</f>
        <v>-12.034864978649198</v>
      </c>
      <c r="J48" s="317"/>
    </row>
    <row r="49" spans="2:15" x14ac:dyDescent="0.35">
      <c r="K49" s="5">
        <v>413.01000000000005</v>
      </c>
      <c r="L49" s="5">
        <v>397.92523000000006</v>
      </c>
      <c r="N49" s="12"/>
      <c r="O49" s="12">
        <f>L49-N47</f>
        <v>-5.4769999999905394E-2</v>
      </c>
    </row>
    <row r="50" spans="2:15" x14ac:dyDescent="0.35">
      <c r="K50" s="5">
        <v>733.75</v>
      </c>
      <c r="L50" s="5">
        <v>727.60191000000009</v>
      </c>
    </row>
    <row r="51" spans="2:15" x14ac:dyDescent="0.35">
      <c r="F51" s="326" t="s">
        <v>237</v>
      </c>
      <c r="G51" s="326"/>
      <c r="H51" s="5"/>
    </row>
    <row r="52" spans="2:15" x14ac:dyDescent="0.35">
      <c r="B52" s="300">
        <f>762*12</f>
        <v>9144</v>
      </c>
      <c r="C52" s="12">
        <v>32.852236000000005</v>
      </c>
      <c r="D52" s="323">
        <v>33.458880999999998</v>
      </c>
      <c r="F52" s="326"/>
      <c r="G52" s="326"/>
    </row>
    <row r="53" spans="2:15" x14ac:dyDescent="0.35">
      <c r="C53" s="73">
        <v>42.284641000000008</v>
      </c>
      <c r="D53" s="73">
        <v>40.521807000000003</v>
      </c>
      <c r="F53" s="39">
        <f>30.64-0.4</f>
        <v>30.240000000000002</v>
      </c>
      <c r="G53" s="38">
        <v>28.88</v>
      </c>
    </row>
    <row r="54" spans="2:15" x14ac:dyDescent="0.35">
      <c r="C54" s="73">
        <v>75.136876999999998</v>
      </c>
      <c r="D54" s="73">
        <v>73.980688000000001</v>
      </c>
      <c r="F54" s="39">
        <f>10.56-0.35</f>
        <v>10.210000000000001</v>
      </c>
      <c r="G54" s="38">
        <v>10.08</v>
      </c>
    </row>
    <row r="55" spans="2:15" x14ac:dyDescent="0.35">
      <c r="C55" s="73"/>
      <c r="D55" s="73"/>
      <c r="F55" s="32"/>
      <c r="G55" s="32"/>
    </row>
    <row r="56" spans="2:15" x14ac:dyDescent="0.35">
      <c r="F56" s="34">
        <f>[3]MARCH20!$AE$23</f>
        <v>1.9066129999999999</v>
      </c>
      <c r="G56" s="34">
        <f>[3]MARCH20!$AD$23</f>
        <v>1.5318480000000001</v>
      </c>
      <c r="J56" s="12"/>
    </row>
    <row r="57" spans="2:15" x14ac:dyDescent="0.35">
      <c r="F57" s="34">
        <f>[3]MARCH20!$AE$24</f>
        <v>0.74273199999999995</v>
      </c>
      <c r="G57" s="34">
        <f>[3]MARCH20!$AD$24</f>
        <v>0.41641400000000001</v>
      </c>
    </row>
    <row r="58" spans="2:15" x14ac:dyDescent="0.35">
      <c r="F58" s="32"/>
      <c r="G58" s="32"/>
    </row>
    <row r="59" spans="2:15" x14ac:dyDescent="0.35">
      <c r="C59" s="12">
        <f>75.89-C54</f>
        <v>0.75312300000000221</v>
      </c>
      <c r="F59" s="34">
        <f>F53+F56</f>
        <v>32.146613000000002</v>
      </c>
      <c r="G59" s="34">
        <f>G53+G56</f>
        <v>30.411847999999999</v>
      </c>
    </row>
    <row r="60" spans="2:15" x14ac:dyDescent="0.35">
      <c r="F60" s="34">
        <f>F54+F57</f>
        <v>10.952732000000001</v>
      </c>
      <c r="G60" s="34">
        <f>G54+G57</f>
        <v>10.496414</v>
      </c>
    </row>
    <row r="61" spans="2:15" x14ac:dyDescent="0.35">
      <c r="F61" s="326"/>
      <c r="G61" s="326"/>
    </row>
    <row r="63" spans="2:15" x14ac:dyDescent="0.35">
      <c r="F63" s="327" t="s">
        <v>238</v>
      </c>
      <c r="G63" s="327"/>
    </row>
    <row r="64" spans="2:15" x14ac:dyDescent="0.35">
      <c r="C64" s="12">
        <v>18.442820790999999</v>
      </c>
      <c r="D64" s="323">
        <v>19.133216633</v>
      </c>
      <c r="F64" s="328">
        <f>'total -19-20'!E8</f>
        <v>19.153750190999997</v>
      </c>
      <c r="G64" s="328">
        <f>'total -19-20'!F8</f>
        <v>19.410979863000001</v>
      </c>
      <c r="H64" s="134"/>
    </row>
    <row r="65" spans="3:8" x14ac:dyDescent="0.35">
      <c r="C65" s="12">
        <v>801.97998469999993</v>
      </c>
      <c r="D65" s="323">
        <v>854.69389449800008</v>
      </c>
      <c r="F65" s="328">
        <f>F69+F72</f>
        <v>173.63417989999999</v>
      </c>
      <c r="G65" s="328">
        <f>G69+G72</f>
        <v>180.23332070000001</v>
      </c>
      <c r="H65" s="134"/>
    </row>
    <row r="66" spans="3:8" x14ac:dyDescent="0.4">
      <c r="C66" s="12">
        <v>820.42280549099996</v>
      </c>
      <c r="D66" s="323">
        <v>873.82711113100004</v>
      </c>
      <c r="F66" s="328">
        <f>F70+F73</f>
        <v>662.34532390000004</v>
      </c>
      <c r="G66" s="328">
        <f>G70+G73</f>
        <v>684.77146559999994</v>
      </c>
      <c r="H66" s="136"/>
    </row>
    <row r="67" spans="3:8" x14ac:dyDescent="0.35">
      <c r="F67" s="327"/>
      <c r="G67" s="327"/>
    </row>
    <row r="68" spans="3:8" x14ac:dyDescent="0.35">
      <c r="C68" s="12">
        <f>C69-C65</f>
        <v>7.1600153000000546</v>
      </c>
      <c r="D68" s="323">
        <f>D69-D65</f>
        <v>10.310891801999901</v>
      </c>
      <c r="F68" s="327"/>
      <c r="G68" s="327"/>
    </row>
    <row r="69" spans="3:8" x14ac:dyDescent="0.4">
      <c r="C69" s="5">
        <v>809.14</v>
      </c>
      <c r="D69" s="323">
        <f>G65+G66</f>
        <v>865.00478629999998</v>
      </c>
      <c r="F69" s="329">
        <f>169.06-7.16</f>
        <v>161.9</v>
      </c>
      <c r="G69" s="329">
        <f>175.46-8.33</f>
        <v>167.13</v>
      </c>
    </row>
    <row r="70" spans="3:8" x14ac:dyDescent="0.4">
      <c r="F70" s="329">
        <f>611.64-10</f>
        <v>601.64</v>
      </c>
      <c r="G70" s="329">
        <f>663.92-10</f>
        <v>653.91999999999996</v>
      </c>
    </row>
    <row r="71" spans="3:8" x14ac:dyDescent="0.35">
      <c r="F71" s="327"/>
      <c r="G71" s="327"/>
    </row>
    <row r="72" spans="3:8" x14ac:dyDescent="0.35">
      <c r="F72" s="330">
        <f>[3]MARCH20!$AO$16</f>
        <v>11.734179900000001</v>
      </c>
      <c r="G72" s="330">
        <f>[3]MARCH20!$AN$16</f>
        <v>13.103320699999999</v>
      </c>
    </row>
    <row r="73" spans="3:8" x14ac:dyDescent="0.35">
      <c r="F73" s="330">
        <f>[3]MARCH20!$AO$17</f>
        <v>60.705323900000003</v>
      </c>
      <c r="G73" s="330">
        <f>[3]MARCH20!$AN$17</f>
        <v>30.851465600000001</v>
      </c>
    </row>
  </sheetData>
  <mergeCells count="66">
    <mergeCell ref="B48:C48"/>
    <mergeCell ref="D16:D17"/>
    <mergeCell ref="E16:E17"/>
    <mergeCell ref="H16:H17"/>
    <mergeCell ref="D43:D44"/>
    <mergeCell ref="E43:E44"/>
    <mergeCell ref="H43:H44"/>
    <mergeCell ref="B42:C42"/>
    <mergeCell ref="B43:B44"/>
    <mergeCell ref="B16:B17"/>
    <mergeCell ref="B46:C46"/>
    <mergeCell ref="B47:C47"/>
    <mergeCell ref="B18:I18"/>
    <mergeCell ref="C21:E21"/>
    <mergeCell ref="C22:E22"/>
    <mergeCell ref="C23:E23"/>
    <mergeCell ref="B8:C8"/>
    <mergeCell ref="B9:C9"/>
    <mergeCell ref="B10:C10"/>
    <mergeCell ref="B12:C12"/>
    <mergeCell ref="B15:C15"/>
    <mergeCell ref="B13:I13"/>
    <mergeCell ref="B14:I14"/>
    <mergeCell ref="A11:I11"/>
    <mergeCell ref="M7:S7"/>
    <mergeCell ref="A1:I1"/>
    <mergeCell ref="A2:I2"/>
    <mergeCell ref="A3:A5"/>
    <mergeCell ref="D3:E3"/>
    <mergeCell ref="F3:G3"/>
    <mergeCell ref="H3:I3"/>
    <mergeCell ref="H4:H5"/>
    <mergeCell ref="I4:I5"/>
    <mergeCell ref="D5:E5"/>
    <mergeCell ref="B3:C5"/>
    <mergeCell ref="B6:C6"/>
    <mergeCell ref="B7:C7"/>
    <mergeCell ref="A41:A44"/>
    <mergeCell ref="A45:A48"/>
    <mergeCell ref="B41:I41"/>
    <mergeCell ref="B34:I34"/>
    <mergeCell ref="B26:I26"/>
    <mergeCell ref="B45:I45"/>
    <mergeCell ref="E46:E48"/>
    <mergeCell ref="H46:H48"/>
    <mergeCell ref="B27:C27"/>
    <mergeCell ref="B28:C28"/>
    <mergeCell ref="B29:C29"/>
    <mergeCell ref="B30:C30"/>
    <mergeCell ref="B31:C31"/>
    <mergeCell ref="B32:C32"/>
    <mergeCell ref="B35:C35"/>
    <mergeCell ref="B36:C36"/>
    <mergeCell ref="C24:E24"/>
    <mergeCell ref="A14:A17"/>
    <mergeCell ref="B37:C37"/>
    <mergeCell ref="B39:C39"/>
    <mergeCell ref="B19:B25"/>
    <mergeCell ref="A18:A25"/>
    <mergeCell ref="C25:E25"/>
    <mergeCell ref="C19:E19"/>
    <mergeCell ref="C20:E20"/>
    <mergeCell ref="A26:A33"/>
    <mergeCell ref="B33:C33"/>
    <mergeCell ref="A34:A40"/>
    <mergeCell ref="B40:C40"/>
  </mergeCells>
  <printOptions horizontalCentered="1"/>
  <pageMargins left="7.8740157480315001E-2" right="0.196850393700787" top="0.74803149606299202" bottom="0.66929133858267698" header="0.31496062992126" footer="0.31496062992126"/>
  <pageSetup paperSize="9" scale="3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D1:V19"/>
  <sheetViews>
    <sheetView zoomScaleNormal="100" workbookViewId="0">
      <selection activeCell="R3" sqref="R3"/>
    </sheetView>
  </sheetViews>
  <sheetFormatPr defaultRowHeight="14.25" x14ac:dyDescent="0.45"/>
  <cols>
    <col min="4" max="4" width="21" style="54" customWidth="1"/>
    <col min="5" max="5" width="14.73046875" customWidth="1"/>
    <col min="6" max="6" width="15.265625" customWidth="1"/>
    <col min="7" max="7" width="14.265625" customWidth="1"/>
    <col min="8" max="8" width="6.3984375" customWidth="1"/>
    <col min="9" max="9" width="17.3984375" style="54" customWidth="1"/>
    <col min="10" max="10" width="13.86328125" customWidth="1"/>
    <col min="11" max="11" width="17.3984375" customWidth="1"/>
    <col min="12" max="12" width="15.59765625" customWidth="1"/>
    <col min="18" max="18" width="22.1328125" customWidth="1"/>
    <col min="19" max="22" width="14.265625" customWidth="1"/>
  </cols>
  <sheetData>
    <row r="1" spans="4:22" ht="20.25" customHeight="1" x14ac:dyDescent="0.5">
      <c r="D1" s="2072" t="s">
        <v>468</v>
      </c>
      <c r="E1" s="2072"/>
      <c r="F1" s="2072"/>
      <c r="G1" s="2072"/>
    </row>
    <row r="2" spans="4:22" ht="27" customHeight="1" x14ac:dyDescent="0.5">
      <c r="D2" s="2074" t="s">
        <v>72</v>
      </c>
      <c r="E2" s="2073" t="s">
        <v>469</v>
      </c>
      <c r="F2" s="2073"/>
      <c r="G2" s="56" t="s">
        <v>73</v>
      </c>
      <c r="H2" s="2077" t="s">
        <v>468</v>
      </c>
      <c r="I2" s="2078"/>
      <c r="J2" s="2078"/>
      <c r="K2" s="2079"/>
      <c r="L2" s="98" t="s">
        <v>479</v>
      </c>
    </row>
    <row r="3" spans="4:22" ht="27" customHeight="1" x14ac:dyDescent="0.5">
      <c r="D3" s="2075"/>
      <c r="E3" s="57" t="s">
        <v>126</v>
      </c>
      <c r="F3" s="57" t="s">
        <v>249</v>
      </c>
      <c r="G3" s="58" t="s">
        <v>13</v>
      </c>
      <c r="H3" s="650" t="s">
        <v>475</v>
      </c>
      <c r="I3" s="652" t="s">
        <v>372</v>
      </c>
      <c r="J3" s="401" t="s">
        <v>77</v>
      </c>
      <c r="K3" s="401" t="s">
        <v>249</v>
      </c>
      <c r="L3" s="56" t="s">
        <v>73</v>
      </c>
      <c r="R3" s="89"/>
      <c r="S3" s="89"/>
      <c r="T3" s="89"/>
      <c r="U3" s="89"/>
      <c r="V3" s="89"/>
    </row>
    <row r="4" spans="4:22" ht="43.5" customHeight="1" x14ac:dyDescent="0.45">
      <c r="D4" s="640" t="s">
        <v>471</v>
      </c>
      <c r="E4" s="62">
        <v>678.37</v>
      </c>
      <c r="F4" s="61">
        <f>(8.04+166.1)</f>
        <v>174.14</v>
      </c>
      <c r="G4" s="62">
        <f>(F4-E4)/E4*100</f>
        <v>-74.32964311511418</v>
      </c>
      <c r="H4" s="398">
        <v>1</v>
      </c>
      <c r="I4" s="653" t="s">
        <v>94</v>
      </c>
      <c r="J4" s="647">
        <f>31749769/10000000</f>
        <v>3.1749768999999999</v>
      </c>
      <c r="K4" s="648">
        <f>250296/10000000</f>
        <v>2.5029599999999999E-2</v>
      </c>
      <c r="L4" s="646">
        <f t="shared" ref="L4:L11" si="0">(K4-J4)/J4*100</f>
        <v>-99.211660406096186</v>
      </c>
      <c r="R4" s="398"/>
      <c r="S4" s="398" t="s">
        <v>262</v>
      </c>
      <c r="T4" s="398" t="s">
        <v>62</v>
      </c>
      <c r="U4" s="398" t="s">
        <v>66</v>
      </c>
      <c r="V4" s="398" t="s">
        <v>77</v>
      </c>
    </row>
    <row r="5" spans="4:22" ht="23.25" customHeight="1" x14ac:dyDescent="0.45">
      <c r="D5" s="641" t="s">
        <v>473</v>
      </c>
      <c r="E5" s="642">
        <v>119.9</v>
      </c>
      <c r="F5" s="642">
        <v>0.42</v>
      </c>
      <c r="G5" s="643"/>
      <c r="H5" s="122">
        <v>2</v>
      </c>
      <c r="I5" s="652" t="s">
        <v>474</v>
      </c>
      <c r="J5" s="644">
        <f>1166991293/10000000</f>
        <v>116.6991293</v>
      </c>
      <c r="K5" s="400">
        <f>77787370/10000000</f>
        <v>7.7787369999999996</v>
      </c>
      <c r="L5" s="643">
        <f t="shared" si="0"/>
        <v>-93.334365863173588</v>
      </c>
      <c r="R5" s="399" t="s">
        <v>264</v>
      </c>
      <c r="S5" s="400">
        <v>1110.4204626000001</v>
      </c>
      <c r="T5" s="400">
        <v>1109.2874317000001</v>
      </c>
      <c r="U5" s="400">
        <v>1154.781203991</v>
      </c>
      <c r="V5" s="400">
        <v>1163.7870045610002</v>
      </c>
    </row>
    <row r="6" spans="4:22" ht="21" customHeight="1" x14ac:dyDescent="0.45">
      <c r="D6" s="641" t="s">
        <v>472</v>
      </c>
      <c r="E6" s="642">
        <v>558.5</v>
      </c>
      <c r="F6" s="642"/>
      <c r="G6" s="643"/>
      <c r="H6" s="122">
        <v>3</v>
      </c>
      <c r="I6" s="652" t="s">
        <v>434</v>
      </c>
      <c r="J6" s="642">
        <v>558.5</v>
      </c>
      <c r="K6" s="400">
        <v>166.34</v>
      </c>
      <c r="L6" s="643">
        <f t="shared" si="0"/>
        <v>-70.216651745747527</v>
      </c>
      <c r="R6" s="399" t="s">
        <v>263</v>
      </c>
      <c r="S6" s="401">
        <v>79.069999999999993</v>
      </c>
      <c r="T6" s="401">
        <v>77.72</v>
      </c>
      <c r="U6" s="400">
        <v>78.188000000000017</v>
      </c>
      <c r="V6" s="400">
        <v>77.266191000000006</v>
      </c>
    </row>
    <row r="7" spans="4:22" ht="39" customHeight="1" x14ac:dyDescent="0.45">
      <c r="D7" s="63" t="s">
        <v>71</v>
      </c>
      <c r="E7" s="61" t="s">
        <v>221</v>
      </c>
      <c r="F7" s="61" t="s">
        <v>221</v>
      </c>
      <c r="G7" s="649" t="s">
        <v>221</v>
      </c>
      <c r="H7" s="401">
        <v>4</v>
      </c>
      <c r="I7" s="654" t="s">
        <v>476</v>
      </c>
      <c r="J7" s="645">
        <f>J5+J6</f>
        <v>675.19912929999998</v>
      </c>
      <c r="K7" s="645">
        <f>K5+K6</f>
        <v>174.11873700000001</v>
      </c>
      <c r="L7" s="646">
        <f>(K7-J7)/J7*100</f>
        <v>-74.212239109295894</v>
      </c>
    </row>
    <row r="8" spans="4:22" ht="39" customHeight="1" x14ac:dyDescent="0.45">
      <c r="H8" s="401">
        <v>5</v>
      </c>
      <c r="I8" s="657" t="s">
        <v>477</v>
      </c>
      <c r="J8" s="647">
        <f>J4+J7</f>
        <v>678.37410620000003</v>
      </c>
      <c r="K8" s="647">
        <f>K4+K7</f>
        <v>174.14376660000002</v>
      </c>
      <c r="L8" s="646">
        <f t="shared" si="0"/>
        <v>-74.329243258489214</v>
      </c>
    </row>
    <row r="9" spans="4:22" ht="16.5" customHeight="1" x14ac:dyDescent="0.45">
      <c r="D9" s="640"/>
      <c r="E9" s="61"/>
      <c r="F9" s="61"/>
      <c r="G9" s="62"/>
      <c r="H9" s="122">
        <v>6</v>
      </c>
      <c r="I9" s="658" t="s">
        <v>470</v>
      </c>
      <c r="J9" s="642">
        <v>22.22</v>
      </c>
      <c r="K9" s="642">
        <v>10.91</v>
      </c>
      <c r="L9" s="643">
        <f t="shared" si="0"/>
        <v>-50.900090009000898</v>
      </c>
    </row>
    <row r="10" spans="4:22" ht="15.75" customHeight="1" x14ac:dyDescent="0.45">
      <c r="D10" s="63" t="s">
        <v>63</v>
      </c>
      <c r="E10" s="64">
        <f>SUM(E4:E8)</f>
        <v>1356.77</v>
      </c>
      <c r="F10" s="64">
        <f>SUM(F4:F8)</f>
        <v>174.55999999999997</v>
      </c>
      <c r="G10" s="62">
        <f>(F10-E10)/E10*100</f>
        <v>-87.134149487385486</v>
      </c>
      <c r="H10" s="122">
        <v>7</v>
      </c>
      <c r="I10" s="659" t="s">
        <v>478</v>
      </c>
      <c r="J10" s="122">
        <v>0.85</v>
      </c>
      <c r="K10" s="122">
        <v>8.7999999999999995E-2</v>
      </c>
      <c r="L10" s="643">
        <f t="shared" si="0"/>
        <v>-89.64705882352942</v>
      </c>
    </row>
    <row r="11" spans="4:22" ht="30.75" customHeight="1" x14ac:dyDescent="0.45">
      <c r="D11" s="65"/>
      <c r="E11" s="66"/>
      <c r="F11" s="66"/>
      <c r="G11" s="67"/>
      <c r="H11" s="401">
        <v>8</v>
      </c>
      <c r="I11" s="651" t="s">
        <v>480</v>
      </c>
      <c r="J11" s="401">
        <v>41996</v>
      </c>
      <c r="K11" s="401">
        <v>2780</v>
      </c>
      <c r="L11" s="643">
        <f t="shared" si="0"/>
        <v>-93.380321935422415</v>
      </c>
    </row>
    <row r="12" spans="4:22" ht="15.75" x14ac:dyDescent="0.5">
      <c r="D12" s="59"/>
      <c r="E12" s="55"/>
      <c r="F12" s="55"/>
      <c r="G12" s="55"/>
    </row>
    <row r="13" spans="4:22" ht="15.75" x14ac:dyDescent="0.5">
      <c r="D13" s="2076" t="s">
        <v>74</v>
      </c>
      <c r="E13" s="60"/>
      <c r="F13" s="60"/>
      <c r="G13" s="60"/>
      <c r="H13" s="2077" t="s">
        <v>481</v>
      </c>
      <c r="I13" s="2078"/>
      <c r="J13" s="2078"/>
      <c r="K13" s="2079"/>
      <c r="L13" s="98" t="s">
        <v>482</v>
      </c>
    </row>
    <row r="14" spans="4:22" ht="15.75" x14ac:dyDescent="0.5">
      <c r="D14" s="2076"/>
      <c r="E14" s="60"/>
      <c r="F14" s="60"/>
      <c r="G14" s="60"/>
      <c r="H14" s="98" t="s">
        <v>475</v>
      </c>
      <c r="I14" s="652" t="s">
        <v>372</v>
      </c>
      <c r="J14" s="401" t="s">
        <v>77</v>
      </c>
      <c r="K14" s="401" t="s">
        <v>249</v>
      </c>
      <c r="L14" s="656" t="s">
        <v>73</v>
      </c>
    </row>
    <row r="15" spans="4:22" ht="47.25" x14ac:dyDescent="0.5">
      <c r="D15" s="68" t="s">
        <v>75</v>
      </c>
      <c r="E15" s="69"/>
      <c r="F15" s="69"/>
      <c r="G15" s="69"/>
      <c r="H15" s="398">
        <v>1</v>
      </c>
      <c r="I15" s="652" t="s">
        <v>94</v>
      </c>
      <c r="J15" s="400">
        <f>4011888/100000</f>
        <v>40.118879999999997</v>
      </c>
      <c r="K15" s="400">
        <f>53326/100000</f>
        <v>0.53325999999999996</v>
      </c>
      <c r="L15" s="643">
        <f>(K15-J15)/J15*100</f>
        <v>-98.670800381266872</v>
      </c>
    </row>
    <row r="16" spans="4:22" ht="15.75" x14ac:dyDescent="0.45">
      <c r="H16" s="122">
        <v>2</v>
      </c>
      <c r="I16" s="652" t="s">
        <v>474</v>
      </c>
      <c r="J16" s="644">
        <f>10122369/100000</f>
        <v>101.22369</v>
      </c>
      <c r="K16" s="400">
        <f>134483/100000</f>
        <v>1.34483</v>
      </c>
      <c r="L16" s="643">
        <f>(K16-J16)/J16*100</f>
        <v>-98.671427607509671</v>
      </c>
    </row>
    <row r="17" spans="8:12" ht="15.75" x14ac:dyDescent="0.45">
      <c r="H17" s="122">
        <v>3</v>
      </c>
      <c r="I17" s="652" t="s">
        <v>434</v>
      </c>
      <c r="J17" s="655">
        <f>8445846/100000</f>
        <v>84.458460000000002</v>
      </c>
      <c r="K17" s="400">
        <f>2638359/100000</f>
        <v>26.383590000000002</v>
      </c>
      <c r="L17" s="643">
        <f>(K17-J17)/J17*100</f>
        <v>-68.761459775610405</v>
      </c>
    </row>
    <row r="18" spans="8:12" ht="28.5" x14ac:dyDescent="0.45">
      <c r="H18" s="401">
        <v>4</v>
      </c>
      <c r="I18" s="654" t="s">
        <v>476</v>
      </c>
      <c r="J18" s="645">
        <f>J16+J17</f>
        <v>185.68215000000001</v>
      </c>
      <c r="K18" s="645">
        <f>K16+K17</f>
        <v>27.72842</v>
      </c>
      <c r="L18" s="646">
        <f>(K18-J18)/J18*100</f>
        <v>-85.066728277327684</v>
      </c>
    </row>
    <row r="19" spans="8:12" ht="15.75" x14ac:dyDescent="0.45">
      <c r="H19" s="401">
        <v>5</v>
      </c>
      <c r="I19" s="657" t="s">
        <v>477</v>
      </c>
      <c r="J19" s="647">
        <f>J15+J18</f>
        <v>225.80103</v>
      </c>
      <c r="K19" s="647">
        <f>K15+K18</f>
        <v>28.261679999999998</v>
      </c>
      <c r="L19" s="646">
        <f>(K19-J19)/J19*100</f>
        <v>-87.483812629198383</v>
      </c>
    </row>
  </sheetData>
  <mergeCells count="6">
    <mergeCell ref="D1:G1"/>
    <mergeCell ref="E2:F2"/>
    <mergeCell ref="D2:D3"/>
    <mergeCell ref="D13:D14"/>
    <mergeCell ref="H2:K2"/>
    <mergeCell ref="H13:K13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2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F3:Y31"/>
  <sheetViews>
    <sheetView workbookViewId="0">
      <selection activeCell="Q51" sqref="Q51"/>
    </sheetView>
  </sheetViews>
  <sheetFormatPr defaultColWidth="9.1328125" defaultRowHeight="14.25" x14ac:dyDescent="0.45"/>
  <cols>
    <col min="1" max="5" width="9.1328125" style="197"/>
    <col min="6" max="6" width="10.59765625" style="197" customWidth="1"/>
    <col min="7" max="8" width="9.3984375" style="197" customWidth="1"/>
    <col min="9" max="9" width="10.265625" style="197" customWidth="1"/>
    <col min="10" max="11" width="9.3984375" style="197" customWidth="1"/>
    <col min="12" max="12" width="10.265625" style="197" customWidth="1"/>
    <col min="13" max="15" width="9.3984375" style="197" customWidth="1"/>
    <col min="16" max="17" width="12.265625" style="197" customWidth="1"/>
    <col min="18" max="18" width="14" style="197" customWidth="1"/>
    <col min="19" max="16384" width="9.1328125" style="197"/>
  </cols>
  <sheetData>
    <row r="3" spans="6:25" ht="21" x14ac:dyDescent="0.65">
      <c r="F3" s="2081" t="s">
        <v>167</v>
      </c>
      <c r="G3" s="2081"/>
      <c r="H3" s="2081"/>
      <c r="I3" s="2081"/>
      <c r="J3" s="2081"/>
      <c r="K3" s="2081"/>
      <c r="L3" s="2081"/>
      <c r="M3" s="2081"/>
      <c r="N3" s="2081"/>
      <c r="O3" s="2081"/>
      <c r="P3" s="2081"/>
      <c r="Q3" s="2081"/>
      <c r="R3" s="2081"/>
    </row>
    <row r="5" spans="6:25" ht="18" x14ac:dyDescent="0.55000000000000004">
      <c r="F5" s="2080" t="s">
        <v>127</v>
      </c>
      <c r="G5" s="2080" t="s">
        <v>166</v>
      </c>
      <c r="H5" s="2080"/>
      <c r="I5" s="2080"/>
      <c r="J5" s="2080" t="s">
        <v>160</v>
      </c>
      <c r="K5" s="2080"/>
      <c r="L5" s="2080"/>
      <c r="M5" s="2080" t="s">
        <v>161</v>
      </c>
      <c r="N5" s="2080"/>
      <c r="O5" s="2080"/>
      <c r="P5" s="2080" t="s">
        <v>63</v>
      </c>
      <c r="Q5" s="2080"/>
      <c r="R5" s="2080"/>
    </row>
    <row r="6" spans="6:25" ht="18" x14ac:dyDescent="0.55000000000000004">
      <c r="F6" s="2080"/>
      <c r="G6" s="196" t="s">
        <v>163</v>
      </c>
      <c r="H6" s="196" t="s">
        <v>164</v>
      </c>
      <c r="I6" s="196" t="s">
        <v>165</v>
      </c>
      <c r="J6" s="196" t="s">
        <v>163</v>
      </c>
      <c r="K6" s="196" t="s">
        <v>164</v>
      </c>
      <c r="L6" s="196" t="s">
        <v>165</v>
      </c>
      <c r="M6" s="196" t="s">
        <v>163</v>
      </c>
      <c r="N6" s="196" t="s">
        <v>164</v>
      </c>
      <c r="O6" s="196" t="s">
        <v>165</v>
      </c>
      <c r="P6" s="196" t="s">
        <v>163</v>
      </c>
      <c r="Q6" s="196" t="s">
        <v>164</v>
      </c>
      <c r="R6" s="196" t="s">
        <v>165</v>
      </c>
    </row>
    <row r="7" spans="6:25" ht="40.5" customHeight="1" x14ac:dyDescent="0.45">
      <c r="F7" s="198" t="s">
        <v>131</v>
      </c>
      <c r="G7" s="198">
        <v>173379</v>
      </c>
      <c r="H7" s="198">
        <v>186208</v>
      </c>
      <c r="I7" s="198">
        <f>H7*10</f>
        <v>1862080</v>
      </c>
      <c r="J7" s="198">
        <v>78442</v>
      </c>
      <c r="K7" s="198">
        <v>106803</v>
      </c>
      <c r="L7" s="198">
        <f>K7*10</f>
        <v>1068030</v>
      </c>
      <c r="M7" s="198">
        <v>2177</v>
      </c>
      <c r="N7" s="198">
        <v>2955</v>
      </c>
      <c r="O7" s="198">
        <f>N7*10</f>
        <v>29550</v>
      </c>
      <c r="P7" s="202">
        <f>G7+J7+M7</f>
        <v>253998</v>
      </c>
      <c r="Q7" s="202">
        <f>H7+K7+N7</f>
        <v>295966</v>
      </c>
      <c r="R7" s="202">
        <f>I7+L7+O7</f>
        <v>2959660</v>
      </c>
    </row>
    <row r="8" spans="6:25" ht="40.5" customHeight="1" x14ac:dyDescent="0.45">
      <c r="F8" s="198" t="s">
        <v>132</v>
      </c>
      <c r="G8" s="198">
        <v>190398</v>
      </c>
      <c r="H8" s="198">
        <v>207378</v>
      </c>
      <c r="I8" s="198">
        <f>H8*10</f>
        <v>2073780</v>
      </c>
      <c r="J8" s="198">
        <v>81841</v>
      </c>
      <c r="K8" s="198">
        <v>110124</v>
      </c>
      <c r="L8" s="198">
        <f>K8*10</f>
        <v>1101240</v>
      </c>
      <c r="M8" s="198">
        <v>2788</v>
      </c>
      <c r="N8" s="198">
        <v>3803</v>
      </c>
      <c r="O8" s="198">
        <f>N8*10</f>
        <v>38030</v>
      </c>
      <c r="P8" s="202">
        <f t="shared" ref="P8:P16" si="0">G8+J8+M8</f>
        <v>275027</v>
      </c>
      <c r="Q8" s="202">
        <f t="shared" ref="Q8:Q16" si="1">H8+K8+N8</f>
        <v>321305</v>
      </c>
      <c r="R8" s="202">
        <f t="shared" ref="R8:R16" si="2">I8+L8+O8</f>
        <v>3213050</v>
      </c>
    </row>
    <row r="9" spans="6:25" ht="40.5" customHeight="1" x14ac:dyDescent="0.45">
      <c r="F9" s="198" t="s">
        <v>133</v>
      </c>
      <c r="G9" s="198">
        <v>17701</v>
      </c>
      <c r="H9" s="198">
        <v>194872</v>
      </c>
      <c r="I9" s="198">
        <f>H9*10</f>
        <v>1948720</v>
      </c>
      <c r="J9" s="198">
        <v>69097</v>
      </c>
      <c r="K9" s="198">
        <v>93294</v>
      </c>
      <c r="L9" s="198">
        <f>K9*10</f>
        <v>932940</v>
      </c>
      <c r="M9" s="198">
        <v>2983</v>
      </c>
      <c r="N9" s="198">
        <v>4185</v>
      </c>
      <c r="O9" s="198">
        <f>N9*10</f>
        <v>41850</v>
      </c>
      <c r="P9" s="202">
        <f t="shared" si="0"/>
        <v>89781</v>
      </c>
      <c r="Q9" s="202">
        <f t="shared" si="1"/>
        <v>292351</v>
      </c>
      <c r="R9" s="202">
        <f t="shared" si="2"/>
        <v>2923510</v>
      </c>
    </row>
    <row r="10" spans="6:25" ht="40.5" customHeight="1" x14ac:dyDescent="0.45">
      <c r="F10" s="198" t="s">
        <v>51</v>
      </c>
      <c r="G10" s="198">
        <v>138032</v>
      </c>
      <c r="H10" s="198">
        <v>145166</v>
      </c>
      <c r="I10" s="198">
        <f>H10*10</f>
        <v>1451660</v>
      </c>
      <c r="J10" s="198">
        <v>67232</v>
      </c>
      <c r="K10" s="198">
        <v>90484</v>
      </c>
      <c r="L10" s="198">
        <f>K10*10</f>
        <v>904840</v>
      </c>
      <c r="M10" s="198">
        <v>2250</v>
      </c>
      <c r="N10" s="198">
        <v>3080</v>
      </c>
      <c r="O10" s="198">
        <f>N10*10</f>
        <v>30800</v>
      </c>
      <c r="P10" s="202">
        <f t="shared" si="0"/>
        <v>207514</v>
      </c>
      <c r="Q10" s="202">
        <f t="shared" si="1"/>
        <v>238730</v>
      </c>
      <c r="R10" s="202">
        <f t="shared" si="2"/>
        <v>2387300</v>
      </c>
    </row>
    <row r="11" spans="6:25" ht="40.5" customHeight="1" x14ac:dyDescent="0.45">
      <c r="F11" s="198" t="s">
        <v>134</v>
      </c>
      <c r="G11" s="198">
        <v>127597</v>
      </c>
      <c r="H11" s="198">
        <v>133946</v>
      </c>
      <c r="I11" s="198">
        <f>H11*10</f>
        <v>1339460</v>
      </c>
      <c r="J11" s="198">
        <v>58597</v>
      </c>
      <c r="K11" s="198">
        <v>77989</v>
      </c>
      <c r="L11" s="198">
        <f>K11*10</f>
        <v>779890</v>
      </c>
      <c r="M11" s="198">
        <v>2456</v>
      </c>
      <c r="N11" s="198">
        <v>3390</v>
      </c>
      <c r="O11" s="198">
        <f>N11*10</f>
        <v>33900</v>
      </c>
      <c r="P11" s="202">
        <f t="shared" si="0"/>
        <v>188650</v>
      </c>
      <c r="Q11" s="202">
        <f t="shared" si="1"/>
        <v>215325</v>
      </c>
      <c r="R11" s="202">
        <f t="shared" si="2"/>
        <v>2153250</v>
      </c>
      <c r="T11" s="197">
        <f>R11/10000000</f>
        <v>0.21532499999999999</v>
      </c>
      <c r="V11" s="197">
        <v>2250</v>
      </c>
      <c r="W11" s="197">
        <v>138032</v>
      </c>
      <c r="X11" s="197">
        <v>67232</v>
      </c>
      <c r="Y11" s="197">
        <f>SUM(V11:X11)</f>
        <v>207514</v>
      </c>
    </row>
    <row r="12" spans="6:25" ht="40.5" customHeight="1" x14ac:dyDescent="0.45"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202"/>
      <c r="Q12" s="202"/>
      <c r="R12" s="202"/>
      <c r="T12" s="197">
        <f>R15/10000000</f>
        <v>1.363677</v>
      </c>
      <c r="V12" s="197">
        <v>2456</v>
      </c>
      <c r="W12" s="197">
        <v>127597</v>
      </c>
      <c r="X12" s="197">
        <v>58597</v>
      </c>
      <c r="Y12" s="197">
        <f>SUM(V12:X12)</f>
        <v>188650</v>
      </c>
    </row>
    <row r="13" spans="6:25" ht="40.5" customHeight="1" x14ac:dyDescent="0.45">
      <c r="F13" s="198"/>
      <c r="G13" s="198"/>
      <c r="H13" s="198"/>
      <c r="I13" s="198"/>
      <c r="J13" s="198"/>
      <c r="K13" s="198"/>
      <c r="L13" s="198"/>
      <c r="M13" s="198"/>
      <c r="N13" s="198"/>
      <c r="O13" s="198"/>
      <c r="P13" s="202"/>
      <c r="Q13" s="202"/>
      <c r="R13" s="202"/>
      <c r="V13" s="197">
        <v>923</v>
      </c>
      <c r="W13" s="197">
        <v>58924</v>
      </c>
      <c r="X13" s="197">
        <v>49224</v>
      </c>
      <c r="Y13" s="197">
        <f>SUM(V13:X13)</f>
        <v>109071</v>
      </c>
    </row>
    <row r="14" spans="6:25" ht="40.5" customHeight="1" x14ac:dyDescent="0.45">
      <c r="F14" s="198"/>
      <c r="G14" s="198"/>
      <c r="H14" s="198"/>
      <c r="I14" s="198"/>
      <c r="J14" s="198"/>
      <c r="K14" s="198"/>
      <c r="L14" s="198"/>
      <c r="M14" s="198"/>
      <c r="N14" s="198"/>
      <c r="O14" s="198"/>
      <c r="P14" s="202"/>
      <c r="Q14" s="202"/>
      <c r="R14" s="202"/>
      <c r="Y14" s="197">
        <f>SUM(Y11:Y13)</f>
        <v>505235</v>
      </c>
    </row>
    <row r="15" spans="6:25" ht="18" x14ac:dyDescent="0.45">
      <c r="F15" s="63" t="s">
        <v>63</v>
      </c>
      <c r="G15" s="63">
        <f t="shared" ref="G15:O15" si="3">SUM(G7:G11)</f>
        <v>647107</v>
      </c>
      <c r="H15" s="63">
        <f t="shared" si="3"/>
        <v>867570</v>
      </c>
      <c r="I15" s="63">
        <f t="shared" si="3"/>
        <v>8675700</v>
      </c>
      <c r="J15" s="63">
        <f t="shared" si="3"/>
        <v>355209</v>
      </c>
      <c r="K15" s="63">
        <f t="shared" si="3"/>
        <v>478694</v>
      </c>
      <c r="L15" s="63">
        <f t="shared" si="3"/>
        <v>4786940</v>
      </c>
      <c r="M15" s="63">
        <f t="shared" si="3"/>
        <v>12654</v>
      </c>
      <c r="N15" s="63">
        <f t="shared" si="3"/>
        <v>17413</v>
      </c>
      <c r="O15" s="63">
        <f t="shared" si="3"/>
        <v>174130</v>
      </c>
      <c r="P15" s="474">
        <f t="shared" si="0"/>
        <v>1014970</v>
      </c>
      <c r="Q15" s="474">
        <f t="shared" si="1"/>
        <v>1363677</v>
      </c>
      <c r="R15" s="474">
        <f t="shared" si="2"/>
        <v>13636770</v>
      </c>
    </row>
    <row r="16" spans="6:25" ht="18" x14ac:dyDescent="0.45">
      <c r="F16" s="61" t="s">
        <v>162</v>
      </c>
      <c r="G16" s="61">
        <f t="shared" ref="G16:O16" si="4">G15/5</f>
        <v>129421.4</v>
      </c>
      <c r="H16" s="61">
        <f t="shared" si="4"/>
        <v>173514</v>
      </c>
      <c r="I16" s="61">
        <f t="shared" si="4"/>
        <v>1735140</v>
      </c>
      <c r="J16" s="61">
        <f t="shared" si="4"/>
        <v>71041.8</v>
      </c>
      <c r="K16" s="199">
        <f t="shared" si="4"/>
        <v>95738.8</v>
      </c>
      <c r="L16" s="61">
        <f t="shared" si="4"/>
        <v>957388</v>
      </c>
      <c r="M16" s="199">
        <f t="shared" si="4"/>
        <v>2530.8000000000002</v>
      </c>
      <c r="N16" s="199">
        <f t="shared" si="4"/>
        <v>3482.6</v>
      </c>
      <c r="O16" s="199">
        <f t="shared" si="4"/>
        <v>34826</v>
      </c>
      <c r="P16" s="203">
        <f t="shared" si="0"/>
        <v>202994</v>
      </c>
      <c r="Q16" s="203">
        <f t="shared" si="1"/>
        <v>272735.39999999997</v>
      </c>
      <c r="R16" s="203">
        <f t="shared" si="2"/>
        <v>2727354</v>
      </c>
    </row>
    <row r="17" spans="6:24" ht="18" x14ac:dyDescent="0.45">
      <c r="F17" s="200" t="s">
        <v>168</v>
      </c>
      <c r="G17" s="201">
        <f>G15/153</f>
        <v>4229.4575163398695</v>
      </c>
      <c r="H17" s="201">
        <f t="shared" ref="H17:R17" si="5">H15/153</f>
        <v>5670.3921568627447</v>
      </c>
      <c r="I17" s="201">
        <f t="shared" si="5"/>
        <v>56703.921568627447</v>
      </c>
      <c r="J17" s="201">
        <f t="shared" si="5"/>
        <v>2321.627450980392</v>
      </c>
      <c r="K17" s="201">
        <f t="shared" si="5"/>
        <v>3128.7189542483661</v>
      </c>
      <c r="L17" s="201">
        <f t="shared" si="5"/>
        <v>31287.189542483658</v>
      </c>
      <c r="M17" s="201">
        <f t="shared" si="5"/>
        <v>82.705882352941174</v>
      </c>
      <c r="N17" s="201">
        <f t="shared" si="5"/>
        <v>113.81045751633987</v>
      </c>
      <c r="O17" s="201">
        <f t="shared" si="5"/>
        <v>1138.1045751633987</v>
      </c>
      <c r="P17" s="203">
        <f t="shared" si="5"/>
        <v>6633.7908496732025</v>
      </c>
      <c r="Q17" s="203">
        <f t="shared" si="5"/>
        <v>8912.9215686274511</v>
      </c>
      <c r="R17" s="203">
        <f t="shared" si="5"/>
        <v>89129.215686274503</v>
      </c>
    </row>
    <row r="21" spans="6:24" x14ac:dyDescent="0.45">
      <c r="T21" s="197">
        <v>6690494</v>
      </c>
      <c r="U21" s="197">
        <f>39+122</f>
        <v>161</v>
      </c>
      <c r="V21" s="197">
        <f>(U21-T21)/T21*100</f>
        <v>-99.997593600711696</v>
      </c>
      <c r="X21" s="197">
        <v>39</v>
      </c>
    </row>
    <row r="22" spans="6:24" x14ac:dyDescent="0.45">
      <c r="V22" s="197" t="e">
        <f>(U22-T22)/T22*100</f>
        <v>#DIV/0!</v>
      </c>
      <c r="X22" s="197">
        <v>122</v>
      </c>
    </row>
    <row r="25" spans="6:24" ht="18" x14ac:dyDescent="0.55000000000000004">
      <c r="F25" s="2080" t="s">
        <v>127</v>
      </c>
      <c r="G25" s="2080" t="s">
        <v>166</v>
      </c>
      <c r="H25" s="2080"/>
      <c r="I25" s="2080"/>
      <c r="J25" s="2080" t="s">
        <v>160</v>
      </c>
      <c r="K25" s="2080"/>
      <c r="L25" s="2080"/>
      <c r="M25" s="2080" t="s">
        <v>161</v>
      </c>
      <c r="N25" s="2080"/>
      <c r="O25" s="2080"/>
      <c r="P25" s="2080" t="s">
        <v>63</v>
      </c>
      <c r="Q25" s="2080"/>
      <c r="R25" s="2080"/>
    </row>
    <row r="26" spans="6:24" ht="18" x14ac:dyDescent="0.55000000000000004">
      <c r="F26" s="2080"/>
      <c r="G26" s="196" t="s">
        <v>163</v>
      </c>
      <c r="H26" s="196" t="s">
        <v>164</v>
      </c>
      <c r="I26" s="196" t="s">
        <v>165</v>
      </c>
      <c r="J26" s="196" t="s">
        <v>163</v>
      </c>
      <c r="K26" s="196" t="s">
        <v>164</v>
      </c>
      <c r="L26" s="196" t="s">
        <v>165</v>
      </c>
      <c r="M26" s="196" t="s">
        <v>163</v>
      </c>
      <c r="N26" s="196" t="s">
        <v>164</v>
      </c>
      <c r="O26" s="196" t="s">
        <v>165</v>
      </c>
      <c r="P26" s="196" t="s">
        <v>163</v>
      </c>
      <c r="Q26" s="196" t="s">
        <v>164</v>
      </c>
      <c r="R26" s="196" t="s">
        <v>165</v>
      </c>
    </row>
    <row r="27" spans="6:24" ht="18" x14ac:dyDescent="0.45">
      <c r="F27" s="198" t="s">
        <v>131</v>
      </c>
      <c r="G27" s="198"/>
      <c r="H27" s="198"/>
      <c r="I27" s="198"/>
      <c r="J27" s="198"/>
      <c r="K27" s="198"/>
      <c r="L27" s="198"/>
      <c r="M27" s="198">
        <v>1936</v>
      </c>
      <c r="N27" s="198">
        <v>26450</v>
      </c>
      <c r="O27" s="198">
        <v>26450</v>
      </c>
      <c r="P27" s="202">
        <f>G27+J27+M27</f>
        <v>1936</v>
      </c>
      <c r="Q27" s="202">
        <f>H27+K27+N27</f>
        <v>26450</v>
      </c>
      <c r="R27" s="202">
        <f>I27+L27+O27</f>
        <v>26450</v>
      </c>
    </row>
    <row r="28" spans="6:24" ht="15.75" x14ac:dyDescent="0.45">
      <c r="F28" s="198" t="s">
        <v>132</v>
      </c>
      <c r="M28" s="197">
        <v>2437</v>
      </c>
      <c r="O28" s="197">
        <v>33590</v>
      </c>
    </row>
    <row r="29" spans="6:24" ht="15.75" x14ac:dyDescent="0.45">
      <c r="F29" s="198" t="s">
        <v>133</v>
      </c>
      <c r="M29" s="197">
        <v>2657</v>
      </c>
      <c r="O29" s="197">
        <v>37700</v>
      </c>
    </row>
    <row r="30" spans="6:24" ht="15.75" x14ac:dyDescent="0.45">
      <c r="F30" s="198" t="s">
        <v>51</v>
      </c>
      <c r="M30" s="197">
        <v>1946</v>
      </c>
      <c r="O30" s="197">
        <v>27070</v>
      </c>
    </row>
    <row r="31" spans="6:24" ht="15.75" x14ac:dyDescent="0.45">
      <c r="F31" s="198" t="s">
        <v>134</v>
      </c>
      <c r="M31" s="197">
        <v>2223</v>
      </c>
      <c r="O31" s="197">
        <v>31150</v>
      </c>
    </row>
  </sheetData>
  <mergeCells count="11">
    <mergeCell ref="F3:R3"/>
    <mergeCell ref="G5:I5"/>
    <mergeCell ref="J5:L5"/>
    <mergeCell ref="M5:O5"/>
    <mergeCell ref="P5:R5"/>
    <mergeCell ref="F5:F6"/>
    <mergeCell ref="F25:F26"/>
    <mergeCell ref="G25:I25"/>
    <mergeCell ref="J25:L25"/>
    <mergeCell ref="M25:O25"/>
    <mergeCell ref="P25:R25"/>
  </mergeCells>
  <pageMargins left="0.7" right="0.7" top="0.75" bottom="0.75" header="0.3" footer="0.3"/>
  <pageSetup paperSize="9" scale="5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R33"/>
  <sheetViews>
    <sheetView workbookViewId="0">
      <selection activeCell="J26" sqref="J26"/>
    </sheetView>
  </sheetViews>
  <sheetFormatPr defaultRowHeight="14.25" x14ac:dyDescent="0.45"/>
  <cols>
    <col min="3" max="3" width="10" customWidth="1"/>
    <col min="11" max="11" width="14" customWidth="1"/>
    <col min="12" max="12" width="15.1328125" customWidth="1"/>
    <col min="13" max="13" width="15.86328125" customWidth="1"/>
    <col min="14" max="14" width="18.265625" customWidth="1"/>
  </cols>
  <sheetData>
    <row r="1" spans="1:18" ht="15" thickBot="1" x14ac:dyDescent="0.5">
      <c r="A1" s="217">
        <v>21.11</v>
      </c>
      <c r="B1" s="218">
        <v>10.32</v>
      </c>
      <c r="C1" s="219">
        <v>9.39</v>
      </c>
      <c r="D1" s="219">
        <v>9.76</v>
      </c>
      <c r="E1" s="218">
        <v>-5.34</v>
      </c>
      <c r="F1" s="218">
        <f t="shared" ref="F1:F6" si="0">(D1-C1)/C1*100</f>
        <v>3.9403620873269354</v>
      </c>
    </row>
    <row r="2" spans="1:18" ht="29.25" customHeight="1" thickBot="1" x14ac:dyDescent="0.5">
      <c r="A2" s="220"/>
      <c r="B2" s="218"/>
      <c r="C2" s="219">
        <v>89.78</v>
      </c>
      <c r="D2" s="219">
        <v>92.17</v>
      </c>
      <c r="E2" s="217"/>
      <c r="F2" s="218">
        <f t="shared" si="0"/>
        <v>2.6620628202272227</v>
      </c>
    </row>
    <row r="3" spans="1:18" ht="29.25" customHeight="1" thickBot="1" x14ac:dyDescent="0.5">
      <c r="A3" s="217"/>
      <c r="B3" s="218"/>
      <c r="C3" s="220">
        <f>SUM(C1:C2)</f>
        <v>99.17</v>
      </c>
      <c r="D3" s="220">
        <f>SUM(D1:D2)</f>
        <v>101.93</v>
      </c>
      <c r="E3" s="217"/>
      <c r="F3" s="218">
        <f t="shared" si="0"/>
        <v>2.7830997277402494</v>
      </c>
      <c r="J3" s="2082" t="s">
        <v>186</v>
      </c>
      <c r="K3" s="2083"/>
      <c r="L3" s="2083"/>
      <c r="M3" s="2083"/>
      <c r="N3" s="2084"/>
    </row>
    <row r="4" spans="1:18" ht="42" customHeight="1" thickBot="1" x14ac:dyDescent="0.5">
      <c r="A4" s="218"/>
      <c r="B4" s="218"/>
      <c r="C4" s="219">
        <v>307.58999999999997</v>
      </c>
      <c r="D4" s="219">
        <v>325.25</v>
      </c>
      <c r="E4" s="217"/>
      <c r="F4" s="218">
        <f t="shared" si="0"/>
        <v>5.7414090184986595</v>
      </c>
      <c r="J4" s="2086" t="s">
        <v>178</v>
      </c>
      <c r="K4" s="2086"/>
      <c r="L4" s="202" t="s">
        <v>66</v>
      </c>
      <c r="M4" s="202" t="s">
        <v>77</v>
      </c>
      <c r="N4" s="258" t="s">
        <v>179</v>
      </c>
    </row>
    <row r="5" spans="1:18" ht="36.75" customHeight="1" thickBot="1" x14ac:dyDescent="0.6">
      <c r="A5" s="218">
        <v>911.92</v>
      </c>
      <c r="B5" s="217">
        <v>425.4</v>
      </c>
      <c r="C5" s="220">
        <f>C2+C4</f>
        <v>397.37</v>
      </c>
      <c r="D5" s="220">
        <f>D2+D4</f>
        <v>417.42</v>
      </c>
      <c r="E5" s="217">
        <v>-2.8</v>
      </c>
      <c r="F5" s="218">
        <f t="shared" si="0"/>
        <v>5.0456753151974256</v>
      </c>
      <c r="J5" s="2085" t="s">
        <v>176</v>
      </c>
      <c r="K5" s="2085"/>
      <c r="L5" s="256">
        <f>'UPTO DEC'!E10</f>
        <v>634.95375019100004</v>
      </c>
      <c r="M5" s="256">
        <f>'UPTO DEC'!F10</f>
        <v>673.91000000000008</v>
      </c>
      <c r="N5" s="257">
        <f>(M5-L5)/L5*100</f>
        <v>6.1352893493867287</v>
      </c>
    </row>
    <row r="6" spans="1:18" ht="36.75" customHeight="1" thickBot="1" x14ac:dyDescent="0.6">
      <c r="A6" s="217">
        <v>933.03</v>
      </c>
      <c r="B6" s="217">
        <v>435.7</v>
      </c>
      <c r="C6" s="220">
        <f>C5+C1</f>
        <v>406.76</v>
      </c>
      <c r="D6" s="220">
        <f>D5+D1</f>
        <v>427.18</v>
      </c>
      <c r="E6" s="217">
        <v>-2.8</v>
      </c>
      <c r="F6" s="218">
        <f t="shared" si="0"/>
        <v>5.0201593076998767</v>
      </c>
      <c r="J6" s="2085" t="s">
        <v>177</v>
      </c>
      <c r="K6" s="2085"/>
      <c r="L6" s="256">
        <f>'UPTO DEC'!E12</f>
        <v>148.72999999999999</v>
      </c>
      <c r="M6" s="256">
        <f>'UPTO DEC'!F12</f>
        <v>156.55000000000001</v>
      </c>
      <c r="N6" s="257">
        <f>(M6-L6)/L6*100</f>
        <v>5.2578497949304257</v>
      </c>
    </row>
    <row r="7" spans="1:18" ht="36.75" customHeight="1" x14ac:dyDescent="0.55000000000000004">
      <c r="J7" s="2085" t="s">
        <v>2</v>
      </c>
      <c r="K7" s="2085"/>
      <c r="L7" s="257">
        <f>'UPTO DEC'!E16</f>
        <v>12.216432699999999</v>
      </c>
      <c r="M7" s="257">
        <f>'UPTO DEC'!F16</f>
        <v>14.378195100000001</v>
      </c>
      <c r="N7" s="257">
        <f>(M7-L7)/L7*100</f>
        <v>17.695529072083396</v>
      </c>
    </row>
    <row r="8" spans="1:18" ht="36.75" customHeight="1" x14ac:dyDescent="0.55000000000000004">
      <c r="J8" s="2085" t="s">
        <v>175</v>
      </c>
      <c r="K8" s="2085"/>
      <c r="L8" s="256">
        <f>'UPTO DEC'!E32</f>
        <v>849.39554809100002</v>
      </c>
      <c r="M8" s="256">
        <f>'UPTO DEC'!F32</f>
        <v>902.20118639999998</v>
      </c>
      <c r="N8" s="257">
        <f>(M8-L8)/L8*100</f>
        <v>6.2168489613207427</v>
      </c>
    </row>
    <row r="14" spans="1:18" x14ac:dyDescent="0.45">
      <c r="R14" t="s">
        <v>180</v>
      </c>
    </row>
    <row r="20" spans="13:16" x14ac:dyDescent="0.45">
      <c r="N20">
        <v>27417</v>
      </c>
      <c r="P20">
        <v>22000</v>
      </c>
    </row>
    <row r="21" spans="13:16" x14ac:dyDescent="0.45">
      <c r="P21">
        <v>4500</v>
      </c>
    </row>
    <row r="22" spans="13:16" x14ac:dyDescent="0.45">
      <c r="N22">
        <f>N20-P22</f>
        <v>917</v>
      </c>
      <c r="P22">
        <f>SUM(P20:P21)</f>
        <v>26500</v>
      </c>
    </row>
    <row r="23" spans="13:16" x14ac:dyDescent="0.45">
      <c r="N23">
        <v>11000</v>
      </c>
    </row>
    <row r="24" spans="13:16" x14ac:dyDescent="0.45">
      <c r="M24">
        <v>2000</v>
      </c>
      <c r="N24">
        <f>SUM(N22:N23)</f>
        <v>11917</v>
      </c>
    </row>
    <row r="25" spans="13:16" x14ac:dyDescent="0.45">
      <c r="M25">
        <v>2000</v>
      </c>
      <c r="N25">
        <f>N24-M33</f>
        <v>1297</v>
      </c>
    </row>
    <row r="26" spans="13:16" x14ac:dyDescent="0.45">
      <c r="M26">
        <v>1000</v>
      </c>
    </row>
    <row r="27" spans="13:16" x14ac:dyDescent="0.45">
      <c r="M27">
        <v>500</v>
      </c>
    </row>
    <row r="28" spans="13:16" x14ac:dyDescent="0.45">
      <c r="M28">
        <v>400</v>
      </c>
    </row>
    <row r="29" spans="13:16" x14ac:dyDescent="0.45">
      <c r="M29">
        <v>720</v>
      </c>
    </row>
    <row r="30" spans="13:16" x14ac:dyDescent="0.45">
      <c r="M30">
        <v>2000</v>
      </c>
    </row>
    <row r="31" spans="13:16" x14ac:dyDescent="0.45">
      <c r="M31">
        <v>1500</v>
      </c>
    </row>
    <row r="32" spans="13:16" x14ac:dyDescent="0.45">
      <c r="M32">
        <v>500</v>
      </c>
    </row>
    <row r="33" spans="13:13" x14ac:dyDescent="0.45">
      <c r="M33">
        <f>SUM(M24:M32)</f>
        <v>10620</v>
      </c>
    </row>
  </sheetData>
  <mergeCells count="6">
    <mergeCell ref="J3:N3"/>
    <mergeCell ref="J5:K5"/>
    <mergeCell ref="J6:K6"/>
    <mergeCell ref="J7:K7"/>
    <mergeCell ref="J8:K8"/>
    <mergeCell ref="J4:K4"/>
  </mergeCells>
  <pageMargins left="0.7" right="0.7" top="0.75" bottom="0.75" header="0.3" footer="0.3"/>
  <pageSetup paperSize="9" scale="45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C5:O35"/>
  <sheetViews>
    <sheetView zoomScale="80" zoomScaleNormal="80" workbookViewId="0">
      <selection activeCell="D28" sqref="D28"/>
    </sheetView>
  </sheetViews>
  <sheetFormatPr defaultRowHeight="14.25" x14ac:dyDescent="0.45"/>
  <cols>
    <col min="3" max="3" width="18.86328125" customWidth="1"/>
    <col min="4" max="5" width="19.73046875" customWidth="1"/>
    <col min="6" max="6" width="25.73046875" customWidth="1"/>
    <col min="8" max="8" width="22.3984375" customWidth="1"/>
    <col min="9" max="9" width="19.86328125" customWidth="1"/>
    <col min="10" max="10" width="17.3984375" customWidth="1"/>
    <col min="11" max="11" width="15.86328125" customWidth="1"/>
    <col min="12" max="13" width="14" customWidth="1"/>
    <col min="14" max="14" width="13.73046875" customWidth="1"/>
    <col min="15" max="15" width="20.3984375" customWidth="1"/>
  </cols>
  <sheetData>
    <row r="5" spans="3:15" ht="18.399999999999999" thickBot="1" x14ac:dyDescent="0.6">
      <c r="C5" s="2087" t="s">
        <v>127</v>
      </c>
      <c r="D5" s="2088" t="s">
        <v>214</v>
      </c>
      <c r="E5" s="2088"/>
      <c r="F5" s="2088"/>
      <c r="G5" s="179"/>
      <c r="H5" s="2089" t="s">
        <v>127</v>
      </c>
      <c r="I5" s="2091" t="s">
        <v>587</v>
      </c>
      <c r="J5" s="2091"/>
      <c r="K5" s="2091"/>
      <c r="L5" s="2091"/>
      <c r="M5" s="2091"/>
      <c r="N5" s="2091"/>
      <c r="O5" s="2091"/>
    </row>
    <row r="6" spans="3:15" ht="18" x14ac:dyDescent="0.55000000000000004">
      <c r="C6" s="2087"/>
      <c r="D6" s="293" t="s">
        <v>94</v>
      </c>
      <c r="E6" s="293" t="s">
        <v>130</v>
      </c>
      <c r="F6" s="293" t="s">
        <v>63</v>
      </c>
      <c r="G6" s="183"/>
      <c r="H6" s="2090"/>
      <c r="I6" s="339" t="s">
        <v>94</v>
      </c>
      <c r="J6" s="340" t="s">
        <v>130</v>
      </c>
      <c r="K6" s="341" t="s">
        <v>63</v>
      </c>
      <c r="L6" s="355" t="s">
        <v>177</v>
      </c>
      <c r="M6" s="355" t="s">
        <v>202</v>
      </c>
      <c r="N6" s="355" t="s">
        <v>203</v>
      </c>
      <c r="O6" s="355" t="s">
        <v>63</v>
      </c>
    </row>
    <row r="7" spans="3:15" ht="15.75" x14ac:dyDescent="0.45">
      <c r="C7" s="288" t="s">
        <v>131</v>
      </c>
      <c r="D7" s="296">
        <v>25.07</v>
      </c>
      <c r="E7" s="296">
        <v>38.020000000000003</v>
      </c>
      <c r="F7" s="297">
        <f>D7+E7</f>
        <v>63.09</v>
      </c>
      <c r="H7" s="334" t="s">
        <v>131</v>
      </c>
      <c r="I7" s="342">
        <v>1.5</v>
      </c>
      <c r="J7" s="286">
        <v>73.849999999999994</v>
      </c>
      <c r="K7" s="343">
        <f>I7+J7</f>
        <v>75.349999999999994</v>
      </c>
      <c r="L7" s="356">
        <v>10.3654034</v>
      </c>
      <c r="M7" s="356">
        <v>7.99</v>
      </c>
      <c r="N7" s="356">
        <v>1.6</v>
      </c>
      <c r="O7" s="356">
        <f>K7+L7+M7+N7</f>
        <v>95.305403399999989</v>
      </c>
    </row>
    <row r="8" spans="3:15" ht="15.75" x14ac:dyDescent="0.45">
      <c r="C8" s="288" t="s">
        <v>132</v>
      </c>
      <c r="D8" s="296">
        <v>26.98</v>
      </c>
      <c r="E8" s="296">
        <v>38.520000000000003</v>
      </c>
      <c r="F8" s="297">
        <f>D8+E8</f>
        <v>65.5</v>
      </c>
      <c r="H8" s="334" t="s">
        <v>132</v>
      </c>
      <c r="I8" s="342">
        <v>1.63</v>
      </c>
      <c r="J8" s="286">
        <v>73.8</v>
      </c>
      <c r="K8" s="343">
        <f>I8+J8</f>
        <v>75.429999999999993</v>
      </c>
      <c r="L8" s="356">
        <v>23.251174200000001</v>
      </c>
      <c r="M8" s="356">
        <v>8.4600000000000009</v>
      </c>
      <c r="N8" s="356">
        <v>0.99</v>
      </c>
      <c r="O8" s="356">
        <f t="shared" ref="O8:O26" si="0">K8+L8+M8+N8</f>
        <v>108.13117419999999</v>
      </c>
    </row>
    <row r="9" spans="3:15" ht="17.649999999999999" x14ac:dyDescent="0.5">
      <c r="C9" s="294" t="s">
        <v>204</v>
      </c>
      <c r="D9" s="295">
        <f>SUM(D7:D8)</f>
        <v>52.05</v>
      </c>
      <c r="E9" s="295">
        <f>SUM(E7:E8)</f>
        <v>76.540000000000006</v>
      </c>
      <c r="F9" s="295">
        <f>SUM(F7:F8)</f>
        <v>128.59</v>
      </c>
      <c r="H9" s="335" t="s">
        <v>204</v>
      </c>
      <c r="I9" s="344">
        <f>SUM(I7:I8)</f>
        <v>3.13</v>
      </c>
      <c r="J9" s="292">
        <f t="shared" ref="J9:O9" si="1">SUM(J7:J8)</f>
        <v>147.64999999999998</v>
      </c>
      <c r="K9" s="345">
        <f t="shared" si="1"/>
        <v>150.77999999999997</v>
      </c>
      <c r="L9" s="357">
        <f t="shared" si="1"/>
        <v>33.616577599999999</v>
      </c>
      <c r="M9" s="357">
        <f t="shared" si="1"/>
        <v>16.450000000000003</v>
      </c>
      <c r="N9" s="357">
        <f t="shared" si="1"/>
        <v>2.59</v>
      </c>
      <c r="O9" s="357">
        <f t="shared" si="1"/>
        <v>203.43657759999996</v>
      </c>
    </row>
    <row r="10" spans="3:15" ht="15.75" x14ac:dyDescent="0.45">
      <c r="C10" s="288" t="s">
        <v>133</v>
      </c>
      <c r="D10" s="296">
        <v>29.33</v>
      </c>
      <c r="E10" s="296">
        <v>37.43</v>
      </c>
      <c r="F10" s="297">
        <f>D10+E10</f>
        <v>66.759999999999991</v>
      </c>
      <c r="H10" s="334" t="s">
        <v>133</v>
      </c>
      <c r="I10" s="342">
        <v>1.72</v>
      </c>
      <c r="J10" s="286">
        <v>79.180000000000007</v>
      </c>
      <c r="K10" s="343">
        <f>I10+J10</f>
        <v>80.900000000000006</v>
      </c>
      <c r="L10" s="356">
        <v>15.960110999999999</v>
      </c>
      <c r="M10" s="356">
        <v>6.47</v>
      </c>
      <c r="N10" s="356">
        <v>0.53</v>
      </c>
      <c r="O10" s="356">
        <f t="shared" si="0"/>
        <v>103.860111</v>
      </c>
    </row>
    <row r="11" spans="3:15" ht="17.649999999999999" x14ac:dyDescent="0.5">
      <c r="C11" s="294" t="s">
        <v>205</v>
      </c>
      <c r="D11" s="295">
        <f>D9+D10</f>
        <v>81.38</v>
      </c>
      <c r="E11" s="295">
        <f>E9+E10</f>
        <v>113.97</v>
      </c>
      <c r="F11" s="295">
        <f>F9+F10</f>
        <v>195.35</v>
      </c>
      <c r="H11" s="335" t="s">
        <v>205</v>
      </c>
      <c r="I11" s="344">
        <f>I9+I10</f>
        <v>4.8499999999999996</v>
      </c>
      <c r="J11" s="292">
        <f t="shared" ref="J11:O11" si="2">J9+J10</f>
        <v>226.82999999999998</v>
      </c>
      <c r="K11" s="345">
        <f t="shared" si="2"/>
        <v>231.67999999999998</v>
      </c>
      <c r="L11" s="357">
        <f t="shared" si="2"/>
        <v>49.576688599999997</v>
      </c>
      <c r="M11" s="357">
        <f t="shared" si="2"/>
        <v>22.92</v>
      </c>
      <c r="N11" s="357">
        <f t="shared" si="2"/>
        <v>3.12</v>
      </c>
      <c r="O11" s="357">
        <f t="shared" si="2"/>
        <v>307.29668859999998</v>
      </c>
    </row>
    <row r="12" spans="3:15" ht="15.75" x14ac:dyDescent="0.45">
      <c r="C12" s="288" t="s">
        <v>51</v>
      </c>
      <c r="D12" s="296">
        <v>33.75</v>
      </c>
      <c r="E12" s="296">
        <v>34.85</v>
      </c>
      <c r="F12" s="297">
        <f>D12+E12</f>
        <v>68.599999999999994</v>
      </c>
      <c r="H12" s="334" t="s">
        <v>51</v>
      </c>
      <c r="I12" s="342">
        <v>1.95</v>
      </c>
      <c r="J12" s="286">
        <v>78.37</v>
      </c>
      <c r="K12" s="343">
        <f>I12+J12</f>
        <v>80.320000000000007</v>
      </c>
      <c r="L12" s="356">
        <v>10.2639794</v>
      </c>
      <c r="M12" s="356">
        <v>6.18</v>
      </c>
      <c r="N12" s="356">
        <v>0.94</v>
      </c>
      <c r="O12" s="356">
        <f t="shared" si="0"/>
        <v>97.703979400000009</v>
      </c>
    </row>
    <row r="13" spans="3:15" ht="17.649999999999999" x14ac:dyDescent="0.5">
      <c r="C13" s="294" t="s">
        <v>207</v>
      </c>
      <c r="D13" s="295">
        <f>D11+D12</f>
        <v>115.13</v>
      </c>
      <c r="E13" s="295">
        <f>E11+E12</f>
        <v>148.82</v>
      </c>
      <c r="F13" s="295">
        <f>F11+F12</f>
        <v>263.95</v>
      </c>
      <c r="H13" s="335" t="s">
        <v>207</v>
      </c>
      <c r="I13" s="344">
        <f t="shared" ref="I13:O13" si="3">I11+I12</f>
        <v>6.8</v>
      </c>
      <c r="J13" s="292">
        <f t="shared" si="3"/>
        <v>305.2</v>
      </c>
      <c r="K13" s="345">
        <f t="shared" si="3"/>
        <v>312</v>
      </c>
      <c r="L13" s="357">
        <f t="shared" si="3"/>
        <v>59.840667999999994</v>
      </c>
      <c r="M13" s="357">
        <f t="shared" si="3"/>
        <v>29.1</v>
      </c>
      <c r="N13" s="357">
        <f t="shared" si="3"/>
        <v>4.0600000000000005</v>
      </c>
      <c r="O13" s="357">
        <f t="shared" si="3"/>
        <v>405.00066800000002</v>
      </c>
    </row>
    <row r="14" spans="3:15" ht="15.75" x14ac:dyDescent="0.45">
      <c r="C14" s="288" t="s">
        <v>134</v>
      </c>
      <c r="D14" s="296">
        <v>31.46</v>
      </c>
      <c r="E14" s="296">
        <v>27.97</v>
      </c>
      <c r="F14" s="296">
        <f>D14+E14</f>
        <v>59.43</v>
      </c>
      <c r="H14" s="334" t="s">
        <v>134</v>
      </c>
      <c r="I14" s="342">
        <v>1.75</v>
      </c>
      <c r="J14" s="286">
        <v>63.12</v>
      </c>
      <c r="K14" s="343">
        <f>I14+J14</f>
        <v>64.87</v>
      </c>
      <c r="L14" s="356">
        <v>20.660212300000001</v>
      </c>
      <c r="M14" s="356">
        <v>6.94</v>
      </c>
      <c r="N14" s="356">
        <v>0.65</v>
      </c>
      <c r="O14" s="356">
        <f t="shared" si="0"/>
        <v>93.120212300000006</v>
      </c>
    </row>
    <row r="15" spans="3:15" ht="17.649999999999999" x14ac:dyDescent="0.5">
      <c r="C15" s="294" t="s">
        <v>208</v>
      </c>
      <c r="D15" s="295">
        <f>D13+D14</f>
        <v>146.59</v>
      </c>
      <c r="E15" s="295">
        <f>E13+E14</f>
        <v>176.79</v>
      </c>
      <c r="F15" s="295">
        <f>F13+F14</f>
        <v>323.38</v>
      </c>
      <c r="H15" s="335" t="s">
        <v>208</v>
      </c>
      <c r="I15" s="344">
        <f t="shared" ref="I15:O15" si="4">I13+I14</f>
        <v>8.5500000000000007</v>
      </c>
      <c r="J15" s="292">
        <f t="shared" si="4"/>
        <v>368.32</v>
      </c>
      <c r="K15" s="345">
        <f t="shared" si="4"/>
        <v>376.87</v>
      </c>
      <c r="L15" s="357">
        <f t="shared" si="4"/>
        <v>80.500880299999992</v>
      </c>
      <c r="M15" s="357">
        <f t="shared" si="4"/>
        <v>36.04</v>
      </c>
      <c r="N15" s="357">
        <f t="shared" si="4"/>
        <v>4.7100000000000009</v>
      </c>
      <c r="O15" s="357">
        <f t="shared" si="4"/>
        <v>498.12088030000001</v>
      </c>
    </row>
    <row r="16" spans="3:15" ht="15.75" x14ac:dyDescent="0.45">
      <c r="C16" s="288" t="s">
        <v>135</v>
      </c>
      <c r="D16" s="296">
        <v>31.15</v>
      </c>
      <c r="E16" s="296">
        <v>33.39</v>
      </c>
      <c r="F16" s="296">
        <f>D16+E16</f>
        <v>64.539999999999992</v>
      </c>
      <c r="H16" s="334" t="s">
        <v>135</v>
      </c>
      <c r="I16" s="342">
        <v>1.7</v>
      </c>
      <c r="J16" s="286">
        <v>68.95</v>
      </c>
      <c r="K16" s="343">
        <f>I16+J16</f>
        <v>70.650000000000006</v>
      </c>
      <c r="L16" s="356">
        <v>19.533178400000001</v>
      </c>
      <c r="M16" s="356">
        <v>6.43</v>
      </c>
      <c r="N16" s="356">
        <v>0.63</v>
      </c>
      <c r="O16" s="356">
        <f t="shared" si="0"/>
        <v>97.243178400000005</v>
      </c>
    </row>
    <row r="17" spans="3:15" ht="17.649999999999999" x14ac:dyDescent="0.5">
      <c r="C17" s="294" t="s">
        <v>209</v>
      </c>
      <c r="D17" s="295">
        <f>D15+D16</f>
        <v>177.74</v>
      </c>
      <c r="E17" s="295">
        <f>E15+E16</f>
        <v>210.18</v>
      </c>
      <c r="F17" s="295">
        <f>F15+F16</f>
        <v>387.91999999999996</v>
      </c>
      <c r="H17" s="335" t="s">
        <v>209</v>
      </c>
      <c r="I17" s="344">
        <f t="shared" ref="I17:O17" si="5">I15+I16</f>
        <v>10.25</v>
      </c>
      <c r="J17" s="292">
        <f t="shared" si="5"/>
        <v>437.27</v>
      </c>
      <c r="K17" s="345">
        <f t="shared" si="5"/>
        <v>447.52</v>
      </c>
      <c r="L17" s="357">
        <f t="shared" si="5"/>
        <v>100.03405869999999</v>
      </c>
      <c r="M17" s="357">
        <f t="shared" si="5"/>
        <v>42.47</v>
      </c>
      <c r="N17" s="357">
        <f t="shared" si="5"/>
        <v>5.3400000000000007</v>
      </c>
      <c r="O17" s="357">
        <f t="shared" si="5"/>
        <v>595.36405869999999</v>
      </c>
    </row>
    <row r="18" spans="3:15" ht="15.75" x14ac:dyDescent="0.45">
      <c r="C18" s="288" t="s">
        <v>136</v>
      </c>
      <c r="D18" s="296">
        <v>25.83</v>
      </c>
      <c r="E18" s="296">
        <v>35.19</v>
      </c>
      <c r="F18" s="296">
        <f>D18+E18</f>
        <v>61.019999999999996</v>
      </c>
      <c r="H18" s="334" t="s">
        <v>136</v>
      </c>
      <c r="I18" s="342">
        <v>1.48</v>
      </c>
      <c r="J18" s="286">
        <v>69.349999999999994</v>
      </c>
      <c r="K18" s="343">
        <f>I18+J18</f>
        <v>70.83</v>
      </c>
      <c r="L18" s="356">
        <v>13.7077464</v>
      </c>
      <c r="M18" s="356">
        <v>7.7</v>
      </c>
      <c r="N18" s="356">
        <v>0.54</v>
      </c>
      <c r="O18" s="356">
        <f t="shared" si="0"/>
        <v>92.777746400000012</v>
      </c>
    </row>
    <row r="19" spans="3:15" ht="17.649999999999999" x14ac:dyDescent="0.5">
      <c r="C19" s="294" t="s">
        <v>210</v>
      </c>
      <c r="D19" s="295">
        <f>D17+D18</f>
        <v>203.57</v>
      </c>
      <c r="E19" s="295">
        <f>E17+E18</f>
        <v>245.37</v>
      </c>
      <c r="F19" s="295">
        <f>F17+F18</f>
        <v>448.93999999999994</v>
      </c>
      <c r="G19" s="155"/>
      <c r="H19" s="335" t="s">
        <v>210</v>
      </c>
      <c r="I19" s="344">
        <f t="shared" ref="I19:O19" si="6">I17+I18</f>
        <v>11.73</v>
      </c>
      <c r="J19" s="292">
        <f t="shared" si="6"/>
        <v>506.62</v>
      </c>
      <c r="K19" s="345">
        <f t="shared" si="6"/>
        <v>518.35</v>
      </c>
      <c r="L19" s="357">
        <f t="shared" si="6"/>
        <v>113.74180509999999</v>
      </c>
      <c r="M19" s="357">
        <f t="shared" si="6"/>
        <v>50.17</v>
      </c>
      <c r="N19" s="357">
        <f t="shared" si="6"/>
        <v>5.8800000000000008</v>
      </c>
      <c r="O19" s="357">
        <f t="shared" si="6"/>
        <v>688.14180510000006</v>
      </c>
    </row>
    <row r="20" spans="3:15" ht="16.149999999999999" x14ac:dyDescent="0.5">
      <c r="C20" s="288" t="s">
        <v>137</v>
      </c>
      <c r="D20" s="297">
        <v>29.60632</v>
      </c>
      <c r="E20" s="297">
        <v>36.81071</v>
      </c>
      <c r="F20" s="297">
        <f>D20+E20</f>
        <v>66.417029999999997</v>
      </c>
      <c r="G20" s="155"/>
      <c r="H20" s="334" t="s">
        <v>137</v>
      </c>
      <c r="I20" s="342">
        <v>1.68</v>
      </c>
      <c r="J20" s="286">
        <v>75.55</v>
      </c>
      <c r="K20" s="343">
        <f>I20+J20</f>
        <v>77.23</v>
      </c>
      <c r="L20" s="356">
        <v>22.186256499999999</v>
      </c>
      <c r="M20" s="356">
        <v>7.3</v>
      </c>
      <c r="N20" s="356">
        <v>0.72</v>
      </c>
      <c r="O20" s="356">
        <f t="shared" si="0"/>
        <v>107.4362565</v>
      </c>
    </row>
    <row r="21" spans="3:15" ht="17.649999999999999" x14ac:dyDescent="0.5">
      <c r="C21" s="294" t="s">
        <v>211</v>
      </c>
      <c r="D21" s="295">
        <f>D19+D20</f>
        <v>233.17632</v>
      </c>
      <c r="E21" s="295">
        <f>E19+E20</f>
        <v>282.18070999999998</v>
      </c>
      <c r="F21" s="295">
        <f>F19+F20</f>
        <v>515.3570299999999</v>
      </c>
      <c r="H21" s="335" t="s">
        <v>211</v>
      </c>
      <c r="I21" s="344">
        <f t="shared" ref="I21:O21" si="7">I19+I20</f>
        <v>13.41</v>
      </c>
      <c r="J21" s="292">
        <f t="shared" si="7"/>
        <v>582.16999999999996</v>
      </c>
      <c r="K21" s="345">
        <f t="shared" si="7"/>
        <v>595.58000000000004</v>
      </c>
      <c r="L21" s="357">
        <f t="shared" si="7"/>
        <v>135.92806159999998</v>
      </c>
      <c r="M21" s="357">
        <f t="shared" si="7"/>
        <v>57.47</v>
      </c>
      <c r="N21" s="357">
        <f t="shared" si="7"/>
        <v>6.6000000000000005</v>
      </c>
      <c r="O21" s="357">
        <f t="shared" si="7"/>
        <v>795.57806160000007</v>
      </c>
    </row>
    <row r="22" spans="3:15" ht="15.75" x14ac:dyDescent="0.45">
      <c r="C22" s="288" t="s">
        <v>138</v>
      </c>
      <c r="D22" s="296">
        <v>31.63</v>
      </c>
      <c r="E22" s="296">
        <v>37.549999999999997</v>
      </c>
      <c r="F22" s="297">
        <f>D22+E22</f>
        <v>69.179999999999993</v>
      </c>
      <c r="H22" s="334" t="s">
        <v>138</v>
      </c>
      <c r="I22" s="342">
        <v>1.78</v>
      </c>
      <c r="J22" s="286">
        <v>76.5</v>
      </c>
      <c r="K22" s="343">
        <f>I22+J22</f>
        <v>78.28</v>
      </c>
      <c r="L22" s="356">
        <v>20.629017000000001</v>
      </c>
      <c r="M22" s="356">
        <v>6.79</v>
      </c>
      <c r="N22" s="356">
        <v>0.83</v>
      </c>
      <c r="O22" s="356">
        <f t="shared" si="0"/>
        <v>106.52901700000001</v>
      </c>
    </row>
    <row r="23" spans="3:15" ht="17.649999999999999" x14ac:dyDescent="0.5">
      <c r="C23" s="294" t="s">
        <v>212</v>
      </c>
      <c r="D23" s="295">
        <f>D21+D22</f>
        <v>264.80632000000003</v>
      </c>
      <c r="E23" s="295">
        <f>E21+E22</f>
        <v>319.73070999999999</v>
      </c>
      <c r="F23" s="295">
        <f>F21+F22</f>
        <v>584.53702999999985</v>
      </c>
      <c r="H23" s="335" t="s">
        <v>212</v>
      </c>
      <c r="I23" s="344">
        <f t="shared" ref="I23:O23" si="8">I21+I22</f>
        <v>15.19</v>
      </c>
      <c r="J23" s="292">
        <f t="shared" si="8"/>
        <v>658.67</v>
      </c>
      <c r="K23" s="345">
        <f t="shared" si="8"/>
        <v>673.86</v>
      </c>
      <c r="L23" s="357">
        <f t="shared" si="8"/>
        <v>156.55707859999998</v>
      </c>
      <c r="M23" s="357">
        <f t="shared" si="8"/>
        <v>64.260000000000005</v>
      </c>
      <c r="N23" s="357">
        <f t="shared" si="8"/>
        <v>7.4300000000000006</v>
      </c>
      <c r="O23" s="357">
        <f t="shared" si="8"/>
        <v>902.10707860000002</v>
      </c>
    </row>
    <row r="24" spans="3:15" ht="15.75" x14ac:dyDescent="0.45">
      <c r="C24" s="287" t="s">
        <v>139</v>
      </c>
      <c r="D24" s="296">
        <v>31.41</v>
      </c>
      <c r="E24" s="296">
        <v>36.229999999999997</v>
      </c>
      <c r="F24" s="296">
        <f>D24+E24</f>
        <v>67.64</v>
      </c>
      <c r="H24" s="336" t="s">
        <v>139</v>
      </c>
      <c r="I24" s="342">
        <v>1.71</v>
      </c>
      <c r="J24" s="286">
        <v>84.19</v>
      </c>
      <c r="K24" s="343">
        <f>I24+J24</f>
        <v>85.899999999999991</v>
      </c>
      <c r="L24" s="356">
        <v>18.850000000000001</v>
      </c>
      <c r="M24" s="356">
        <v>6.73</v>
      </c>
      <c r="N24" s="356">
        <v>0.62</v>
      </c>
      <c r="O24" s="356">
        <f t="shared" si="0"/>
        <v>112.10000000000001</v>
      </c>
    </row>
    <row r="25" spans="3:15" ht="17.649999999999999" x14ac:dyDescent="0.5">
      <c r="C25" s="294" t="s">
        <v>206</v>
      </c>
      <c r="D25" s="295">
        <f>D23+D24</f>
        <v>296.21632000000005</v>
      </c>
      <c r="E25" s="295">
        <f>E23+E24</f>
        <v>355.96071000000001</v>
      </c>
      <c r="F25" s="295">
        <f>F23+F24</f>
        <v>652.17702999999983</v>
      </c>
      <c r="H25" s="335" t="s">
        <v>206</v>
      </c>
      <c r="I25" s="344">
        <f t="shared" ref="I25:O25" si="9">I23+I24</f>
        <v>16.899999999999999</v>
      </c>
      <c r="J25" s="292">
        <f t="shared" si="9"/>
        <v>742.8599999999999</v>
      </c>
      <c r="K25" s="345">
        <f t="shared" si="9"/>
        <v>759.76</v>
      </c>
      <c r="L25" s="357">
        <f t="shared" si="9"/>
        <v>175.40707859999998</v>
      </c>
      <c r="M25" s="357">
        <f t="shared" si="9"/>
        <v>70.990000000000009</v>
      </c>
      <c r="N25" s="357">
        <f t="shared" si="9"/>
        <v>8.0500000000000007</v>
      </c>
      <c r="O25" s="357">
        <f t="shared" si="9"/>
        <v>1014.2070786</v>
      </c>
    </row>
    <row r="26" spans="3:15" ht="17.649999999999999" x14ac:dyDescent="0.5">
      <c r="C26" s="284" t="s">
        <v>140</v>
      </c>
      <c r="D26" s="296">
        <v>27.59</v>
      </c>
      <c r="E26" s="296">
        <v>33.68</v>
      </c>
      <c r="F26" s="296">
        <f>D26+E26</f>
        <v>61.269999999999996</v>
      </c>
      <c r="H26" s="337" t="s">
        <v>140</v>
      </c>
      <c r="I26" s="346">
        <v>1.57</v>
      </c>
      <c r="J26" s="285">
        <v>78.14</v>
      </c>
      <c r="K26" s="343">
        <f>I26+J26</f>
        <v>79.709999999999994</v>
      </c>
      <c r="L26" s="358">
        <v>9.8000000000000007</v>
      </c>
      <c r="M26" s="358">
        <v>6.5</v>
      </c>
      <c r="N26" s="358">
        <v>0.83</v>
      </c>
      <c r="O26" s="356">
        <f t="shared" si="0"/>
        <v>96.839999999999989</v>
      </c>
    </row>
    <row r="27" spans="3:15" ht="17.649999999999999" x14ac:dyDescent="0.5">
      <c r="C27" s="294" t="s">
        <v>215</v>
      </c>
      <c r="D27" s="295">
        <f>D25+D26</f>
        <v>323.80632000000003</v>
      </c>
      <c r="E27" s="295">
        <f>E25+E26</f>
        <v>389.64071000000001</v>
      </c>
      <c r="F27" s="295">
        <f>F25+F26</f>
        <v>713.44702999999981</v>
      </c>
      <c r="H27" s="335" t="s">
        <v>215</v>
      </c>
      <c r="I27" s="344">
        <f t="shared" ref="I27:O27" si="10">I25+I26</f>
        <v>18.47</v>
      </c>
      <c r="J27" s="292">
        <f t="shared" si="10"/>
        <v>820.99999999999989</v>
      </c>
      <c r="K27" s="345">
        <f t="shared" si="10"/>
        <v>839.47</v>
      </c>
      <c r="L27" s="357">
        <f t="shared" si="10"/>
        <v>185.20707859999999</v>
      </c>
      <c r="M27" s="357">
        <f t="shared" si="10"/>
        <v>77.490000000000009</v>
      </c>
      <c r="N27" s="357">
        <f t="shared" si="10"/>
        <v>8.8800000000000008</v>
      </c>
      <c r="O27" s="357">
        <f t="shared" si="10"/>
        <v>1111.0470786000001</v>
      </c>
    </row>
    <row r="28" spans="3:15" ht="17.649999999999999" x14ac:dyDescent="0.5">
      <c r="C28" s="284" t="s">
        <v>141</v>
      </c>
      <c r="D28" s="288"/>
      <c r="E28" s="288"/>
      <c r="F28" s="288"/>
      <c r="H28" s="337" t="s">
        <v>141</v>
      </c>
      <c r="I28" s="347"/>
      <c r="J28" s="289"/>
      <c r="K28" s="348"/>
      <c r="L28" s="359"/>
      <c r="M28" s="359"/>
      <c r="N28" s="359"/>
      <c r="O28" s="359"/>
    </row>
    <row r="29" spans="3:15" ht="17.649999999999999" x14ac:dyDescent="0.5">
      <c r="C29" s="284" t="s">
        <v>213</v>
      </c>
      <c r="D29" s="296">
        <v>351</v>
      </c>
      <c r="E29" s="296">
        <v>443</v>
      </c>
      <c r="F29" s="297">
        <f>D29+E29</f>
        <v>794</v>
      </c>
      <c r="H29" s="335" t="s">
        <v>240</v>
      </c>
      <c r="I29" s="349"/>
      <c r="J29" s="325"/>
      <c r="K29" s="350"/>
      <c r="L29" s="360"/>
      <c r="M29" s="360"/>
      <c r="N29" s="360"/>
      <c r="O29" s="360"/>
    </row>
    <row r="30" spans="3:15" ht="17.649999999999999" x14ac:dyDescent="0.5">
      <c r="C30" s="291" t="s">
        <v>162</v>
      </c>
      <c r="D30" s="298">
        <f>D27/11</f>
        <v>29.436938181818185</v>
      </c>
      <c r="E30" s="298">
        <f>E27/11</f>
        <v>35.421882727272731</v>
      </c>
      <c r="F30" s="298">
        <f>F27/11</f>
        <v>64.858820909090895</v>
      </c>
      <c r="H30" s="337" t="s">
        <v>213</v>
      </c>
      <c r="I30" s="351">
        <v>21.11</v>
      </c>
      <c r="J30" s="290">
        <v>911.92</v>
      </c>
      <c r="K30" s="348">
        <f>SUM(I30:J30)</f>
        <v>933.03</v>
      </c>
      <c r="L30" s="361">
        <v>215.49</v>
      </c>
      <c r="M30" s="361">
        <v>118.09</v>
      </c>
      <c r="N30" s="361">
        <v>15.25</v>
      </c>
      <c r="O30" s="356">
        <f>K30+L30+M30+N30</f>
        <v>1281.8599999999999</v>
      </c>
    </row>
    <row r="31" spans="3:15" ht="17.649999999999999" x14ac:dyDescent="0.5">
      <c r="C31" s="291" t="s">
        <v>168</v>
      </c>
      <c r="D31" s="298">
        <f>D29/335</f>
        <v>1.0477611940298508</v>
      </c>
      <c r="E31" s="298">
        <f>E29/335</f>
        <v>1.3223880597014925</v>
      </c>
      <c r="F31" s="298">
        <f>F29/335</f>
        <v>2.3701492537313431</v>
      </c>
      <c r="H31" s="338" t="s">
        <v>162</v>
      </c>
      <c r="I31" s="342">
        <f t="shared" ref="I31:O31" si="11">I27/11</f>
        <v>1.679090909090909</v>
      </c>
      <c r="J31" s="286">
        <f t="shared" si="11"/>
        <v>74.636363636363626</v>
      </c>
      <c r="K31" s="343">
        <f t="shared" si="11"/>
        <v>76.315454545454543</v>
      </c>
      <c r="L31" s="356">
        <f t="shared" si="11"/>
        <v>16.837007145454546</v>
      </c>
      <c r="M31" s="356">
        <f t="shared" si="11"/>
        <v>7.0445454545454558</v>
      </c>
      <c r="N31" s="356">
        <f t="shared" si="11"/>
        <v>0.80727272727272736</v>
      </c>
      <c r="O31" s="356">
        <f t="shared" si="11"/>
        <v>101.00427987272728</v>
      </c>
    </row>
    <row r="32" spans="3:15" ht="18" thickBot="1" x14ac:dyDescent="0.55000000000000004">
      <c r="H32" s="338" t="s">
        <v>168</v>
      </c>
      <c r="I32" s="352">
        <f>I25/335</f>
        <v>5.0447761194029848E-2</v>
      </c>
      <c r="J32" s="353">
        <f t="shared" ref="J32:O32" si="12">J25/335</f>
        <v>2.2174925373134324</v>
      </c>
      <c r="K32" s="354">
        <f t="shared" si="12"/>
        <v>2.2679402985074626</v>
      </c>
      <c r="L32" s="362">
        <f t="shared" si="12"/>
        <v>0.52360321970149248</v>
      </c>
      <c r="M32" s="362">
        <f t="shared" si="12"/>
        <v>0.21191044776119405</v>
      </c>
      <c r="N32" s="362">
        <f t="shared" si="12"/>
        <v>2.402985074626866E-2</v>
      </c>
      <c r="O32" s="362">
        <f t="shared" si="12"/>
        <v>3.0274838167164182</v>
      </c>
    </row>
    <row r="35" spans="9:9" x14ac:dyDescent="0.45">
      <c r="I35">
        <f>306+29</f>
        <v>335</v>
      </c>
    </row>
  </sheetData>
  <mergeCells count="4">
    <mergeCell ref="C5:C6"/>
    <mergeCell ref="D5:F5"/>
    <mergeCell ref="H5:H6"/>
    <mergeCell ref="I5:O5"/>
  </mergeCells>
  <pageMargins left="0.7" right="0.7" top="0.51" bottom="0.41" header="0.3" footer="0.3"/>
  <pageSetup paperSize="9" scale="52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69"/>
  <sheetViews>
    <sheetView zoomScale="110" zoomScaleNormal="110" workbookViewId="0">
      <selection activeCell="F24" sqref="F24:F29"/>
    </sheetView>
  </sheetViews>
  <sheetFormatPr defaultColWidth="9.1328125" defaultRowHeight="13.5" x14ac:dyDescent="0.35"/>
  <cols>
    <col min="1" max="1" width="5.59765625" style="5" customWidth="1"/>
    <col min="2" max="2" width="27.59765625" style="5" customWidth="1"/>
    <col min="3" max="4" width="9.1328125" style="5" customWidth="1"/>
    <col min="5" max="5" width="12.3984375" style="5" customWidth="1"/>
    <col min="6" max="6" width="11" style="5" customWidth="1"/>
    <col min="7" max="7" width="11.3984375" style="5" customWidth="1"/>
    <col min="8" max="8" width="8.86328125" style="5" customWidth="1"/>
    <col min="9" max="9" width="9.1328125" style="5" customWidth="1"/>
    <col min="10" max="11" width="10.59765625" style="5" customWidth="1"/>
    <col min="12" max="16384" width="9.1328125" style="5"/>
  </cols>
  <sheetData>
    <row r="1" spans="1:12" ht="13.9" x14ac:dyDescent="0.4">
      <c r="A1" s="1938" t="s">
        <v>5</v>
      </c>
      <c r="B1" s="1938"/>
      <c r="C1" s="1938"/>
      <c r="D1" s="1938"/>
      <c r="E1" s="1938"/>
      <c r="F1" s="1938"/>
      <c r="G1" s="1938"/>
      <c r="H1" s="1938"/>
    </row>
    <row r="2" spans="1:12" ht="13.9" x14ac:dyDescent="0.4">
      <c r="A2" s="1938" t="s">
        <v>158</v>
      </c>
      <c r="B2" s="1938"/>
      <c r="C2" s="1938"/>
      <c r="D2" s="1938"/>
      <c r="E2" s="1938"/>
      <c r="F2" s="1938"/>
      <c r="G2" s="1938"/>
      <c r="H2" s="1938"/>
    </row>
    <row r="3" spans="1:12" ht="13.9" x14ac:dyDescent="0.4">
      <c r="A3" s="6" t="s">
        <v>6</v>
      </c>
      <c r="B3" s="6" t="s">
        <v>7</v>
      </c>
      <c r="C3" s="1934" t="s">
        <v>8</v>
      </c>
      <c r="D3" s="1934"/>
      <c r="E3" s="1934" t="s">
        <v>10</v>
      </c>
      <c r="F3" s="1934"/>
      <c r="G3" s="1939" t="s">
        <v>11</v>
      </c>
      <c r="H3" s="1939"/>
    </row>
    <row r="4" spans="1:12" ht="30.75" customHeight="1" x14ac:dyDescent="0.4">
      <c r="A4" s="6"/>
      <c r="B4" s="6"/>
      <c r="C4" s="6" t="s">
        <v>9</v>
      </c>
      <c r="D4" s="6" t="s">
        <v>51</v>
      </c>
      <c r="E4" s="6" t="s">
        <v>51</v>
      </c>
      <c r="F4" s="6" t="s">
        <v>51</v>
      </c>
      <c r="G4" s="25" t="s">
        <v>12</v>
      </c>
      <c r="H4" s="25" t="s">
        <v>13</v>
      </c>
    </row>
    <row r="5" spans="1:12" x14ac:dyDescent="0.35">
      <c r="A5" s="6"/>
      <c r="B5" s="6"/>
      <c r="C5" s="1934" t="s">
        <v>77</v>
      </c>
      <c r="D5" s="1934"/>
      <c r="E5" s="6" t="s">
        <v>66</v>
      </c>
      <c r="F5" s="6" t="s">
        <v>77</v>
      </c>
      <c r="G5" s="6"/>
      <c r="H5" s="6"/>
    </row>
    <row r="6" spans="1:12" ht="13.9" x14ac:dyDescent="0.4">
      <c r="A6" s="29">
        <v>1</v>
      </c>
      <c r="B6" s="29">
        <v>2</v>
      </c>
      <c r="C6" s="29">
        <v>3</v>
      </c>
      <c r="D6" s="29">
        <v>4</v>
      </c>
      <c r="E6" s="29">
        <v>5</v>
      </c>
      <c r="F6" s="29">
        <v>6</v>
      </c>
      <c r="G6" s="29">
        <v>7</v>
      </c>
      <c r="H6" s="29">
        <v>8</v>
      </c>
    </row>
    <row r="7" spans="1:12" ht="13.9" x14ac:dyDescent="0.4">
      <c r="A7" s="26">
        <v>1</v>
      </c>
      <c r="B7" s="1940" t="s">
        <v>14</v>
      </c>
      <c r="C7" s="1940"/>
      <c r="D7" s="1940"/>
      <c r="E7" s="1940"/>
      <c r="F7" s="1940"/>
      <c r="G7" s="1940"/>
      <c r="H7" s="1940"/>
    </row>
    <row r="8" spans="1:12" x14ac:dyDescent="0.35">
      <c r="A8" s="6">
        <v>1.1000000000000001</v>
      </c>
      <c r="B8" s="6" t="s">
        <v>16</v>
      </c>
      <c r="C8" s="6"/>
      <c r="D8" s="31">
        <v>2.0499999999999998</v>
      </c>
      <c r="E8" s="27">
        <v>1.86</v>
      </c>
      <c r="F8" s="27">
        <v>1.95</v>
      </c>
      <c r="G8" s="7">
        <f>(F8-D8)/D8*100</f>
        <v>-4.8780487804877986</v>
      </c>
      <c r="H8" s="31">
        <f>(F8-E8)/E8*100</f>
        <v>4.838709677419347</v>
      </c>
      <c r="I8" s="5">
        <f>7.61+0.61</f>
        <v>8.2200000000000006</v>
      </c>
      <c r="J8" s="5">
        <f>10.72+0.6</f>
        <v>11.32</v>
      </c>
    </row>
    <row r="9" spans="1:12" x14ac:dyDescent="0.35">
      <c r="A9" s="6">
        <v>1.2</v>
      </c>
      <c r="B9" s="6" t="s">
        <v>15</v>
      </c>
      <c r="C9" s="6"/>
      <c r="D9" s="11">
        <v>83.73</v>
      </c>
      <c r="E9" s="27">
        <v>76.17</v>
      </c>
      <c r="F9" s="27">
        <v>78.37</v>
      </c>
      <c r="G9" s="7">
        <f>(F9-D9)/D9*100</f>
        <v>-6.4015287232771998</v>
      </c>
      <c r="H9" s="31">
        <f>(F9-E9)/E9*100</f>
        <v>2.8882762242352666</v>
      </c>
      <c r="I9" s="5">
        <f>297.27+21.72</f>
        <v>318.99</v>
      </c>
      <c r="J9" s="5">
        <f>289.79+19.11</f>
        <v>308.90000000000003</v>
      </c>
    </row>
    <row r="10" spans="1:12" x14ac:dyDescent="0.35">
      <c r="A10" s="6">
        <v>1.3</v>
      </c>
      <c r="B10" s="6" t="s">
        <v>17</v>
      </c>
      <c r="C10" s="6"/>
      <c r="D10" s="31">
        <f>SUM(D8:D9)</f>
        <v>85.78</v>
      </c>
      <c r="E10" s="27">
        <f>SUM(E8:E9)</f>
        <v>78.03</v>
      </c>
      <c r="F10" s="27">
        <f>SUM(F8:F9)</f>
        <v>80.320000000000007</v>
      </c>
      <c r="G10" s="7">
        <f>(F10-D10)/D10*100</f>
        <v>-6.3651200746094592</v>
      </c>
      <c r="H10" s="31">
        <f>(F10-E10)/E10*100</f>
        <v>2.9347686787133234</v>
      </c>
    </row>
    <row r="11" spans="1:12" ht="13.9" x14ac:dyDescent="0.4">
      <c r="A11" s="9">
        <v>2</v>
      </c>
      <c r="B11" s="1928" t="s">
        <v>18</v>
      </c>
      <c r="C11" s="1929"/>
      <c r="D11" s="1929"/>
      <c r="E11" s="1929"/>
      <c r="F11" s="1929"/>
      <c r="G11" s="1929"/>
      <c r="H11" s="1930"/>
    </row>
    <row r="12" spans="1:12" x14ac:dyDescent="0.35">
      <c r="A12" s="6">
        <v>2.1</v>
      </c>
      <c r="B12" s="6" t="s">
        <v>19</v>
      </c>
      <c r="C12" s="1948"/>
      <c r="D12" s="52">
        <v>18.329999999999998</v>
      </c>
      <c r="E12" s="27">
        <v>16.850000000000001</v>
      </c>
      <c r="F12" s="27">
        <v>10.26</v>
      </c>
      <c r="G12" s="7">
        <f>(F12-D12)/D12*100</f>
        <v>-44.026186579378063</v>
      </c>
      <c r="H12" s="7">
        <f t="shared" ref="H12:H42" si="0">(F12-E12)/E12*100</f>
        <v>-39.109792284866472</v>
      </c>
    </row>
    <row r="13" spans="1:12" x14ac:dyDescent="0.35">
      <c r="A13" s="6">
        <v>2.2000000000000002</v>
      </c>
      <c r="B13" s="6" t="s">
        <v>20</v>
      </c>
      <c r="C13" s="1947"/>
      <c r="D13" s="22"/>
      <c r="E13" s="27"/>
      <c r="F13" s="27"/>
      <c r="G13" s="7"/>
      <c r="H13" s="7"/>
    </row>
    <row r="14" spans="1:12" x14ac:dyDescent="0.35">
      <c r="A14" s="6">
        <v>2.2999999999999998</v>
      </c>
      <c r="B14" s="6" t="s">
        <v>21</v>
      </c>
      <c r="C14" s="6"/>
      <c r="D14" s="27">
        <f>SUM(D12:D13)</f>
        <v>18.329999999999998</v>
      </c>
      <c r="E14" s="27">
        <f>SUM(E12:E13)</f>
        <v>16.850000000000001</v>
      </c>
      <c r="F14" s="27">
        <f>SUM(F12:F13)</f>
        <v>10.26</v>
      </c>
      <c r="G14" s="7">
        <f>(F14-D14)/D14*100</f>
        <v>-44.026186579378063</v>
      </c>
      <c r="H14" s="7">
        <f t="shared" si="0"/>
        <v>-39.109792284866472</v>
      </c>
    </row>
    <row r="15" spans="1:12" ht="13.9" x14ac:dyDescent="0.4">
      <c r="A15" s="9">
        <v>3</v>
      </c>
      <c r="B15" s="1928" t="s">
        <v>22</v>
      </c>
      <c r="C15" s="1929"/>
      <c r="D15" s="1929"/>
      <c r="E15" s="1929"/>
      <c r="F15" s="1929"/>
      <c r="G15" s="1929"/>
      <c r="H15" s="1930"/>
    </row>
    <row r="16" spans="1:12" x14ac:dyDescent="0.35">
      <c r="A16" s="6">
        <v>3.1</v>
      </c>
      <c r="B16" s="6" t="s">
        <v>2</v>
      </c>
      <c r="C16" s="6"/>
      <c r="D16" s="27">
        <v>0.9</v>
      </c>
      <c r="E16" s="27">
        <f>9366856/10000000</f>
        <v>0.93668560000000001</v>
      </c>
      <c r="F16" s="27">
        <f>12156766/10000000</f>
        <v>1.2156766000000001</v>
      </c>
      <c r="G16" s="7">
        <f>(F16-D16)/D16*100</f>
        <v>35.075177777777789</v>
      </c>
      <c r="H16" s="31">
        <f>(F16-E16)/E16*100</f>
        <v>29.784913956187658</v>
      </c>
      <c r="L16" s="5">
        <v>2097670</v>
      </c>
    </row>
    <row r="17" spans="1:16" x14ac:dyDescent="0.35">
      <c r="A17" s="6">
        <v>3.2</v>
      </c>
      <c r="B17" s="6" t="s">
        <v>23</v>
      </c>
      <c r="C17" s="20"/>
      <c r="D17" s="193">
        <v>2.5299999999999998</v>
      </c>
      <c r="E17" s="27">
        <v>2.1429</v>
      </c>
      <c r="F17" s="27">
        <v>2.1179000000000001</v>
      </c>
      <c r="G17" s="7">
        <f>(F17-D17)/D17*100</f>
        <v>-16.288537549407103</v>
      </c>
      <c r="H17" s="7">
        <f>(F17-E17)/E17*100</f>
        <v>-1.1666433337999864</v>
      </c>
      <c r="I17" s="12">
        <f>F17+F18</f>
        <v>2.2525284999999999</v>
      </c>
      <c r="J17" s="12">
        <f>D17+D18</f>
        <v>2.9099999999999997</v>
      </c>
    </row>
    <row r="18" spans="1:16" x14ac:dyDescent="0.35">
      <c r="A18" s="6">
        <v>3.3</v>
      </c>
      <c r="B18" s="6" t="s">
        <v>1</v>
      </c>
      <c r="C18" s="1936"/>
      <c r="D18" s="194">
        <v>0.38</v>
      </c>
      <c r="E18" s="27">
        <v>0.17</v>
      </c>
      <c r="F18" s="27">
        <f>1346285/10000000</f>
        <v>0.13462850000000001</v>
      </c>
      <c r="G18" s="7">
        <f>(F18-D18)/D18*100</f>
        <v>-64.571447368421047</v>
      </c>
      <c r="H18" s="7">
        <f>(F18-E18)/E18*100</f>
        <v>-20.806764705882351</v>
      </c>
      <c r="M18" s="5">
        <f>1643830+784950</f>
        <v>2428780</v>
      </c>
    </row>
    <row r="19" spans="1:16" x14ac:dyDescent="0.35">
      <c r="A19" s="6">
        <v>3.4</v>
      </c>
      <c r="B19" s="6" t="s">
        <v>24</v>
      </c>
      <c r="C19" s="1936"/>
      <c r="D19" s="129"/>
      <c r="E19" s="27">
        <v>0.24199999999999999</v>
      </c>
      <c r="F19" s="27">
        <v>0.23</v>
      </c>
      <c r="G19" s="10"/>
      <c r="H19" s="7">
        <f>(F19-E19)/E19*100</f>
        <v>-4.9586776859504065</v>
      </c>
      <c r="M19" s="5">
        <f>M18/10000000</f>
        <v>0.24287800000000001</v>
      </c>
    </row>
    <row r="20" spans="1:16" ht="30.75" customHeight="1" x14ac:dyDescent="0.35">
      <c r="A20" s="6">
        <v>3.5</v>
      </c>
      <c r="B20" s="24" t="s">
        <v>25</v>
      </c>
      <c r="C20" s="1936"/>
      <c r="D20" s="129"/>
      <c r="E20" s="6">
        <v>0</v>
      </c>
      <c r="F20" s="6">
        <v>0</v>
      </c>
      <c r="G20" s="10"/>
      <c r="H20" s="7">
        <v>0</v>
      </c>
      <c r="I20" s="5">
        <f>2.5*4</f>
        <v>10</v>
      </c>
    </row>
    <row r="21" spans="1:16" ht="35.25" customHeight="1" x14ac:dyDescent="0.35">
      <c r="A21" s="6">
        <v>3.6</v>
      </c>
      <c r="B21" s="23" t="s">
        <v>26</v>
      </c>
      <c r="C21" s="1937"/>
      <c r="D21" s="130"/>
      <c r="E21" s="27">
        <f>'[2]JULY 19'!$L$38</f>
        <v>2.2733504</v>
      </c>
      <c r="F21" s="27">
        <v>2.4700000000000002</v>
      </c>
      <c r="G21" s="45"/>
      <c r="H21" s="7">
        <f>(F21-E21)/E21*100</f>
        <v>8.6502107198256901</v>
      </c>
      <c r="J21" s="5">
        <v>24734087</v>
      </c>
    </row>
    <row r="22" spans="1:16" ht="34.5" customHeight="1" x14ac:dyDescent="0.35">
      <c r="A22" s="6">
        <v>3.7</v>
      </c>
      <c r="B22" s="23" t="s">
        <v>58</v>
      </c>
      <c r="C22" s="6"/>
      <c r="D22" s="27">
        <v>8.9700000000000006</v>
      </c>
      <c r="E22" s="27">
        <v>5.3</v>
      </c>
      <c r="F22" s="27">
        <v>6.18</v>
      </c>
      <c r="G22" s="7">
        <f>(F22-D22)/D22*100</f>
        <v>-31.103678929765895</v>
      </c>
      <c r="H22" s="7">
        <f t="shared" si="0"/>
        <v>16.60377358490566</v>
      </c>
      <c r="J22" s="5">
        <f>J21/10000000</f>
        <v>2.4734086999999998</v>
      </c>
    </row>
    <row r="23" spans="1:16" ht="13.9" x14ac:dyDescent="0.4">
      <c r="A23" s="9">
        <v>4</v>
      </c>
      <c r="B23" s="1928" t="s">
        <v>42</v>
      </c>
      <c r="C23" s="1929"/>
      <c r="D23" s="1929"/>
      <c r="E23" s="1929"/>
      <c r="F23" s="1929"/>
      <c r="G23" s="1929"/>
      <c r="H23" s="1930"/>
    </row>
    <row r="24" spans="1:16" x14ac:dyDescent="0.35">
      <c r="A24" s="6">
        <v>4.0999999999999996</v>
      </c>
      <c r="B24" s="6" t="s">
        <v>27</v>
      </c>
      <c r="C24" s="6"/>
      <c r="D24" s="6">
        <v>0.83333333333333326</v>
      </c>
      <c r="E24" s="27">
        <f>797975/10000000</f>
        <v>7.9797499999999993E-2</v>
      </c>
      <c r="F24" s="31">
        <f>6554376/10000000</f>
        <v>0.65543759999999995</v>
      </c>
      <c r="G24" s="7">
        <f>(F24-D24)/D24*100</f>
        <v>-21.347487999999998</v>
      </c>
      <c r="H24" s="7">
        <f>(F24-E24)/E24*100</f>
        <v>721.37610827406877</v>
      </c>
      <c r="I24" s="10">
        <v>2.5</v>
      </c>
      <c r="L24" s="11"/>
      <c r="M24" s="12"/>
    </row>
    <row r="25" spans="1:16" x14ac:dyDescent="0.35">
      <c r="A25" s="6">
        <v>4.2</v>
      </c>
      <c r="B25" s="6" t="s">
        <v>28</v>
      </c>
      <c r="C25" s="6"/>
      <c r="D25" s="12">
        <v>0.31225833333333336</v>
      </c>
      <c r="E25" s="6">
        <v>3.9E-2</v>
      </c>
      <c r="F25" s="6">
        <v>0.128</v>
      </c>
      <c r="G25" s="7">
        <f>(E25-D25)/D25*100</f>
        <v>-87.510341330629032</v>
      </c>
      <c r="H25" s="7">
        <f t="shared" si="0"/>
        <v>228.2051282051282</v>
      </c>
      <c r="I25" s="13">
        <f>4.25/12</f>
        <v>0.35416666666666669</v>
      </c>
      <c r="J25" s="5">
        <f>684529/10000000</f>
        <v>6.8452899999999997E-2</v>
      </c>
      <c r="K25" s="5">
        <f>2369347/10000000</f>
        <v>0.2369347</v>
      </c>
      <c r="L25" s="11"/>
      <c r="M25" s="12"/>
    </row>
    <row r="26" spans="1:16" x14ac:dyDescent="0.35">
      <c r="A26" s="6">
        <v>4.3</v>
      </c>
      <c r="B26" s="6" t="s">
        <v>4</v>
      </c>
      <c r="C26" s="1948"/>
      <c r="D26" s="6">
        <v>0</v>
      </c>
      <c r="E26" s="6">
        <v>0</v>
      </c>
      <c r="F26" s="6">
        <v>0</v>
      </c>
      <c r="G26" s="1925">
        <v>0</v>
      </c>
      <c r="H26" s="7" t="e">
        <f t="shared" si="0"/>
        <v>#DIV/0!</v>
      </c>
      <c r="I26" s="12">
        <f>I25*4</f>
        <v>1.4166666666666667</v>
      </c>
      <c r="L26" s="11"/>
      <c r="M26" s="12"/>
    </row>
    <row r="27" spans="1:16" x14ac:dyDescent="0.35">
      <c r="A27" s="6">
        <v>4.4000000000000004</v>
      </c>
      <c r="B27" s="6" t="s">
        <v>29</v>
      </c>
      <c r="C27" s="1947"/>
      <c r="D27" s="6"/>
      <c r="E27" s="6">
        <v>0</v>
      </c>
      <c r="F27" s="6">
        <v>0</v>
      </c>
      <c r="G27" s="1926"/>
      <c r="H27" s="7" t="e">
        <f t="shared" si="0"/>
        <v>#DIV/0!</v>
      </c>
      <c r="J27" s="5">
        <f>327701/10000000</f>
        <v>3.2770100000000003E-2</v>
      </c>
      <c r="K27" s="5">
        <f>270890+117096+43788+18050</f>
        <v>449824</v>
      </c>
      <c r="L27" s="11"/>
      <c r="M27" s="12"/>
    </row>
    <row r="28" spans="1:16" x14ac:dyDescent="0.35">
      <c r="A28" s="6">
        <v>4.5</v>
      </c>
      <c r="B28" s="6" t="s">
        <v>30</v>
      </c>
      <c r="C28" s="1947"/>
      <c r="D28" s="177"/>
      <c r="E28" s="6">
        <v>0</v>
      </c>
      <c r="F28" s="6">
        <v>0</v>
      </c>
      <c r="G28" s="1926"/>
      <c r="H28" s="7" t="e">
        <f t="shared" si="0"/>
        <v>#DIV/0!</v>
      </c>
      <c r="I28" s="13">
        <f>2.5+I25</f>
        <v>2.8541666666666665</v>
      </c>
      <c r="L28" s="11"/>
      <c r="M28" s="12"/>
      <c r="O28" s="6"/>
      <c r="P28" s="6"/>
    </row>
    <row r="29" spans="1:16" x14ac:dyDescent="0.35">
      <c r="A29" s="6">
        <v>4.7</v>
      </c>
      <c r="B29" s="6" t="s">
        <v>3</v>
      </c>
      <c r="C29" s="1947"/>
      <c r="D29" s="178">
        <v>0.13583333333333333</v>
      </c>
      <c r="E29" s="6">
        <v>4.4999999999999998E-2</v>
      </c>
      <c r="F29" s="6">
        <v>0.152</v>
      </c>
      <c r="G29" s="1926"/>
      <c r="H29" s="7">
        <f t="shared" si="0"/>
        <v>237.77777777777777</v>
      </c>
      <c r="I29" s="12">
        <f>I26+10</f>
        <v>11.416666666666666</v>
      </c>
      <c r="L29" s="11"/>
      <c r="M29" s="12"/>
    </row>
    <row r="30" spans="1:16" hidden="1" x14ac:dyDescent="0.35">
      <c r="A30" s="6">
        <v>4.8</v>
      </c>
      <c r="B30" s="6" t="s">
        <v>31</v>
      </c>
      <c r="C30" s="1949"/>
      <c r="D30" s="22"/>
      <c r="E30" s="6"/>
      <c r="F30" s="6"/>
      <c r="G30" s="1927"/>
      <c r="H30" s="7" t="e">
        <f t="shared" si="0"/>
        <v>#DIV/0!</v>
      </c>
      <c r="L30" s="11"/>
      <c r="M30" s="12"/>
    </row>
    <row r="31" spans="1:16" x14ac:dyDescent="0.35">
      <c r="A31" s="6">
        <v>4.9000000000000004</v>
      </c>
      <c r="B31" s="6" t="s">
        <v>32</v>
      </c>
      <c r="C31" s="6"/>
      <c r="D31" s="27">
        <f>SUM(D24:D30)</f>
        <v>1.2814249999999998</v>
      </c>
      <c r="E31" s="27">
        <f>SUM(E24:E30)</f>
        <v>0.16379749999999998</v>
      </c>
      <c r="F31" s="27">
        <f>SUM(F24:F30)</f>
        <v>0.93543759999999998</v>
      </c>
      <c r="G31" s="7">
        <f t="shared" ref="G31:G36" si="1">(F31-D31)/D31*100</f>
        <v>-27.000206801022291</v>
      </c>
      <c r="H31" s="7">
        <f t="shared" si="0"/>
        <v>471.0939422152353</v>
      </c>
      <c r="L31" s="11"/>
    </row>
    <row r="32" spans="1:16" ht="14.25" thickBot="1" x14ac:dyDescent="0.45">
      <c r="A32" s="9">
        <v>5</v>
      </c>
      <c r="B32" s="9" t="s">
        <v>33</v>
      </c>
      <c r="C32" s="9">
        <f>C10+C14+C22+C31</f>
        <v>0</v>
      </c>
      <c r="D32" s="28">
        <f>D10+D14+D22+D31</f>
        <v>114.361425</v>
      </c>
      <c r="E32" s="28">
        <f>E10+E14+E22+E31</f>
        <v>100.34379749999999</v>
      </c>
      <c r="F32" s="28">
        <f>F10+F14+F22+F31</f>
        <v>97.69543760000002</v>
      </c>
      <c r="G32" s="7">
        <f t="shared" si="1"/>
        <v>-14.573084761754219</v>
      </c>
      <c r="H32" s="7">
        <f t="shared" si="0"/>
        <v>-2.6392861003690578</v>
      </c>
    </row>
    <row r="33" spans="1:14" ht="14.65" thickBot="1" x14ac:dyDescent="0.5">
      <c r="A33" s="9">
        <v>6</v>
      </c>
      <c r="B33" s="1931" t="s">
        <v>43</v>
      </c>
      <c r="C33" s="1932"/>
      <c r="D33" s="1932"/>
      <c r="E33" s="1932"/>
      <c r="F33" s="1932"/>
      <c r="G33" s="1932"/>
      <c r="H33" s="1933"/>
      <c r="L33" s="2"/>
      <c r="M33" s="2"/>
      <c r="N33" s="2"/>
    </row>
    <row r="34" spans="1:14" ht="13.9" thickBot="1" x14ac:dyDescent="0.4">
      <c r="A34" s="6">
        <v>6.1</v>
      </c>
      <c r="B34" s="6" t="s">
        <v>16</v>
      </c>
      <c r="C34" s="6"/>
      <c r="D34" s="27">
        <v>34</v>
      </c>
      <c r="E34" s="27">
        <v>33.11</v>
      </c>
      <c r="F34" s="27">
        <v>33.75</v>
      </c>
      <c r="G34" s="7">
        <f t="shared" si="1"/>
        <v>-0.73529411764705876</v>
      </c>
      <c r="H34" s="7">
        <f t="shared" si="0"/>
        <v>1.9329507701600741</v>
      </c>
      <c r="K34" s="3">
        <f>11196*1000</f>
        <v>11196000</v>
      </c>
      <c r="L34" s="4"/>
      <c r="M34" s="4"/>
      <c r="N34" s="4"/>
    </row>
    <row r="35" spans="1:14" ht="13.9" thickBot="1" x14ac:dyDescent="0.4">
      <c r="A35" s="6">
        <v>6.2</v>
      </c>
      <c r="B35" s="6" t="s">
        <v>15</v>
      </c>
      <c r="C35" s="6"/>
      <c r="D35" s="27">
        <v>36.9</v>
      </c>
      <c r="E35" s="27">
        <v>36.67</v>
      </c>
      <c r="F35" s="27">
        <v>34.85</v>
      </c>
      <c r="G35" s="7">
        <f t="shared" si="1"/>
        <v>-5.5555555555555483</v>
      </c>
      <c r="H35" s="7">
        <f t="shared" si="0"/>
        <v>-4.9631851649850018</v>
      </c>
      <c r="K35" s="3">
        <f>K34/10000000</f>
        <v>1.1195999999999999</v>
      </c>
      <c r="L35" s="4"/>
      <c r="M35" s="4"/>
      <c r="N35" s="4"/>
    </row>
    <row r="36" spans="1:14" ht="13.9" thickBot="1" x14ac:dyDescent="0.4">
      <c r="A36" s="6">
        <v>6.3</v>
      </c>
      <c r="B36" s="6" t="s">
        <v>34</v>
      </c>
      <c r="C36" s="6">
        <f>SUM(C34:C35)</f>
        <v>0</v>
      </c>
      <c r="D36" s="31">
        <f>SUM(D34:D35)</f>
        <v>70.900000000000006</v>
      </c>
      <c r="E36" s="27">
        <f>SUM(E34:E35)</f>
        <v>69.78</v>
      </c>
      <c r="F36" s="27">
        <f>SUM(F34:F35)</f>
        <v>68.599999999999994</v>
      </c>
      <c r="G36" s="7">
        <f t="shared" si="1"/>
        <v>-3.244005641748958</v>
      </c>
      <c r="H36" s="7">
        <f t="shared" si="0"/>
        <v>-1.691028948122681</v>
      </c>
      <c r="K36" s="3"/>
      <c r="L36" s="4"/>
      <c r="M36" s="4"/>
      <c r="N36" s="4"/>
    </row>
    <row r="37" spans="1:14" ht="14.65" thickBot="1" x14ac:dyDescent="0.5">
      <c r="A37" s="9">
        <v>7</v>
      </c>
      <c r="B37" s="1931" t="s">
        <v>46</v>
      </c>
      <c r="C37" s="1932"/>
      <c r="D37" s="1932"/>
      <c r="E37" s="1932"/>
      <c r="F37" s="1932"/>
      <c r="G37" s="1932"/>
      <c r="H37" s="1933"/>
      <c r="M37" s="4"/>
    </row>
    <row r="38" spans="1:14" ht="13.9" thickBot="1" x14ac:dyDescent="0.4">
      <c r="A38" s="6">
        <v>7.1</v>
      </c>
      <c r="B38" s="6" t="s">
        <v>16</v>
      </c>
      <c r="C38" s="14"/>
      <c r="D38" s="15"/>
      <c r="E38" s="6"/>
      <c r="F38" s="6"/>
      <c r="G38" s="1925"/>
      <c r="H38" s="7" t="e">
        <f t="shared" si="0"/>
        <v>#DIV/0!</v>
      </c>
      <c r="M38" s="4"/>
    </row>
    <row r="39" spans="1:14" ht="13.9" thickBot="1" x14ac:dyDescent="0.4">
      <c r="A39" s="6">
        <v>7.2</v>
      </c>
      <c r="B39" s="6" t="s">
        <v>15</v>
      </c>
      <c r="C39" s="16"/>
      <c r="D39" s="17"/>
      <c r="E39" s="6"/>
      <c r="F39" s="6"/>
      <c r="G39" s="1926"/>
      <c r="H39" s="7" t="e">
        <f t="shared" si="0"/>
        <v>#DIV/0!</v>
      </c>
    </row>
    <row r="40" spans="1:14" ht="13.9" thickBot="1" x14ac:dyDescent="0.4">
      <c r="A40" s="6">
        <v>7.3</v>
      </c>
      <c r="B40" s="6" t="s">
        <v>35</v>
      </c>
      <c r="C40" s="21"/>
      <c r="D40" s="22"/>
      <c r="E40" s="6">
        <f>SUM(E38:E39)</f>
        <v>0</v>
      </c>
      <c r="F40" s="6">
        <f>SUM(F38:F39)</f>
        <v>0</v>
      </c>
      <c r="G40" s="1927"/>
      <c r="H40" s="7" t="e">
        <f t="shared" si="0"/>
        <v>#DIV/0!</v>
      </c>
      <c r="L40" s="1"/>
    </row>
    <row r="41" spans="1:14" ht="14.65" thickBot="1" x14ac:dyDescent="0.5">
      <c r="A41" s="9">
        <v>8</v>
      </c>
      <c r="B41" s="1931" t="s">
        <v>45</v>
      </c>
      <c r="C41" s="1932"/>
      <c r="D41" s="1932"/>
      <c r="E41" s="1932"/>
      <c r="F41" s="1932"/>
      <c r="G41" s="1932"/>
      <c r="H41" s="1933"/>
      <c r="L41" s="3"/>
    </row>
    <row r="42" spans="1:14" ht="14.65" thickBot="1" x14ac:dyDescent="0.5">
      <c r="A42" s="6">
        <v>8.1</v>
      </c>
      <c r="B42" s="6" t="s">
        <v>41</v>
      </c>
      <c r="C42" s="6"/>
      <c r="D42">
        <v>49000</v>
      </c>
      <c r="E42" s="6">
        <v>23260</v>
      </c>
      <c r="F42" s="6">
        <v>26244</v>
      </c>
      <c r="G42" s="7">
        <f>(F42-D42)/D42*100</f>
        <v>-46.440816326530609</v>
      </c>
      <c r="H42" s="7">
        <f t="shared" si="0"/>
        <v>12.828890799656062</v>
      </c>
      <c r="L42" s="3"/>
    </row>
    <row r="43" spans="1:14" ht="14.65" thickBot="1" x14ac:dyDescent="0.5">
      <c r="A43" s="9">
        <v>9</v>
      </c>
      <c r="B43" s="1931" t="s">
        <v>48</v>
      </c>
      <c r="C43" s="1932"/>
      <c r="D43" s="1932"/>
      <c r="E43" s="1932"/>
      <c r="F43" s="1932"/>
      <c r="G43" s="1932"/>
      <c r="H43" s="1933"/>
      <c r="L43" s="3"/>
    </row>
    <row r="44" spans="1:14" ht="13.9" thickBot="1" x14ac:dyDescent="0.4">
      <c r="A44" s="6">
        <v>9.1</v>
      </c>
      <c r="B44" s="6" t="s">
        <v>36</v>
      </c>
      <c r="C44" s="14"/>
      <c r="D44" s="15"/>
      <c r="E44" s="27"/>
      <c r="F44" s="27"/>
      <c r="G44" s="1925"/>
      <c r="H44" s="7" t="e">
        <f>(F44-E44)/E44*100</f>
        <v>#DIV/0!</v>
      </c>
      <c r="L44" s="3"/>
    </row>
    <row r="45" spans="1:14" x14ac:dyDescent="0.35">
      <c r="A45" s="6">
        <v>9.1999999999999993</v>
      </c>
      <c r="B45" s="6" t="s">
        <v>37</v>
      </c>
      <c r="C45" s="16"/>
      <c r="D45" s="17"/>
      <c r="E45" s="27"/>
      <c r="F45" s="27"/>
      <c r="G45" s="1926"/>
      <c r="H45" s="7" t="e">
        <f t="shared" ref="H45:H50" si="2">(E45-F45)/F45*100</f>
        <v>#DIV/0!</v>
      </c>
    </row>
    <row r="46" spans="1:14" x14ac:dyDescent="0.35">
      <c r="A46" s="6">
        <v>9.3000000000000007</v>
      </c>
      <c r="B46" s="6" t="s">
        <v>38</v>
      </c>
      <c r="C46" s="21"/>
      <c r="D46" s="22"/>
      <c r="E46" s="27"/>
      <c r="F46" s="27"/>
      <c r="G46" s="1927"/>
      <c r="H46" s="7" t="e">
        <f t="shared" si="2"/>
        <v>#DIV/0!</v>
      </c>
    </row>
    <row r="47" spans="1:14" ht="14.25" x14ac:dyDescent="0.45">
      <c r="A47" s="9">
        <v>10</v>
      </c>
      <c r="B47" s="1931" t="s">
        <v>47</v>
      </c>
      <c r="C47" s="1932"/>
      <c r="D47" s="1932"/>
      <c r="E47" s="1932"/>
      <c r="F47" s="1932"/>
      <c r="G47" s="1932"/>
      <c r="H47" s="1933"/>
    </row>
    <row r="48" spans="1:14" x14ac:dyDescent="0.35">
      <c r="A48" s="6">
        <v>10.1</v>
      </c>
      <c r="B48" s="6" t="s">
        <v>39</v>
      </c>
      <c r="C48" s="14"/>
      <c r="D48" s="15"/>
      <c r="E48" s="6"/>
      <c r="F48" s="6"/>
      <c r="G48" s="1925"/>
      <c r="H48" s="7" t="e">
        <f t="shared" si="2"/>
        <v>#DIV/0!</v>
      </c>
    </row>
    <row r="49" spans="1:8" x14ac:dyDescent="0.35">
      <c r="A49" s="6">
        <v>10.199999999999999</v>
      </c>
      <c r="B49" s="6" t="s">
        <v>40</v>
      </c>
      <c r="C49" s="16"/>
      <c r="D49" s="17"/>
      <c r="E49" s="6"/>
      <c r="F49" s="6"/>
      <c r="G49" s="1926"/>
      <c r="H49" s="7" t="e">
        <f t="shared" si="2"/>
        <v>#DIV/0!</v>
      </c>
    </row>
    <row r="50" spans="1:8" x14ac:dyDescent="0.35">
      <c r="A50" s="6">
        <v>10.3</v>
      </c>
      <c r="B50" s="6" t="s">
        <v>0</v>
      </c>
      <c r="C50" s="21"/>
      <c r="D50" s="22"/>
      <c r="E50" s="6">
        <f>SUM(E48:E49)</f>
        <v>0</v>
      </c>
      <c r="F50" s="6">
        <f>SUM(F48:F49)</f>
        <v>0</v>
      </c>
      <c r="G50" s="1927"/>
      <c r="H50" s="7" t="e">
        <f t="shared" si="2"/>
        <v>#DIV/0!</v>
      </c>
    </row>
    <row r="53" spans="1:8" x14ac:dyDescent="0.35">
      <c r="C53" s="5">
        <f>C42/12</f>
        <v>0</v>
      </c>
    </row>
    <row r="57" spans="1:8" x14ac:dyDescent="0.35">
      <c r="C57" s="5">
        <v>15650</v>
      </c>
      <c r="D57" s="5">
        <v>19600</v>
      </c>
      <c r="E57" s="5">
        <f>(C57-D57)/D57*100</f>
        <v>-20.153061224489797</v>
      </c>
    </row>
    <row r="63" spans="1:8" x14ac:dyDescent="0.35">
      <c r="E63" s="5">
        <v>2016</v>
      </c>
      <c r="F63" s="5">
        <v>2015</v>
      </c>
    </row>
    <row r="64" spans="1:8" x14ac:dyDescent="0.35">
      <c r="E64" s="5">
        <v>22383539</v>
      </c>
      <c r="F64" s="5">
        <v>16956085</v>
      </c>
    </row>
    <row r="65" spans="5:6" x14ac:dyDescent="0.35">
      <c r="E65" s="5">
        <v>22343031</v>
      </c>
      <c r="F65" s="5">
        <v>15997380</v>
      </c>
    </row>
    <row r="66" spans="5:6" x14ac:dyDescent="0.35">
      <c r="E66" s="5">
        <v>20915654</v>
      </c>
      <c r="F66" s="5">
        <v>15680137</v>
      </c>
    </row>
    <row r="67" spans="5:6" x14ac:dyDescent="0.35">
      <c r="E67" s="5">
        <v>19259748</v>
      </c>
      <c r="F67" s="5">
        <v>15399814</v>
      </c>
    </row>
    <row r="68" spans="5:6" x14ac:dyDescent="0.35">
      <c r="E68" s="5">
        <v>19803357</v>
      </c>
      <c r="F68" s="5">
        <v>15437500</v>
      </c>
    </row>
    <row r="69" spans="5:6" x14ac:dyDescent="0.35">
      <c r="E69" s="5">
        <f>SUM(E64:E68)</f>
        <v>104705329</v>
      </c>
      <c r="F69" s="5">
        <f>SUM(F64:F68)</f>
        <v>79470916</v>
      </c>
    </row>
  </sheetData>
  <mergeCells count="22">
    <mergeCell ref="C18:C21"/>
    <mergeCell ref="A1:H1"/>
    <mergeCell ref="A2:H2"/>
    <mergeCell ref="C3:D3"/>
    <mergeCell ref="E3:F3"/>
    <mergeCell ref="G3:H3"/>
    <mergeCell ref="C5:D5"/>
    <mergeCell ref="B7:H7"/>
    <mergeCell ref="B11:H11"/>
    <mergeCell ref="C12:C13"/>
    <mergeCell ref="B15:H15"/>
    <mergeCell ref="G48:G50"/>
    <mergeCell ref="B23:H23"/>
    <mergeCell ref="C26:C30"/>
    <mergeCell ref="G26:G30"/>
    <mergeCell ref="B33:H33"/>
    <mergeCell ref="B37:H37"/>
    <mergeCell ref="G38:G40"/>
    <mergeCell ref="B41:H41"/>
    <mergeCell ref="B43:H43"/>
    <mergeCell ref="G44:G46"/>
    <mergeCell ref="B47:H47"/>
  </mergeCells>
  <pageMargins left="0.70866141732283472" right="0.70866141732283472" top="0.74803149606299213" bottom="0.74803149606299213" header="0.31496062992125984" footer="0.31496062992125984"/>
  <pageSetup scale="85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  <pageSetUpPr fitToPage="1"/>
  </sheetPr>
  <dimension ref="A1:P48"/>
  <sheetViews>
    <sheetView view="pageBreakPreview" zoomScale="75" zoomScaleNormal="70" zoomScaleSheetLayoutView="75" workbookViewId="0">
      <selection activeCell="P30" sqref="P30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12.1328125" style="5" customWidth="1"/>
    <col min="4" max="4" width="10.3984375" style="84" customWidth="1"/>
    <col min="5" max="5" width="8.3984375" style="35" bestFit="1" customWidth="1"/>
    <col min="6" max="6" width="15" style="5" customWidth="1"/>
    <col min="7" max="7" width="9.73046875" style="5" bestFit="1" customWidth="1"/>
    <col min="8" max="8" width="11.265625" style="11" customWidth="1"/>
    <col min="9" max="9" width="12" style="82" customWidth="1"/>
    <col min="10" max="11" width="9.1328125" style="5"/>
    <col min="12" max="12" width="10" style="5" customWidth="1"/>
    <col min="13" max="14" width="9.1328125" style="5"/>
    <col min="15" max="15" width="22.73046875" style="5" customWidth="1"/>
    <col min="16" max="16" width="9.265625" style="5" customWidth="1"/>
    <col min="17" max="16384" width="9.1328125" style="5"/>
  </cols>
  <sheetData>
    <row r="1" spans="1:16" ht="23.25" customHeight="1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ht="26.25" customHeight="1" thickBot="1" x14ac:dyDescent="0.5">
      <c r="A2" s="2092" t="s">
        <v>554</v>
      </c>
      <c r="B2" s="2093"/>
      <c r="C2" s="2093"/>
      <c r="D2" s="2093"/>
      <c r="E2" s="2093"/>
      <c r="F2" s="2093"/>
      <c r="G2" s="2093"/>
      <c r="H2" s="2093"/>
      <c r="I2" s="2094"/>
    </row>
    <row r="3" spans="1:1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6" s="35" customFormat="1" ht="29.25" customHeight="1" x14ac:dyDescent="0.45">
      <c r="A4" s="2035"/>
      <c r="B4" s="2047"/>
      <c r="C4" s="2048"/>
      <c r="D4" s="366" t="s">
        <v>9</v>
      </c>
      <c r="E4" s="383">
        <f>G4</f>
        <v>43922</v>
      </c>
      <c r="F4" s="382">
        <v>43556</v>
      </c>
      <c r="G4" s="382">
        <v>43922</v>
      </c>
      <c r="H4" s="2041" t="s">
        <v>12</v>
      </c>
      <c r="I4" s="2041" t="s">
        <v>13</v>
      </c>
      <c r="N4" s="380"/>
      <c r="O4" s="380">
        <v>-139760361</v>
      </c>
    </row>
    <row r="5" spans="1:16" ht="23.25" customHeight="1" x14ac:dyDescent="0.4">
      <c r="A5" s="2036"/>
      <c r="B5" s="2047"/>
      <c r="C5" s="2048"/>
      <c r="D5" s="2043" t="s">
        <v>249</v>
      </c>
      <c r="E5" s="2044"/>
      <c r="F5" s="369" t="s">
        <v>77</v>
      </c>
      <c r="G5" s="369" t="s">
        <v>249</v>
      </c>
      <c r="H5" s="2042"/>
      <c r="I5" s="2042"/>
      <c r="O5" s="5">
        <f>O4/10000000</f>
        <v>-13.9760361</v>
      </c>
    </row>
    <row r="6" spans="1:16" ht="30" customHeight="1" x14ac:dyDescent="0.35">
      <c r="A6" s="372">
        <v>1</v>
      </c>
      <c r="B6" s="2049" t="s">
        <v>14</v>
      </c>
      <c r="C6" s="2049"/>
      <c r="D6" s="304" t="s">
        <v>221</v>
      </c>
      <c r="E6" s="305" t="s">
        <v>221</v>
      </c>
      <c r="F6" s="305">
        <f>F15+F16+F17</f>
        <v>75.34</v>
      </c>
      <c r="G6" s="305">
        <f>G15+G16+G17</f>
        <v>-14.077521600000001</v>
      </c>
      <c r="H6" s="306" t="s">
        <v>221</v>
      </c>
      <c r="I6" s="306">
        <f>(G6-F6)/F6*100</f>
        <v>-118.68532200690206</v>
      </c>
    </row>
    <row r="7" spans="1:16" ht="26.25" customHeight="1" x14ac:dyDescent="0.35">
      <c r="A7" s="373">
        <v>2</v>
      </c>
      <c r="B7" s="2050" t="s">
        <v>71</v>
      </c>
      <c r="C7" s="2051"/>
      <c r="D7" s="307" t="s">
        <v>221</v>
      </c>
      <c r="E7" s="307" t="s">
        <v>221</v>
      </c>
      <c r="F7" s="307">
        <v>10.36</v>
      </c>
      <c r="G7" s="307">
        <v>7.3</v>
      </c>
      <c r="H7" s="308" t="s">
        <v>221</v>
      </c>
      <c r="I7" s="308">
        <f>(G7-F7)/F7*100</f>
        <v>-29.536679536679532</v>
      </c>
    </row>
    <row r="8" spans="1:16" ht="32.25" customHeight="1" x14ac:dyDescent="0.35">
      <c r="A8" s="374">
        <v>3</v>
      </c>
      <c r="B8" s="2021" t="s">
        <v>22</v>
      </c>
      <c r="C8" s="2023"/>
      <c r="D8" s="364" t="s">
        <v>221</v>
      </c>
      <c r="E8" s="364" t="s">
        <v>221</v>
      </c>
      <c r="F8" s="364">
        <v>7.99</v>
      </c>
      <c r="G8" s="364">
        <v>0.33</v>
      </c>
      <c r="H8" s="365" t="s">
        <v>221</v>
      </c>
      <c r="I8" s="365">
        <f>(G8-F8)/F8*100</f>
        <v>-95.869837296620773</v>
      </c>
    </row>
    <row r="9" spans="1:16" ht="34.5" customHeight="1" x14ac:dyDescent="0.35">
      <c r="A9" s="373">
        <v>4</v>
      </c>
      <c r="B9" s="2052" t="s">
        <v>220</v>
      </c>
      <c r="C9" s="2053"/>
      <c r="D9" s="307" t="s">
        <v>221</v>
      </c>
      <c r="E9" s="307" t="s">
        <v>221</v>
      </c>
      <c r="F9" s="307">
        <v>1.6</v>
      </c>
      <c r="G9" s="307">
        <v>0</v>
      </c>
      <c r="H9" s="308" t="s">
        <v>221</v>
      </c>
      <c r="I9" s="308">
        <f>(G9-F9)/F9*100</f>
        <v>-100</v>
      </c>
    </row>
    <row r="10" spans="1:16" ht="28.5" customHeight="1" x14ac:dyDescent="0.35">
      <c r="A10" s="374">
        <v>5</v>
      </c>
      <c r="B10" s="2054" t="s">
        <v>33</v>
      </c>
      <c r="C10" s="2055"/>
      <c r="D10" s="321" t="s">
        <v>221</v>
      </c>
      <c r="E10" s="321" t="s">
        <v>221</v>
      </c>
      <c r="F10" s="321">
        <f>SUM(F6:F9)</f>
        <v>95.289999999999992</v>
      </c>
      <c r="G10" s="321">
        <f>SUM(G6:G9)</f>
        <v>-6.4475216000000009</v>
      </c>
      <c r="H10" s="322" t="s">
        <v>221</v>
      </c>
      <c r="I10" s="322">
        <f>(G10-F10)/F10*100</f>
        <v>-106.76621009549795</v>
      </c>
    </row>
    <row r="11" spans="1:16" ht="14.2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6" ht="36.75" customHeight="1" thickTop="1" thickBot="1" x14ac:dyDescent="0.5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6.1999999999999993</v>
      </c>
      <c r="G12" s="447">
        <f>G42+G43+G44</f>
        <v>-0.21001600000000001</v>
      </c>
      <c r="H12" s="310" t="s">
        <v>221</v>
      </c>
      <c r="I12" s="311">
        <f>(G12-F12)/F12*100</f>
        <v>-103.38735483870968</v>
      </c>
      <c r="N12" s="5" t="s">
        <v>164</v>
      </c>
      <c r="O12">
        <v>-210016</v>
      </c>
      <c r="P12" s="5">
        <f>O12/1000000</f>
        <v>-0.21001600000000001</v>
      </c>
    </row>
    <row r="13" spans="1:16" ht="28.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6" ht="30.75" customHeight="1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</row>
    <row r="15" spans="1:16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315">
        <v>1.5</v>
      </c>
      <c r="G15" s="315">
        <v>0</v>
      </c>
      <c r="H15" s="314" t="s">
        <v>221</v>
      </c>
      <c r="I15" s="314">
        <v>0</v>
      </c>
    </row>
    <row r="16" spans="1:16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313">
        <v>18.54</v>
      </c>
      <c r="G16" s="313">
        <v>0</v>
      </c>
      <c r="H16" s="2027" t="s">
        <v>221</v>
      </c>
      <c r="I16" s="314">
        <v>0</v>
      </c>
    </row>
    <row r="17" spans="1:16" ht="15.4" x14ac:dyDescent="0.4">
      <c r="A17" s="2005"/>
      <c r="B17" s="2071"/>
      <c r="C17" s="320" t="s">
        <v>228</v>
      </c>
      <c r="D17" s="2064"/>
      <c r="E17" s="2066"/>
      <c r="F17" s="313">
        <v>55.3</v>
      </c>
      <c r="G17" s="313">
        <f>-140775216/10000000</f>
        <v>-14.077521600000001</v>
      </c>
      <c r="H17" s="2029"/>
      <c r="I17" s="314">
        <f>(G17-F17)/F17*100</f>
        <v>-125.45663942133815</v>
      </c>
    </row>
    <row r="18" spans="1:16" ht="27" customHeight="1" x14ac:dyDescent="0.35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</row>
    <row r="19" spans="1:16" ht="18.75" customHeight="1" x14ac:dyDescent="0.4">
      <c r="A19" s="2004"/>
      <c r="B19" s="2008" t="s">
        <v>230</v>
      </c>
      <c r="C19" s="2000" t="s">
        <v>231</v>
      </c>
      <c r="D19" s="2001"/>
      <c r="E19" s="2002"/>
      <c r="F19" s="315">
        <v>1.76</v>
      </c>
      <c r="G19" s="315">
        <v>0.81</v>
      </c>
      <c r="H19" s="316" t="s">
        <v>221</v>
      </c>
      <c r="I19" s="314">
        <f>(G19-F19)/F19*100</f>
        <v>-53.977272727272727</v>
      </c>
    </row>
    <row r="20" spans="1:16" ht="18.75" customHeight="1" x14ac:dyDescent="0.4">
      <c r="A20" s="2004"/>
      <c r="B20" s="2009"/>
      <c r="C20" s="2000" t="s">
        <v>232</v>
      </c>
      <c r="D20" s="2001"/>
      <c r="E20" s="2002"/>
      <c r="F20" s="315">
        <v>6.95</v>
      </c>
      <c r="G20" s="315">
        <v>5.46</v>
      </c>
      <c r="H20" s="316" t="s">
        <v>221</v>
      </c>
      <c r="I20" s="314">
        <f>(G20-F20)/F20*100</f>
        <v>-21.438848920863311</v>
      </c>
    </row>
    <row r="21" spans="1:16" ht="18.75" customHeight="1" x14ac:dyDescent="0.4">
      <c r="A21" s="2004"/>
      <c r="B21" s="2009"/>
      <c r="C21" s="2000" t="s">
        <v>239</v>
      </c>
      <c r="D21" s="2001"/>
      <c r="E21" s="2002"/>
      <c r="F21" s="315">
        <v>0.53</v>
      </c>
      <c r="G21" s="315">
        <v>0</v>
      </c>
      <c r="H21" s="316" t="s">
        <v>221</v>
      </c>
      <c r="I21" s="314">
        <v>0</v>
      </c>
    </row>
    <row r="22" spans="1:16" ht="18.75" customHeight="1" x14ac:dyDescent="0.4">
      <c r="A22" s="2004"/>
      <c r="B22" s="2009"/>
      <c r="C22" s="2000" t="s">
        <v>233</v>
      </c>
      <c r="D22" s="2001"/>
      <c r="E22" s="2002"/>
      <c r="F22" s="315">
        <v>0.95</v>
      </c>
      <c r="G22" s="315">
        <v>0.95</v>
      </c>
      <c r="H22" s="316" t="s">
        <v>221</v>
      </c>
      <c r="I22" s="314">
        <f>(G22-F22)/F22*100</f>
        <v>0</v>
      </c>
    </row>
    <row r="23" spans="1:16" ht="18.75" customHeight="1" x14ac:dyDescent="0.4">
      <c r="A23" s="2004"/>
      <c r="B23" s="2009"/>
      <c r="C23" s="2000" t="s">
        <v>234</v>
      </c>
      <c r="D23" s="2001"/>
      <c r="E23" s="2002"/>
      <c r="F23" s="315">
        <v>0.17</v>
      </c>
      <c r="G23" s="315">
        <v>0.08</v>
      </c>
      <c r="H23" s="316" t="s">
        <v>221</v>
      </c>
      <c r="I23" s="314">
        <f>(G23-F23)/F23*100</f>
        <v>-52.941176470588239</v>
      </c>
    </row>
    <row r="24" spans="1:16" ht="18.75" customHeight="1" x14ac:dyDescent="0.4">
      <c r="A24" s="2004"/>
      <c r="B24" s="2009"/>
      <c r="C24" s="2000" t="s">
        <v>235</v>
      </c>
      <c r="D24" s="2001"/>
      <c r="E24" s="2002"/>
      <c r="F24" s="315">
        <v>0</v>
      </c>
      <c r="G24" s="315">
        <v>0</v>
      </c>
      <c r="H24" s="316"/>
      <c r="I24" s="314">
        <v>0</v>
      </c>
      <c r="P24" s="5" t="s">
        <v>265</v>
      </c>
    </row>
    <row r="25" spans="1:16" ht="31.5" customHeight="1" x14ac:dyDescent="0.4">
      <c r="A25" s="2005"/>
      <c r="B25" s="2010"/>
      <c r="C25" s="2011" t="s">
        <v>236</v>
      </c>
      <c r="D25" s="2012"/>
      <c r="E25" s="2013"/>
      <c r="F25" s="315">
        <v>0</v>
      </c>
      <c r="G25" s="315">
        <v>0</v>
      </c>
      <c r="H25" s="316" t="s">
        <v>221</v>
      </c>
      <c r="I25" s="314">
        <v>0</v>
      </c>
    </row>
    <row r="26" spans="1:16" ht="24.75" customHeight="1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</row>
    <row r="27" spans="1:16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134">
        <f>20704316/10000000</f>
        <v>2.0704316</v>
      </c>
      <c r="G27" s="313">
        <v>0</v>
      </c>
      <c r="H27" s="314" t="s">
        <v>221</v>
      </c>
      <c r="I27" s="314">
        <f t="shared" ref="I27:I32" si="0">(G27-F27)/F27*100</f>
        <v>-100</v>
      </c>
    </row>
    <row r="28" spans="1:16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v>2.0099999999999998</v>
      </c>
      <c r="G28" s="381">
        <f>108214/10000000</f>
        <v>1.08214E-2</v>
      </c>
      <c r="H28" s="314" t="s">
        <v>221</v>
      </c>
      <c r="I28" s="314">
        <f t="shared" si="0"/>
        <v>-99.461621890547264</v>
      </c>
    </row>
    <row r="29" spans="1:16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134">
        <v>0.188</v>
      </c>
      <c r="G29" s="313">
        <v>0</v>
      </c>
      <c r="H29" s="314" t="s">
        <v>221</v>
      </c>
      <c r="I29" s="314">
        <f t="shared" si="0"/>
        <v>-100</v>
      </c>
    </row>
    <row r="30" spans="1:16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f>'[2]APRIL-19'!$AP$293</f>
        <v>0.293794</v>
      </c>
      <c r="G30" s="313">
        <v>0</v>
      </c>
      <c r="H30" s="316" t="s">
        <v>221</v>
      </c>
      <c r="I30" s="314">
        <f t="shared" si="0"/>
        <v>-100</v>
      </c>
    </row>
    <row r="31" spans="1:16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f>0.4988</f>
        <v>0.49880000000000002</v>
      </c>
      <c r="G31" s="315">
        <v>0</v>
      </c>
      <c r="H31" s="316" t="s">
        <v>221</v>
      </c>
      <c r="I31" s="314">
        <f t="shared" si="0"/>
        <v>-100</v>
      </c>
    </row>
    <row r="32" spans="1:16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134">
        <v>2.93</v>
      </c>
      <c r="G32" s="315">
        <v>0.32</v>
      </c>
      <c r="H32" s="316" t="s">
        <v>221</v>
      </c>
      <c r="I32" s="314">
        <f t="shared" si="0"/>
        <v>-89.078498293515366</v>
      </c>
      <c r="O32" s="380">
        <v>3247525</v>
      </c>
      <c r="P32" s="5">
        <f>O32/10000000</f>
        <v>0.3247525</v>
      </c>
    </row>
    <row r="33" spans="1:15" x14ac:dyDescent="0.45">
      <c r="A33" s="403"/>
      <c r="B33" s="2006" t="s">
        <v>260</v>
      </c>
      <c r="C33" s="2019"/>
      <c r="D33" s="390"/>
      <c r="E33" s="410"/>
      <c r="F33" s="411"/>
      <c r="G33" s="412"/>
      <c r="H33" s="413"/>
      <c r="I33" s="408"/>
      <c r="O33" s="380"/>
    </row>
    <row r="34" spans="1:15" ht="26.25" customHeight="1" x14ac:dyDescent="0.35">
      <c r="A34" s="2020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</row>
    <row r="35" spans="1:15" ht="15.4" x14ac:dyDescent="0.4">
      <c r="A35" s="2020"/>
      <c r="B35" s="2006" t="s">
        <v>27</v>
      </c>
      <c r="C35" s="2007"/>
      <c r="D35" s="331" t="s">
        <v>221</v>
      </c>
      <c r="E35" s="307">
        <v>0.20250000000000001</v>
      </c>
      <c r="F35" s="134">
        <v>0.59</v>
      </c>
      <c r="G35" s="313">
        <v>0</v>
      </c>
      <c r="H35" s="314" t="s">
        <v>221</v>
      </c>
      <c r="I35" s="314">
        <f>(G35-F35)/F35*100</f>
        <v>-100</v>
      </c>
    </row>
    <row r="36" spans="1:15" ht="15.4" x14ac:dyDescent="0.4">
      <c r="A36" s="2020"/>
      <c r="B36" s="2006" t="s">
        <v>28</v>
      </c>
      <c r="C36" s="2007"/>
      <c r="D36" s="333" t="s">
        <v>221</v>
      </c>
      <c r="E36" s="307" t="s">
        <v>221</v>
      </c>
      <c r="F36" s="134">
        <v>0.83299999999999996</v>
      </c>
      <c r="G36" s="313">
        <v>0</v>
      </c>
      <c r="H36" s="314" t="s">
        <v>221</v>
      </c>
      <c r="I36" s="314">
        <f>(G36-F36)/F36*100</f>
        <v>-100</v>
      </c>
    </row>
    <row r="37" spans="1:15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313">
        <v>0.18</v>
      </c>
      <c r="G37" s="313">
        <v>0</v>
      </c>
      <c r="H37" s="314" t="s">
        <v>221</v>
      </c>
      <c r="I37" s="314">
        <f>(G37-F37)/F37*100</f>
        <v>-100</v>
      </c>
    </row>
    <row r="38" spans="1:15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313">
        <v>0</v>
      </c>
      <c r="G38" s="313">
        <v>0</v>
      </c>
      <c r="H38" s="314" t="s">
        <v>221</v>
      </c>
      <c r="I38" s="314">
        <v>0</v>
      </c>
    </row>
    <row r="39" spans="1:15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313">
        <v>0</v>
      </c>
      <c r="G39" s="313">
        <v>0</v>
      </c>
      <c r="H39" s="314" t="s">
        <v>221</v>
      </c>
      <c r="I39" s="314">
        <v>0</v>
      </c>
    </row>
    <row r="40" spans="1:15" x14ac:dyDescent="0.4">
      <c r="A40" s="373"/>
      <c r="B40" s="2006" t="s">
        <v>259</v>
      </c>
      <c r="C40" s="2019"/>
      <c r="D40" s="390"/>
      <c r="E40" s="391"/>
      <c r="F40" s="392"/>
      <c r="G40" s="392">
        <v>0</v>
      </c>
      <c r="H40" s="407"/>
      <c r="I40" s="408"/>
    </row>
    <row r="41" spans="1:15" ht="24" customHeight="1" x14ac:dyDescent="0.35">
      <c r="A41" s="2020"/>
      <c r="B41" s="2021" t="s">
        <v>346</v>
      </c>
      <c r="C41" s="2022"/>
      <c r="D41" s="2022"/>
      <c r="E41" s="2022"/>
      <c r="F41" s="2022"/>
      <c r="G41" s="2022"/>
      <c r="H41" s="2022"/>
      <c r="I41" s="2023"/>
    </row>
    <row r="42" spans="1:15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315">
        <v>2.59</v>
      </c>
      <c r="G42" s="315">
        <v>0</v>
      </c>
      <c r="H42" s="314" t="s">
        <v>221</v>
      </c>
      <c r="I42" s="314">
        <v>0</v>
      </c>
    </row>
    <row r="43" spans="1:15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313">
        <v>2.69</v>
      </c>
      <c r="G43" s="313">
        <v>0</v>
      </c>
      <c r="H43" s="2027" t="s">
        <v>221</v>
      </c>
      <c r="I43" s="314">
        <v>0</v>
      </c>
    </row>
    <row r="44" spans="1:15" ht="15.4" x14ac:dyDescent="0.4">
      <c r="A44" s="2020"/>
      <c r="B44" s="2070"/>
      <c r="C44" s="320" t="s">
        <v>228</v>
      </c>
      <c r="D44" s="2068"/>
      <c r="E44" s="2066"/>
      <c r="F44" s="313">
        <v>0.92</v>
      </c>
      <c r="G44" s="313">
        <f>-210016/1000000</f>
        <v>-0.21001600000000001</v>
      </c>
      <c r="H44" s="2029"/>
      <c r="I44" s="314">
        <v>0</v>
      </c>
    </row>
    <row r="45" spans="1:15" ht="28.5" customHeight="1" x14ac:dyDescent="0.35">
      <c r="A45" s="2020">
        <v>6</v>
      </c>
      <c r="B45" s="2021" t="s">
        <v>553</v>
      </c>
      <c r="C45" s="2022"/>
      <c r="D45" s="2022"/>
      <c r="E45" s="2022"/>
      <c r="F45" s="2022"/>
      <c r="G45" s="2022"/>
      <c r="H45" s="2022"/>
      <c r="I45" s="2023"/>
    </row>
    <row r="46" spans="1:15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2">
        <v>1.52</v>
      </c>
      <c r="G46" s="312">
        <v>1.72</v>
      </c>
      <c r="H46" s="2027" t="s">
        <v>221</v>
      </c>
      <c r="I46" s="314">
        <f>(G46-F46)/F46*100</f>
        <v>13.157894736842103</v>
      </c>
    </row>
    <row r="47" spans="1:15" ht="15.4" x14ac:dyDescent="0.4">
      <c r="A47" s="2020"/>
      <c r="B47" s="2006" t="s">
        <v>37</v>
      </c>
      <c r="C47" s="2007"/>
      <c r="D47" s="303" t="s">
        <v>221</v>
      </c>
      <c r="E47" s="2025"/>
      <c r="F47" s="312">
        <v>0.14000000000000001</v>
      </c>
      <c r="G47" s="312">
        <v>0.28999999999999998</v>
      </c>
      <c r="H47" s="2028"/>
      <c r="I47" s="314">
        <f>(G47-F47)/F47*100</f>
        <v>107.14285714285711</v>
      </c>
    </row>
    <row r="48" spans="1:15" ht="15.4" x14ac:dyDescent="0.4">
      <c r="A48" s="2020"/>
      <c r="B48" s="2006" t="s">
        <v>38</v>
      </c>
      <c r="C48" s="2007"/>
      <c r="D48" s="303" t="s">
        <v>221</v>
      </c>
      <c r="E48" s="2026"/>
      <c r="F48" s="312">
        <f>SUM(F46:F47)</f>
        <v>1.6600000000000001</v>
      </c>
      <c r="G48" s="312">
        <f>SUM(G46:G47)</f>
        <v>2.0099999999999998</v>
      </c>
      <c r="H48" s="2029"/>
      <c r="I48" s="314">
        <f>(G48-F48)/F48*100</f>
        <v>21.084337349397568</v>
      </c>
    </row>
  </sheetData>
  <mergeCells count="65">
    <mergeCell ref="B40:C40"/>
    <mergeCell ref="B33:C33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A11:I11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9:C39"/>
    <mergeCell ref="B38:C38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rintOptions horizontalCentered="1"/>
  <pageMargins left="7.8740157480315001E-2" right="0.196850393700787" top="0.32" bottom="0.27" header="0.31496062992126" footer="0.31496062992126"/>
  <pageSetup paperSize="9" scale="78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Q53"/>
  <sheetViews>
    <sheetView topLeftCell="A16" zoomScale="90" zoomScaleNormal="90" workbookViewId="0">
      <selection sqref="A1:I48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14.73046875" style="5" customWidth="1"/>
    <col min="4" max="4" width="8.1328125" style="84" bestFit="1" customWidth="1"/>
    <col min="5" max="5" width="9" style="35" bestFit="1" customWidth="1"/>
    <col min="6" max="6" width="9.86328125" style="5" bestFit="1" customWidth="1"/>
    <col min="7" max="7" width="9.73046875" style="5" bestFit="1" customWidth="1"/>
    <col min="8" max="8" width="9.73046875" style="11" customWidth="1"/>
    <col min="9" max="9" width="10.86328125" style="82" customWidth="1"/>
    <col min="10" max="10" width="10.59765625" style="5" customWidth="1"/>
    <col min="11" max="11" width="9.59765625" style="5" customWidth="1"/>
    <col min="12" max="12" width="12.59765625" style="5" customWidth="1"/>
    <col min="13" max="13" width="13" style="5" customWidth="1"/>
    <col min="14" max="14" width="9.1328125" style="5"/>
    <col min="15" max="15" width="22.73046875" style="5" customWidth="1"/>
    <col min="16" max="16" width="9.265625" style="5" customWidth="1"/>
    <col min="17" max="16384" width="9.1328125" style="5"/>
  </cols>
  <sheetData>
    <row r="1" spans="1:17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7" s="301" customFormat="1" ht="26.25" customHeight="1" thickBot="1" x14ac:dyDescent="0.5">
      <c r="A2" s="2092" t="s">
        <v>555</v>
      </c>
      <c r="B2" s="2093"/>
      <c r="C2" s="2093"/>
      <c r="D2" s="2093"/>
      <c r="E2" s="2093"/>
      <c r="F2" s="2093"/>
      <c r="G2" s="2093"/>
      <c r="H2" s="2093"/>
      <c r="I2" s="2094"/>
    </row>
    <row r="3" spans="1:17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7" s="35" customFormat="1" ht="29.25" customHeight="1" x14ac:dyDescent="0.45">
      <c r="A4" s="2035"/>
      <c r="B4" s="2047"/>
      <c r="C4" s="2048"/>
      <c r="D4" s="366" t="s">
        <v>9</v>
      </c>
      <c r="E4" s="383">
        <f>G4</f>
        <v>43952</v>
      </c>
      <c r="F4" s="382">
        <v>43586</v>
      </c>
      <c r="G4" s="382">
        <v>43952</v>
      </c>
      <c r="H4" s="2041" t="s">
        <v>12</v>
      </c>
      <c r="I4" s="2041" t="s">
        <v>13</v>
      </c>
      <c r="N4" s="380"/>
      <c r="O4" s="380">
        <v>-139760361</v>
      </c>
    </row>
    <row r="5" spans="1:17" ht="23.25" customHeight="1" x14ac:dyDescent="0.35">
      <c r="A5" s="2036"/>
      <c r="B5" s="2047"/>
      <c r="C5" s="2048"/>
      <c r="D5" s="2095" t="s">
        <v>249</v>
      </c>
      <c r="E5" s="2096"/>
      <c r="F5" s="387" t="s">
        <v>77</v>
      </c>
      <c r="G5" s="387" t="s">
        <v>249</v>
      </c>
      <c r="H5" s="2042"/>
      <c r="I5" s="2042"/>
      <c r="O5" s="5">
        <f>O4/10000000</f>
        <v>-13.9760361</v>
      </c>
    </row>
    <row r="6" spans="1:17" ht="30" customHeight="1" x14ac:dyDescent="0.35">
      <c r="A6" s="372">
        <v>1</v>
      </c>
      <c r="B6" s="2049" t="s">
        <v>14</v>
      </c>
      <c r="C6" s="2049"/>
      <c r="D6" s="304" t="s">
        <v>221</v>
      </c>
      <c r="E6" s="305" t="s">
        <v>221</v>
      </c>
      <c r="F6" s="305">
        <f>F15+F16+F17</f>
        <v>75.43462679999999</v>
      </c>
      <c r="G6" s="305">
        <f>G15+G16+G17</f>
        <v>-7.921200000000006E-2</v>
      </c>
      <c r="H6" s="306" t="s">
        <v>221</v>
      </c>
      <c r="I6" s="306">
        <f>(G6-F6)/F6*100</f>
        <v>-100.10500747913822</v>
      </c>
    </row>
    <row r="7" spans="1:17" ht="26.25" customHeight="1" x14ac:dyDescent="0.35">
      <c r="A7" s="373">
        <v>2</v>
      </c>
      <c r="B7" s="2050" t="s">
        <v>71</v>
      </c>
      <c r="C7" s="2051"/>
      <c r="D7" s="307" t="s">
        <v>221</v>
      </c>
      <c r="E7" s="307" t="s">
        <v>221</v>
      </c>
      <c r="F7" s="307">
        <v>23.25</v>
      </c>
      <c r="G7" s="307">
        <v>9.7200000000000006</v>
      </c>
      <c r="H7" s="308" t="s">
        <v>221</v>
      </c>
      <c r="I7" s="308">
        <f>(G7-F7)/F7*100</f>
        <v>-58.193548387096769</v>
      </c>
    </row>
    <row r="8" spans="1:17" ht="32.25" customHeight="1" x14ac:dyDescent="0.35">
      <c r="A8" s="374">
        <v>3</v>
      </c>
      <c r="B8" s="2021" t="s">
        <v>22</v>
      </c>
      <c r="C8" s="2023"/>
      <c r="D8" s="364" t="s">
        <v>221</v>
      </c>
      <c r="E8" s="364" t="s">
        <v>221</v>
      </c>
      <c r="F8" s="364">
        <v>8.4700000000000006</v>
      </c>
      <c r="G8" s="364">
        <v>0.22</v>
      </c>
      <c r="H8" s="365" t="s">
        <v>221</v>
      </c>
      <c r="I8" s="365">
        <f>(G8-F8)/F8*100</f>
        <v>-97.402597402597394</v>
      </c>
    </row>
    <row r="9" spans="1:17" ht="34.5" customHeight="1" x14ac:dyDescent="0.35">
      <c r="A9" s="373">
        <v>4</v>
      </c>
      <c r="B9" s="2052" t="s">
        <v>220</v>
      </c>
      <c r="C9" s="2053"/>
      <c r="D9" s="307" t="s">
        <v>221</v>
      </c>
      <c r="E9" s="307" t="s">
        <v>221</v>
      </c>
      <c r="F9" s="307">
        <v>0.99</v>
      </c>
      <c r="G9" s="307">
        <v>0</v>
      </c>
      <c r="H9" s="308" t="s">
        <v>221</v>
      </c>
      <c r="I9" s="308">
        <f>(G9-F9)/F9*100</f>
        <v>-100</v>
      </c>
    </row>
    <row r="10" spans="1:17" ht="28.5" customHeight="1" x14ac:dyDescent="0.35">
      <c r="A10" s="374">
        <v>5</v>
      </c>
      <c r="B10" s="2054" t="s">
        <v>33</v>
      </c>
      <c r="C10" s="2055"/>
      <c r="D10" s="321" t="s">
        <v>221</v>
      </c>
      <c r="E10" s="321" t="s">
        <v>221</v>
      </c>
      <c r="F10" s="321">
        <f>SUM(F6:F9)</f>
        <v>108.14462679999998</v>
      </c>
      <c r="G10" s="321">
        <f>SUM(G6:G9)</f>
        <v>9.8607880000000012</v>
      </c>
      <c r="H10" s="322" t="s">
        <v>221</v>
      </c>
      <c r="I10" s="322">
        <f>(G10-F10)/F10*100</f>
        <v>-90.881851191519388</v>
      </c>
    </row>
    <row r="11" spans="1:17" ht="14.2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7" ht="36.75" customHeight="1" thickTop="1" thickBot="1" x14ac:dyDescent="0.5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6.5510000000000002</v>
      </c>
      <c r="G12" s="447">
        <f>G42+G43+G44</f>
        <v>-1.8717000000000011E-2</v>
      </c>
      <c r="H12" s="310" t="s">
        <v>221</v>
      </c>
      <c r="I12" s="311">
        <f>(G12-F12)/F12*100</f>
        <v>-100.28571210502213</v>
      </c>
      <c r="K12" s="5">
        <v>181190</v>
      </c>
      <c r="L12">
        <v>-199907</v>
      </c>
      <c r="M12" s="5">
        <f>K12+L12</f>
        <v>-18717</v>
      </c>
      <c r="N12" s="13">
        <f>M12/1000000</f>
        <v>-1.8717000000000001E-2</v>
      </c>
      <c r="O12">
        <v>-210016</v>
      </c>
      <c r="P12" s="5">
        <f>O12/1000000</f>
        <v>-0.21001600000000001</v>
      </c>
    </row>
    <row r="13" spans="1:17" ht="28.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L13" s="5">
        <f>L12/100000</f>
        <v>-1.9990699999999999</v>
      </c>
    </row>
    <row r="14" spans="1:17" ht="30.75" customHeight="1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  <c r="O14" s="5">
        <v>75.430000000000007</v>
      </c>
      <c r="P14" s="12">
        <f>F15+F17</f>
        <v>55.5946268</v>
      </c>
      <c r="Q14" s="12">
        <f>O14-P14</f>
        <v>19.835373200000006</v>
      </c>
    </row>
    <row r="15" spans="1:17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134">
        <v>1.63</v>
      </c>
      <c r="G15" s="264">
        <v>0</v>
      </c>
      <c r="H15" s="314" t="s">
        <v>221</v>
      </c>
      <c r="I15" s="314">
        <f>(G15-F15)/F15*100</f>
        <v>-100</v>
      </c>
    </row>
    <row r="16" spans="1:17" ht="15.4" x14ac:dyDescent="0.4">
      <c r="A16" s="2004"/>
      <c r="B16" s="2069" t="s">
        <v>15</v>
      </c>
      <c r="C16" s="320" t="s">
        <v>166</v>
      </c>
      <c r="D16" s="2064" t="s">
        <v>221</v>
      </c>
      <c r="E16" s="2065" t="s">
        <v>221</v>
      </c>
      <c r="F16" s="134">
        <v>19.84</v>
      </c>
      <c r="G16" s="134">
        <v>13.78</v>
      </c>
      <c r="H16" s="2027" t="s">
        <v>221</v>
      </c>
      <c r="I16" s="314">
        <f>(G16-F16)/F16*100</f>
        <v>-30.54435483870968</v>
      </c>
      <c r="M16" s="5">
        <v>13.41</v>
      </c>
    </row>
    <row r="17" spans="1:16" ht="15.75" x14ac:dyDescent="0.45">
      <c r="A17" s="2005"/>
      <c r="B17" s="2070"/>
      <c r="C17" s="320" t="s">
        <v>228</v>
      </c>
      <c r="D17" s="2064"/>
      <c r="E17" s="2066"/>
      <c r="F17" s="134">
        <v>53.964626799999998</v>
      </c>
      <c r="G17" s="134">
        <f>-138592120/10000000</f>
        <v>-13.859211999999999</v>
      </c>
      <c r="H17" s="2029"/>
      <c r="I17" s="314">
        <f>(G17-F17)/F17*100</f>
        <v>-125.68203065938744</v>
      </c>
      <c r="J17" s="386">
        <f>K17/10000000</f>
        <v>53.964626799999998</v>
      </c>
      <c r="K17" s="319">
        <v>539646268</v>
      </c>
      <c r="L17">
        <v>-140017586</v>
      </c>
      <c r="M17" s="5">
        <f>L17/10000000</f>
        <v>-14.0017586</v>
      </c>
    </row>
    <row r="18" spans="1:16" ht="27" customHeight="1" x14ac:dyDescent="0.35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  <c r="M18" s="5">
        <f>SUM(M16:M17)</f>
        <v>-0.59175860000000036</v>
      </c>
    </row>
    <row r="19" spans="1:16" ht="18.75" customHeight="1" x14ac:dyDescent="0.4">
      <c r="A19" s="2004"/>
      <c r="B19" s="2008" t="s">
        <v>230</v>
      </c>
      <c r="C19" s="2000" t="s">
        <v>231</v>
      </c>
      <c r="D19" s="2001"/>
      <c r="E19" s="2002"/>
      <c r="F19" s="315">
        <f>167717291/10000000</f>
        <v>16.771729100000002</v>
      </c>
      <c r="G19" s="315">
        <v>1.1399999999999999</v>
      </c>
      <c r="H19" s="316" t="s">
        <v>221</v>
      </c>
      <c r="I19" s="314">
        <f>(G19-F19)/F19*100</f>
        <v>-93.202847522739916</v>
      </c>
    </row>
    <row r="20" spans="1:16" ht="18.75" customHeight="1" x14ac:dyDescent="0.4">
      <c r="A20" s="2004"/>
      <c r="B20" s="2009"/>
      <c r="C20" s="2000" t="s">
        <v>232</v>
      </c>
      <c r="D20" s="2001"/>
      <c r="E20" s="2002"/>
      <c r="F20" s="315">
        <v>3.59</v>
      </c>
      <c r="G20" s="315">
        <v>7.51</v>
      </c>
      <c r="H20" s="316" t="s">
        <v>221</v>
      </c>
      <c r="I20" s="314">
        <f>(G20-F20)/F20*100</f>
        <v>109.19220055710306</v>
      </c>
    </row>
    <row r="21" spans="1:16" ht="18.75" customHeight="1" x14ac:dyDescent="0.4">
      <c r="A21" s="2004"/>
      <c r="B21" s="2009"/>
      <c r="C21" s="2000" t="s">
        <v>239</v>
      </c>
      <c r="D21" s="2001"/>
      <c r="E21" s="2002"/>
      <c r="F21" s="315">
        <v>0.89</v>
      </c>
      <c r="G21" s="315">
        <v>0</v>
      </c>
      <c r="H21" s="316" t="s">
        <v>221</v>
      </c>
      <c r="I21" s="314">
        <v>0</v>
      </c>
    </row>
    <row r="22" spans="1:16" ht="18.75" customHeight="1" x14ac:dyDescent="0.4">
      <c r="A22" s="2004"/>
      <c r="B22" s="2009"/>
      <c r="C22" s="2000" t="s">
        <v>233</v>
      </c>
      <c r="D22" s="2001"/>
      <c r="E22" s="2002"/>
      <c r="F22" s="315">
        <v>1.71</v>
      </c>
      <c r="G22" s="315">
        <v>1.07</v>
      </c>
      <c r="H22" s="316" t="s">
        <v>221</v>
      </c>
      <c r="I22" s="314">
        <f>(G22-F22)/F22*100</f>
        <v>-37.426900584795312</v>
      </c>
    </row>
    <row r="23" spans="1:16" ht="18.75" customHeight="1" x14ac:dyDescent="0.4">
      <c r="A23" s="2004"/>
      <c r="B23" s="2009"/>
      <c r="C23" s="2000" t="s">
        <v>234</v>
      </c>
      <c r="D23" s="2001"/>
      <c r="E23" s="2002"/>
      <c r="F23" s="315">
        <v>0.28999999999999998</v>
      </c>
      <c r="G23" s="315">
        <v>0</v>
      </c>
      <c r="H23" s="316" t="s">
        <v>221</v>
      </c>
      <c r="I23" s="314">
        <f>(G23-F23)/F23*100</f>
        <v>-100</v>
      </c>
    </row>
    <row r="24" spans="1:16" ht="18.75" customHeight="1" x14ac:dyDescent="0.4">
      <c r="A24" s="2004"/>
      <c r="B24" s="2009"/>
      <c r="C24" s="2000" t="s">
        <v>235</v>
      </c>
      <c r="D24" s="2001"/>
      <c r="E24" s="2002"/>
      <c r="F24" s="315">
        <v>0</v>
      </c>
      <c r="G24" s="315">
        <v>0</v>
      </c>
      <c r="H24" s="316"/>
      <c r="I24" s="314">
        <v>0</v>
      </c>
    </row>
    <row r="25" spans="1:16" ht="31.5" customHeight="1" x14ac:dyDescent="0.4">
      <c r="A25" s="2005"/>
      <c r="B25" s="2010"/>
      <c r="C25" s="2011" t="s">
        <v>236</v>
      </c>
      <c r="D25" s="2012"/>
      <c r="E25" s="2013"/>
      <c r="F25" s="315">
        <v>0</v>
      </c>
      <c r="G25" s="315">
        <v>0</v>
      </c>
      <c r="H25" s="316" t="s">
        <v>221</v>
      </c>
      <c r="I25" s="314">
        <v>0</v>
      </c>
    </row>
    <row r="26" spans="1:16" ht="24.75" customHeight="1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</row>
    <row r="27" spans="1:16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134">
        <v>2.0099999999999998</v>
      </c>
      <c r="G27" s="313">
        <v>0</v>
      </c>
      <c r="H27" s="314" t="s">
        <v>221</v>
      </c>
      <c r="I27" s="314">
        <f t="shared" ref="I27:I33" si="0">(G27-F27)/F27*100</f>
        <v>-100</v>
      </c>
    </row>
    <row r="28" spans="1:16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f>20115808/10000000</f>
        <v>2.0115807999999999</v>
      </c>
      <c r="G28" s="283">
        <f>692143/10000000</f>
        <v>6.9214300000000006E-2</v>
      </c>
      <c r="H28" s="314" t="s">
        <v>221</v>
      </c>
      <c r="I28" s="314">
        <f t="shared" si="0"/>
        <v>-96.559208558761341</v>
      </c>
    </row>
    <row r="29" spans="1:16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134">
        <f>1710636/10000000</f>
        <v>0.17106360000000001</v>
      </c>
      <c r="G29" s="134">
        <f>50/10000000</f>
        <v>5.0000000000000004E-6</v>
      </c>
      <c r="H29" s="314" t="s">
        <v>221</v>
      </c>
      <c r="I29" s="314">
        <f t="shared" si="0"/>
        <v>-99.997077110501593</v>
      </c>
    </row>
    <row r="30" spans="1:16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v>0.318</v>
      </c>
      <c r="G30" s="134">
        <v>0</v>
      </c>
      <c r="H30" s="316" t="s">
        <v>221</v>
      </c>
      <c r="I30" s="314">
        <f t="shared" si="0"/>
        <v>-100</v>
      </c>
    </row>
    <row r="31" spans="1:16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v>0.92</v>
      </c>
      <c r="G31" s="264">
        <v>0</v>
      </c>
      <c r="H31" s="316" t="s">
        <v>221</v>
      </c>
      <c r="I31" s="314">
        <f t="shared" si="0"/>
        <v>-100</v>
      </c>
    </row>
    <row r="32" spans="1:16" ht="16.5" customHeight="1" x14ac:dyDescent="0.45">
      <c r="A32" s="2015"/>
      <c r="B32" s="2017" t="s">
        <v>241</v>
      </c>
      <c r="C32" s="2030"/>
      <c r="D32" s="385" t="s">
        <v>221</v>
      </c>
      <c r="E32" s="394" t="s">
        <v>221</v>
      </c>
      <c r="F32" s="395">
        <v>3.03</v>
      </c>
      <c r="G32" s="388">
        <v>0.1480244</v>
      </c>
      <c r="H32" s="384" t="s">
        <v>221</v>
      </c>
      <c r="I32" s="396">
        <f t="shared" si="0"/>
        <v>-95.114706270627053</v>
      </c>
      <c r="K32" s="319">
        <f>L32/10000000</f>
        <v>0.1480244</v>
      </c>
      <c r="L32" s="319">
        <v>1480244</v>
      </c>
      <c r="O32" s="380">
        <v>3247525</v>
      </c>
      <c r="P32" s="5">
        <f>O32/10000000</f>
        <v>0.3247525</v>
      </c>
    </row>
    <row r="33" spans="1:16" ht="15.75" x14ac:dyDescent="0.45">
      <c r="A33" s="2016"/>
      <c r="B33" s="2006" t="s">
        <v>260</v>
      </c>
      <c r="C33" s="2019"/>
      <c r="D33" s="332" t="s">
        <v>221</v>
      </c>
      <c r="E33" s="308" t="s">
        <v>221</v>
      </c>
      <c r="F33" s="389">
        <v>7.5008000000000002E-3</v>
      </c>
      <c r="G33" s="397">
        <f>1500/10000000</f>
        <v>1.4999999999999999E-4</v>
      </c>
      <c r="H33" s="316" t="s">
        <v>221</v>
      </c>
      <c r="I33" s="396">
        <f t="shared" si="0"/>
        <v>-98.000213310580207</v>
      </c>
      <c r="K33" s="319"/>
      <c r="L33" s="319"/>
      <c r="O33" s="380"/>
    </row>
    <row r="34" spans="1:16" ht="15.75" customHeight="1" x14ac:dyDescent="0.35">
      <c r="A34" s="2014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  <c r="K34" s="5">
        <v>36078</v>
      </c>
    </row>
    <row r="35" spans="1:16" ht="15.4" x14ac:dyDescent="0.4">
      <c r="A35" s="2015"/>
      <c r="B35" s="2006" t="s">
        <v>27</v>
      </c>
      <c r="C35" s="2007"/>
      <c r="D35" s="331" t="s">
        <v>221</v>
      </c>
      <c r="E35" s="307">
        <v>0.20250000000000001</v>
      </c>
      <c r="F35" s="134">
        <v>0.48148649999999998</v>
      </c>
      <c r="G35" s="313">
        <v>0</v>
      </c>
      <c r="H35" s="314" t="s">
        <v>221</v>
      </c>
      <c r="I35" s="314">
        <f>(G35-F35)/F35*100</f>
        <v>-100</v>
      </c>
      <c r="K35" s="5">
        <v>11230</v>
      </c>
      <c r="M35" s="5">
        <v>36444604</v>
      </c>
      <c r="N35" s="5">
        <f>M35-M41</f>
        <v>36078</v>
      </c>
      <c r="O35" s="5">
        <f>1532725</f>
        <v>1532725</v>
      </c>
      <c r="P35" s="5">
        <f>O35-O40</f>
        <v>169883</v>
      </c>
    </row>
    <row r="36" spans="1:16" ht="15.4" x14ac:dyDescent="0.4">
      <c r="A36" s="2015"/>
      <c r="B36" s="2006" t="s">
        <v>28</v>
      </c>
      <c r="C36" s="2007"/>
      <c r="D36" s="333" t="s">
        <v>221</v>
      </c>
      <c r="E36" s="307" t="s">
        <v>221</v>
      </c>
      <c r="F36" s="134">
        <v>0.1900781</v>
      </c>
      <c r="G36" s="313">
        <v>0</v>
      </c>
      <c r="H36" s="314" t="s">
        <v>221</v>
      </c>
      <c r="I36" s="314">
        <f>(G36-F36)/F36*100</f>
        <v>-100</v>
      </c>
      <c r="K36" s="5">
        <v>2700</v>
      </c>
      <c r="M36" s="5">
        <f>1787714*2</f>
        <v>3575428</v>
      </c>
      <c r="N36" s="5">
        <f>N35/10000000</f>
        <v>3.6078E-3</v>
      </c>
      <c r="O36" s="5">
        <v>28188</v>
      </c>
      <c r="P36" s="5">
        <f>P35/10000000</f>
        <v>1.6988300000000001E-2</v>
      </c>
    </row>
    <row r="37" spans="1:16" ht="15.4" x14ac:dyDescent="0.4">
      <c r="A37" s="2015"/>
      <c r="B37" s="378" t="s">
        <v>224</v>
      </c>
      <c r="C37" s="379"/>
      <c r="D37" s="331" t="s">
        <v>221</v>
      </c>
      <c r="E37" s="307" t="s">
        <v>221</v>
      </c>
      <c r="F37" s="134">
        <v>0.31047809999999998</v>
      </c>
      <c r="G37" s="313">
        <v>0</v>
      </c>
      <c r="H37" s="314" t="s">
        <v>221</v>
      </c>
      <c r="I37" s="314">
        <f>(G37-F37)/F37*100</f>
        <v>-100</v>
      </c>
      <c r="K37" s="5">
        <v>25000</v>
      </c>
      <c r="M37" s="5">
        <v>3213050</v>
      </c>
      <c r="O37" s="5">
        <v>540765</v>
      </c>
    </row>
    <row r="38" spans="1:16" ht="15.4" x14ac:dyDescent="0.4">
      <c r="A38" s="2015"/>
      <c r="B38" s="2006" t="s">
        <v>64</v>
      </c>
      <c r="C38" s="2007"/>
      <c r="D38" s="332" t="s">
        <v>221</v>
      </c>
      <c r="E38" s="307" t="s">
        <v>221</v>
      </c>
      <c r="F38" s="313">
        <v>0</v>
      </c>
      <c r="G38" s="313">
        <v>0</v>
      </c>
      <c r="H38" s="314" t="s">
        <v>221</v>
      </c>
      <c r="I38" s="314">
        <v>0</v>
      </c>
      <c r="K38" s="5">
        <f>SUM(K34:K37)</f>
        <v>75008</v>
      </c>
      <c r="M38" s="5">
        <v>28394883</v>
      </c>
      <c r="O38" s="5">
        <v>18586</v>
      </c>
    </row>
    <row r="39" spans="1:16" ht="15.4" x14ac:dyDescent="0.4">
      <c r="A39" s="2015"/>
      <c r="B39" s="2006" t="s">
        <v>4</v>
      </c>
      <c r="C39" s="2007"/>
      <c r="D39" s="332" t="s">
        <v>221</v>
      </c>
      <c r="E39" s="307" t="s">
        <v>221</v>
      </c>
      <c r="F39" s="283">
        <f>114010/10000000</f>
        <v>1.1401E-2</v>
      </c>
      <c r="G39" s="393">
        <v>0</v>
      </c>
      <c r="H39" s="314" t="s">
        <v>221</v>
      </c>
      <c r="I39" s="314">
        <v>0</v>
      </c>
      <c r="K39" s="5">
        <f>K38/10000000</f>
        <v>7.5008000000000002E-3</v>
      </c>
      <c r="M39" s="5">
        <v>1178335</v>
      </c>
      <c r="O39" s="5">
        <v>775303</v>
      </c>
    </row>
    <row r="40" spans="1:16" ht="15.4" x14ac:dyDescent="0.4">
      <c r="A40" s="2016"/>
      <c r="B40" s="2006" t="s">
        <v>259</v>
      </c>
      <c r="C40" s="2019"/>
      <c r="D40" s="390" t="s">
        <v>221</v>
      </c>
      <c r="E40" s="391" t="s">
        <v>221</v>
      </c>
      <c r="F40" s="283">
        <v>1.6988300000000001E-2</v>
      </c>
      <c r="G40" s="392">
        <f>56525/10000000</f>
        <v>5.6525000000000004E-3</v>
      </c>
      <c r="H40" s="314"/>
      <c r="I40" s="314">
        <v>0</v>
      </c>
      <c r="M40" s="5">
        <v>46830</v>
      </c>
      <c r="O40" s="5">
        <f>SUM(O36:O39)</f>
        <v>1362842</v>
      </c>
    </row>
    <row r="41" spans="1:16" ht="15" x14ac:dyDescent="0.35">
      <c r="A41" s="2020"/>
      <c r="B41" s="2021" t="s">
        <v>252</v>
      </c>
      <c r="C41" s="2022"/>
      <c r="D41" s="2022"/>
      <c r="E41" s="2022"/>
      <c r="F41" s="2022"/>
      <c r="G41" s="2022"/>
      <c r="H41" s="2022"/>
      <c r="I41" s="2023"/>
      <c r="M41" s="5">
        <f>SUM(M36:M40)</f>
        <v>36408526</v>
      </c>
    </row>
    <row r="42" spans="1:16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315">
        <v>2.69</v>
      </c>
      <c r="G42" s="315">
        <v>0</v>
      </c>
      <c r="H42" s="314" t="s">
        <v>221</v>
      </c>
      <c r="I42" s="314">
        <v>0</v>
      </c>
      <c r="J42" s="5">
        <v>26.98</v>
      </c>
    </row>
    <row r="43" spans="1:16" ht="15.75" x14ac:dyDescent="0.45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313">
        <v>2.94</v>
      </c>
      <c r="G43" s="313">
        <f>181190/1000000</f>
        <v>0.18118999999999999</v>
      </c>
      <c r="H43" s="2027" t="s">
        <v>221</v>
      </c>
      <c r="I43" s="314">
        <v>0</v>
      </c>
      <c r="J43" s="5">
        <v>38.520000000000003</v>
      </c>
      <c r="L43">
        <v>-199907</v>
      </c>
    </row>
    <row r="44" spans="1:16" ht="15.4" x14ac:dyDescent="0.4">
      <c r="A44" s="2020"/>
      <c r="B44" s="2070"/>
      <c r="C44" s="320" t="s">
        <v>228</v>
      </c>
      <c r="D44" s="2068"/>
      <c r="E44" s="2066"/>
      <c r="F44" s="313">
        <v>0.92100000000000004</v>
      </c>
      <c r="G44" s="313">
        <f>-199907/1000000</f>
        <v>-0.199907</v>
      </c>
      <c r="H44" s="2029"/>
      <c r="I44" s="314">
        <v>0</v>
      </c>
      <c r="J44" s="5">
        <v>65.5</v>
      </c>
    </row>
    <row r="45" spans="1:16" ht="15" x14ac:dyDescent="0.35">
      <c r="A45" s="2020">
        <v>6</v>
      </c>
      <c r="B45" s="2021" t="s">
        <v>251</v>
      </c>
      <c r="C45" s="2022"/>
      <c r="D45" s="2022"/>
      <c r="E45" s="2022"/>
      <c r="F45" s="2022"/>
      <c r="G45" s="2022"/>
      <c r="H45" s="2022"/>
      <c r="I45" s="2023"/>
    </row>
    <row r="46" spans="1:16" ht="15.75" x14ac:dyDescent="0.45">
      <c r="A46" s="2020"/>
      <c r="B46" s="2006" t="s">
        <v>36</v>
      </c>
      <c r="C46" s="2007"/>
      <c r="D46" s="303" t="s">
        <v>221</v>
      </c>
      <c r="E46" s="2024" t="s">
        <v>221</v>
      </c>
      <c r="F46" s="313"/>
      <c r="G46" s="313"/>
      <c r="H46" s="2027" t="s">
        <v>221</v>
      </c>
      <c r="I46" s="314" t="e">
        <f>(G46-F46)/F46*100</f>
        <v>#DIV/0!</v>
      </c>
      <c r="J46">
        <v>921933</v>
      </c>
      <c r="M46" s="5">
        <v>181190</v>
      </c>
      <c r="N46" s="5">
        <f>M46/100000</f>
        <v>1.8119000000000001</v>
      </c>
    </row>
    <row r="47" spans="1:16" ht="15.4" x14ac:dyDescent="0.4">
      <c r="A47" s="2020"/>
      <c r="B47" s="2006" t="s">
        <v>37</v>
      </c>
      <c r="C47" s="2007"/>
      <c r="D47" s="303" t="s">
        <v>221</v>
      </c>
      <c r="E47" s="2025"/>
      <c r="F47" s="313"/>
      <c r="G47" s="313"/>
      <c r="H47" s="2028"/>
      <c r="I47" s="314" t="e">
        <f>(G47-F47)/F47*100</f>
        <v>#DIV/0!</v>
      </c>
      <c r="J47" s="5">
        <f>J46/100000</f>
        <v>9.2193299999999994</v>
      </c>
      <c r="M47" s="5">
        <v>-199907</v>
      </c>
      <c r="N47" s="5">
        <f>M47/100000</f>
        <v>-1.9990699999999999</v>
      </c>
    </row>
    <row r="48" spans="1:16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0</v>
      </c>
      <c r="G48" s="313">
        <f>SUM(G46:G47)</f>
        <v>0</v>
      </c>
      <c r="H48" s="2029"/>
      <c r="I48" s="314" t="e">
        <f>(G48-F48)/F48*100</f>
        <v>#DIV/0!</v>
      </c>
      <c r="J48" s="5">
        <f>J43-J47</f>
        <v>29.300670000000004</v>
      </c>
      <c r="M48" s="5">
        <f>SUM(M46:M47)</f>
        <v>-18717</v>
      </c>
    </row>
    <row r="49" spans="7:13" x14ac:dyDescent="0.35">
      <c r="M49" s="5">
        <f>M48/100000</f>
        <v>-0.18717</v>
      </c>
    </row>
    <row r="53" spans="7:13" x14ac:dyDescent="0.35">
      <c r="G53" s="5">
        <v>181190</v>
      </c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A41:A44"/>
    <mergeCell ref="B41:I41"/>
    <mergeCell ref="B42:C42"/>
    <mergeCell ref="B43:B44"/>
    <mergeCell ref="D43:D44"/>
    <mergeCell ref="E43:E44"/>
    <mergeCell ref="H43:H44"/>
    <mergeCell ref="A34:A40"/>
    <mergeCell ref="B40:C40"/>
    <mergeCell ref="B33:C33"/>
    <mergeCell ref="A26:A33"/>
    <mergeCell ref="B26:I26"/>
    <mergeCell ref="B27:C27"/>
    <mergeCell ref="B28:C28"/>
    <mergeCell ref="B29:C29"/>
    <mergeCell ref="B30:C30"/>
    <mergeCell ref="B31:C31"/>
    <mergeCell ref="B32:C32"/>
    <mergeCell ref="B34:I34"/>
    <mergeCell ref="B35:C35"/>
    <mergeCell ref="B36:C36"/>
    <mergeCell ref="B38:C38"/>
    <mergeCell ref="B39:C39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25" bottom="0.26" header="0.3" footer="0.3"/>
  <pageSetup paperSize="9" scale="84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I48"/>
  <sheetViews>
    <sheetView zoomScale="80" zoomScaleNormal="80" workbookViewId="0">
      <selection activeCell="F6" sqref="F6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14.73046875" style="5" customWidth="1"/>
    <col min="4" max="4" width="12.1328125" style="84" customWidth="1"/>
    <col min="5" max="5" width="13.3984375" style="35" customWidth="1"/>
    <col min="6" max="6" width="15" style="5" customWidth="1"/>
    <col min="7" max="7" width="16" style="5" customWidth="1"/>
    <col min="8" max="8" width="12.86328125" style="11" customWidth="1"/>
    <col min="9" max="9" width="13.86328125" style="82" customWidth="1"/>
    <col min="10" max="16384" width="9.1328125" style="5"/>
  </cols>
  <sheetData>
    <row r="1" spans="1:9" ht="23.25" customHeight="1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9" s="301" customFormat="1" ht="26.25" customHeight="1" thickBot="1" x14ac:dyDescent="0.5">
      <c r="A2" s="2092" t="s">
        <v>261</v>
      </c>
      <c r="B2" s="2093"/>
      <c r="C2" s="2093"/>
      <c r="D2" s="2093"/>
      <c r="E2" s="2093"/>
      <c r="F2" s="2093"/>
      <c r="G2" s="2093"/>
      <c r="H2" s="2093"/>
      <c r="I2" s="2094"/>
    </row>
    <row r="3" spans="1:9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9" s="35" customFormat="1" ht="29.25" customHeight="1" x14ac:dyDescent="0.45">
      <c r="A4" s="2035"/>
      <c r="B4" s="2047"/>
      <c r="C4" s="2048"/>
      <c r="D4" s="366" t="s">
        <v>9</v>
      </c>
      <c r="E4" s="383">
        <f>G4</f>
        <v>43952</v>
      </c>
      <c r="F4" s="382">
        <v>43586</v>
      </c>
      <c r="G4" s="382">
        <v>43952</v>
      </c>
      <c r="H4" s="2041" t="s">
        <v>12</v>
      </c>
      <c r="I4" s="2041" t="s">
        <v>13</v>
      </c>
    </row>
    <row r="5" spans="1:9" ht="23.25" customHeight="1" x14ac:dyDescent="0.35">
      <c r="A5" s="2036"/>
      <c r="B5" s="2047"/>
      <c r="C5" s="2048"/>
      <c r="D5" s="2095" t="s">
        <v>249</v>
      </c>
      <c r="E5" s="2096"/>
      <c r="F5" s="387" t="s">
        <v>77</v>
      </c>
      <c r="G5" s="387" t="s">
        <v>249</v>
      </c>
      <c r="H5" s="2042"/>
      <c r="I5" s="2042"/>
    </row>
    <row r="6" spans="1:9" ht="30" customHeight="1" x14ac:dyDescent="0.35">
      <c r="A6" s="372">
        <v>1</v>
      </c>
      <c r="B6" s="2049" t="s">
        <v>14</v>
      </c>
      <c r="C6" s="2049"/>
      <c r="D6" s="304" t="s">
        <v>221</v>
      </c>
      <c r="E6" s="305" t="s">
        <v>221</v>
      </c>
      <c r="F6" s="305">
        <f>'APRIL 2020'!F6+'MAY 2020'!F6</f>
        <v>150.77462679999999</v>
      </c>
      <c r="G6" s="305">
        <f>'APRIL 2020'!G6+'MAY 2020'!G6</f>
        <v>-14.156733600000001</v>
      </c>
      <c r="H6" s="306" t="s">
        <v>221</v>
      </c>
      <c r="I6" s="306">
        <f>(G6-F6)/F6*100</f>
        <v>-109.38933420062691</v>
      </c>
    </row>
    <row r="7" spans="1:9" ht="26.25" customHeight="1" x14ac:dyDescent="0.35">
      <c r="A7" s="373">
        <v>2</v>
      </c>
      <c r="B7" s="2050" t="s">
        <v>71</v>
      </c>
      <c r="C7" s="2051"/>
      <c r="D7" s="307" t="s">
        <v>221</v>
      </c>
      <c r="E7" s="307" t="s">
        <v>221</v>
      </c>
      <c r="F7" s="305">
        <f>'APRIL 2020'!F7+'MAY 2020'!F7</f>
        <v>33.61</v>
      </c>
      <c r="G7" s="305">
        <f>'APRIL 2020'!G7+'MAY 2020'!G7</f>
        <v>17.02</v>
      </c>
      <c r="H7" s="308" t="s">
        <v>221</v>
      </c>
      <c r="I7" s="308">
        <f>(G7-F7)/F7*100</f>
        <v>-49.36030943171675</v>
      </c>
    </row>
    <row r="8" spans="1:9" ht="32.25" customHeight="1" x14ac:dyDescent="0.35">
      <c r="A8" s="374">
        <v>3</v>
      </c>
      <c r="B8" s="2021" t="s">
        <v>22</v>
      </c>
      <c r="C8" s="2023"/>
      <c r="D8" s="364" t="s">
        <v>221</v>
      </c>
      <c r="E8" s="364" t="s">
        <v>221</v>
      </c>
      <c r="F8" s="305">
        <f>'APRIL 2020'!F8+'MAY 2020'!F8</f>
        <v>16.46</v>
      </c>
      <c r="G8" s="305">
        <f>'APRIL 2020'!G8+'MAY 2020'!G8</f>
        <v>0.55000000000000004</v>
      </c>
      <c r="H8" s="365" t="s">
        <v>221</v>
      </c>
      <c r="I8" s="365">
        <f>(G8-F8)/F8*100</f>
        <v>-96.658566221142166</v>
      </c>
    </row>
    <row r="9" spans="1:9" ht="34.5" customHeight="1" x14ac:dyDescent="0.35">
      <c r="A9" s="373">
        <v>4</v>
      </c>
      <c r="B9" s="2052" t="s">
        <v>220</v>
      </c>
      <c r="C9" s="2053"/>
      <c r="D9" s="307" t="s">
        <v>221</v>
      </c>
      <c r="E9" s="307" t="s">
        <v>221</v>
      </c>
      <c r="F9" s="305">
        <f>'APRIL 2020'!F9+'MAY 2020'!F9</f>
        <v>2.59</v>
      </c>
      <c r="G9" s="305">
        <f>'APRIL 2020'!G9+'MAY 2020'!G9</f>
        <v>0</v>
      </c>
      <c r="H9" s="308" t="s">
        <v>221</v>
      </c>
      <c r="I9" s="308">
        <f>(G9-F9)/F9*100</f>
        <v>-100</v>
      </c>
    </row>
    <row r="10" spans="1:9" ht="28.5" customHeight="1" x14ac:dyDescent="0.35">
      <c r="A10" s="374">
        <v>5</v>
      </c>
      <c r="B10" s="2054" t="s">
        <v>33</v>
      </c>
      <c r="C10" s="2055"/>
      <c r="D10" s="321" t="s">
        <v>221</v>
      </c>
      <c r="E10" s="321" t="s">
        <v>221</v>
      </c>
      <c r="F10" s="321">
        <f>SUM(F6:F9)</f>
        <v>203.43462679999999</v>
      </c>
      <c r="G10" s="321">
        <f>SUM(G6:G9)</f>
        <v>3.4132663999999986</v>
      </c>
      <c r="H10" s="322" t="s">
        <v>221</v>
      </c>
      <c r="I10" s="322">
        <f>(G10-F10)/F10*100</f>
        <v>-98.322180223843787</v>
      </c>
    </row>
    <row r="11" spans="1:9" ht="14.2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9" ht="36.75" customHeight="1" thickTop="1" thickBot="1" x14ac:dyDescent="0.4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309">
        <f>'APRIL 2020'!F12+'MAY 2020'!F12</f>
        <v>12.750999999999999</v>
      </c>
      <c r="G12" s="309">
        <f>'APRIL 2020'!G12+'MAY 2020'!G12</f>
        <v>-0.22873300000000002</v>
      </c>
      <c r="H12" s="310" t="s">
        <v>221</v>
      </c>
      <c r="I12" s="311">
        <f>(G12-F12)/F12*100</f>
        <v>-101.79384362010823</v>
      </c>
    </row>
    <row r="13" spans="1:9" ht="28.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9" ht="30.75" customHeight="1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</row>
    <row r="15" spans="1:9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134">
        <f>'APRIL 2020'!F15+'MAY 2020'!F15</f>
        <v>3.13</v>
      </c>
      <c r="G15" s="134">
        <f>'APRIL 2020'!G15+'MAY 2020'!G15</f>
        <v>0</v>
      </c>
      <c r="H15" s="314" t="s">
        <v>221</v>
      </c>
      <c r="I15" s="314">
        <f>(G15-F15)/F15*100</f>
        <v>-100</v>
      </c>
    </row>
    <row r="16" spans="1:9" ht="15.4" x14ac:dyDescent="0.4">
      <c r="A16" s="2004"/>
      <c r="B16" s="2069" t="s">
        <v>15</v>
      </c>
      <c r="C16" s="320" t="s">
        <v>166</v>
      </c>
      <c r="D16" s="2064" t="s">
        <v>221</v>
      </c>
      <c r="E16" s="2065" t="s">
        <v>221</v>
      </c>
      <c r="F16" s="134">
        <f>'APRIL 2020'!F16+'MAY 2020'!F16</f>
        <v>38.379999999999995</v>
      </c>
      <c r="G16" s="134">
        <f>'APRIL 2020'!G16+'MAY 2020'!G16</f>
        <v>13.78</v>
      </c>
      <c r="H16" s="2027" t="s">
        <v>221</v>
      </c>
      <c r="I16" s="314">
        <f>(G16-F16)/F16*100</f>
        <v>-64.095883272537762</v>
      </c>
    </row>
    <row r="17" spans="1:9" ht="15.4" x14ac:dyDescent="0.4">
      <c r="A17" s="2005"/>
      <c r="B17" s="2070"/>
      <c r="C17" s="320" t="s">
        <v>228</v>
      </c>
      <c r="D17" s="2064"/>
      <c r="E17" s="2066"/>
      <c r="F17" s="134">
        <f>'APRIL 2020'!F17+'MAY 2020'!F17</f>
        <v>109.2646268</v>
      </c>
      <c r="G17" s="134">
        <f>'APRIL 2020'!G17+'MAY 2020'!G17</f>
        <v>-27.9367336</v>
      </c>
      <c r="H17" s="2029"/>
      <c r="I17" s="314">
        <f>(G17-F17)/F17*100</f>
        <v>-125.56795773543061</v>
      </c>
    </row>
    <row r="18" spans="1:9" ht="15" x14ac:dyDescent="0.35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</row>
    <row r="19" spans="1:9" ht="15.4" x14ac:dyDescent="0.4">
      <c r="A19" s="2004"/>
      <c r="B19" s="2008" t="s">
        <v>230</v>
      </c>
      <c r="C19" s="2000" t="s">
        <v>231</v>
      </c>
      <c r="D19" s="2001"/>
      <c r="E19" s="2002"/>
      <c r="F19" s="134">
        <f>'APRIL 2020'!F19+'MAY 2020'!F19</f>
        <v>18.531729100000003</v>
      </c>
      <c r="G19" s="134">
        <f>'APRIL 2020'!G19+'MAY 2020'!G19</f>
        <v>1.95</v>
      </c>
      <c r="H19" s="316" t="s">
        <v>221</v>
      </c>
      <c r="I19" s="314">
        <f>(G19-F19)/F19*100</f>
        <v>-89.477506445958142</v>
      </c>
    </row>
    <row r="20" spans="1:9" ht="15.4" x14ac:dyDescent="0.4">
      <c r="A20" s="2004"/>
      <c r="B20" s="2009"/>
      <c r="C20" s="2000" t="s">
        <v>232</v>
      </c>
      <c r="D20" s="2001"/>
      <c r="E20" s="2002"/>
      <c r="F20" s="134">
        <f>'APRIL 2020'!F20+'MAY 2020'!F20</f>
        <v>10.54</v>
      </c>
      <c r="G20" s="134">
        <f>'APRIL 2020'!G20+'MAY 2020'!G20</f>
        <v>12.969999999999999</v>
      </c>
      <c r="H20" s="316" t="s">
        <v>221</v>
      </c>
      <c r="I20" s="314">
        <f>(G20-F20)/F20*100</f>
        <v>23.055028462998102</v>
      </c>
    </row>
    <row r="21" spans="1:9" ht="15.4" x14ac:dyDescent="0.4">
      <c r="A21" s="2004"/>
      <c r="B21" s="2009"/>
      <c r="C21" s="2000" t="s">
        <v>239</v>
      </c>
      <c r="D21" s="2001"/>
      <c r="E21" s="2002"/>
      <c r="F21" s="134">
        <f>'APRIL 2020'!F21+'MAY 2020'!F21</f>
        <v>1.42</v>
      </c>
      <c r="G21" s="134">
        <f>'APRIL 2020'!G21+'MAY 2020'!G21</f>
        <v>0</v>
      </c>
      <c r="H21" s="316" t="s">
        <v>221</v>
      </c>
      <c r="I21" s="314">
        <v>0</v>
      </c>
    </row>
    <row r="22" spans="1:9" ht="15.4" x14ac:dyDescent="0.4">
      <c r="A22" s="2004"/>
      <c r="B22" s="2009"/>
      <c r="C22" s="2000" t="s">
        <v>233</v>
      </c>
      <c r="D22" s="2001"/>
      <c r="E22" s="2002"/>
      <c r="F22" s="134">
        <f>'APRIL 2020'!F22+'MAY 2020'!F22</f>
        <v>2.66</v>
      </c>
      <c r="G22" s="134">
        <f>'APRIL 2020'!G22+'MAY 2020'!G22</f>
        <v>2.02</v>
      </c>
      <c r="H22" s="316" t="s">
        <v>221</v>
      </c>
      <c r="I22" s="314">
        <f>(G22-F22)/F22*100</f>
        <v>-24.060150375939855</v>
      </c>
    </row>
    <row r="23" spans="1:9" ht="15.4" x14ac:dyDescent="0.4">
      <c r="A23" s="2004"/>
      <c r="B23" s="2009"/>
      <c r="C23" s="2000" t="s">
        <v>234</v>
      </c>
      <c r="D23" s="2001"/>
      <c r="E23" s="2002"/>
      <c r="F23" s="134">
        <f>'APRIL 2020'!F23+'MAY 2020'!F23</f>
        <v>0.45999999999999996</v>
      </c>
      <c r="G23" s="134">
        <f>'APRIL 2020'!G23+'MAY 2020'!G23</f>
        <v>0.08</v>
      </c>
      <c r="H23" s="316" t="s">
        <v>221</v>
      </c>
      <c r="I23" s="314">
        <f>(G23-F23)/F23*100</f>
        <v>-82.608695652173907</v>
      </c>
    </row>
    <row r="24" spans="1:9" ht="15.4" x14ac:dyDescent="0.4">
      <c r="A24" s="2004"/>
      <c r="B24" s="2009"/>
      <c r="C24" s="2000" t="s">
        <v>235</v>
      </c>
      <c r="D24" s="2001"/>
      <c r="E24" s="2002"/>
      <c r="F24" s="134">
        <f>'APRIL 2020'!F24+'MAY 2020'!F24</f>
        <v>0</v>
      </c>
      <c r="G24" s="134">
        <f>'APRIL 2020'!G24+'MAY 2020'!G24</f>
        <v>0</v>
      </c>
      <c r="H24" s="316"/>
      <c r="I24" s="314">
        <v>0</v>
      </c>
    </row>
    <row r="25" spans="1:9" ht="15.4" x14ac:dyDescent="0.4">
      <c r="A25" s="2005"/>
      <c r="B25" s="2010"/>
      <c r="C25" s="2011" t="s">
        <v>236</v>
      </c>
      <c r="D25" s="2012"/>
      <c r="E25" s="2013"/>
      <c r="F25" s="134">
        <f>'APRIL 2020'!F25+'MAY 2020'!F25</f>
        <v>0</v>
      </c>
      <c r="G25" s="134">
        <f>'APRIL 2020'!G25+'MAY 2020'!G25</f>
        <v>0</v>
      </c>
      <c r="H25" s="316" t="s">
        <v>221</v>
      </c>
      <c r="I25" s="314">
        <v>0</v>
      </c>
    </row>
    <row r="26" spans="1:9" ht="15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</row>
    <row r="27" spans="1:9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134">
        <f>'APRIL 2020'!F27+'MAY 2020'!F27</f>
        <v>4.0804315999999998</v>
      </c>
      <c r="G27" s="134">
        <f>'APRIL 2020'!G27+'MAY 2020'!G27</f>
        <v>0</v>
      </c>
      <c r="H27" s="314" t="s">
        <v>221</v>
      </c>
      <c r="I27" s="314">
        <f t="shared" ref="I27:I33" si="0">(G27-F27)/F27*100</f>
        <v>-100</v>
      </c>
    </row>
    <row r="28" spans="1:9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f>'APRIL 2020'!F28+'MAY 2020'!F28</f>
        <v>4.0215807999999997</v>
      </c>
      <c r="G28" s="134">
        <f>'APRIL 2020'!G28+'MAY 2020'!G28</f>
        <v>8.0035700000000001E-2</v>
      </c>
      <c r="H28" s="314" t="s">
        <v>221</v>
      </c>
      <c r="I28" s="314">
        <f t="shared" si="0"/>
        <v>-98.009844785413733</v>
      </c>
    </row>
    <row r="29" spans="1:9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134">
        <f>'APRIL 2020'!F29+'MAY 2020'!F29</f>
        <v>0.35906360000000004</v>
      </c>
      <c r="G29" s="134">
        <f>'APRIL 2020'!G29+'MAY 2020'!G29</f>
        <v>5.0000000000000004E-6</v>
      </c>
      <c r="H29" s="314" t="s">
        <v>221</v>
      </c>
      <c r="I29" s="314">
        <f t="shared" si="0"/>
        <v>-99.998607489035379</v>
      </c>
    </row>
    <row r="30" spans="1:9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f>'APRIL 2020'!F30+'MAY 2020'!F30</f>
        <v>0.61179399999999995</v>
      </c>
      <c r="G30" s="134">
        <f>'APRIL 2020'!G30+'MAY 2020'!G30</f>
        <v>0</v>
      </c>
      <c r="H30" s="316" t="s">
        <v>221</v>
      </c>
      <c r="I30" s="314">
        <f t="shared" si="0"/>
        <v>-100</v>
      </c>
    </row>
    <row r="31" spans="1:9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f>'APRIL 2020'!F31+'MAY 2020'!F31</f>
        <v>1.4188000000000001</v>
      </c>
      <c r="G31" s="134">
        <f>'APRIL 2020'!G31+'MAY 2020'!G31</f>
        <v>0</v>
      </c>
      <c r="H31" s="316" t="s">
        <v>221</v>
      </c>
      <c r="I31" s="314">
        <f t="shared" si="0"/>
        <v>-100</v>
      </c>
    </row>
    <row r="32" spans="1:9" ht="15.4" x14ac:dyDescent="0.4">
      <c r="A32" s="2015"/>
      <c r="B32" s="2017" t="s">
        <v>241</v>
      </c>
      <c r="C32" s="2030"/>
      <c r="D32" s="385" t="s">
        <v>221</v>
      </c>
      <c r="E32" s="394" t="s">
        <v>221</v>
      </c>
      <c r="F32" s="134">
        <f>'APRIL 2020'!F32+'MAY 2020'!F32</f>
        <v>5.96</v>
      </c>
      <c r="G32" s="134">
        <f>'APRIL 2020'!G32+'MAY 2020'!G32</f>
        <v>0.46802440000000001</v>
      </c>
      <c r="H32" s="384" t="s">
        <v>221</v>
      </c>
      <c r="I32" s="396">
        <f t="shared" si="0"/>
        <v>-92.147241610738249</v>
      </c>
    </row>
    <row r="33" spans="1:9" ht="15.4" x14ac:dyDescent="0.4">
      <c r="A33" s="2016"/>
      <c r="B33" s="2006" t="s">
        <v>260</v>
      </c>
      <c r="C33" s="2019"/>
      <c r="D33" s="332" t="s">
        <v>221</v>
      </c>
      <c r="E33" s="308" t="s">
        <v>221</v>
      </c>
      <c r="F33" s="389">
        <v>7.5008000000000002E-3</v>
      </c>
      <c r="G33" s="397">
        <f>1500/10000000</f>
        <v>1.4999999999999999E-4</v>
      </c>
      <c r="H33" s="316" t="s">
        <v>221</v>
      </c>
      <c r="I33" s="396">
        <f t="shared" si="0"/>
        <v>-98.000213310580207</v>
      </c>
    </row>
    <row r="34" spans="1:9" ht="15" x14ac:dyDescent="0.35">
      <c r="A34" s="2014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</row>
    <row r="35" spans="1:9" ht="15.4" x14ac:dyDescent="0.4">
      <c r="A35" s="2015"/>
      <c r="B35" s="2006" t="s">
        <v>27</v>
      </c>
      <c r="C35" s="2007"/>
      <c r="D35" s="331" t="s">
        <v>221</v>
      </c>
      <c r="E35" s="307" t="s">
        <v>221</v>
      </c>
      <c r="F35" s="134">
        <f>'APRIL 2020'!F36+'MAY 2020'!F35</f>
        <v>1.3144864999999999</v>
      </c>
      <c r="G35" s="134">
        <f>'APRIL 2020'!G36+'MAY 2020'!G35</f>
        <v>0</v>
      </c>
      <c r="H35" s="314" t="s">
        <v>221</v>
      </c>
      <c r="I35" s="314">
        <f>(G35-F35)/F35*100</f>
        <v>-100</v>
      </c>
    </row>
    <row r="36" spans="1:9" ht="15.4" x14ac:dyDescent="0.4">
      <c r="A36" s="2015"/>
      <c r="B36" s="2006" t="s">
        <v>28</v>
      </c>
      <c r="C36" s="2007"/>
      <c r="D36" s="333" t="s">
        <v>221</v>
      </c>
      <c r="E36" s="307" t="s">
        <v>221</v>
      </c>
      <c r="F36" s="134">
        <f>'APRIL 2020'!F37+'MAY 2020'!F36</f>
        <v>0.37007809999999997</v>
      </c>
      <c r="G36" s="134">
        <f>'APRIL 2020'!G37+'MAY 2020'!G36</f>
        <v>0</v>
      </c>
      <c r="H36" s="314" t="s">
        <v>221</v>
      </c>
      <c r="I36" s="314">
        <f>(G36-F36)/F36*100</f>
        <v>-100</v>
      </c>
    </row>
    <row r="37" spans="1:9" ht="15.4" x14ac:dyDescent="0.4">
      <c r="A37" s="2015"/>
      <c r="B37" s="378" t="s">
        <v>224</v>
      </c>
      <c r="C37" s="379"/>
      <c r="D37" s="331" t="s">
        <v>221</v>
      </c>
      <c r="E37" s="307" t="s">
        <v>221</v>
      </c>
      <c r="F37" s="134">
        <f>'APRIL 2020'!F38+'MAY 2020'!F37</f>
        <v>0.31047809999999998</v>
      </c>
      <c r="G37" s="134">
        <f>'APRIL 2020'!G38+'MAY 2020'!G37</f>
        <v>0</v>
      </c>
      <c r="H37" s="314" t="s">
        <v>221</v>
      </c>
      <c r="I37" s="314">
        <f>(G37-F37)/F37*100</f>
        <v>-100</v>
      </c>
    </row>
    <row r="38" spans="1:9" ht="15.4" x14ac:dyDescent="0.4">
      <c r="A38" s="2015"/>
      <c r="B38" s="2006" t="s">
        <v>64</v>
      </c>
      <c r="C38" s="2007"/>
      <c r="D38" s="332" t="s">
        <v>221</v>
      </c>
      <c r="E38" s="307" t="s">
        <v>221</v>
      </c>
      <c r="F38" s="134">
        <f>'APRIL 2020'!F39+'MAY 2020'!F38</f>
        <v>0</v>
      </c>
      <c r="G38" s="134">
        <f>'APRIL 2020'!G39+'MAY 2020'!G38</f>
        <v>0</v>
      </c>
      <c r="H38" s="314" t="s">
        <v>221</v>
      </c>
      <c r="I38" s="314">
        <v>0</v>
      </c>
    </row>
    <row r="39" spans="1:9" ht="15.4" x14ac:dyDescent="0.4">
      <c r="A39" s="2015"/>
      <c r="B39" s="2006" t="s">
        <v>4</v>
      </c>
      <c r="C39" s="2007"/>
      <c r="D39" s="332" t="s">
        <v>221</v>
      </c>
      <c r="E39" s="307" t="s">
        <v>221</v>
      </c>
      <c r="F39" s="134">
        <f>'APRIL 2020'!F41+'MAY 2020'!F39</f>
        <v>1.1401E-2</v>
      </c>
      <c r="G39" s="134">
        <f>'APRIL 2020'!G41+'MAY 2020'!G39</f>
        <v>0</v>
      </c>
      <c r="H39" s="314" t="s">
        <v>221</v>
      </c>
      <c r="I39" s="314">
        <v>0</v>
      </c>
    </row>
    <row r="40" spans="1:9" ht="15.4" x14ac:dyDescent="0.4">
      <c r="A40" s="2016"/>
      <c r="B40" s="2006" t="s">
        <v>259</v>
      </c>
      <c r="C40" s="2019"/>
      <c r="D40" s="390" t="s">
        <v>221</v>
      </c>
      <c r="E40" s="391" t="s">
        <v>221</v>
      </c>
      <c r="F40" s="283">
        <v>1.6988300000000001E-2</v>
      </c>
      <c r="G40" s="392">
        <f>56525/10000000</f>
        <v>5.6525000000000004E-3</v>
      </c>
      <c r="H40" s="314"/>
      <c r="I40" s="314">
        <v>0</v>
      </c>
    </row>
    <row r="41" spans="1:9" ht="15" x14ac:dyDescent="0.35">
      <c r="A41" s="2020"/>
      <c r="B41" s="2021" t="s">
        <v>252</v>
      </c>
      <c r="C41" s="2022"/>
      <c r="D41" s="2022"/>
      <c r="E41" s="2022"/>
      <c r="F41" s="2022"/>
      <c r="G41" s="2022"/>
      <c r="H41" s="2022"/>
      <c r="I41" s="2023"/>
    </row>
    <row r="42" spans="1:9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134">
        <f>'APRIL 2020'!F42+'MAY 2020'!F42</f>
        <v>5.2799999999999994</v>
      </c>
      <c r="G42" s="134">
        <f>'APRIL 2020'!G42+'MAY 2020'!G42</f>
        <v>0</v>
      </c>
      <c r="H42" s="314" t="s">
        <v>221</v>
      </c>
      <c r="I42" s="314">
        <v>0</v>
      </c>
    </row>
    <row r="43" spans="1:9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134">
        <f>'APRIL 2020'!F43+'MAY 2020'!F43</f>
        <v>5.63</v>
      </c>
      <c r="G43" s="134">
        <f>'APRIL 2020'!G43+'MAY 2020'!G43</f>
        <v>0.18118999999999999</v>
      </c>
      <c r="H43" s="2027" t="s">
        <v>221</v>
      </c>
      <c r="I43" s="314">
        <v>0</v>
      </c>
    </row>
    <row r="44" spans="1:9" ht="15.4" x14ac:dyDescent="0.4">
      <c r="A44" s="2020"/>
      <c r="B44" s="2070"/>
      <c r="C44" s="320" t="s">
        <v>228</v>
      </c>
      <c r="D44" s="2068"/>
      <c r="E44" s="2066"/>
      <c r="F44" s="134">
        <f>'APRIL 2020'!F44+'MAY 2020'!F44</f>
        <v>1.8410000000000002</v>
      </c>
      <c r="G44" s="134">
        <f>'APRIL 2020'!G44+'MAY 2020'!G44</f>
        <v>-0.40992300000000004</v>
      </c>
      <c r="H44" s="2029"/>
      <c r="I44" s="314">
        <v>0</v>
      </c>
    </row>
    <row r="45" spans="1:9" ht="15" x14ac:dyDescent="0.35">
      <c r="A45" s="2020">
        <v>6</v>
      </c>
      <c r="B45" s="2021" t="s">
        <v>251</v>
      </c>
      <c r="C45" s="2022"/>
      <c r="D45" s="2022"/>
      <c r="E45" s="2022"/>
      <c r="F45" s="2022"/>
      <c r="G45" s="2022"/>
      <c r="H45" s="2022"/>
      <c r="I45" s="2023"/>
    </row>
    <row r="46" spans="1:9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/>
      <c r="G46" s="313"/>
      <c r="H46" s="2027" t="s">
        <v>221</v>
      </c>
      <c r="I46" s="314" t="e">
        <f>(G46-F46)/F46*100</f>
        <v>#DIV/0!</v>
      </c>
    </row>
    <row r="47" spans="1:9" ht="15.4" x14ac:dyDescent="0.4">
      <c r="A47" s="2020"/>
      <c r="B47" s="2006" t="s">
        <v>37</v>
      </c>
      <c r="C47" s="2007"/>
      <c r="D47" s="303" t="s">
        <v>221</v>
      </c>
      <c r="E47" s="2025"/>
      <c r="F47" s="313"/>
      <c r="G47" s="313"/>
      <c r="H47" s="2028"/>
      <c r="I47" s="314" t="e">
        <f>(G47-F47)/F47*100</f>
        <v>#DIV/0!</v>
      </c>
    </row>
    <row r="48" spans="1:9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0</v>
      </c>
      <c r="G48" s="313">
        <f>SUM(G46:G47)</f>
        <v>0</v>
      </c>
      <c r="H48" s="2029"/>
      <c r="I48" s="314" t="e">
        <f>(G48-F48)/F48*100</f>
        <v>#DIV/0!</v>
      </c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A41:A44"/>
    <mergeCell ref="B41:I41"/>
    <mergeCell ref="B42:C42"/>
    <mergeCell ref="B43:B44"/>
    <mergeCell ref="D43:D44"/>
    <mergeCell ref="E43:E44"/>
    <mergeCell ref="H43:H44"/>
    <mergeCell ref="A34:A40"/>
    <mergeCell ref="B34:I34"/>
    <mergeCell ref="B35:C35"/>
    <mergeCell ref="B36:C36"/>
    <mergeCell ref="B38:C38"/>
    <mergeCell ref="B39:C39"/>
    <mergeCell ref="B40:C40"/>
    <mergeCell ref="A26:A33"/>
    <mergeCell ref="B26:I26"/>
    <mergeCell ref="B27:C27"/>
    <mergeCell ref="B28:C28"/>
    <mergeCell ref="B29:C29"/>
    <mergeCell ref="B30:C30"/>
    <mergeCell ref="B31:C31"/>
    <mergeCell ref="B32:C32"/>
    <mergeCell ref="B33:C33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75" bottom="0.4" header="0.3" footer="0.3"/>
  <pageSetup paperSize="9" scale="6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P64"/>
  <sheetViews>
    <sheetView zoomScale="90" zoomScaleNormal="90" workbookViewId="0">
      <selection sqref="A1:I48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6" style="5" customWidth="1"/>
    <col min="4" max="4" width="8.3984375" style="84" customWidth="1"/>
    <col min="5" max="5" width="8.73046875" style="35" bestFit="1" customWidth="1"/>
    <col min="6" max="6" width="11" style="5" customWidth="1"/>
    <col min="7" max="7" width="12" style="5" customWidth="1"/>
    <col min="8" max="8" width="9.73046875" style="11" customWidth="1"/>
    <col min="9" max="9" width="11.86328125" style="82" customWidth="1"/>
    <col min="10" max="11" width="9.1328125" style="5"/>
    <col min="12" max="12" width="10" style="5" customWidth="1"/>
    <col min="13" max="13" width="10.1328125" style="5" customWidth="1"/>
    <col min="14" max="14" width="9.1328125" style="5"/>
    <col min="15" max="15" width="22.73046875" style="5" customWidth="1"/>
    <col min="16" max="16" width="9.265625" style="5" customWidth="1"/>
    <col min="17" max="16384" width="9.1328125" style="5"/>
  </cols>
  <sheetData>
    <row r="1" spans="1:16" ht="23.25" customHeight="1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ht="26.25" customHeight="1" thickBot="1" x14ac:dyDescent="0.5">
      <c r="A2" s="2092" t="s">
        <v>271</v>
      </c>
      <c r="B2" s="2093"/>
      <c r="C2" s="2093"/>
      <c r="D2" s="2093"/>
      <c r="E2" s="2093"/>
      <c r="F2" s="2093"/>
      <c r="G2" s="2093"/>
      <c r="H2" s="2093"/>
      <c r="I2" s="2094"/>
    </row>
    <row r="3" spans="1:1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6" s="35" customFormat="1" ht="29.25" customHeight="1" x14ac:dyDescent="0.45">
      <c r="A4" s="2035"/>
      <c r="B4" s="2047"/>
      <c r="C4" s="2048"/>
      <c r="D4" s="366" t="s">
        <v>9</v>
      </c>
      <c r="E4" s="383">
        <f>G4</f>
        <v>43983</v>
      </c>
      <c r="F4" s="383">
        <v>43617</v>
      </c>
      <c r="G4" s="383">
        <v>43983</v>
      </c>
      <c r="H4" s="2041" t="s">
        <v>12</v>
      </c>
      <c r="I4" s="2041" t="s">
        <v>13</v>
      </c>
      <c r="N4" s="380"/>
      <c r="O4" s="380">
        <v>-139760361</v>
      </c>
    </row>
    <row r="5" spans="1:16" ht="23.25" customHeight="1" x14ac:dyDescent="0.3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O5" s="5">
        <f>O4/10000000</f>
        <v>-13.9760361</v>
      </c>
    </row>
    <row r="6" spans="1:16" ht="30" customHeight="1" x14ac:dyDescent="0.35">
      <c r="A6" s="372">
        <v>1</v>
      </c>
      <c r="B6" s="2049" t="s">
        <v>14</v>
      </c>
      <c r="C6" s="2049"/>
      <c r="D6" s="304" t="s">
        <v>221</v>
      </c>
      <c r="E6" s="305" t="s">
        <v>221</v>
      </c>
      <c r="F6" s="305">
        <f>F15+F16+F17</f>
        <v>80.899999999999991</v>
      </c>
      <c r="G6" s="305">
        <f>G15+G16+G17</f>
        <v>-3.1394612999999998</v>
      </c>
      <c r="H6" s="306" t="s">
        <v>221</v>
      </c>
      <c r="I6" s="306">
        <f>(G6-F6)/F6*100</f>
        <v>-103.88066909765141</v>
      </c>
      <c r="K6" s="12">
        <f>G6+'MAY 2020'!G6+'APRIL 2020'!G6</f>
        <v>-17.2961949</v>
      </c>
    </row>
    <row r="7" spans="1:16" ht="26.25" customHeight="1" x14ac:dyDescent="0.35">
      <c r="A7" s="373">
        <v>2</v>
      </c>
      <c r="B7" s="2050" t="s">
        <v>71</v>
      </c>
      <c r="C7" s="2051"/>
      <c r="D7" s="307" t="s">
        <v>221</v>
      </c>
      <c r="E7" s="307" t="s">
        <v>221</v>
      </c>
      <c r="F7" s="307">
        <v>15.96</v>
      </c>
      <c r="G7" s="307">
        <v>14.88</v>
      </c>
      <c r="H7" s="308" t="s">
        <v>221</v>
      </c>
      <c r="I7" s="308">
        <f>(G7-F7)/F7*100</f>
        <v>-6.7669172932330826</v>
      </c>
      <c r="L7" s="5" t="s">
        <v>203</v>
      </c>
      <c r="M7" s="172">
        <f>129802/10000000</f>
        <v>1.2980200000000001E-2</v>
      </c>
    </row>
    <row r="8" spans="1:16" ht="32.25" customHeight="1" x14ac:dyDescent="0.35">
      <c r="A8" s="374">
        <v>3</v>
      </c>
      <c r="B8" s="2021" t="s">
        <v>22</v>
      </c>
      <c r="C8" s="2023"/>
      <c r="D8" s="364" t="s">
        <v>221</v>
      </c>
      <c r="E8" s="364" t="s">
        <v>221</v>
      </c>
      <c r="F8" s="364">
        <v>6.47</v>
      </c>
      <c r="G8" s="364">
        <v>0.93</v>
      </c>
      <c r="H8" s="365" t="s">
        <v>221</v>
      </c>
      <c r="I8" s="365">
        <f>(G8-F8)/F8*100</f>
        <v>-85.625965996908818</v>
      </c>
      <c r="L8" s="5">
        <v>0.46</v>
      </c>
      <c r="M8" s="5">
        <f>2320</f>
        <v>2320</v>
      </c>
      <c r="N8" s="5">
        <v>4643517</v>
      </c>
      <c r="O8" s="5">
        <f>SUM(M8:N8)</f>
        <v>4645837</v>
      </c>
      <c r="P8" s="12">
        <f>O8/10000000</f>
        <v>0.46458369999999999</v>
      </c>
    </row>
    <row r="9" spans="1:16" ht="34.5" customHeight="1" x14ac:dyDescent="0.35">
      <c r="A9" s="373">
        <v>4</v>
      </c>
      <c r="B9" s="2052" t="s">
        <v>220</v>
      </c>
      <c r="C9" s="2053"/>
      <c r="D9" s="307" t="s">
        <v>221</v>
      </c>
      <c r="E9" s="307" t="s">
        <v>221</v>
      </c>
      <c r="F9" s="307">
        <v>0.54</v>
      </c>
      <c r="G9" s="406">
        <v>4.6300000000000001E-2</v>
      </c>
      <c r="H9" s="308" t="s">
        <v>221</v>
      </c>
      <c r="I9" s="308">
        <f>(G9-F9)/F9*100</f>
        <v>-91.425925925925924</v>
      </c>
    </row>
    <row r="10" spans="1:16" ht="28.5" customHeight="1" x14ac:dyDescent="0.35">
      <c r="A10" s="374">
        <v>5</v>
      </c>
      <c r="B10" s="2054" t="s">
        <v>33</v>
      </c>
      <c r="C10" s="2055"/>
      <c r="D10" s="321" t="s">
        <v>221</v>
      </c>
      <c r="E10" s="321" t="s">
        <v>221</v>
      </c>
      <c r="F10" s="321">
        <f>SUM(F6:F9)</f>
        <v>103.86999999999999</v>
      </c>
      <c r="G10" s="321">
        <f>SUM(G6:G9)</f>
        <v>12.716838700000002</v>
      </c>
      <c r="H10" s="322" t="s">
        <v>221</v>
      </c>
      <c r="I10" s="322">
        <f>(G10-F10)/F10*100</f>
        <v>-87.75696668913065</v>
      </c>
    </row>
    <row r="11" spans="1:16" ht="14.2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6" ht="36.75" customHeight="1" thickTop="1" thickBot="1" x14ac:dyDescent="0.5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6.66</v>
      </c>
      <c r="G12" s="447">
        <f>G42+G43+G44</f>
        <v>-7.7810000000000004E-2</v>
      </c>
      <c r="H12" s="310" t="s">
        <v>221</v>
      </c>
      <c r="I12" s="311">
        <f>(G12-F12)/F12*100</f>
        <v>-101.16831831831831</v>
      </c>
      <c r="L12" s="5">
        <v>1168</v>
      </c>
      <c r="M12" s="5">
        <v>-78978</v>
      </c>
      <c r="N12" s="5" t="s">
        <v>164</v>
      </c>
      <c r="O12">
        <f>L12+M12</f>
        <v>-77810</v>
      </c>
      <c r="P12" s="13">
        <f>O12/1000000</f>
        <v>-7.7810000000000004E-2</v>
      </c>
    </row>
    <row r="13" spans="1:16" ht="18.7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M13" s="5">
        <f>M12/100000</f>
        <v>-0.78978000000000004</v>
      </c>
    </row>
    <row r="14" spans="1:16" ht="30.75" customHeight="1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</row>
    <row r="15" spans="1:16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315">
        <v>1.72</v>
      </c>
      <c r="G15" s="404">
        <v>0</v>
      </c>
      <c r="H15" s="314" t="s">
        <v>221</v>
      </c>
      <c r="I15" s="314">
        <v>0</v>
      </c>
    </row>
    <row r="16" spans="1:16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313">
        <v>17.38</v>
      </c>
      <c r="G16" s="404">
        <f>937850/10000000</f>
        <v>9.3784999999999993E-2</v>
      </c>
      <c r="H16" s="2027" t="s">
        <v>221</v>
      </c>
      <c r="I16" s="314">
        <v>0</v>
      </c>
    </row>
    <row r="17" spans="1:16" ht="15.4" x14ac:dyDescent="0.4">
      <c r="A17" s="2005"/>
      <c r="B17" s="2071"/>
      <c r="C17" s="320" t="s">
        <v>228</v>
      </c>
      <c r="D17" s="2064"/>
      <c r="E17" s="2066"/>
      <c r="F17" s="313">
        <v>61.8</v>
      </c>
      <c r="G17" s="313">
        <f>-32332463/10000000</f>
        <v>-3.2332462999999998</v>
      </c>
      <c r="H17" s="2029"/>
      <c r="I17" s="314">
        <f>(G17-F17)/F17*100</f>
        <v>-105.23179012944985</v>
      </c>
    </row>
    <row r="18" spans="1:16" ht="27" customHeight="1" x14ac:dyDescent="0.35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</row>
    <row r="19" spans="1:16" ht="18.75" customHeight="1" x14ac:dyDescent="0.4">
      <c r="A19" s="2004"/>
      <c r="B19" s="2008" t="s">
        <v>230</v>
      </c>
      <c r="C19" s="2000" t="s">
        <v>231</v>
      </c>
      <c r="D19" s="2001"/>
      <c r="E19" s="2002"/>
      <c r="F19" s="315">
        <v>4.38</v>
      </c>
      <c r="G19" s="315">
        <v>8.91</v>
      </c>
      <c r="H19" s="316" t="s">
        <v>221</v>
      </c>
      <c r="I19" s="314">
        <f>(G19-F19)/F19*100</f>
        <v>103.42465753424659</v>
      </c>
    </row>
    <row r="20" spans="1:16" ht="18.75" customHeight="1" x14ac:dyDescent="0.4">
      <c r="A20" s="2004"/>
      <c r="B20" s="2009"/>
      <c r="C20" s="2000" t="s">
        <v>232</v>
      </c>
      <c r="D20" s="2001"/>
      <c r="E20" s="2002"/>
      <c r="F20" s="315">
        <v>9.33</v>
      </c>
      <c r="G20" s="315">
        <v>4.4400000000000004</v>
      </c>
      <c r="H20" s="316" t="s">
        <v>221</v>
      </c>
      <c r="I20" s="314">
        <f>(G20-F20)/F20*100</f>
        <v>-52.411575562700961</v>
      </c>
    </row>
    <row r="21" spans="1:16" ht="18.75" customHeight="1" x14ac:dyDescent="0.4">
      <c r="A21" s="2004"/>
      <c r="B21" s="2009"/>
      <c r="C21" s="2000" t="s">
        <v>239</v>
      </c>
      <c r="D21" s="2001"/>
      <c r="E21" s="2002"/>
      <c r="F21" s="315">
        <v>0.33</v>
      </c>
      <c r="G21" s="315">
        <v>0.64</v>
      </c>
      <c r="H21" s="316" t="s">
        <v>221</v>
      </c>
      <c r="I21" s="314">
        <v>0</v>
      </c>
    </row>
    <row r="22" spans="1:16" ht="18.75" customHeight="1" x14ac:dyDescent="0.4">
      <c r="A22" s="2004"/>
      <c r="B22" s="2009"/>
      <c r="C22" s="2000" t="s">
        <v>233</v>
      </c>
      <c r="D22" s="2001"/>
      <c r="E22" s="2002"/>
      <c r="F22" s="315">
        <v>1.556</v>
      </c>
      <c r="G22" s="315">
        <v>0.89</v>
      </c>
      <c r="H22" s="316" t="s">
        <v>221</v>
      </c>
      <c r="I22" s="314">
        <f>(G22-F22)/F22*100</f>
        <v>-42.802056555269921</v>
      </c>
    </row>
    <row r="23" spans="1:16" ht="18.75" customHeight="1" x14ac:dyDescent="0.4">
      <c r="A23" s="2004"/>
      <c r="B23" s="2009"/>
      <c r="C23" s="2000" t="s">
        <v>234</v>
      </c>
      <c r="D23" s="2001"/>
      <c r="E23" s="2002"/>
      <c r="F23" s="315">
        <v>0.36</v>
      </c>
      <c r="G23" s="315">
        <v>0</v>
      </c>
      <c r="H23" s="316" t="s">
        <v>221</v>
      </c>
      <c r="I23" s="314">
        <f>(G23-F23)/F23*100</f>
        <v>-100</v>
      </c>
    </row>
    <row r="24" spans="1:16" ht="18.75" customHeight="1" x14ac:dyDescent="0.4">
      <c r="A24" s="2004"/>
      <c r="B24" s="2009"/>
      <c r="C24" s="2000" t="s">
        <v>235</v>
      </c>
      <c r="D24" s="2001"/>
      <c r="E24" s="2002"/>
      <c r="F24" s="315">
        <v>0</v>
      </c>
      <c r="G24" s="315">
        <v>0</v>
      </c>
      <c r="H24" s="316"/>
      <c r="I24" s="314">
        <v>0</v>
      </c>
      <c r="P24" s="5" t="s">
        <v>265</v>
      </c>
    </row>
    <row r="25" spans="1:16" ht="31.5" customHeight="1" x14ac:dyDescent="0.4">
      <c r="A25" s="2005"/>
      <c r="B25" s="2010"/>
      <c r="C25" s="2011" t="s">
        <v>236</v>
      </c>
      <c r="D25" s="2012"/>
      <c r="E25" s="2013"/>
      <c r="F25" s="315">
        <v>0</v>
      </c>
      <c r="G25" s="315">
        <v>0</v>
      </c>
      <c r="H25" s="316" t="s">
        <v>221</v>
      </c>
      <c r="I25" s="314">
        <v>0</v>
      </c>
    </row>
    <row r="26" spans="1:16" ht="24.75" customHeight="1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</row>
    <row r="27" spans="1:16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134">
        <v>1.3</v>
      </c>
      <c r="G27" s="313">
        <v>0</v>
      </c>
      <c r="H27" s="314" t="s">
        <v>221</v>
      </c>
      <c r="I27" s="314">
        <f t="shared" ref="I27:I33" si="0">(G27-F27)/F27*100</f>
        <v>-100</v>
      </c>
      <c r="L27" s="5">
        <v>23876641</v>
      </c>
      <c r="M27" s="5">
        <v>15888</v>
      </c>
    </row>
    <row r="28" spans="1:16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v>1.8556999999999999</v>
      </c>
      <c r="G28" s="313">
        <f>4593991/10000000</f>
        <v>0.4593991</v>
      </c>
      <c r="H28" s="314" t="s">
        <v>221</v>
      </c>
      <c r="I28" s="314">
        <f t="shared" si="0"/>
        <v>-75.243891792854441</v>
      </c>
      <c r="L28" s="5">
        <f>L27-M34</f>
        <v>18418</v>
      </c>
      <c r="M28" s="5">
        <v>1467371</v>
      </c>
    </row>
    <row r="29" spans="1:16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134">
        <v>0.1513921</v>
      </c>
      <c r="G29" s="405">
        <f>29224/10000000</f>
        <v>2.9223999999999999E-3</v>
      </c>
      <c r="H29" s="314" t="s">
        <v>221</v>
      </c>
      <c r="I29" s="314">
        <f t="shared" si="0"/>
        <v>-98.069648284157495</v>
      </c>
      <c r="M29" s="5">
        <v>2923510</v>
      </c>
    </row>
    <row r="30" spans="1:16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v>0.29235100000000003</v>
      </c>
      <c r="G30" s="313">
        <v>0</v>
      </c>
      <c r="H30" s="316" t="s">
        <v>221</v>
      </c>
      <c r="I30" s="314">
        <f t="shared" si="0"/>
        <v>-100</v>
      </c>
      <c r="M30" s="5">
        <v>17118533</v>
      </c>
    </row>
    <row r="31" spans="1:16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v>0.27944649999999999</v>
      </c>
      <c r="G31" s="315">
        <v>0</v>
      </c>
      <c r="H31" s="316" t="s">
        <v>221</v>
      </c>
      <c r="I31" s="314">
        <f t="shared" si="0"/>
        <v>-100</v>
      </c>
      <c r="M31" s="5">
        <v>858350</v>
      </c>
    </row>
    <row r="32" spans="1:16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134">
        <v>2.5945591000000001</v>
      </c>
      <c r="G32" s="134">
        <f>4643517/10000000</f>
        <v>0.46435169999999998</v>
      </c>
      <c r="H32" s="316" t="s">
        <v>221</v>
      </c>
      <c r="I32" s="314">
        <f t="shared" si="0"/>
        <v>-82.10286672598825</v>
      </c>
      <c r="M32" s="5">
        <v>1467371</v>
      </c>
      <c r="O32" s="380">
        <v>3247525</v>
      </c>
      <c r="P32" s="5">
        <f>O32/10000000</f>
        <v>0.3247525</v>
      </c>
    </row>
    <row r="33" spans="1:15" x14ac:dyDescent="0.45">
      <c r="A33" s="403"/>
      <c r="B33" s="402" t="s">
        <v>266</v>
      </c>
      <c r="C33" s="409"/>
      <c r="D33" s="332"/>
      <c r="E33" s="308"/>
      <c r="F33" s="283">
        <f>18418/10000000</f>
        <v>1.8418E-3</v>
      </c>
      <c r="G33" s="134">
        <v>0</v>
      </c>
      <c r="H33" s="316"/>
      <c r="I33" s="314">
        <f t="shared" si="0"/>
        <v>-100</v>
      </c>
      <c r="M33" s="5">
        <v>7200</v>
      </c>
      <c r="O33" s="380"/>
    </row>
    <row r="34" spans="1:15" ht="15" x14ac:dyDescent="0.4">
      <c r="A34" s="2020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  <c r="M34" s="26">
        <f>SUM(M27:M33)</f>
        <v>23858223</v>
      </c>
    </row>
    <row r="35" spans="1:15" ht="15.4" x14ac:dyDescent="0.4">
      <c r="A35" s="2020"/>
      <c r="B35" s="2006" t="s">
        <v>27</v>
      </c>
      <c r="C35" s="2007"/>
      <c r="D35" s="331" t="s">
        <v>221</v>
      </c>
      <c r="E35" s="307">
        <v>0.20250000000000001</v>
      </c>
      <c r="F35" s="134">
        <v>0.33443889999999998</v>
      </c>
      <c r="G35" s="405">
        <f>60000/10000000</f>
        <v>6.0000000000000001E-3</v>
      </c>
      <c r="H35" s="314" t="s">
        <v>221</v>
      </c>
      <c r="I35" s="314">
        <f>(G35-F35)/F35*100</f>
        <v>-98.205950324558529</v>
      </c>
      <c r="L35" s="5">
        <v>833232</v>
      </c>
      <c r="M35" s="5">
        <v>153494</v>
      </c>
      <c r="N35" s="5">
        <f>L35-M39</f>
        <v>103967</v>
      </c>
    </row>
    <row r="36" spans="1:15" ht="15.4" x14ac:dyDescent="0.4">
      <c r="A36" s="2020"/>
      <c r="B36" s="2006" t="s">
        <v>28</v>
      </c>
      <c r="C36" s="2007"/>
      <c r="D36" s="333" t="s">
        <v>221</v>
      </c>
      <c r="E36" s="307" t="s">
        <v>221</v>
      </c>
      <c r="F36" s="134">
        <v>0.15784870000000001</v>
      </c>
      <c r="G36" s="313">
        <v>0</v>
      </c>
      <c r="H36" s="314" t="s">
        <v>221</v>
      </c>
      <c r="I36" s="314">
        <f>(G36-F36)/F36*100</f>
        <v>-100</v>
      </c>
      <c r="M36" s="5">
        <v>330501</v>
      </c>
    </row>
    <row r="37" spans="1:15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313">
        <v>4.1713600000000003E-2</v>
      </c>
      <c r="G37" s="313">
        <f>272711/10000000</f>
        <v>2.72711E-2</v>
      </c>
      <c r="H37" s="314" t="s">
        <v>221</v>
      </c>
      <c r="I37" s="314">
        <f>(G37-F37)/F37*100</f>
        <v>-34.623000652065521</v>
      </c>
      <c r="M37" s="5">
        <v>15915</v>
      </c>
    </row>
    <row r="38" spans="1:15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313">
        <v>0</v>
      </c>
      <c r="G38" s="313">
        <v>0</v>
      </c>
      <c r="H38" s="314" t="s">
        <v>221</v>
      </c>
      <c r="I38" s="314">
        <v>0</v>
      </c>
      <c r="M38" s="5">
        <v>229355</v>
      </c>
    </row>
    <row r="39" spans="1:15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313">
        <v>0</v>
      </c>
      <c r="G39" s="313">
        <v>0</v>
      </c>
      <c r="H39" s="314" t="s">
        <v>221</v>
      </c>
      <c r="I39" s="314">
        <v>0</v>
      </c>
      <c r="M39" s="5">
        <f>SUM(M35:M38)</f>
        <v>729265</v>
      </c>
    </row>
    <row r="40" spans="1:15" x14ac:dyDescent="0.4">
      <c r="A40" s="373"/>
      <c r="B40" s="2006" t="s">
        <v>259</v>
      </c>
      <c r="C40" s="2019"/>
      <c r="D40" s="332"/>
      <c r="E40" s="307"/>
      <c r="F40" s="313">
        <f>103967/10000000</f>
        <v>1.03967E-2</v>
      </c>
      <c r="G40" s="313">
        <f>129802/10000000</f>
        <v>1.2980200000000001E-2</v>
      </c>
      <c r="H40" s="314"/>
      <c r="I40" s="314">
        <v>0</v>
      </c>
    </row>
    <row r="41" spans="1:15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</row>
    <row r="42" spans="1:15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315">
        <v>2.93</v>
      </c>
      <c r="G42" s="315">
        <v>0</v>
      </c>
      <c r="H42" s="314" t="s">
        <v>221</v>
      </c>
      <c r="I42" s="314">
        <v>0</v>
      </c>
    </row>
    <row r="43" spans="1:15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313">
        <v>2.74</v>
      </c>
      <c r="G43" s="405">
        <f>1168/1000000</f>
        <v>1.168E-3</v>
      </c>
      <c r="H43" s="2027" t="s">
        <v>221</v>
      </c>
      <c r="I43" s="314">
        <v>0</v>
      </c>
    </row>
    <row r="44" spans="1:15" ht="15.4" x14ac:dyDescent="0.4">
      <c r="A44" s="2020"/>
      <c r="B44" s="2070"/>
      <c r="C44" s="320" t="s">
        <v>228</v>
      </c>
      <c r="D44" s="2068"/>
      <c r="E44" s="2066"/>
      <c r="F44" s="313">
        <v>0.99</v>
      </c>
      <c r="G44" s="381">
        <f>-78978/1000000</f>
        <v>-7.8978000000000007E-2</v>
      </c>
      <c r="H44" s="2029"/>
      <c r="I44" s="314">
        <v>0</v>
      </c>
      <c r="M44" s="5">
        <v>1168</v>
      </c>
    </row>
    <row r="45" spans="1:15" ht="15" x14ac:dyDescent="0.35">
      <c r="A45" s="2020">
        <v>6</v>
      </c>
      <c r="B45" s="2021" t="s">
        <v>270</v>
      </c>
      <c r="C45" s="2022"/>
      <c r="D45" s="2022"/>
      <c r="E45" s="2022"/>
      <c r="F45" s="2022"/>
      <c r="G45" s="2022"/>
      <c r="H45" s="2022"/>
      <c r="I45" s="2023"/>
      <c r="M45" s="5">
        <v>-78978</v>
      </c>
    </row>
    <row r="46" spans="1:15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2"/>
      <c r="G46" s="312"/>
      <c r="H46" s="2027" t="s">
        <v>221</v>
      </c>
      <c r="I46" s="314" t="e">
        <f>(G46-F46)/F46*100</f>
        <v>#DIV/0!</v>
      </c>
      <c r="M46" s="5">
        <f>SUM(M44:M45)</f>
        <v>-77810</v>
      </c>
    </row>
    <row r="47" spans="1:15" ht="15.4" x14ac:dyDescent="0.4">
      <c r="A47" s="2020"/>
      <c r="B47" s="2006" t="s">
        <v>37</v>
      </c>
      <c r="C47" s="2007"/>
      <c r="D47" s="303" t="s">
        <v>221</v>
      </c>
      <c r="E47" s="2025"/>
      <c r="F47" s="312"/>
      <c r="G47" s="312"/>
      <c r="H47" s="2028"/>
      <c r="I47" s="314" t="e">
        <f>(G47-F47)/F47*100</f>
        <v>#DIV/0!</v>
      </c>
      <c r="M47" s="5">
        <f>M46/100000</f>
        <v>-0.77810000000000001</v>
      </c>
    </row>
    <row r="48" spans="1:15" ht="15.4" x14ac:dyDescent="0.4">
      <c r="A48" s="2020"/>
      <c r="B48" s="2006" t="s">
        <v>38</v>
      </c>
      <c r="C48" s="2007"/>
      <c r="D48" s="303" t="s">
        <v>221</v>
      </c>
      <c r="E48" s="2026"/>
      <c r="F48" s="312"/>
      <c r="G48" s="312"/>
      <c r="H48" s="2029"/>
      <c r="I48" s="314" t="e">
        <f>(G48-F48)/F48*100</f>
        <v>#DIV/0!</v>
      </c>
    </row>
    <row r="64" spans="8:8" s="5" customFormat="1" ht="13.5" x14ac:dyDescent="0.35">
      <c r="H64" s="11">
        <f>60000/100000</f>
        <v>0.6</v>
      </c>
    </row>
  </sheetData>
  <mergeCells count="64">
    <mergeCell ref="B40:C40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rintOptions horizontalCentered="1"/>
  <pageMargins left="0.2" right="0.19685039370078741" top="0.31496062992125984" bottom="0.19685039370078741" header="0.31496062992125984" footer="0.31496062992125984"/>
  <pageSetup scale="53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I54"/>
  <sheetViews>
    <sheetView topLeftCell="A25" zoomScale="80" zoomScaleNormal="80" workbookViewId="0">
      <selection activeCell="G52" sqref="G52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6" style="5" customWidth="1"/>
    <col min="4" max="4" width="9.1328125" style="84" customWidth="1"/>
    <col min="5" max="5" width="9.59765625" style="35" customWidth="1"/>
    <col min="6" max="6" width="15" style="5" customWidth="1"/>
    <col min="7" max="7" width="16" style="5" customWidth="1"/>
    <col min="8" max="8" width="11.1328125" style="11" customWidth="1"/>
    <col min="9" max="9" width="12" style="82" customWidth="1"/>
    <col min="10" max="16384" width="9.1328125" style="5"/>
  </cols>
  <sheetData>
    <row r="1" spans="1:9" ht="23.25" customHeight="1" x14ac:dyDescent="0.35">
      <c r="A1" s="2102" t="s">
        <v>5</v>
      </c>
      <c r="B1" s="2102"/>
      <c r="C1" s="2102"/>
      <c r="D1" s="2102"/>
      <c r="E1" s="2102"/>
      <c r="F1" s="2102"/>
      <c r="G1" s="2102"/>
      <c r="H1" s="2102"/>
      <c r="I1" s="2102"/>
    </row>
    <row r="2" spans="1:9" s="301" customFormat="1" ht="26.25" customHeight="1" thickBot="1" x14ac:dyDescent="0.5">
      <c r="A2" s="2092" t="s">
        <v>268</v>
      </c>
      <c r="B2" s="2093"/>
      <c r="C2" s="2093"/>
      <c r="D2" s="2093"/>
      <c r="E2" s="2093"/>
      <c r="F2" s="2093"/>
      <c r="G2" s="2093"/>
      <c r="H2" s="2093"/>
      <c r="I2" s="2094"/>
    </row>
    <row r="3" spans="1:9" ht="17.25" thickTop="1" x14ac:dyDescent="0.5">
      <c r="A3" s="2035" t="s">
        <v>144</v>
      </c>
      <c r="B3" s="2103" t="s">
        <v>7</v>
      </c>
      <c r="C3" s="2104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9" s="35" customFormat="1" ht="29.25" customHeight="1" x14ac:dyDescent="0.45">
      <c r="A4" s="2035"/>
      <c r="B4" s="2105"/>
      <c r="C4" s="2106"/>
      <c r="D4" s="421" t="s">
        <v>9</v>
      </c>
      <c r="E4" s="422">
        <f>G4</f>
        <v>43983</v>
      </c>
      <c r="F4" s="423">
        <v>43617</v>
      </c>
      <c r="G4" s="423">
        <v>43983</v>
      </c>
      <c r="H4" s="2111" t="s">
        <v>12</v>
      </c>
      <c r="I4" s="2111" t="s">
        <v>13</v>
      </c>
    </row>
    <row r="5" spans="1:9" ht="23.25" customHeight="1" x14ac:dyDescent="0.35">
      <c r="A5" s="2036"/>
      <c r="B5" s="2105"/>
      <c r="C5" s="2106"/>
      <c r="D5" s="2113" t="s">
        <v>249</v>
      </c>
      <c r="E5" s="2114"/>
      <c r="F5" s="424" t="s">
        <v>77</v>
      </c>
      <c r="G5" s="424" t="s">
        <v>249</v>
      </c>
      <c r="H5" s="2112"/>
      <c r="I5" s="2112"/>
    </row>
    <row r="6" spans="1:9" ht="30" customHeight="1" x14ac:dyDescent="0.35">
      <c r="A6" s="372">
        <v>1</v>
      </c>
      <c r="B6" s="2049" t="s">
        <v>14</v>
      </c>
      <c r="C6" s="2049"/>
      <c r="D6" s="304" t="s">
        <v>221</v>
      </c>
      <c r="E6" s="305" t="s">
        <v>221</v>
      </c>
      <c r="F6" s="305">
        <f>'UPTO MAY 2020'!F6+'JUNE-2020'!F6</f>
        <v>231.6746268</v>
      </c>
      <c r="G6" s="305">
        <f>'APRIL 2020'!G6+'MAY 2020'!G6+'JUNE-2020'!G6</f>
        <v>-17.2961949</v>
      </c>
      <c r="H6" s="306" t="s">
        <v>221</v>
      </c>
      <c r="I6" s="306">
        <f>(G6-F6)/F6*100</f>
        <v>-107.46572688554774</v>
      </c>
    </row>
    <row r="7" spans="1:9" ht="26.25" customHeight="1" x14ac:dyDescent="0.35">
      <c r="A7" s="373">
        <v>2</v>
      </c>
      <c r="B7" s="2050" t="s">
        <v>71</v>
      </c>
      <c r="C7" s="2051"/>
      <c r="D7" s="307" t="s">
        <v>221</v>
      </c>
      <c r="E7" s="307" t="s">
        <v>221</v>
      </c>
      <c r="F7" s="305">
        <f>'APRIL 2020'!F7+'MAY 2020'!F7+'JUNE-2020'!F7</f>
        <v>49.57</v>
      </c>
      <c r="G7" s="305">
        <f>'APRIL 2020'!G7+'MAY 2020'!G7+'JUNE-2020'!G7</f>
        <v>31.9</v>
      </c>
      <c r="H7" s="308" t="s">
        <v>221</v>
      </c>
      <c r="I7" s="308">
        <f>(G7-F7)/F7*100</f>
        <v>-35.646560419608633</v>
      </c>
    </row>
    <row r="8" spans="1:9" ht="32.25" customHeight="1" x14ac:dyDescent="0.35">
      <c r="A8" s="374">
        <v>3</v>
      </c>
      <c r="B8" s="2021" t="s">
        <v>22</v>
      </c>
      <c r="C8" s="2023"/>
      <c r="D8" s="364" t="s">
        <v>221</v>
      </c>
      <c r="E8" s="364" t="s">
        <v>221</v>
      </c>
      <c r="F8" s="305">
        <f>'APRIL 2020'!F8+'MAY 2020'!F8+'JUNE-2020'!F8</f>
        <v>22.93</v>
      </c>
      <c r="G8" s="305">
        <f>'APRIL 2020'!G8+'MAY 2020'!G8+'JUNE-2020'!G8</f>
        <v>1.48</v>
      </c>
      <c r="H8" s="365" t="s">
        <v>221</v>
      </c>
      <c r="I8" s="365">
        <f>(G8-F8)/F8*100</f>
        <v>-93.545573484518101</v>
      </c>
    </row>
    <row r="9" spans="1:9" ht="34.5" customHeight="1" x14ac:dyDescent="0.35">
      <c r="A9" s="373">
        <v>4</v>
      </c>
      <c r="B9" s="2052" t="s">
        <v>220</v>
      </c>
      <c r="C9" s="2053"/>
      <c r="D9" s="307" t="s">
        <v>221</v>
      </c>
      <c r="E9" s="307" t="s">
        <v>221</v>
      </c>
      <c r="F9" s="305">
        <f>'APRIL 2020'!F9+'MAY 2020'!F9+'JUNE-2020'!F9</f>
        <v>3.13</v>
      </c>
      <c r="G9" s="305">
        <f>'APRIL 2020'!G9+'MAY 2020'!G9+'JUNE-2020'!G9</f>
        <v>4.6300000000000001E-2</v>
      </c>
      <c r="H9" s="308" t="s">
        <v>221</v>
      </c>
      <c r="I9" s="308">
        <f>(G9-F9)/F9*100</f>
        <v>-98.520766773162933</v>
      </c>
    </row>
    <row r="10" spans="1:9" ht="28.5" customHeight="1" x14ac:dyDescent="0.35">
      <c r="A10" s="374">
        <v>5</v>
      </c>
      <c r="B10" s="2054" t="s">
        <v>33</v>
      </c>
      <c r="C10" s="2055"/>
      <c r="D10" s="321" t="s">
        <v>221</v>
      </c>
      <c r="E10" s="321" t="s">
        <v>221</v>
      </c>
      <c r="F10" s="321">
        <f>SUM(F6:F9)</f>
        <v>307.30462679999999</v>
      </c>
      <c r="G10" s="321">
        <f>SUM(G6:G9)</f>
        <v>16.130105099999998</v>
      </c>
      <c r="H10" s="322" t="s">
        <v>221</v>
      </c>
      <c r="I10" s="322">
        <f>(G10-F10)/F10*100</f>
        <v>-94.75110242629124</v>
      </c>
    </row>
    <row r="11" spans="1:9" ht="14.25" customHeight="1" thickBot="1" x14ac:dyDescent="0.4">
      <c r="A11" s="2099"/>
      <c r="B11" s="2100"/>
      <c r="C11" s="2100"/>
      <c r="D11" s="2100"/>
      <c r="E11" s="2100"/>
      <c r="F11" s="2100"/>
      <c r="G11" s="2100"/>
      <c r="H11" s="2100"/>
      <c r="I11" s="2101"/>
    </row>
    <row r="12" spans="1:9" ht="36.75" customHeight="1" thickTop="1" thickBot="1" x14ac:dyDescent="0.4">
      <c r="A12" s="375">
        <v>6.3</v>
      </c>
      <c r="B12" s="2115" t="s">
        <v>250</v>
      </c>
      <c r="C12" s="2115"/>
      <c r="D12" s="417" t="s">
        <v>221</v>
      </c>
      <c r="E12" s="418" t="s">
        <v>221</v>
      </c>
      <c r="F12" s="419">
        <f>'APRIL 2020'!F12+'MAY 2020'!F12+'JUNE-2020'!F12</f>
        <v>19.411000000000001</v>
      </c>
      <c r="G12" s="419">
        <f>'APRIL 2020'!G12+'MAY 2020'!G12+'JUNE-2020'!G12</f>
        <v>-0.30654300000000001</v>
      </c>
      <c r="H12" s="420" t="s">
        <v>221</v>
      </c>
      <c r="I12" s="420">
        <f>(G12-F12)/F12*100</f>
        <v>-101.57922312091084</v>
      </c>
    </row>
    <row r="13" spans="1:9" ht="28.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9" ht="30.75" customHeight="1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</row>
    <row r="15" spans="1:9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414">
        <f>'APRIL 2020'!F15+'MAY 2020'!F15+'JUNE-2020'!F15</f>
        <v>4.8499999999999996</v>
      </c>
      <c r="G15" s="414">
        <f>'APRIL 2020'!G15+'MAY 2020'!G15+'JUNE-2020'!G15</f>
        <v>0</v>
      </c>
      <c r="H15" s="314" t="s">
        <v>221</v>
      </c>
      <c r="I15" s="314">
        <f>(G15-F15)/F15*100</f>
        <v>-100</v>
      </c>
    </row>
    <row r="16" spans="1:9" ht="15.4" x14ac:dyDescent="0.4">
      <c r="A16" s="2004"/>
      <c r="B16" s="2069" t="s">
        <v>15</v>
      </c>
      <c r="C16" s="320" t="s">
        <v>166</v>
      </c>
      <c r="D16" s="2064" t="s">
        <v>221</v>
      </c>
      <c r="E16" s="2065" t="s">
        <v>221</v>
      </c>
      <c r="F16" s="414">
        <f>'APRIL 2020'!F16+'MAY 2020'!F16+'JUNE-2020'!F16</f>
        <v>55.759999999999991</v>
      </c>
      <c r="G16" s="414">
        <f>'APRIL 2020'!G16+'MAY 2020'!G16+'JUNE-2020'!G16</f>
        <v>13.873785</v>
      </c>
      <c r="H16" s="2027" t="s">
        <v>221</v>
      </c>
      <c r="I16" s="314">
        <f>(G16-F16)/F16*100</f>
        <v>-75.118750000000006</v>
      </c>
    </row>
    <row r="17" spans="1:9" ht="15.4" x14ac:dyDescent="0.4">
      <c r="A17" s="2005"/>
      <c r="B17" s="2070"/>
      <c r="C17" s="320" t="s">
        <v>228</v>
      </c>
      <c r="D17" s="2064"/>
      <c r="E17" s="2066"/>
      <c r="F17" s="414">
        <f>'APRIL 2020'!F17+'MAY 2020'!F17+'JUNE-2020'!F17</f>
        <v>171.06462679999998</v>
      </c>
      <c r="G17" s="414">
        <f>'APRIL 2020'!G17+'MAY 2020'!G17+'JUNE-2020'!G17</f>
        <v>-31.169979900000001</v>
      </c>
      <c r="H17" s="2029"/>
      <c r="I17" s="314">
        <f>(G17-F17)/F17*100</f>
        <v>-118.22117201146578</v>
      </c>
    </row>
    <row r="18" spans="1:9" ht="15" x14ac:dyDescent="0.35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</row>
    <row r="19" spans="1:9" ht="15.4" x14ac:dyDescent="0.4">
      <c r="A19" s="2004"/>
      <c r="B19" s="2008" t="s">
        <v>230</v>
      </c>
      <c r="C19" s="2000" t="s">
        <v>231</v>
      </c>
      <c r="D19" s="2001"/>
      <c r="E19" s="2002"/>
      <c r="F19" s="414">
        <f>'APRIL 2020'!F19+'MAY 2020'!F19+'JUNE-2020'!F19</f>
        <v>22.911729100000002</v>
      </c>
      <c r="G19" s="414">
        <f>'APRIL 2020'!G19+'MAY 2020'!G19+'JUNE-2020'!G19</f>
        <v>10.86</v>
      </c>
      <c r="H19" s="316" t="s">
        <v>221</v>
      </c>
      <c r="I19" s="314">
        <f>(G19-F19)/F19*100</f>
        <v>-52.600696557642181</v>
      </c>
    </row>
    <row r="20" spans="1:9" ht="15.4" x14ac:dyDescent="0.4">
      <c r="A20" s="2004"/>
      <c r="B20" s="2009"/>
      <c r="C20" s="2000" t="s">
        <v>232</v>
      </c>
      <c r="D20" s="2001"/>
      <c r="E20" s="2002"/>
      <c r="F20" s="414">
        <f>'APRIL 2020'!F20+'MAY 2020'!F20+'JUNE-2020'!F20</f>
        <v>19.869999999999997</v>
      </c>
      <c r="G20" s="414">
        <f>'APRIL 2020'!G20+'MAY 2020'!G20+'JUNE-2020'!G20</f>
        <v>17.41</v>
      </c>
      <c r="H20" s="316" t="s">
        <v>221</v>
      </c>
      <c r="I20" s="314">
        <f>(G20-F20)/F20*100</f>
        <v>-12.380473074987407</v>
      </c>
    </row>
    <row r="21" spans="1:9" ht="15.4" x14ac:dyDescent="0.4">
      <c r="A21" s="2004"/>
      <c r="B21" s="2009"/>
      <c r="C21" s="2000" t="s">
        <v>239</v>
      </c>
      <c r="D21" s="2001"/>
      <c r="E21" s="2002"/>
      <c r="F21" s="414">
        <f>'APRIL 2020'!F21+'MAY 2020'!F21+'JUNE-2020'!F21</f>
        <v>1.75</v>
      </c>
      <c r="G21" s="414">
        <f>'APRIL 2020'!G21+'MAY 2020'!G21+'JUNE-2020'!G21</f>
        <v>0.64</v>
      </c>
      <c r="H21" s="316" t="s">
        <v>221</v>
      </c>
      <c r="I21" s="314">
        <v>0</v>
      </c>
    </row>
    <row r="22" spans="1:9" ht="15.4" x14ac:dyDescent="0.4">
      <c r="A22" s="2004"/>
      <c r="B22" s="2009"/>
      <c r="C22" s="2000" t="s">
        <v>233</v>
      </c>
      <c r="D22" s="2001"/>
      <c r="E22" s="2002"/>
      <c r="F22" s="414">
        <f>'APRIL 2020'!F22+'MAY 2020'!F22+'JUNE-2020'!F22</f>
        <v>4.2160000000000002</v>
      </c>
      <c r="G22" s="414">
        <f>'APRIL 2020'!G22+'MAY 2020'!G22+'JUNE-2020'!G22</f>
        <v>2.91</v>
      </c>
      <c r="H22" s="316" t="s">
        <v>221</v>
      </c>
      <c r="I22" s="314">
        <f>(G22-F22)/F22*100</f>
        <v>-30.977229601518026</v>
      </c>
    </row>
    <row r="23" spans="1:9" ht="15.4" x14ac:dyDescent="0.4">
      <c r="A23" s="2004"/>
      <c r="B23" s="2009"/>
      <c r="C23" s="2000" t="s">
        <v>234</v>
      </c>
      <c r="D23" s="2001"/>
      <c r="E23" s="2002"/>
      <c r="F23" s="414">
        <f>'APRIL 2020'!F23+'MAY 2020'!F23+'JUNE-2020'!F23</f>
        <v>0.82</v>
      </c>
      <c r="G23" s="414">
        <f>'APRIL 2020'!G23+'MAY 2020'!G23+'JUNE-2020'!G23</f>
        <v>0.08</v>
      </c>
      <c r="H23" s="316" t="s">
        <v>221</v>
      </c>
      <c r="I23" s="314">
        <f>(G23-F23)/F23*100</f>
        <v>-90.243902439024396</v>
      </c>
    </row>
    <row r="24" spans="1:9" ht="15.4" x14ac:dyDescent="0.4">
      <c r="A24" s="2004"/>
      <c r="B24" s="2009"/>
      <c r="C24" s="2000" t="s">
        <v>235</v>
      </c>
      <c r="D24" s="2001"/>
      <c r="E24" s="2002"/>
      <c r="F24" s="414">
        <f>'APRIL 2020'!F24+'MAY 2020'!F24+'JUNE-2020'!F24</f>
        <v>0</v>
      </c>
      <c r="G24" s="414">
        <f>'APRIL 2020'!G24+'MAY 2020'!G24+'JUNE-2020'!G24</f>
        <v>0</v>
      </c>
      <c r="H24" s="316"/>
      <c r="I24" s="314">
        <v>0</v>
      </c>
    </row>
    <row r="25" spans="1:9" ht="15.4" x14ac:dyDescent="0.4">
      <c r="A25" s="2005"/>
      <c r="B25" s="2010"/>
      <c r="C25" s="2011" t="s">
        <v>236</v>
      </c>
      <c r="D25" s="2012"/>
      <c r="E25" s="2013"/>
      <c r="F25" s="414">
        <f>'APRIL 2020'!F25+'MAY 2020'!F25+'JUNE-2020'!F25</f>
        <v>0</v>
      </c>
      <c r="G25" s="414">
        <f>'APRIL 2020'!G25+'MAY 2020'!G25+'JUNE-2020'!G25</f>
        <v>0</v>
      </c>
      <c r="H25" s="316" t="s">
        <v>221</v>
      </c>
      <c r="I25" s="314">
        <v>0</v>
      </c>
    </row>
    <row r="26" spans="1:9" ht="15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</row>
    <row r="27" spans="1:9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414">
        <f>'APRIL 2020'!F27+'MAY 2020'!F27+'JUNE-2020'!F27</f>
        <v>5.3804315999999996</v>
      </c>
      <c r="G27" s="414">
        <f>'APRIL 2020'!G27+'MAY 2020'!G27+'JUNE-2020'!G27</f>
        <v>0</v>
      </c>
      <c r="H27" s="314" t="s">
        <v>221</v>
      </c>
      <c r="I27" s="314">
        <f t="shared" ref="I27:I33" si="0">(G27-F27)/F27*100</f>
        <v>-100</v>
      </c>
    </row>
    <row r="28" spans="1:9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414">
        <f>'APRIL 2020'!F28+'MAY 2020'!F28+'JUNE-2020'!F28</f>
        <v>5.8772807999999994</v>
      </c>
      <c r="G28" s="414">
        <f>'APRIL 2020'!G28+'MAY 2020'!G28+'JUNE-2020'!G28</f>
        <v>0.53943479999999999</v>
      </c>
      <c r="H28" s="314" t="s">
        <v>221</v>
      </c>
      <c r="I28" s="314">
        <f t="shared" si="0"/>
        <v>-90.8216942773944</v>
      </c>
    </row>
    <row r="29" spans="1:9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414">
        <f>'APRIL 2020'!F29+'MAY 2020'!F29+'JUNE-2020'!F29</f>
        <v>0.51045570000000007</v>
      </c>
      <c r="G29" s="416">
        <f>'APRIL 2020'!G29+'MAY 2020'!G29+'JUNE-2020'!G29</f>
        <v>2.9273999999999997E-3</v>
      </c>
      <c r="H29" s="314" t="s">
        <v>221</v>
      </c>
      <c r="I29" s="314">
        <f t="shared" si="0"/>
        <v>-99.426512428012842</v>
      </c>
    </row>
    <row r="30" spans="1:9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414">
        <f>'APRIL 2020'!F30+'MAY 2020'!F30+'JUNE-2020'!F30</f>
        <v>0.90414499999999998</v>
      </c>
      <c r="G30" s="414">
        <f>'APRIL 2020'!G30+'MAY 2020'!G30+'JUNE-2020'!G30</f>
        <v>0</v>
      </c>
      <c r="H30" s="316" t="s">
        <v>221</v>
      </c>
      <c r="I30" s="314">
        <f t="shared" si="0"/>
        <v>-100</v>
      </c>
    </row>
    <row r="31" spans="1:9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414">
        <f>'APRIL 2020'!F31+'MAY 2020'!F31+'JUNE-2020'!F31</f>
        <v>1.6982465</v>
      </c>
      <c r="G31" s="414">
        <f>'APRIL 2020'!G31+'MAY 2020'!G31+'JUNE-2020'!G31</f>
        <v>0</v>
      </c>
      <c r="H31" s="316" t="s">
        <v>221</v>
      </c>
      <c r="I31" s="314">
        <f t="shared" si="0"/>
        <v>-100</v>
      </c>
    </row>
    <row r="32" spans="1:9" ht="15.4" x14ac:dyDescent="0.4">
      <c r="A32" s="2015"/>
      <c r="B32" s="2017" t="s">
        <v>241</v>
      </c>
      <c r="C32" s="2030"/>
      <c r="D32" s="385" t="s">
        <v>221</v>
      </c>
      <c r="E32" s="394" t="s">
        <v>221</v>
      </c>
      <c r="F32" s="414">
        <f>'APRIL 2020'!F32+'MAY 2020'!F32+'JUNE-2020'!F32</f>
        <v>8.5545591000000005</v>
      </c>
      <c r="G32" s="414">
        <f>'APRIL 2020'!G32+'MAY 2020'!G32+'JUNE-2020'!G32</f>
        <v>0.93237609999999993</v>
      </c>
      <c r="H32" s="384" t="s">
        <v>221</v>
      </c>
      <c r="I32" s="396">
        <f t="shared" si="0"/>
        <v>-89.100828118657802</v>
      </c>
    </row>
    <row r="33" spans="1:9" ht="15.4" x14ac:dyDescent="0.4">
      <c r="A33" s="2016"/>
      <c r="B33" s="2006" t="s">
        <v>260</v>
      </c>
      <c r="C33" s="2019"/>
      <c r="D33" s="332" t="s">
        <v>221</v>
      </c>
      <c r="E33" s="308" t="s">
        <v>221</v>
      </c>
      <c r="F33" s="414">
        <f>'APRIL 2020'!F33+'MAY 2020'!F33+'JUNE-2020'!F33</f>
        <v>9.3425999999999995E-3</v>
      </c>
      <c r="G33" s="415">
        <f>'APRIL 2020'!G33+'MAY 2020'!G33+'JUNE-2020'!G33</f>
        <v>1.4999999999999999E-4</v>
      </c>
      <c r="H33" s="316" t="s">
        <v>221</v>
      </c>
      <c r="I33" s="396">
        <f t="shared" si="0"/>
        <v>-98.394451223428163</v>
      </c>
    </row>
    <row r="34" spans="1:9" ht="15" x14ac:dyDescent="0.35">
      <c r="A34" s="2014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</row>
    <row r="35" spans="1:9" ht="15.4" x14ac:dyDescent="0.4">
      <c r="A35" s="2015"/>
      <c r="B35" s="2006" t="s">
        <v>27</v>
      </c>
      <c r="C35" s="2007"/>
      <c r="D35" s="331" t="s">
        <v>221</v>
      </c>
      <c r="E35" s="307" t="s">
        <v>221</v>
      </c>
      <c r="F35" s="415">
        <f>'APRIL 2020'!F35+'MAY 2020'!F35+'JUNE-2020'!F35</f>
        <v>1.4059254000000001</v>
      </c>
      <c r="G35" s="415">
        <f>'APRIL 2020'!G35+'MAY 2020'!G35+'JUNE-2020'!G35</f>
        <v>6.0000000000000001E-3</v>
      </c>
      <c r="H35" s="314" t="s">
        <v>221</v>
      </c>
      <c r="I35" s="314">
        <f>(G35-F35)/F35*100</f>
        <v>-99.57323482455044</v>
      </c>
    </row>
    <row r="36" spans="1:9" ht="15.4" x14ac:dyDescent="0.4">
      <c r="A36" s="2015"/>
      <c r="B36" s="2006" t="s">
        <v>28</v>
      </c>
      <c r="C36" s="2007"/>
      <c r="D36" s="333" t="s">
        <v>221</v>
      </c>
      <c r="E36" s="307" t="s">
        <v>221</v>
      </c>
      <c r="F36" s="415">
        <f>'APRIL 2020'!F36+'MAY 2020'!F36+'JUNE-2020'!F36</f>
        <v>1.1809267999999999</v>
      </c>
      <c r="G36" s="415">
        <f>'APRIL 2020'!G36+'MAY 2020'!G36+'JUNE-2020'!G36</f>
        <v>0</v>
      </c>
      <c r="H36" s="314" t="s">
        <v>221</v>
      </c>
      <c r="I36" s="314">
        <f>(G36-F36)/F36*100</f>
        <v>-100</v>
      </c>
    </row>
    <row r="37" spans="1:9" ht="15.4" x14ac:dyDescent="0.4">
      <c r="A37" s="2015"/>
      <c r="B37" s="378" t="s">
        <v>224</v>
      </c>
      <c r="C37" s="379"/>
      <c r="D37" s="331" t="s">
        <v>221</v>
      </c>
      <c r="E37" s="307" t="s">
        <v>221</v>
      </c>
      <c r="F37" s="415">
        <f>'APRIL 2020'!F37+'MAY 2020'!F37+'JUNE-2020'!F37</f>
        <v>0.53219169999999993</v>
      </c>
      <c r="G37" s="415">
        <f>'APRIL 2020'!G37+'MAY 2020'!G37+'JUNE-2020'!G37</f>
        <v>2.72711E-2</v>
      </c>
      <c r="H37" s="314" t="s">
        <v>221</v>
      </c>
      <c r="I37" s="314">
        <f>(G37-F37)/F37*100</f>
        <v>-94.875699865292901</v>
      </c>
    </row>
    <row r="38" spans="1:9" ht="15.4" x14ac:dyDescent="0.4">
      <c r="A38" s="2015"/>
      <c r="B38" s="2006" t="s">
        <v>64</v>
      </c>
      <c r="C38" s="2007"/>
      <c r="D38" s="332" t="s">
        <v>221</v>
      </c>
      <c r="E38" s="307" t="s">
        <v>221</v>
      </c>
      <c r="F38" s="415">
        <f>'APRIL 2020'!F38+'MAY 2020'!F38+'JUNE-2020'!F38</f>
        <v>0</v>
      </c>
      <c r="G38" s="415">
        <f>'APRIL 2020'!G38+'MAY 2020'!G38+'JUNE-2020'!G38</f>
        <v>0</v>
      </c>
      <c r="H38" s="314" t="s">
        <v>221</v>
      </c>
      <c r="I38" s="314">
        <v>0</v>
      </c>
    </row>
    <row r="39" spans="1:9" ht="15.4" x14ac:dyDescent="0.4">
      <c r="A39" s="2015"/>
      <c r="B39" s="2006" t="s">
        <v>4</v>
      </c>
      <c r="C39" s="2007"/>
      <c r="D39" s="332" t="s">
        <v>221</v>
      </c>
      <c r="E39" s="307" t="s">
        <v>221</v>
      </c>
      <c r="F39" s="415">
        <f>'APRIL 2020'!F39+'MAY 2020'!F39+'JUNE-2020'!F39</f>
        <v>1.1401E-2</v>
      </c>
      <c r="G39" s="415">
        <f>'APRIL 2020'!G39+'MAY 2020'!G39+'JUNE-2020'!G39</f>
        <v>0</v>
      </c>
      <c r="H39" s="314" t="s">
        <v>221</v>
      </c>
      <c r="I39" s="314">
        <v>0</v>
      </c>
    </row>
    <row r="40" spans="1:9" ht="15.4" x14ac:dyDescent="0.4">
      <c r="A40" s="2016"/>
      <c r="B40" s="2006" t="s">
        <v>259</v>
      </c>
      <c r="C40" s="2019"/>
      <c r="D40" s="390" t="s">
        <v>221</v>
      </c>
      <c r="E40" s="391" t="s">
        <v>221</v>
      </c>
      <c r="F40" s="415">
        <f>'APRIL 2020'!F40+'MAY 2020'!F40+'JUNE-2020'!F40</f>
        <v>2.7385E-2</v>
      </c>
      <c r="G40" s="415">
        <f>'APRIL 2020'!G40+'MAY 2020'!G40+'JUNE-2020'!G40</f>
        <v>1.8632700000000002E-2</v>
      </c>
      <c r="H40" s="314"/>
      <c r="I40" s="314">
        <v>0</v>
      </c>
    </row>
    <row r="41" spans="1:9" ht="15" x14ac:dyDescent="0.35">
      <c r="A41" s="2020"/>
      <c r="B41" s="2021" t="s">
        <v>252</v>
      </c>
      <c r="C41" s="2022"/>
      <c r="D41" s="2022"/>
      <c r="E41" s="2022"/>
      <c r="F41" s="2022"/>
      <c r="G41" s="2022"/>
      <c r="H41" s="2022"/>
      <c r="I41" s="2023"/>
    </row>
    <row r="42" spans="1:9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414">
        <f>'APRIL 2020'!F42+'MAY 2020'!F42+'JUNE-2020'!F42</f>
        <v>8.2099999999999991</v>
      </c>
      <c r="G42" s="414">
        <f>'APRIL 2020'!G42+'MAY 2020'!G42+'JUNE-2020'!G42</f>
        <v>0</v>
      </c>
      <c r="H42" s="314" t="s">
        <v>221</v>
      </c>
      <c r="I42" s="314">
        <v>0</v>
      </c>
    </row>
    <row r="43" spans="1:9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414">
        <f>'APRIL 2020'!F43+'MAY 2020'!F43+'JUNE-2020'!F43</f>
        <v>8.370000000000001</v>
      </c>
      <c r="G43" s="414">
        <f>'APRIL 2020'!G43+'MAY 2020'!G43+'JUNE-2020'!G43</f>
        <v>0.18235799999999999</v>
      </c>
      <c r="H43" s="2027" t="s">
        <v>221</v>
      </c>
      <c r="I43" s="314">
        <v>0</v>
      </c>
    </row>
    <row r="44" spans="1:9" ht="15.4" x14ac:dyDescent="0.4">
      <c r="A44" s="2020"/>
      <c r="B44" s="2070"/>
      <c r="C44" s="320" t="s">
        <v>228</v>
      </c>
      <c r="D44" s="2068"/>
      <c r="E44" s="2066"/>
      <c r="F44" s="414">
        <f>'APRIL 2020'!F44+'MAY 2020'!F44+'JUNE-2020'!F44</f>
        <v>2.8310000000000004</v>
      </c>
      <c r="G44" s="414">
        <f>'APRIL 2020'!G44+'MAY 2020'!G44+'JUNE-2020'!G44</f>
        <v>-0.48890100000000003</v>
      </c>
      <c r="H44" s="2029"/>
      <c r="I44" s="314">
        <v>0</v>
      </c>
    </row>
    <row r="45" spans="1:9" ht="15" x14ac:dyDescent="0.35">
      <c r="A45" s="2020">
        <v>6</v>
      </c>
      <c r="B45" s="2021" t="s">
        <v>267</v>
      </c>
      <c r="C45" s="2022"/>
      <c r="D45" s="2022"/>
      <c r="E45" s="2022"/>
      <c r="F45" s="2022"/>
      <c r="G45" s="2022"/>
      <c r="H45" s="2022"/>
      <c r="I45" s="2023"/>
    </row>
    <row r="46" spans="1:9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/>
      <c r="G46" s="313"/>
      <c r="H46" s="2027" t="s">
        <v>221</v>
      </c>
      <c r="I46" s="314" t="e">
        <f>(G46-F46)/F46*100</f>
        <v>#DIV/0!</v>
      </c>
    </row>
    <row r="47" spans="1:9" ht="15.4" x14ac:dyDescent="0.4">
      <c r="A47" s="2020"/>
      <c r="B47" s="2006" t="s">
        <v>37</v>
      </c>
      <c r="C47" s="2007"/>
      <c r="D47" s="303" t="s">
        <v>221</v>
      </c>
      <c r="E47" s="2025"/>
      <c r="F47" s="313"/>
      <c r="G47" s="313"/>
      <c r="H47" s="2028"/>
      <c r="I47" s="314" t="e">
        <f>(G47-F47)/F47*100</f>
        <v>#DIV/0!</v>
      </c>
    </row>
    <row r="48" spans="1:9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0</v>
      </c>
      <c r="G48" s="313">
        <f>SUM(G46:G47)</f>
        <v>0</v>
      </c>
      <c r="H48" s="2029"/>
      <c r="I48" s="314" t="e">
        <f>(G48-F48)/F48*100</f>
        <v>#DIV/0!</v>
      </c>
    </row>
    <row r="52" spans="8:8" x14ac:dyDescent="0.35">
      <c r="H52" s="11">
        <v>0.31</v>
      </c>
    </row>
    <row r="53" spans="8:8" x14ac:dyDescent="0.35">
      <c r="H53" s="11">
        <f>H52*1000000</f>
        <v>310000</v>
      </c>
    </row>
    <row r="54" spans="8:8" x14ac:dyDescent="0.35">
      <c r="H54" s="11">
        <f>H53/100000</f>
        <v>3.1</v>
      </c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A41:A44"/>
    <mergeCell ref="B41:I41"/>
    <mergeCell ref="B42:C42"/>
    <mergeCell ref="B43:B44"/>
    <mergeCell ref="D43:D44"/>
    <mergeCell ref="E43:E44"/>
    <mergeCell ref="H43:H44"/>
    <mergeCell ref="A34:A40"/>
    <mergeCell ref="B34:I34"/>
    <mergeCell ref="B35:C35"/>
    <mergeCell ref="B36:C36"/>
    <mergeCell ref="B38:C38"/>
    <mergeCell ref="B39:C39"/>
    <mergeCell ref="B40:C40"/>
    <mergeCell ref="A26:A33"/>
    <mergeCell ref="B26:I26"/>
    <mergeCell ref="B27:C27"/>
    <mergeCell ref="B28:C28"/>
    <mergeCell ref="B29:C29"/>
    <mergeCell ref="B30:C30"/>
    <mergeCell ref="B31:C31"/>
    <mergeCell ref="B32:C32"/>
    <mergeCell ref="B33:C33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75" bottom="0.75" header="0.3" footer="0.3"/>
  <pageSetup paperSize="9" scale="73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W64"/>
  <sheetViews>
    <sheetView topLeftCell="A19" workbookViewId="0">
      <selection sqref="A1:I48"/>
    </sheetView>
  </sheetViews>
  <sheetFormatPr defaultColWidth="9.1328125" defaultRowHeight="16.899999999999999" x14ac:dyDescent="0.35"/>
  <cols>
    <col min="1" max="1" width="4.265625" style="376" customWidth="1"/>
    <col min="2" max="2" width="40.3984375" style="300" customWidth="1"/>
    <col min="3" max="3" width="7.265625" style="5" customWidth="1"/>
    <col min="4" max="4" width="8.3984375" style="84" customWidth="1"/>
    <col min="5" max="5" width="10.86328125" style="35" customWidth="1"/>
    <col min="6" max="6" width="11" style="5" customWidth="1"/>
    <col min="7" max="7" width="12" style="5" customWidth="1"/>
    <col min="8" max="8" width="8.59765625" style="11" customWidth="1"/>
    <col min="9" max="9" width="9.265625" style="82" customWidth="1"/>
    <col min="10" max="11" width="9.1328125" style="5"/>
    <col min="12" max="12" width="10" style="5" customWidth="1"/>
    <col min="13" max="13" width="10.1328125" style="5" customWidth="1"/>
    <col min="14" max="14" width="9.1328125" style="5"/>
    <col min="15" max="15" width="22.73046875" style="5" customWidth="1"/>
    <col min="16" max="16" width="9.265625" style="5" customWidth="1"/>
    <col min="17" max="16384" width="9.1328125" style="5"/>
  </cols>
  <sheetData>
    <row r="1" spans="1:16" ht="23.25" customHeight="1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ht="26.25" customHeight="1" thickBot="1" x14ac:dyDescent="0.5">
      <c r="A2" s="2092" t="s">
        <v>272</v>
      </c>
      <c r="B2" s="2093"/>
      <c r="C2" s="2093"/>
      <c r="D2" s="2093"/>
      <c r="E2" s="2093"/>
      <c r="F2" s="2093"/>
      <c r="G2" s="2093"/>
      <c r="H2" s="2093"/>
      <c r="I2" s="2094"/>
    </row>
    <row r="3" spans="1:1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6" s="35" customFormat="1" ht="29.25" customHeight="1" x14ac:dyDescent="0.45">
      <c r="A4" s="2035"/>
      <c r="B4" s="2047"/>
      <c r="C4" s="2048"/>
      <c r="D4" s="366" t="s">
        <v>9</v>
      </c>
      <c r="E4" s="383">
        <f>G4</f>
        <v>44013</v>
      </c>
      <c r="F4" s="383">
        <v>43647</v>
      </c>
      <c r="G4" s="383">
        <v>44013</v>
      </c>
      <c r="H4" s="2041" t="s">
        <v>12</v>
      </c>
      <c r="I4" s="2041" t="s">
        <v>13</v>
      </c>
      <c r="N4" s="380"/>
      <c r="O4" s="380">
        <v>-139760361</v>
      </c>
    </row>
    <row r="5" spans="1:16" ht="23.25" customHeight="1" x14ac:dyDescent="0.3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O5" s="5">
        <f>O4/10000000</f>
        <v>-13.9760361</v>
      </c>
    </row>
    <row r="6" spans="1:16" ht="30" customHeight="1" x14ac:dyDescent="0.35">
      <c r="A6" s="372">
        <v>1</v>
      </c>
      <c r="B6" s="2049" t="s">
        <v>14</v>
      </c>
      <c r="C6" s="2049"/>
      <c r="D6" s="304" t="s">
        <v>221</v>
      </c>
      <c r="E6" s="305" t="s">
        <v>221</v>
      </c>
      <c r="F6" s="305">
        <f>F15+F16+F17</f>
        <v>80.319999999999993</v>
      </c>
      <c r="G6" s="305">
        <f>G15+G16+G17</f>
        <v>5.7114256000000001</v>
      </c>
      <c r="H6" s="306" t="s">
        <v>221</v>
      </c>
      <c r="I6" s="306">
        <f>(G6-F6)/F6*100</f>
        <v>-92.889161354581674</v>
      </c>
      <c r="K6" s="12">
        <f>G6+'MAY 2020'!G6+'APRIL 2020'!G6</f>
        <v>-8.4453080000000007</v>
      </c>
    </row>
    <row r="7" spans="1:16" ht="26.25" customHeight="1" x14ac:dyDescent="0.35">
      <c r="A7" s="373">
        <v>2</v>
      </c>
      <c r="B7" s="2050" t="s">
        <v>71</v>
      </c>
      <c r="C7" s="2051"/>
      <c r="D7" s="307" t="s">
        <v>221</v>
      </c>
      <c r="E7" s="307" t="s">
        <v>221</v>
      </c>
      <c r="F7" s="307">
        <v>10.26</v>
      </c>
      <c r="G7" s="307">
        <v>5.7</v>
      </c>
      <c r="H7" s="308" t="s">
        <v>221</v>
      </c>
      <c r="I7" s="308">
        <f>(G7-F7)/F7*100</f>
        <v>-44.444444444444443</v>
      </c>
      <c r="L7" s="5" t="s">
        <v>203</v>
      </c>
      <c r="M7" s="172">
        <f>129802/10000000</f>
        <v>1.2980200000000001E-2</v>
      </c>
    </row>
    <row r="8" spans="1:16" ht="32.25" customHeight="1" x14ac:dyDescent="0.35">
      <c r="A8" s="374">
        <v>3</v>
      </c>
      <c r="B8" s="2021" t="s">
        <v>22</v>
      </c>
      <c r="C8" s="2023"/>
      <c r="D8" s="364" t="s">
        <v>221</v>
      </c>
      <c r="E8" s="364" t="s">
        <v>221</v>
      </c>
      <c r="F8" s="364">
        <v>6.18</v>
      </c>
      <c r="G8" s="364">
        <v>0.91</v>
      </c>
      <c r="H8" s="365" t="s">
        <v>221</v>
      </c>
      <c r="I8" s="365">
        <f>(G8-F8)/F8*100</f>
        <v>-85.275080906148858</v>
      </c>
      <c r="L8" s="5">
        <v>0.46</v>
      </c>
      <c r="M8" s="5">
        <f>2320</f>
        <v>2320</v>
      </c>
      <c r="N8" s="5">
        <v>4643517</v>
      </c>
      <c r="O8" s="5">
        <f>SUM(M8:N8)</f>
        <v>4645837</v>
      </c>
      <c r="P8" s="12">
        <f>O8/10000000</f>
        <v>0.46458369999999999</v>
      </c>
    </row>
    <row r="9" spans="1:16" ht="34.5" customHeight="1" x14ac:dyDescent="0.35">
      <c r="A9" s="373">
        <v>4</v>
      </c>
      <c r="B9" s="2052" t="s">
        <v>220</v>
      </c>
      <c r="C9" s="2053"/>
      <c r="D9" s="307" t="s">
        <v>221</v>
      </c>
      <c r="E9" s="307" t="s">
        <v>221</v>
      </c>
      <c r="F9" s="307">
        <v>0.94</v>
      </c>
      <c r="G9" s="406">
        <v>7.6799999999999993E-2</v>
      </c>
      <c r="H9" s="308" t="s">
        <v>221</v>
      </c>
      <c r="I9" s="308">
        <f>(G9-F9)/F9*100</f>
        <v>-91.829787234042556</v>
      </c>
    </row>
    <row r="10" spans="1:16" ht="28.5" customHeight="1" x14ac:dyDescent="0.35">
      <c r="A10" s="374">
        <v>5</v>
      </c>
      <c r="B10" s="2054" t="s">
        <v>33</v>
      </c>
      <c r="C10" s="2055"/>
      <c r="D10" s="321" t="s">
        <v>221</v>
      </c>
      <c r="E10" s="321" t="s">
        <v>221</v>
      </c>
      <c r="F10" s="321">
        <f>SUM(F6:F9)</f>
        <v>97.699999999999989</v>
      </c>
      <c r="G10" s="321">
        <f>SUM(G6:G9)</f>
        <v>12.398225600000002</v>
      </c>
      <c r="H10" s="322" t="s">
        <v>221</v>
      </c>
      <c r="I10" s="322">
        <f>(G10-F10)/F10*100</f>
        <v>-87.30990214943705</v>
      </c>
    </row>
    <row r="11" spans="1:16" ht="14.2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6" ht="36.75" customHeight="1" thickTop="1" thickBot="1" x14ac:dyDescent="0.5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6.86</v>
      </c>
      <c r="G12" s="639">
        <f>G42+G43+G44</f>
        <v>5.1163E-2</v>
      </c>
      <c r="H12" s="310" t="s">
        <v>221</v>
      </c>
      <c r="I12" s="311">
        <f>(G12-F12)/F12*100</f>
        <v>-99.254183673469385</v>
      </c>
      <c r="L12" s="5">
        <v>1168</v>
      </c>
      <c r="M12" s="5">
        <v>-78978</v>
      </c>
      <c r="N12" s="5" t="s">
        <v>164</v>
      </c>
      <c r="O12">
        <f>L12+M12</f>
        <v>-77810</v>
      </c>
      <c r="P12" s="13">
        <f>O12/1000000</f>
        <v>-7.7810000000000004E-2</v>
      </c>
    </row>
    <row r="13" spans="1:16" ht="18.7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M13" s="5">
        <f>M12/100000</f>
        <v>-0.78978000000000004</v>
      </c>
    </row>
    <row r="14" spans="1:16" ht="30.75" customHeight="1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</row>
    <row r="15" spans="1:16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315">
        <v>1.95</v>
      </c>
      <c r="G15" s="404">
        <v>0</v>
      </c>
      <c r="H15" s="314" t="s">
        <v>221</v>
      </c>
      <c r="I15" s="314">
        <v>0</v>
      </c>
    </row>
    <row r="16" spans="1:16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313">
        <v>14.35</v>
      </c>
      <c r="G16" s="404">
        <v>0</v>
      </c>
      <c r="H16" s="2027" t="s">
        <v>221</v>
      </c>
      <c r="I16" s="314">
        <v>0</v>
      </c>
      <c r="J16" s="5">
        <v>78.37</v>
      </c>
    </row>
    <row r="17" spans="1:23" ht="15.4" x14ac:dyDescent="0.4">
      <c r="A17" s="2005"/>
      <c r="B17" s="2071"/>
      <c r="C17" s="320" t="s">
        <v>228</v>
      </c>
      <c r="D17" s="2064"/>
      <c r="E17" s="2066"/>
      <c r="F17" s="313">
        <v>64.02</v>
      </c>
      <c r="G17" s="313">
        <f>57114256/10000000</f>
        <v>5.7114256000000001</v>
      </c>
      <c r="H17" s="2029"/>
      <c r="I17" s="314">
        <f>(G17-F17)/F17*100</f>
        <v>-91.078685410809129</v>
      </c>
    </row>
    <row r="18" spans="1:23" ht="27" customHeight="1" x14ac:dyDescent="0.35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</row>
    <row r="19" spans="1:23" ht="18.75" customHeight="1" x14ac:dyDescent="0.45">
      <c r="A19" s="2004"/>
      <c r="B19" s="2008" t="s">
        <v>230</v>
      </c>
      <c r="C19" s="2000" t="s">
        <v>231</v>
      </c>
      <c r="D19" s="2001"/>
      <c r="E19" s="2002"/>
      <c r="F19" s="315">
        <v>2.7330000000000001</v>
      </c>
      <c r="G19" s="315">
        <v>1.33</v>
      </c>
      <c r="H19" s="316" t="s">
        <v>221</v>
      </c>
      <c r="I19" s="314">
        <f>(G19-F19)/F19*100</f>
        <v>-51.335528723015003</v>
      </c>
      <c r="L19">
        <v>3905717</v>
      </c>
      <c r="M19" s="5">
        <f>L19/10000000</f>
        <v>0.39057170000000002</v>
      </c>
      <c r="V19" s="5" t="s">
        <v>77</v>
      </c>
    </row>
    <row r="20" spans="1:23" ht="18.75" customHeight="1" x14ac:dyDescent="0.4">
      <c r="A20" s="2004"/>
      <c r="B20" s="2009"/>
      <c r="C20" s="2000" t="s">
        <v>232</v>
      </c>
      <c r="D20" s="2001"/>
      <c r="E20" s="2002"/>
      <c r="F20" s="315">
        <v>4.88</v>
      </c>
      <c r="G20" s="315">
        <v>2.36</v>
      </c>
      <c r="H20" s="316" t="s">
        <v>221</v>
      </c>
      <c r="I20" s="314">
        <f>(G20-F20)/F20*100</f>
        <v>-51.639344262295083</v>
      </c>
      <c r="V20" s="5" t="s">
        <v>203</v>
      </c>
      <c r="W20" s="5" t="s">
        <v>202</v>
      </c>
    </row>
    <row r="21" spans="1:23" ht="18.75" customHeight="1" x14ac:dyDescent="0.4">
      <c r="A21" s="2004"/>
      <c r="B21" s="2009"/>
      <c r="C21" s="2000" t="s">
        <v>239</v>
      </c>
      <c r="D21" s="2001"/>
      <c r="E21" s="2002"/>
      <c r="F21" s="315">
        <v>1.1890000000000001</v>
      </c>
      <c r="G21" s="315">
        <v>0.68500000000000005</v>
      </c>
      <c r="H21" s="316" t="s">
        <v>221</v>
      </c>
      <c r="I21" s="314">
        <v>0</v>
      </c>
      <c r="U21" s="5">
        <v>1547760</v>
      </c>
      <c r="V21" s="5">
        <v>280853</v>
      </c>
      <c r="W21" s="5">
        <v>183087</v>
      </c>
    </row>
    <row r="22" spans="1:23" ht="18.75" customHeight="1" x14ac:dyDescent="0.4">
      <c r="A22" s="2004"/>
      <c r="B22" s="2009"/>
      <c r="C22" s="2000" t="s">
        <v>233</v>
      </c>
      <c r="D22" s="2001"/>
      <c r="E22" s="2002"/>
      <c r="F22" s="315">
        <v>1.1599999999999999</v>
      </c>
      <c r="G22" s="315">
        <v>1.32</v>
      </c>
      <c r="H22" s="316" t="s">
        <v>221</v>
      </c>
      <c r="I22" s="314">
        <f>(G22-F22)/F22*100</f>
        <v>13.793103448275875</v>
      </c>
      <c r="U22" s="5">
        <f>U21-V25</f>
        <v>613144</v>
      </c>
      <c r="V22" s="5">
        <v>18394</v>
      </c>
    </row>
    <row r="23" spans="1:23" ht="18.75" customHeight="1" x14ac:dyDescent="0.4">
      <c r="A23" s="2004"/>
      <c r="B23" s="2009"/>
      <c r="C23" s="2000" t="s">
        <v>234</v>
      </c>
      <c r="D23" s="2001"/>
      <c r="E23" s="2002"/>
      <c r="F23" s="315">
        <v>0.3</v>
      </c>
      <c r="G23" s="315">
        <v>0</v>
      </c>
      <c r="H23" s="316" t="s">
        <v>221</v>
      </c>
      <c r="I23" s="314">
        <f>(G23-F23)/F23*100</f>
        <v>-100</v>
      </c>
      <c r="U23" s="5">
        <f>U22/10000000</f>
        <v>6.1314399999999998E-2</v>
      </c>
      <c r="V23" s="5">
        <v>137518</v>
      </c>
    </row>
    <row r="24" spans="1:23" ht="18.75" customHeight="1" x14ac:dyDescent="0.4">
      <c r="A24" s="2004"/>
      <c r="B24" s="2009"/>
      <c r="C24" s="2000" t="s">
        <v>235</v>
      </c>
      <c r="D24" s="2001"/>
      <c r="E24" s="2002"/>
      <c r="F24" s="315">
        <v>0</v>
      </c>
      <c r="G24" s="315">
        <v>0</v>
      </c>
      <c r="H24" s="316"/>
      <c r="I24" s="314">
        <v>0</v>
      </c>
      <c r="P24" s="5" t="s">
        <v>265</v>
      </c>
      <c r="V24" s="5">
        <v>497851</v>
      </c>
    </row>
    <row r="25" spans="1:23" ht="31.5" customHeight="1" x14ac:dyDescent="0.4">
      <c r="A25" s="2005"/>
      <c r="B25" s="2010"/>
      <c r="C25" s="2011" t="s">
        <v>236</v>
      </c>
      <c r="D25" s="2012"/>
      <c r="E25" s="2013"/>
      <c r="F25" s="315">
        <v>0</v>
      </c>
      <c r="G25" s="315">
        <v>0</v>
      </c>
      <c r="H25" s="316" t="s">
        <v>221</v>
      </c>
      <c r="I25" s="314">
        <v>0</v>
      </c>
      <c r="V25" s="5">
        <f>SUM(V21:V24)</f>
        <v>934616</v>
      </c>
    </row>
    <row r="26" spans="1:23" ht="24.75" customHeight="1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</row>
    <row r="27" spans="1:23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134">
        <v>1.2156766000000001</v>
      </c>
      <c r="G27" s="313">
        <v>0</v>
      </c>
      <c r="H27" s="314" t="s">
        <v>221</v>
      </c>
      <c r="I27" s="314">
        <f t="shared" ref="I27:I33" si="0">(G27-F27)/F27*100</f>
        <v>-100</v>
      </c>
      <c r="L27" s="5">
        <v>23876641</v>
      </c>
      <c r="M27" s="5">
        <v>15888</v>
      </c>
      <c r="Q27" s="5">
        <v>1936433</v>
      </c>
      <c r="R27" s="5">
        <v>494905</v>
      </c>
      <c r="S27" s="5">
        <f>Q27-R27-R28-R29</f>
        <v>3090</v>
      </c>
    </row>
    <row r="28" spans="1:23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f>20997671/10000000</f>
        <v>2.0997671000000002</v>
      </c>
      <c r="G28" s="313">
        <f>5193412/10000000</f>
        <v>0.51934119999999995</v>
      </c>
      <c r="H28" s="314" t="s">
        <v>221</v>
      </c>
      <c r="I28" s="314">
        <f t="shared" si="0"/>
        <v>-75.266723628539566</v>
      </c>
      <c r="L28" s="5">
        <f>L27-M34</f>
        <v>18418</v>
      </c>
      <c r="M28" s="5">
        <v>1467371</v>
      </c>
      <c r="R28" s="5">
        <v>943533</v>
      </c>
      <c r="S28" s="5">
        <f>S27+400</f>
        <v>3490</v>
      </c>
      <c r="T28" s="5">
        <f>S28/10000000</f>
        <v>3.4900000000000003E-4</v>
      </c>
    </row>
    <row r="29" spans="1:23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313">
        <f>1157079/10000000</f>
        <v>0.1157079</v>
      </c>
      <c r="G29" s="405">
        <f>30271/10000000</f>
        <v>3.0271E-3</v>
      </c>
      <c r="H29" s="314" t="s">
        <v>221</v>
      </c>
      <c r="I29" s="314">
        <f t="shared" si="0"/>
        <v>-97.383843281227982</v>
      </c>
      <c r="M29" s="5">
        <v>2923510</v>
      </c>
      <c r="R29" s="5">
        <v>494905</v>
      </c>
    </row>
    <row r="30" spans="1:23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313">
        <v>0.23</v>
      </c>
      <c r="G30" s="313">
        <v>0</v>
      </c>
      <c r="H30" s="316" t="s">
        <v>221</v>
      </c>
      <c r="I30" s="314">
        <f t="shared" si="0"/>
        <v>-100</v>
      </c>
      <c r="M30" s="5">
        <v>17118533</v>
      </c>
    </row>
    <row r="31" spans="1:23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313">
        <v>0</v>
      </c>
      <c r="G31" s="315">
        <v>0</v>
      </c>
      <c r="H31" s="316" t="s">
        <v>221</v>
      </c>
      <c r="I31" s="314" t="e">
        <f t="shared" si="0"/>
        <v>#DIV/0!</v>
      </c>
      <c r="M31" s="5">
        <v>858350</v>
      </c>
    </row>
    <row r="32" spans="1:23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313">
        <v>2.4700000000000002</v>
      </c>
      <c r="G32" s="134">
        <v>0.39050000000000001</v>
      </c>
      <c r="H32" s="316" t="s">
        <v>221</v>
      </c>
      <c r="I32" s="314">
        <f t="shared" si="0"/>
        <v>-84.190283400809733</v>
      </c>
      <c r="M32" s="5">
        <v>1467371</v>
      </c>
      <c r="O32" s="380">
        <v>3247525</v>
      </c>
      <c r="P32" s="5">
        <f>O32/10000000</f>
        <v>0.3247525</v>
      </c>
    </row>
    <row r="33" spans="1:18" x14ac:dyDescent="0.45">
      <c r="A33" s="403"/>
      <c r="B33" s="402" t="s">
        <v>266</v>
      </c>
      <c r="C33" s="409"/>
      <c r="D33" s="332"/>
      <c r="E33" s="308"/>
      <c r="F33" s="283">
        <v>0</v>
      </c>
      <c r="G33" s="425">
        <v>3.4900000000000003E-4</v>
      </c>
      <c r="H33" s="316"/>
      <c r="I33" s="314" t="e">
        <f t="shared" si="0"/>
        <v>#DIV/0!</v>
      </c>
      <c r="M33" s="5">
        <v>7200</v>
      </c>
      <c r="O33" s="380"/>
    </row>
    <row r="34" spans="1:18" ht="15" x14ac:dyDescent="0.4">
      <c r="A34" s="2020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  <c r="M34" s="26">
        <f>SUM(M27:M33)</f>
        <v>23858223</v>
      </c>
    </row>
    <row r="35" spans="1:18" ht="15.4" x14ac:dyDescent="0.4">
      <c r="A35" s="2020"/>
      <c r="B35" s="2006" t="s">
        <v>27</v>
      </c>
      <c r="C35" s="2007"/>
      <c r="D35" s="331">
        <v>2.4300000000000002</v>
      </c>
      <c r="E35" s="307">
        <v>0.81</v>
      </c>
      <c r="F35" s="134">
        <v>0.65543759999999995</v>
      </c>
      <c r="G35" s="381">
        <v>7.2499999999999995E-2</v>
      </c>
      <c r="H35" s="314">
        <f>(G35-E35)/E35*100</f>
        <v>-91.049382716049394</v>
      </c>
      <c r="I35" s="314">
        <f>(G35-F35)/F35*100</f>
        <v>-88.938687679803536</v>
      </c>
      <c r="K35" s="5">
        <f>725000/10000000</f>
        <v>7.2499999999999995E-2</v>
      </c>
      <c r="L35" s="5">
        <v>116783</v>
      </c>
      <c r="M35" s="5">
        <v>100</v>
      </c>
      <c r="N35" s="5">
        <f>L35-M39</f>
        <v>116783</v>
      </c>
    </row>
    <row r="36" spans="1:18" ht="15.4" x14ac:dyDescent="0.4">
      <c r="A36" s="2020"/>
      <c r="B36" s="2006" t="s">
        <v>28</v>
      </c>
      <c r="C36" s="2007"/>
      <c r="D36" s="333">
        <v>0.11</v>
      </c>
      <c r="E36" s="307">
        <v>3.5999999999999997E-2</v>
      </c>
      <c r="F36" s="134">
        <v>0.128</v>
      </c>
      <c r="G36" s="313">
        <v>0</v>
      </c>
      <c r="H36" s="314">
        <f>(G36-E36)/E36*100</f>
        <v>-100</v>
      </c>
      <c r="I36" s="314">
        <f>(G36-F36)/F36*100</f>
        <v>-100</v>
      </c>
      <c r="M36" s="5">
        <v>1568</v>
      </c>
    </row>
    <row r="37" spans="1:18" ht="15.4" x14ac:dyDescent="0.4">
      <c r="A37" s="2020"/>
      <c r="B37" s="378" t="s">
        <v>224</v>
      </c>
      <c r="C37" s="379"/>
      <c r="D37" s="331">
        <v>0.19</v>
      </c>
      <c r="E37" s="307">
        <v>6.4000000000000001E-2</v>
      </c>
      <c r="F37" s="313">
        <v>0.152</v>
      </c>
      <c r="G37" s="313">
        <v>0</v>
      </c>
      <c r="H37" s="314">
        <f>(G37-E37)/E37*100</f>
        <v>-100</v>
      </c>
      <c r="I37" s="314">
        <f>(G37-F37)/F37*100</f>
        <v>-100</v>
      </c>
      <c r="M37" s="5">
        <v>100</v>
      </c>
      <c r="O37" s="5" t="s">
        <v>274</v>
      </c>
    </row>
    <row r="38" spans="1:18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313">
        <v>0</v>
      </c>
      <c r="G38" s="313">
        <v>0</v>
      </c>
      <c r="H38" s="314" t="s">
        <v>221</v>
      </c>
      <c r="I38" s="314">
        <v>0</v>
      </c>
      <c r="M38" s="5">
        <v>1064</v>
      </c>
    </row>
    <row r="39" spans="1:18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313">
        <v>0</v>
      </c>
      <c r="G39" s="313">
        <v>0</v>
      </c>
      <c r="H39" s="314" t="s">
        <v>221</v>
      </c>
      <c r="I39" s="314">
        <v>0</v>
      </c>
      <c r="L39" s="5">
        <f>116783-73677</f>
        <v>43106</v>
      </c>
      <c r="P39" s="5">
        <v>2.4300000000000002</v>
      </c>
      <c r="Q39" s="5">
        <v>0.20250000000000001</v>
      </c>
      <c r="R39" s="5">
        <f>Q39*4</f>
        <v>0.81</v>
      </c>
    </row>
    <row r="40" spans="1:18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313">
        <v>0.06</v>
      </c>
      <c r="G40" s="381">
        <f>43106/10000000</f>
        <v>4.3106000000000004E-3</v>
      </c>
      <c r="H40" s="314" t="s">
        <v>221</v>
      </c>
      <c r="I40" s="314">
        <f>(G40-F40)/F40*100</f>
        <v>-92.815666666666672</v>
      </c>
      <c r="P40" s="5">
        <v>0.11</v>
      </c>
      <c r="Q40" s="5">
        <v>8.9999999999999993E-3</v>
      </c>
      <c r="R40" s="5">
        <f>Q40*4</f>
        <v>3.5999999999999997E-2</v>
      </c>
    </row>
    <row r="41" spans="1:18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P41" s="5">
        <v>0.19</v>
      </c>
      <c r="Q41" s="5">
        <v>1.6E-2</v>
      </c>
      <c r="R41" s="5">
        <f>Q41*4</f>
        <v>6.4000000000000001E-2</v>
      </c>
    </row>
    <row r="42" spans="1:18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315">
        <v>3.37</v>
      </c>
      <c r="G42" s="315">
        <v>0</v>
      </c>
      <c r="H42" s="314" t="s">
        <v>221</v>
      </c>
      <c r="I42" s="314">
        <v>0</v>
      </c>
    </row>
    <row r="43" spans="1:18" ht="16.149999999999999" thickBot="1" x14ac:dyDescent="0.5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313">
        <v>2.44</v>
      </c>
      <c r="G43" s="405">
        <v>0</v>
      </c>
      <c r="H43" s="2027" t="s">
        <v>221</v>
      </c>
      <c r="I43" s="314">
        <v>0</v>
      </c>
      <c r="M43" s="429"/>
    </row>
    <row r="44" spans="1:18" ht="15.75" thickTop="1" x14ac:dyDescent="0.4">
      <c r="A44" s="2020"/>
      <c r="B44" s="2070"/>
      <c r="C44" s="320" t="s">
        <v>228</v>
      </c>
      <c r="D44" s="2068"/>
      <c r="E44" s="2066"/>
      <c r="F44" s="313">
        <v>1.05</v>
      </c>
      <c r="G44" s="313">
        <f>51163/1000000</f>
        <v>5.1163E-2</v>
      </c>
      <c r="H44" s="2029"/>
      <c r="I44" s="314">
        <f>(G44-F44)/F44*100</f>
        <v>-95.12733333333334</v>
      </c>
    </row>
    <row r="45" spans="1:18" ht="15" x14ac:dyDescent="0.35">
      <c r="A45" s="2020">
        <v>6</v>
      </c>
      <c r="B45" s="2021" t="s">
        <v>273</v>
      </c>
      <c r="C45" s="2022"/>
      <c r="D45" s="2022"/>
      <c r="E45" s="2022"/>
      <c r="F45" s="2022"/>
      <c r="G45" s="2022"/>
      <c r="H45" s="2022"/>
      <c r="I45" s="2023"/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2"/>
      <c r="G46" s="312"/>
      <c r="H46" s="2027" t="s">
        <v>221</v>
      </c>
      <c r="I46" s="314" t="e">
        <f>(G46-F46)/F46*100</f>
        <v>#DIV/0!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312"/>
      <c r="G47" s="312"/>
      <c r="H47" s="2028"/>
      <c r="I47" s="314" t="e">
        <f>(G47-F47)/F47*100</f>
        <v>#DIV/0!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312"/>
      <c r="G48" s="312"/>
      <c r="H48" s="2029"/>
      <c r="I48" s="314" t="e">
        <f>(G48-F48)/F48*100</f>
        <v>#DIV/0!</v>
      </c>
    </row>
    <row r="54" spans="3:8" s="5" customFormat="1" ht="13.5" x14ac:dyDescent="0.35">
      <c r="C54" s="12">
        <v>56.49</v>
      </c>
      <c r="D54" s="84">
        <v>18.96</v>
      </c>
      <c r="E54" s="428">
        <f>C54-D54</f>
        <v>37.53</v>
      </c>
      <c r="F54" s="12">
        <v>290</v>
      </c>
      <c r="G54" s="12">
        <f>E54+F54</f>
        <v>327.52999999999997</v>
      </c>
      <c r="H54" s="11"/>
    </row>
    <row r="64" spans="3:8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6" right="0.25" top="0.16" bottom="0.24" header="0.18" footer="0.19"/>
  <pageSetup paperSize="9" scale="38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U64"/>
  <sheetViews>
    <sheetView topLeftCell="A24" zoomScale="90" zoomScaleNormal="90" workbookViewId="0">
      <selection sqref="A1:I48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6" style="5" customWidth="1"/>
    <col min="4" max="4" width="9.86328125" style="84" bestFit="1" customWidth="1"/>
    <col min="5" max="5" width="11.265625" style="35" customWidth="1"/>
    <col min="6" max="6" width="11" style="5" customWidth="1"/>
    <col min="7" max="7" width="12" style="5" customWidth="1"/>
    <col min="8" max="8" width="12.86328125" style="11" customWidth="1"/>
    <col min="9" max="9" width="11.86328125" style="82" customWidth="1"/>
    <col min="10" max="11" width="9.1328125" style="5"/>
    <col min="12" max="12" width="9.59765625" style="5" customWidth="1"/>
    <col min="13" max="16384" width="9.1328125" style="5"/>
  </cols>
  <sheetData>
    <row r="1" spans="1:17" ht="23.25" customHeight="1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7" s="301" customFormat="1" ht="26.25" customHeight="1" thickBot="1" x14ac:dyDescent="0.5">
      <c r="A2" s="2092" t="s">
        <v>430</v>
      </c>
      <c r="B2" s="2093"/>
      <c r="C2" s="2093"/>
      <c r="D2" s="2093"/>
      <c r="E2" s="2093"/>
      <c r="F2" s="2093"/>
      <c r="G2" s="2093"/>
      <c r="H2" s="2093"/>
      <c r="I2" s="2094"/>
    </row>
    <row r="3" spans="1:17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7" s="35" customFormat="1" ht="29.25" customHeight="1" x14ac:dyDescent="0.45">
      <c r="A4" s="2035"/>
      <c r="B4" s="2047"/>
      <c r="C4" s="2048"/>
      <c r="D4" s="366" t="s">
        <v>9</v>
      </c>
      <c r="E4" s="383">
        <f>G4</f>
        <v>44013</v>
      </c>
      <c r="F4" s="383">
        <v>43647</v>
      </c>
      <c r="G4" s="383">
        <v>44013</v>
      </c>
      <c r="H4" s="2041" t="s">
        <v>12</v>
      </c>
      <c r="I4" s="2041" t="s">
        <v>13</v>
      </c>
    </row>
    <row r="5" spans="1:17" ht="23.25" customHeight="1" x14ac:dyDescent="0.3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</row>
    <row r="6" spans="1:17" ht="30" customHeight="1" x14ac:dyDescent="0.35">
      <c r="A6" s="372">
        <v>1</v>
      </c>
      <c r="B6" s="2049" t="s">
        <v>290</v>
      </c>
      <c r="C6" s="2049"/>
      <c r="D6" s="304">
        <v>231.56</v>
      </c>
      <c r="E6" s="305">
        <v>6.76</v>
      </c>
      <c r="F6" s="305">
        <f>'UPTO JUNE 2020'!F6+'JULY-2020'!F6</f>
        <v>311.99462679999999</v>
      </c>
      <c r="G6" s="305">
        <f>'UPTO JUNE 2020'!G6+'JULY-2020'!G6</f>
        <v>-11.5847693</v>
      </c>
      <c r="H6" s="306">
        <f>(G6-E6)/E6*100</f>
        <v>-271.37232692307691</v>
      </c>
      <c r="I6" s="306">
        <f>(G6-F6)/F6*100</f>
        <v>-103.71313103011425</v>
      </c>
    </row>
    <row r="7" spans="1:17" ht="26.25" customHeight="1" x14ac:dyDescent="0.35">
      <c r="A7" s="373">
        <v>2</v>
      </c>
      <c r="B7" s="2050" t="s">
        <v>291</v>
      </c>
      <c r="C7" s="2051"/>
      <c r="D7" s="434">
        <v>177.3</v>
      </c>
      <c r="E7" s="434">
        <v>54.42</v>
      </c>
      <c r="F7" s="434">
        <f>'UPTO JUNE 2020'!F7+'JULY-2020'!F7</f>
        <v>59.83</v>
      </c>
      <c r="G7" s="434">
        <f>'UPTO JUNE 2020'!G7+'JULY-2020'!G7</f>
        <v>37.6</v>
      </c>
      <c r="H7" s="517">
        <f>(G7-E7)/E7*100</f>
        <v>-30.907754502021316</v>
      </c>
      <c r="I7" s="517">
        <f>(G7-F7)/F7*100</f>
        <v>-37.155273274277114</v>
      </c>
    </row>
    <row r="8" spans="1:17" ht="32.25" customHeight="1" x14ac:dyDescent="0.35">
      <c r="A8" s="374">
        <v>3</v>
      </c>
      <c r="B8" s="2021" t="s">
        <v>292</v>
      </c>
      <c r="C8" s="2023"/>
      <c r="D8" s="364">
        <v>23.29</v>
      </c>
      <c r="E8" s="364">
        <v>8.2200000000000006</v>
      </c>
      <c r="F8" s="305">
        <f>'UPTO JUNE 2020'!F8+'JULY-2020'!F8</f>
        <v>29.11</v>
      </c>
      <c r="G8" s="305">
        <f>'UPTO JUNE 2020'!G8+'JULY-2020'!G8</f>
        <v>2.39</v>
      </c>
      <c r="H8" s="306">
        <f>(G8-E8)/E8*100</f>
        <v>-70.924574209245733</v>
      </c>
      <c r="I8" s="365">
        <f>(G8-F8)/F8*100</f>
        <v>-91.789762968052216</v>
      </c>
      <c r="M8" s="12">
        <f>'APRIL 2020'!G12+'MAY 2020'!G12+'JUNE-2020'!G12+'JULY-2020'!G12</f>
        <v>-0.25538</v>
      </c>
    </row>
    <row r="9" spans="1:17" ht="34.5" customHeight="1" x14ac:dyDescent="0.35">
      <c r="A9" s="373">
        <v>4</v>
      </c>
      <c r="B9" s="2052" t="s">
        <v>293</v>
      </c>
      <c r="C9" s="2053"/>
      <c r="D9" s="434">
        <f>D35+D36+D37</f>
        <v>2.73</v>
      </c>
      <c r="E9" s="434">
        <f>E35+E36+E37</f>
        <v>0.91000000000000014</v>
      </c>
      <c r="F9" s="434">
        <f>'UPTO JUNE 2020'!F9+'JULY-2020'!F9</f>
        <v>4.07</v>
      </c>
      <c r="G9" s="597">
        <f>'UPTO JUNE 2020'!G9+'JULY-2020'!G9</f>
        <v>0.12309999999999999</v>
      </c>
      <c r="H9" s="517">
        <f>(G9-E9)/E9*100</f>
        <v>-86.472527472527474</v>
      </c>
      <c r="I9" s="517">
        <f>(G9-F9)/F9*100</f>
        <v>-96.975429975429975</v>
      </c>
    </row>
    <row r="10" spans="1:17" ht="28.5" customHeight="1" x14ac:dyDescent="0.35">
      <c r="A10" s="374">
        <v>5</v>
      </c>
      <c r="B10" s="2054" t="s">
        <v>294</v>
      </c>
      <c r="C10" s="2055"/>
      <c r="D10" s="321">
        <f>SUM(D6:D9)</f>
        <v>434.88000000000005</v>
      </c>
      <c r="E10" s="321">
        <f>SUM(E6:E9)</f>
        <v>70.31</v>
      </c>
      <c r="F10" s="321">
        <f>SUM(F6:F9)</f>
        <v>405.00462679999998</v>
      </c>
      <c r="G10" s="321">
        <f>SUM(G6:G9)</f>
        <v>28.528330700000005</v>
      </c>
      <c r="H10" s="306">
        <f>(G10-E10)/E10*100</f>
        <v>-59.424931446451424</v>
      </c>
      <c r="I10" s="322">
        <f>(G10-F10)/F10*100</f>
        <v>-92.956048199891811</v>
      </c>
      <c r="L10" s="5">
        <v>148.82</v>
      </c>
      <c r="M10" s="5">
        <v>2</v>
      </c>
      <c r="N10" s="5">
        <f>(M10-L10)/L10*100</f>
        <v>-98.656094610939391</v>
      </c>
    </row>
    <row r="11" spans="1:17" ht="13.9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7" x14ac:dyDescent="0.35">
      <c r="A12" s="373">
        <v>6.3</v>
      </c>
      <c r="B12" s="2116" t="s">
        <v>420</v>
      </c>
      <c r="C12" s="2116"/>
      <c r="D12" s="332" t="s">
        <v>221</v>
      </c>
      <c r="E12" s="307" t="s">
        <v>221</v>
      </c>
      <c r="F12" s="305">
        <f>'UPTO JUNE 2020'!F12+'JULY-2020'!F12</f>
        <v>26.271000000000001</v>
      </c>
      <c r="G12" s="305">
        <f>'UPTO JUNE 2020'!G12+'JULY-2020'!G12</f>
        <v>-0.25538</v>
      </c>
      <c r="H12" s="308" t="s">
        <v>221</v>
      </c>
      <c r="I12" s="308">
        <f>(G12-F12)/F12*100</f>
        <v>-100.97209851166686</v>
      </c>
      <c r="K12" s="5">
        <v>2</v>
      </c>
    </row>
    <row r="13" spans="1:17" ht="18.75" customHeight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K13" s="5">
        <f>30+31+30+31</f>
        <v>122</v>
      </c>
      <c r="L13" s="5">
        <f>K12/122</f>
        <v>1.6393442622950821E-2</v>
      </c>
    </row>
    <row r="14" spans="1:17" ht="30.75" customHeight="1" x14ac:dyDescent="0.35">
      <c r="A14" s="2003">
        <v>1</v>
      </c>
      <c r="B14" s="2021" t="s">
        <v>425</v>
      </c>
      <c r="C14" s="2022"/>
      <c r="D14" s="2022"/>
      <c r="E14" s="2022"/>
      <c r="F14" s="2022"/>
      <c r="G14" s="2022"/>
      <c r="H14" s="2022"/>
      <c r="I14" s="2023"/>
    </row>
    <row r="15" spans="1:17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315">
        <f>'UPTO JUNE 2020'!F15+'JULY-2020'!F15</f>
        <v>6.8</v>
      </c>
      <c r="G15" s="315">
        <f>'UPTO JUNE 2020'!G15+'JULY-2020'!G15</f>
        <v>0</v>
      </c>
      <c r="H15" s="314" t="s">
        <v>221</v>
      </c>
      <c r="I15" s="314">
        <v>0</v>
      </c>
      <c r="K15" s="27">
        <f>5073683/10000000</f>
        <v>0.50736829999999999</v>
      </c>
      <c r="L15" s="6">
        <f>1980/10000000</f>
        <v>1.9799999999999999E-4</v>
      </c>
      <c r="N15" s="12">
        <f t="shared" ref="N15:O17" si="0">F15+K15</f>
        <v>7.3073683000000003</v>
      </c>
      <c r="O15" s="13">
        <f t="shared" si="0"/>
        <v>1.9799999999999999E-4</v>
      </c>
    </row>
    <row r="16" spans="1:17" ht="15.4" x14ac:dyDescent="0.4">
      <c r="A16" s="2004"/>
      <c r="B16" s="2071" t="s">
        <v>15</v>
      </c>
      <c r="C16" s="320" t="s">
        <v>166</v>
      </c>
      <c r="D16" s="2064" t="s">
        <v>221</v>
      </c>
      <c r="E16" s="2065">
        <v>6.76</v>
      </c>
      <c r="F16" s="315">
        <f>'UPTO JUNE 2020'!F16+'JULY-2020'!F16</f>
        <v>70.109999999999985</v>
      </c>
      <c r="G16" s="315">
        <f>'UPTO JUNE 2020'!G16+'JULY-2020'!G16</f>
        <v>13.873785</v>
      </c>
      <c r="H16" s="2027">
        <v>-271.39999999999998</v>
      </c>
      <c r="I16" s="314">
        <v>0</v>
      </c>
      <c r="K16" s="27">
        <f>35821587/10000000</f>
        <v>3.5821586999999999</v>
      </c>
      <c r="L16" s="27">
        <v>0</v>
      </c>
      <c r="N16" s="12">
        <f t="shared" si="0"/>
        <v>73.692158699999979</v>
      </c>
      <c r="O16" s="12">
        <f t="shared" si="0"/>
        <v>13.873785</v>
      </c>
      <c r="Q16" s="12">
        <f>G16+G17</f>
        <v>-11.584769300000003</v>
      </c>
    </row>
    <row r="17" spans="1:21" ht="15.4" x14ac:dyDescent="0.4">
      <c r="A17" s="2005"/>
      <c r="B17" s="2071"/>
      <c r="C17" s="320" t="s">
        <v>228</v>
      </c>
      <c r="D17" s="2064"/>
      <c r="E17" s="2066"/>
      <c r="F17" s="315">
        <f>'UPTO JUNE 2020'!F17+'JULY-2020'!F17</f>
        <v>235.08462679999997</v>
      </c>
      <c r="G17" s="315">
        <f>'UPTO JUNE 2020'!G17+'JULY-2020'!G17</f>
        <v>-25.458554300000003</v>
      </c>
      <c r="H17" s="2029"/>
      <c r="I17" s="314">
        <f>(G17-F17)/F17*100</f>
        <v>-110.82952749677632</v>
      </c>
      <c r="K17" s="27">
        <f>158006783/10000000</f>
        <v>15.8006783</v>
      </c>
      <c r="L17" s="27">
        <f>20753918/10000000</f>
        <v>2.0753917999999998</v>
      </c>
      <c r="N17" s="12">
        <f t="shared" si="0"/>
        <v>250.88530509999995</v>
      </c>
      <c r="O17" s="12">
        <f t="shared" si="0"/>
        <v>-23.383162500000005</v>
      </c>
    </row>
    <row r="18" spans="1:21" ht="27" customHeight="1" x14ac:dyDescent="0.35">
      <c r="A18" s="2003">
        <v>2</v>
      </c>
      <c r="B18" s="2021" t="s">
        <v>426</v>
      </c>
      <c r="C18" s="2022"/>
      <c r="D18" s="2022"/>
      <c r="E18" s="2022"/>
      <c r="F18" s="2022"/>
      <c r="G18" s="2022"/>
      <c r="H18" s="2022"/>
      <c r="I18" s="2023"/>
    </row>
    <row r="19" spans="1:21" ht="18.75" customHeight="1" x14ac:dyDescent="0.4">
      <c r="A19" s="2004"/>
      <c r="B19" s="2008" t="s">
        <v>230</v>
      </c>
      <c r="C19" s="2000" t="s">
        <v>231</v>
      </c>
      <c r="D19" s="2001"/>
      <c r="E19" s="2002"/>
      <c r="F19" s="315">
        <f>'UPTO JUNE 2020'!F19+'JULY-2020'!F19</f>
        <v>25.644729100000003</v>
      </c>
      <c r="G19" s="315">
        <f>'UPTO JUNE 2020'!G19+'JULY-2020'!G19</f>
        <v>12.19</v>
      </c>
      <c r="H19" s="316" t="s">
        <v>221</v>
      </c>
      <c r="I19" s="314">
        <f>(G19-F19)/F19*100</f>
        <v>-52.465865587950397</v>
      </c>
    </row>
    <row r="20" spans="1:21" ht="18.75" customHeight="1" x14ac:dyDescent="0.4">
      <c r="A20" s="2004"/>
      <c r="B20" s="2009"/>
      <c r="C20" s="2000" t="s">
        <v>232</v>
      </c>
      <c r="D20" s="2001"/>
      <c r="E20" s="2002"/>
      <c r="F20" s="315">
        <f>'UPTO JUNE 2020'!F20+'JULY-2020'!F20</f>
        <v>24.749999999999996</v>
      </c>
      <c r="G20" s="315">
        <f>'UPTO JUNE 2020'!G20+'JULY-2020'!G20</f>
        <v>19.77</v>
      </c>
      <c r="H20" s="316" t="s">
        <v>221</v>
      </c>
      <c r="I20" s="314">
        <f>(G20-F20)/F20*100</f>
        <v>-20.12121212121211</v>
      </c>
    </row>
    <row r="21" spans="1:21" ht="18.75" customHeight="1" x14ac:dyDescent="0.4">
      <c r="A21" s="2004"/>
      <c r="B21" s="2009"/>
      <c r="C21" s="2000" t="s">
        <v>239</v>
      </c>
      <c r="D21" s="2001"/>
      <c r="E21" s="2002"/>
      <c r="F21" s="315">
        <f>'UPTO JUNE 2020'!F21+'JULY-2020'!F21</f>
        <v>2.9390000000000001</v>
      </c>
      <c r="G21" s="315">
        <f>'UPTO JUNE 2020'!G21+'JULY-2020'!G21</f>
        <v>1.3250000000000002</v>
      </c>
      <c r="H21" s="316" t="s">
        <v>221</v>
      </c>
      <c r="I21" s="314">
        <v>0</v>
      </c>
      <c r="T21" s="5">
        <v>1289</v>
      </c>
      <c r="U21" s="5">
        <f>T21*2</f>
        <v>2578</v>
      </c>
    </row>
    <row r="22" spans="1:21" ht="18.75" customHeight="1" x14ac:dyDescent="0.4">
      <c r="A22" s="2004"/>
      <c r="B22" s="2009"/>
      <c r="C22" s="2000" t="s">
        <v>233</v>
      </c>
      <c r="D22" s="2001"/>
      <c r="E22" s="2002"/>
      <c r="F22" s="315">
        <f>'UPTO JUNE 2020'!F22+'JULY-2020'!F22</f>
        <v>5.3760000000000003</v>
      </c>
      <c r="G22" s="315">
        <f>'UPTO JUNE 2020'!G22+'JULY-2020'!G22</f>
        <v>4.2300000000000004</v>
      </c>
      <c r="H22" s="316" t="s">
        <v>221</v>
      </c>
      <c r="I22" s="314">
        <f>(G22-F22)/F22*100</f>
        <v>-21.316964285714281</v>
      </c>
    </row>
    <row r="23" spans="1:21" ht="18.75" customHeight="1" x14ac:dyDescent="0.4">
      <c r="A23" s="2004"/>
      <c r="B23" s="2009"/>
      <c r="C23" s="2000" t="s">
        <v>234</v>
      </c>
      <c r="D23" s="2001"/>
      <c r="E23" s="2002"/>
      <c r="F23" s="315">
        <f>'UPTO JUNE 2020'!F23+'JULY-2020'!F23</f>
        <v>1.1199999999999999</v>
      </c>
      <c r="G23" s="315">
        <f>'UPTO JUNE 2020'!G23+'JULY-2020'!G23</f>
        <v>0.08</v>
      </c>
      <c r="H23" s="316" t="s">
        <v>221</v>
      </c>
      <c r="I23" s="314">
        <f>(G23-F23)/F23*100</f>
        <v>-92.857142857142847</v>
      </c>
    </row>
    <row r="24" spans="1:21" ht="18.75" customHeight="1" x14ac:dyDescent="0.4">
      <c r="A24" s="2004"/>
      <c r="B24" s="2009"/>
      <c r="C24" s="2000" t="s">
        <v>235</v>
      </c>
      <c r="D24" s="2001"/>
      <c r="E24" s="2002"/>
      <c r="F24" s="315">
        <f>'UPTO JUNE 2020'!F24+'JULY-2020'!F24</f>
        <v>0</v>
      </c>
      <c r="G24" s="315">
        <f>'UPTO JUNE 2020'!G24+'JULY-2020'!G24</f>
        <v>0</v>
      </c>
      <c r="H24" s="316"/>
      <c r="I24" s="314">
        <v>0</v>
      </c>
    </row>
    <row r="25" spans="1:21" ht="31.5" customHeight="1" x14ac:dyDescent="0.4">
      <c r="A25" s="2005"/>
      <c r="B25" s="2010"/>
      <c r="C25" s="2011" t="s">
        <v>423</v>
      </c>
      <c r="D25" s="2012"/>
      <c r="E25" s="2013"/>
      <c r="F25" s="315">
        <f>'UPTO JUNE 2020'!F25+'JULY-2020'!F25</f>
        <v>0</v>
      </c>
      <c r="G25" s="315">
        <f>'UPTO JUNE 2020'!G25+'JULY-2020'!G25</f>
        <v>0</v>
      </c>
      <c r="H25" s="316" t="s">
        <v>221</v>
      </c>
      <c r="I25" s="314">
        <v>0</v>
      </c>
    </row>
    <row r="26" spans="1:21" ht="24.75" customHeight="1" x14ac:dyDescent="0.35">
      <c r="A26" s="2014">
        <v>3</v>
      </c>
      <c r="B26" s="2021" t="s">
        <v>427</v>
      </c>
      <c r="C26" s="2022"/>
      <c r="D26" s="2022"/>
      <c r="E26" s="2022"/>
      <c r="F26" s="2022"/>
      <c r="G26" s="2022"/>
      <c r="H26" s="2022"/>
      <c r="I26" s="2023"/>
    </row>
    <row r="27" spans="1:21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315">
        <f>'UPTO JUNE 2020'!F27+'JULY-2020'!F27</f>
        <v>6.5961081999999998</v>
      </c>
      <c r="G27" s="315">
        <f>'UPTO JUNE 2020'!G27+'JULY-2020'!G27</f>
        <v>0</v>
      </c>
      <c r="H27" s="314" t="s">
        <v>221</v>
      </c>
      <c r="I27" s="314">
        <f t="shared" ref="I27:I33" si="1">(G27-F27)/F27*100</f>
        <v>-100</v>
      </c>
      <c r="K27" s="27">
        <f>0.4</f>
        <v>0.4</v>
      </c>
      <c r="L27" s="27">
        <f>3640/10000000</f>
        <v>3.6400000000000001E-4</v>
      </c>
      <c r="N27" s="12">
        <f>F27+K27</f>
        <v>6.9961082000000001</v>
      </c>
      <c r="O27" s="13">
        <f>G27+L27</f>
        <v>3.6400000000000001E-4</v>
      </c>
      <c r="Q27" s="5">
        <v>7864</v>
      </c>
    </row>
    <row r="28" spans="1:21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315">
        <f>'UPTO JUNE 2020'!F28+'JULY-2020'!F28</f>
        <v>7.9770478999999996</v>
      </c>
      <c r="G28" s="315">
        <f>'UPTO JUNE 2020'!G28+'JULY-2020'!G28</f>
        <v>1.0587759999999999</v>
      </c>
      <c r="H28" s="314" t="s">
        <v>221</v>
      </c>
      <c r="I28" s="314">
        <f t="shared" si="1"/>
        <v>-86.727220228927052</v>
      </c>
      <c r="K28" s="27">
        <v>0.52</v>
      </c>
      <c r="L28" s="27">
        <v>0.2</v>
      </c>
      <c r="N28" s="12">
        <f t="shared" ref="N28:N33" si="2">F28+K28</f>
        <v>8.4970479000000001</v>
      </c>
      <c r="O28" s="13">
        <f t="shared" ref="O28:O33" si="3">G28+L28</f>
        <v>1.2587759999999999</v>
      </c>
    </row>
    <row r="29" spans="1:21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315">
        <f>'UPTO JUNE 2020'!F29+'JULY-2020'!F29</f>
        <v>0.62616360000000004</v>
      </c>
      <c r="G29" s="404">
        <f>'UPTO JUNE 2020'!G29+'JULY-2020'!G29</f>
        <v>5.9544999999999997E-3</v>
      </c>
      <c r="H29" s="314" t="s">
        <v>221</v>
      </c>
      <c r="I29" s="314">
        <f t="shared" si="1"/>
        <v>-99.049050439853104</v>
      </c>
      <c r="K29" s="27">
        <v>0.03</v>
      </c>
      <c r="L29" s="27">
        <v>0</v>
      </c>
      <c r="N29" s="12">
        <f t="shared" si="2"/>
        <v>0.65616360000000007</v>
      </c>
      <c r="O29" s="13">
        <f t="shared" si="3"/>
        <v>5.9544999999999997E-3</v>
      </c>
    </row>
    <row r="30" spans="1:21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315">
        <f>'UPTO JUNE 2020'!F30+'JULY-2020'!F30</f>
        <v>1.134145</v>
      </c>
      <c r="G30" s="315">
        <f>'UPTO JUNE 2020'!G30+'JULY-2020'!G30</f>
        <v>0</v>
      </c>
      <c r="H30" s="316" t="s">
        <v>221</v>
      </c>
      <c r="I30" s="314">
        <f t="shared" si="1"/>
        <v>-100</v>
      </c>
      <c r="K30" s="27"/>
      <c r="L30" s="27">
        <v>0</v>
      </c>
      <c r="N30" s="12">
        <f t="shared" si="2"/>
        <v>1.134145</v>
      </c>
      <c r="O30" s="13">
        <f t="shared" si="3"/>
        <v>0</v>
      </c>
    </row>
    <row r="31" spans="1:21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315">
        <f>'UPTO JUNE 2020'!F31+'JULY-2020'!F31</f>
        <v>1.6982465</v>
      </c>
      <c r="G31" s="315">
        <f>'UPTO JUNE 2020'!G31+'JULY-2020'!G31</f>
        <v>0</v>
      </c>
      <c r="H31" s="316" t="s">
        <v>221</v>
      </c>
      <c r="I31" s="314">
        <f t="shared" si="1"/>
        <v>-100</v>
      </c>
      <c r="K31" s="27"/>
      <c r="L31" s="27">
        <v>0</v>
      </c>
      <c r="N31" s="12">
        <f t="shared" si="2"/>
        <v>1.6982465</v>
      </c>
      <c r="O31" s="13">
        <f t="shared" si="3"/>
        <v>0</v>
      </c>
    </row>
    <row r="32" spans="1:21" ht="15.4" x14ac:dyDescent="0.4">
      <c r="A32" s="2016"/>
      <c r="B32" s="2017" t="s">
        <v>241</v>
      </c>
      <c r="C32" s="2030"/>
      <c r="D32" s="332" t="s">
        <v>221</v>
      </c>
      <c r="E32" s="308" t="s">
        <v>221</v>
      </c>
      <c r="F32" s="315">
        <f>'UPTO JUNE 2020'!F32+'JULY-2020'!F32</f>
        <v>11.024559100000001</v>
      </c>
      <c r="G32" s="315">
        <f>'UPTO JUNE 2020'!G32+'JULY-2020'!G32</f>
        <v>1.3228761</v>
      </c>
      <c r="H32" s="316" t="s">
        <v>221</v>
      </c>
      <c r="I32" s="314">
        <f t="shared" si="1"/>
        <v>-88.000643944119275</v>
      </c>
      <c r="K32" s="27">
        <f>12141731/10000000</f>
        <v>1.2141731</v>
      </c>
      <c r="L32" s="27">
        <f>947534/10000000</f>
        <v>9.4753400000000002E-2</v>
      </c>
      <c r="N32" s="12">
        <f t="shared" si="2"/>
        <v>12.238732200000001</v>
      </c>
      <c r="O32" s="13">
        <f t="shared" si="3"/>
        <v>1.4176295000000001</v>
      </c>
    </row>
    <row r="33" spans="1:16" x14ac:dyDescent="0.4">
      <c r="A33" s="403"/>
      <c r="B33" s="402" t="s">
        <v>266</v>
      </c>
      <c r="C33" s="409"/>
      <c r="D33" s="332"/>
      <c r="E33" s="308"/>
      <c r="F33" s="315">
        <f>'UPTO JUNE 2020'!F33+'JULY-2020'!F33</f>
        <v>9.3425999999999995E-3</v>
      </c>
      <c r="G33" s="427">
        <f>'UPTO JUNE 2020'!G33+'JULY-2020'!G33</f>
        <v>4.9899999999999999E-4</v>
      </c>
      <c r="H33" s="316"/>
      <c r="I33" s="314">
        <f t="shared" si="1"/>
        <v>-94.658874403271042</v>
      </c>
      <c r="K33" s="27">
        <f>18811/10000000</f>
        <v>1.8810999999999999E-3</v>
      </c>
      <c r="L33" s="27"/>
      <c r="N33" s="12">
        <f t="shared" si="2"/>
        <v>1.12237E-2</v>
      </c>
      <c r="O33" s="13">
        <f t="shared" si="3"/>
        <v>4.9899999999999999E-4</v>
      </c>
      <c r="P33" s="5">
        <f>1525+30+210+140+950+3915+11791+250</f>
        <v>18811</v>
      </c>
    </row>
    <row r="34" spans="1:16" ht="15" x14ac:dyDescent="0.35">
      <c r="A34" s="2020">
        <v>4</v>
      </c>
      <c r="B34" s="2021" t="s">
        <v>428</v>
      </c>
      <c r="C34" s="2022"/>
      <c r="D34" s="2022"/>
      <c r="E34" s="2022"/>
      <c r="F34" s="2022"/>
      <c r="G34" s="2022"/>
      <c r="H34" s="2022"/>
      <c r="I34" s="2023"/>
    </row>
    <row r="35" spans="1:16" ht="15.4" x14ac:dyDescent="0.4">
      <c r="A35" s="2020"/>
      <c r="B35" s="2006" t="s">
        <v>27</v>
      </c>
      <c r="C35" s="2007"/>
      <c r="D35" s="331">
        <v>2.4300000000000002</v>
      </c>
      <c r="E35" s="307">
        <v>0.81</v>
      </c>
      <c r="F35" s="315">
        <f>'UPTO JUNE 2020'!F35+'JULY-2020'!F35</f>
        <v>2.0613630000000001</v>
      </c>
      <c r="G35" s="404">
        <f>'UPTO JUNE 2020'!G35+'JULY-2020'!G35</f>
        <v>7.85E-2</v>
      </c>
      <c r="H35" s="314">
        <f>(G35-E35)/E35*100</f>
        <v>-90.308641975308646</v>
      </c>
      <c r="I35" s="314">
        <f>(G35-F35)/F35*100</f>
        <v>-96.191840059222955</v>
      </c>
      <c r="K35" s="6"/>
      <c r="L35" s="6"/>
    </row>
    <row r="36" spans="1:16" ht="15.4" x14ac:dyDescent="0.4">
      <c r="A36" s="2020"/>
      <c r="B36" s="2006" t="s">
        <v>28</v>
      </c>
      <c r="C36" s="2007"/>
      <c r="D36" s="333">
        <v>0.11</v>
      </c>
      <c r="E36" s="307">
        <v>3.5999999999999997E-2</v>
      </c>
      <c r="F36" s="315">
        <f>'UPTO JUNE 2020'!F36+'JULY-2020'!F36</f>
        <v>1.3089268000000001</v>
      </c>
      <c r="G36" s="315">
        <f>'UPTO JUNE 2020'!G36+'JULY-2020'!G36</f>
        <v>0</v>
      </c>
      <c r="H36" s="314">
        <f>(G36-E36)/E36*100</f>
        <v>-100</v>
      </c>
      <c r="I36" s="314">
        <f>(G36-F36)/F36*100</f>
        <v>-100</v>
      </c>
      <c r="K36" s="6"/>
      <c r="L36" s="6"/>
    </row>
    <row r="37" spans="1:16" ht="15.4" x14ac:dyDescent="0.4">
      <c r="A37" s="2020"/>
      <c r="B37" s="378" t="s">
        <v>224</v>
      </c>
      <c r="C37" s="379"/>
      <c r="D37" s="331">
        <v>0.19</v>
      </c>
      <c r="E37" s="307">
        <v>6.4000000000000001E-2</v>
      </c>
      <c r="F37" s="315">
        <f>'UPTO JUNE 2020'!F37+'JULY-2020'!F37</f>
        <v>0.68419169999999996</v>
      </c>
      <c r="G37" s="315">
        <f>'UPTO JUNE 2020'!G37+'JULY-2020'!G37</f>
        <v>2.72711E-2</v>
      </c>
      <c r="H37" s="314">
        <f>(G37-E37)/E37*100</f>
        <v>-57.388906250000005</v>
      </c>
      <c r="I37" s="314">
        <f>(G37-F37)/F37*100</f>
        <v>-96.014114172972285</v>
      </c>
      <c r="K37" s="6"/>
      <c r="L37" s="6"/>
    </row>
    <row r="38" spans="1:16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315">
        <f>'UPTO JUNE 2020'!F38+'JULY-2020'!F38</f>
        <v>0</v>
      </c>
      <c r="G38" s="315">
        <f>'UPTO JUNE 2020'!G38+'JULY-2020'!G38</f>
        <v>0</v>
      </c>
      <c r="H38" s="314" t="s">
        <v>221</v>
      </c>
      <c r="I38" s="314">
        <v>0</v>
      </c>
      <c r="K38" s="6"/>
      <c r="L38" s="6"/>
    </row>
    <row r="39" spans="1:16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315">
        <f>'UPTO JUNE 2020'!F39+'JULY-2020'!F39</f>
        <v>1.1401E-2</v>
      </c>
      <c r="G39" s="315">
        <f>'UPTO JUNE 2020'!G39+'JULY-2020'!G39</f>
        <v>0</v>
      </c>
      <c r="H39" s="314" t="s">
        <v>221</v>
      </c>
      <c r="I39" s="314">
        <v>0</v>
      </c>
      <c r="K39" s="6"/>
      <c r="L39" s="6"/>
    </row>
    <row r="40" spans="1:16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315">
        <f>'UPTO JUNE 2020'!F40+'JULY-2020'!F40</f>
        <v>8.738499999999999E-2</v>
      </c>
      <c r="G40" s="315">
        <f>'UPTO JUNE 2020'!G40+'JULY-2020'!G40</f>
        <v>2.2943300000000003E-2</v>
      </c>
      <c r="H40" s="314"/>
      <c r="I40" s="314">
        <f>(G40-F40)/F40*100</f>
        <v>-73.744578589002685</v>
      </c>
      <c r="K40" s="6"/>
      <c r="L40" s="6"/>
    </row>
    <row r="41" spans="1:16" ht="15" x14ac:dyDescent="0.35">
      <c r="A41" s="2020"/>
      <c r="B41" s="2021" t="s">
        <v>421</v>
      </c>
      <c r="C41" s="2022"/>
      <c r="D41" s="2022"/>
      <c r="E41" s="2022"/>
      <c r="F41" s="2022"/>
      <c r="G41" s="2022"/>
      <c r="H41" s="2022"/>
      <c r="I41" s="2023"/>
    </row>
    <row r="42" spans="1:16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315">
        <f>'UPTO JUNE 2020'!F42+'JULY-2020'!F42</f>
        <v>11.579999999999998</v>
      </c>
      <c r="G42" s="315">
        <f>'UPTO JUNE 2020'!G42+'JULY-2020'!G42</f>
        <v>0</v>
      </c>
      <c r="H42" s="314" t="s">
        <v>221</v>
      </c>
      <c r="I42" s="314">
        <v>0</v>
      </c>
      <c r="K42" s="6"/>
      <c r="L42" s="6">
        <v>650</v>
      </c>
    </row>
    <row r="43" spans="1:16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315">
        <f>'UPTO JUNE 2020'!F43+'JULY-2020'!F43</f>
        <v>10.81</v>
      </c>
      <c r="G43" s="315">
        <f>'UPTO JUNE 2020'!G43+'JULY-2020'!G43</f>
        <v>0.18235799999999999</v>
      </c>
      <c r="H43" s="2027" t="s">
        <v>221</v>
      </c>
      <c r="I43" s="314">
        <v>0</v>
      </c>
      <c r="K43" s="6"/>
      <c r="L43" s="6"/>
    </row>
    <row r="44" spans="1:16" ht="15.4" x14ac:dyDescent="0.4">
      <c r="A44" s="2020"/>
      <c r="B44" s="2070"/>
      <c r="C44" s="320" t="s">
        <v>228</v>
      </c>
      <c r="D44" s="2068"/>
      <c r="E44" s="2066"/>
      <c r="F44" s="315">
        <f>'UPTO JUNE 2020'!F44+'JULY-2020'!F44</f>
        <v>3.8810000000000002</v>
      </c>
      <c r="G44" s="315">
        <f>'UPTO JUNE 2020'!G44+'JULY-2020'!G44</f>
        <v>-0.43773800000000002</v>
      </c>
      <c r="H44" s="2029"/>
      <c r="I44" s="314">
        <f>(G44-F44)/F44*100</f>
        <v>-111.27900025766554</v>
      </c>
      <c r="K44" s="6"/>
      <c r="L44" s="6"/>
    </row>
    <row r="45" spans="1:16" ht="15" x14ac:dyDescent="0.35">
      <c r="A45" s="2020">
        <v>6</v>
      </c>
      <c r="B45" s="2021" t="s">
        <v>422</v>
      </c>
      <c r="C45" s="2022"/>
      <c r="D45" s="2022"/>
      <c r="E45" s="2022"/>
      <c r="F45" s="2022"/>
      <c r="G45" s="2022"/>
      <c r="H45" s="2022"/>
      <c r="I45" s="2023"/>
    </row>
    <row r="46" spans="1:16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2"/>
      <c r="G46" s="312"/>
      <c r="H46" s="2027" t="s">
        <v>221</v>
      </c>
      <c r="I46" s="314" t="e">
        <f>(G46-F46)/F46*100</f>
        <v>#DIV/0!</v>
      </c>
    </row>
    <row r="47" spans="1:16" ht="15.4" x14ac:dyDescent="0.4">
      <c r="A47" s="2020"/>
      <c r="B47" s="2006" t="s">
        <v>37</v>
      </c>
      <c r="C47" s="2007"/>
      <c r="D47" s="303" t="s">
        <v>221</v>
      </c>
      <c r="E47" s="2025"/>
      <c r="F47" s="312"/>
      <c r="G47" s="312"/>
      <c r="H47" s="2028"/>
      <c r="I47" s="314" t="e">
        <f>(G47-F47)/F47*100</f>
        <v>#DIV/0!</v>
      </c>
    </row>
    <row r="48" spans="1:16" ht="15.4" x14ac:dyDescent="0.4">
      <c r="A48" s="2020"/>
      <c r="B48" s="2006" t="s">
        <v>38</v>
      </c>
      <c r="C48" s="2007"/>
      <c r="D48" s="303" t="s">
        <v>221</v>
      </c>
      <c r="E48" s="2026"/>
      <c r="F48" s="312"/>
      <c r="G48" s="312"/>
      <c r="H48" s="2029"/>
      <c r="I48" s="314" t="e">
        <f>(G48-F48)/F48*100</f>
        <v>#DIV/0!</v>
      </c>
    </row>
    <row r="64" spans="8:8" s="5" customFormat="1" ht="13.5" x14ac:dyDescent="0.35">
      <c r="H64" s="11">
        <f>60000/100000</f>
        <v>0.6</v>
      </c>
    </row>
  </sheetData>
  <mergeCells count="64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75" bottom="0.75" header="0.3" footer="0.3"/>
  <pageSetup paperSize="9" scale="43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P64"/>
  <sheetViews>
    <sheetView workbookViewId="0">
      <selection activeCell="F16" sqref="F16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7.265625" style="5" customWidth="1"/>
    <col min="4" max="4" width="8.3984375" style="84" customWidth="1"/>
    <col min="5" max="5" width="9.3984375" style="35" customWidth="1"/>
    <col min="6" max="6" width="11" style="5" customWidth="1"/>
    <col min="7" max="7" width="12" style="5" customWidth="1"/>
    <col min="8" max="8" width="9.1328125" style="11" customWidth="1"/>
    <col min="9" max="9" width="11.86328125" style="82" customWidth="1"/>
    <col min="10" max="11" width="9.1328125" style="5"/>
    <col min="12" max="12" width="10" style="5" customWidth="1"/>
    <col min="13" max="13" width="10.1328125" style="5" customWidth="1"/>
    <col min="14" max="14" width="9.1328125" style="5"/>
    <col min="15" max="15" width="22.73046875" style="5" customWidth="1"/>
    <col min="16" max="16" width="9.265625" style="5" customWidth="1"/>
    <col min="17" max="16384" width="9.1328125" style="5"/>
  </cols>
  <sheetData>
    <row r="1" spans="1:16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ht="17.25" thickBot="1" x14ac:dyDescent="0.5">
      <c r="A2" s="2092" t="s">
        <v>280</v>
      </c>
      <c r="B2" s="2093"/>
      <c r="C2" s="2093"/>
      <c r="D2" s="2093"/>
      <c r="E2" s="2093"/>
      <c r="F2" s="2093"/>
      <c r="G2" s="2093"/>
      <c r="H2" s="2093"/>
      <c r="I2" s="2094"/>
    </row>
    <row r="3" spans="1:1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6" s="35" customFormat="1" ht="15" x14ac:dyDescent="0.45">
      <c r="A4" s="2035"/>
      <c r="B4" s="2047"/>
      <c r="C4" s="2048"/>
      <c r="D4" s="366" t="s">
        <v>9</v>
      </c>
      <c r="E4" s="383">
        <f>G4</f>
        <v>44044</v>
      </c>
      <c r="F4" s="383">
        <v>43678</v>
      </c>
      <c r="G4" s="383">
        <v>44044</v>
      </c>
      <c r="H4" s="2041" t="s">
        <v>12</v>
      </c>
      <c r="I4" s="2041" t="s">
        <v>13</v>
      </c>
      <c r="N4" s="380"/>
      <c r="O4" s="380"/>
    </row>
    <row r="5" spans="1:16" ht="15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>
        <v>72435424</v>
      </c>
    </row>
    <row r="6" spans="1:16" x14ac:dyDescent="0.35">
      <c r="A6" s="372">
        <v>1</v>
      </c>
      <c r="B6" s="2049" t="s">
        <v>279</v>
      </c>
      <c r="C6" s="2049"/>
      <c r="D6" s="304" t="s">
        <v>221</v>
      </c>
      <c r="E6" s="305" t="s">
        <v>221</v>
      </c>
      <c r="F6" s="305">
        <f>F15+F16+F17</f>
        <v>64.89</v>
      </c>
      <c r="G6" s="305">
        <f>G15+G16+G17</f>
        <v>6.9653946000000007</v>
      </c>
      <c r="H6" s="306" t="s">
        <v>221</v>
      </c>
      <c r="I6" s="306">
        <f>(G6-F6)/F6*100</f>
        <v>-89.265842810910769</v>
      </c>
      <c r="K6" s="12"/>
    </row>
    <row r="7" spans="1:16" x14ac:dyDescent="0.35">
      <c r="A7" s="373">
        <v>2</v>
      </c>
      <c r="B7" s="2050" t="s">
        <v>281</v>
      </c>
      <c r="C7" s="2051"/>
      <c r="D7" s="307" t="s">
        <v>221</v>
      </c>
      <c r="E7" s="307" t="s">
        <v>221</v>
      </c>
      <c r="F7" s="307">
        <v>20.66</v>
      </c>
      <c r="G7" s="307">
        <v>7.78</v>
      </c>
      <c r="H7" s="308" t="s">
        <v>221</v>
      </c>
      <c r="I7" s="308">
        <f>(G7-F7)/F7*100</f>
        <v>-62.342691190706681</v>
      </c>
      <c r="M7" s="172"/>
    </row>
    <row r="8" spans="1:16" x14ac:dyDescent="0.35">
      <c r="A8" s="374">
        <v>3</v>
      </c>
      <c r="B8" s="2021" t="s">
        <v>282</v>
      </c>
      <c r="C8" s="2023"/>
      <c r="D8" s="364" t="s">
        <v>221</v>
      </c>
      <c r="E8" s="364" t="s">
        <v>221</v>
      </c>
      <c r="F8" s="364">
        <v>6.94</v>
      </c>
      <c r="G8" s="364">
        <v>1.056</v>
      </c>
      <c r="H8" s="365" t="s">
        <v>221</v>
      </c>
      <c r="I8" s="365">
        <f>(G8-F8)/F8*100</f>
        <v>-84.783861671469737</v>
      </c>
      <c r="P8" s="12"/>
    </row>
    <row r="9" spans="1:16" x14ac:dyDescent="0.35">
      <c r="A9" s="373">
        <v>4</v>
      </c>
      <c r="B9" s="2052" t="s">
        <v>283</v>
      </c>
      <c r="C9" s="2053"/>
      <c r="D9" s="307" t="s">
        <v>221</v>
      </c>
      <c r="E9" s="307" t="s">
        <v>221</v>
      </c>
      <c r="F9" s="307">
        <v>0.65</v>
      </c>
      <c r="G9" s="406">
        <v>0.16900000000000001</v>
      </c>
      <c r="H9" s="308" t="s">
        <v>221</v>
      </c>
      <c r="I9" s="308">
        <f>(G9-F9)/F9*100</f>
        <v>-74</v>
      </c>
    </row>
    <row r="10" spans="1:16" ht="17.649999999999999" x14ac:dyDescent="0.35">
      <c r="A10" s="374">
        <v>5</v>
      </c>
      <c r="B10" s="2117" t="s">
        <v>284</v>
      </c>
      <c r="C10" s="2118"/>
      <c r="D10" s="321" t="s">
        <v>221</v>
      </c>
      <c r="E10" s="321" t="s">
        <v>221</v>
      </c>
      <c r="F10" s="321">
        <f>SUM(F6:F9)</f>
        <v>93.14</v>
      </c>
      <c r="G10" s="321">
        <f>SUM(G6:G9)</f>
        <v>15.970394600000002</v>
      </c>
      <c r="H10" s="322" t="s">
        <v>221</v>
      </c>
      <c r="I10" s="322">
        <f>(G10-F10)/F10*100</f>
        <v>-82.853344857204206</v>
      </c>
    </row>
    <row r="11" spans="1:16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6" ht="18.399999999999999" thickTop="1" thickBot="1" x14ac:dyDescent="0.5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5.93</v>
      </c>
      <c r="G12" s="447">
        <f>G42+G43+G44</f>
        <v>8.6623999999999993E-2</v>
      </c>
      <c r="H12" s="310" t="s">
        <v>221</v>
      </c>
      <c r="I12" s="311">
        <f>(G12-F12)/F12*100</f>
        <v>-98.539224283305231</v>
      </c>
      <c r="O12"/>
      <c r="P12" s="13"/>
    </row>
    <row r="13" spans="1:16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6" ht="15" x14ac:dyDescent="0.35">
      <c r="A14" s="2003">
        <v>1</v>
      </c>
      <c r="B14" s="2021" t="s">
        <v>278</v>
      </c>
      <c r="C14" s="2022"/>
      <c r="D14" s="2022"/>
      <c r="E14" s="2022"/>
      <c r="F14" s="2022"/>
      <c r="G14" s="2022"/>
      <c r="H14" s="2022"/>
      <c r="I14" s="2023"/>
    </row>
    <row r="15" spans="1:16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264">
        <v>1.75</v>
      </c>
      <c r="G15" s="433">
        <f>6810/10000000</f>
        <v>6.8099999999999996E-4</v>
      </c>
      <c r="H15" s="314" t="s">
        <v>221</v>
      </c>
      <c r="I15" s="314">
        <v>0</v>
      </c>
      <c r="K15" s="5">
        <f>G15*10000000</f>
        <v>6810</v>
      </c>
      <c r="L15" s="5">
        <f>K15/10000000</f>
        <v>6.8099999999999996E-4</v>
      </c>
    </row>
    <row r="16" spans="1:16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134">
        <v>12.3</v>
      </c>
      <c r="G16" s="433">
        <f>13575/10000000</f>
        <v>1.3575E-3</v>
      </c>
      <c r="H16" s="2027" t="s">
        <v>221</v>
      </c>
      <c r="I16" s="314">
        <v>0</v>
      </c>
      <c r="K16" s="5">
        <f>G16*10000000</f>
        <v>13575</v>
      </c>
      <c r="L16" s="5">
        <f>K16/10000000</f>
        <v>1.3575E-3</v>
      </c>
      <c r="M16" s="12">
        <f>G16+G17</f>
        <v>6.9647136000000005</v>
      </c>
      <c r="N16" s="5">
        <f>(M16-L16)/L16*100</f>
        <v>512954.40883977909</v>
      </c>
    </row>
    <row r="17" spans="1:15" ht="15.4" x14ac:dyDescent="0.4">
      <c r="A17" s="2005"/>
      <c r="B17" s="2071"/>
      <c r="C17" s="320" t="s">
        <v>228</v>
      </c>
      <c r="D17" s="2064"/>
      <c r="E17" s="2066"/>
      <c r="F17" s="134">
        <v>50.84</v>
      </c>
      <c r="G17" s="134">
        <f>69633561/10000000</f>
        <v>6.9633561000000004</v>
      </c>
      <c r="H17" s="2029"/>
      <c r="I17" s="314">
        <f>(G17-F17)/F17*100</f>
        <v>-86.303390833988985</v>
      </c>
      <c r="K17" s="5">
        <f>G17*10000000</f>
        <v>69633561</v>
      </c>
      <c r="L17" s="5">
        <f>K17/10000000</f>
        <v>6.9633561000000004</v>
      </c>
    </row>
    <row r="18" spans="1:15" ht="27" customHeight="1" x14ac:dyDescent="0.35">
      <c r="A18" s="2003">
        <v>2</v>
      </c>
      <c r="B18" s="2021" t="s">
        <v>285</v>
      </c>
      <c r="C18" s="2022"/>
      <c r="D18" s="2022"/>
      <c r="E18" s="2022"/>
      <c r="F18" s="2022"/>
      <c r="G18" s="2022"/>
      <c r="H18" s="2022"/>
      <c r="I18" s="2023"/>
    </row>
    <row r="19" spans="1:15" ht="18.75" customHeight="1" x14ac:dyDescent="0.45">
      <c r="A19" s="2004"/>
      <c r="B19" s="2008" t="s">
        <v>230</v>
      </c>
      <c r="C19" s="2000" t="s">
        <v>231</v>
      </c>
      <c r="D19" s="2001"/>
      <c r="E19" s="2002"/>
      <c r="F19" s="315">
        <f>120371475/10000000</f>
        <v>12.0371475</v>
      </c>
      <c r="G19" s="315">
        <f>19326308/10000000</f>
        <v>1.9326308000000001</v>
      </c>
      <c r="H19" s="316" t="s">
        <v>221</v>
      </c>
      <c r="I19" s="314">
        <f>(G19-F19)/F19*100</f>
        <v>-83.94444530982112</v>
      </c>
      <c r="L19"/>
    </row>
    <row r="20" spans="1:15" ht="18.75" customHeight="1" x14ac:dyDescent="0.4">
      <c r="A20" s="2004"/>
      <c r="B20" s="2009"/>
      <c r="C20" s="2000" t="s">
        <v>232</v>
      </c>
      <c r="D20" s="2001"/>
      <c r="E20" s="2002"/>
      <c r="F20" s="315">
        <f>63988312/10000000</f>
        <v>6.3988312000000001</v>
      </c>
      <c r="G20" s="315">
        <f>33482164/10000000</f>
        <v>3.3482164000000001</v>
      </c>
      <c r="H20" s="316" t="s">
        <v>221</v>
      </c>
      <c r="I20" s="314">
        <f>(G20-F20)/F20*100</f>
        <v>-47.674562817034463</v>
      </c>
    </row>
    <row r="21" spans="1:15" ht="18.75" customHeight="1" x14ac:dyDescent="0.4">
      <c r="A21" s="2004"/>
      <c r="B21" s="2009"/>
      <c r="C21" s="2000" t="s">
        <v>239</v>
      </c>
      <c r="D21" s="2001"/>
      <c r="E21" s="2002"/>
      <c r="F21" s="315">
        <f>7033900/10000000</f>
        <v>0.70338999999999996</v>
      </c>
      <c r="G21" s="315">
        <f>19522604/10000000</f>
        <v>1.9522603999999999</v>
      </c>
      <c r="H21" s="316" t="s">
        <v>221</v>
      </c>
      <c r="I21" s="314">
        <v>0</v>
      </c>
    </row>
    <row r="22" spans="1:15" ht="18.75" customHeight="1" x14ac:dyDescent="0.4">
      <c r="A22" s="2004"/>
      <c r="B22" s="2009"/>
      <c r="C22" s="2000" t="s">
        <v>233</v>
      </c>
      <c r="D22" s="2001"/>
      <c r="E22" s="2002"/>
      <c r="F22" s="315">
        <f>11975946/10000000</f>
        <v>1.1975946</v>
      </c>
      <c r="G22" s="315">
        <f>5450831/10000000</f>
        <v>0.54508310000000004</v>
      </c>
      <c r="H22" s="316" t="s">
        <v>221</v>
      </c>
      <c r="I22" s="314">
        <f>(G22-F22)/F22*100</f>
        <v>-54.485173864344404</v>
      </c>
    </row>
    <row r="23" spans="1:15" ht="18.75" customHeight="1" x14ac:dyDescent="0.4">
      <c r="A23" s="2004"/>
      <c r="B23" s="2009"/>
      <c r="C23" s="2000" t="s">
        <v>234</v>
      </c>
      <c r="D23" s="2001"/>
      <c r="E23" s="2002"/>
      <c r="F23" s="315">
        <f>2746616/10000000</f>
        <v>0.27466160000000001</v>
      </c>
      <c r="G23" s="315">
        <v>0</v>
      </c>
      <c r="H23" s="316" t="s">
        <v>221</v>
      </c>
      <c r="I23" s="314">
        <f>(G23-F23)/F23*100</f>
        <v>-100</v>
      </c>
    </row>
    <row r="24" spans="1:15" ht="18.75" customHeight="1" x14ac:dyDescent="0.4">
      <c r="A24" s="2004"/>
      <c r="B24" s="2009"/>
      <c r="C24" s="2000" t="s">
        <v>235</v>
      </c>
      <c r="D24" s="2001"/>
      <c r="E24" s="2002"/>
      <c r="F24" s="315">
        <f>485874/10000000</f>
        <v>4.8587400000000003E-2</v>
      </c>
      <c r="G24" s="315">
        <v>0</v>
      </c>
      <c r="H24" s="316"/>
      <c r="I24" s="314">
        <v>0</v>
      </c>
    </row>
    <row r="25" spans="1:15" ht="31.5" customHeight="1" x14ac:dyDescent="0.4">
      <c r="A25" s="2005"/>
      <c r="B25" s="2010"/>
      <c r="C25" s="2011" t="s">
        <v>236</v>
      </c>
      <c r="D25" s="2012"/>
      <c r="E25" s="2013"/>
      <c r="F25" s="315">
        <v>0</v>
      </c>
      <c r="G25" s="315">
        <v>0</v>
      </c>
      <c r="H25" s="316" t="s">
        <v>221</v>
      </c>
      <c r="I25" s="314">
        <v>0</v>
      </c>
      <c r="N25" s="5">
        <f>6.94-6.51</f>
        <v>0.4300000000000006</v>
      </c>
    </row>
    <row r="26" spans="1:15" ht="24.75" customHeight="1" x14ac:dyDescent="0.35">
      <c r="A26" s="2014">
        <v>3</v>
      </c>
      <c r="B26" s="2021" t="s">
        <v>286</v>
      </c>
      <c r="C26" s="2022"/>
      <c r="D26" s="2022"/>
      <c r="E26" s="2022"/>
      <c r="F26" s="2022"/>
      <c r="G26" s="2022"/>
      <c r="H26" s="2022"/>
      <c r="I26" s="2023"/>
    </row>
    <row r="27" spans="1:15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134">
        <v>1.28</v>
      </c>
      <c r="G27" s="283">
        <f>72920/10000000</f>
        <v>7.2919999999999999E-3</v>
      </c>
      <c r="H27" s="314" t="s">
        <v>221</v>
      </c>
      <c r="I27" s="314">
        <f t="shared" ref="I27:I33" si="0">(G27-F27)/F27*100</f>
        <v>-99.430312499999999</v>
      </c>
      <c r="K27" s="172"/>
      <c r="L27" s="172" t="s">
        <v>275</v>
      </c>
    </row>
    <row r="28" spans="1:15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f>18836480/10000000</f>
        <v>1.883648</v>
      </c>
      <c r="G28" s="134">
        <f>7527724/10000000</f>
        <v>0.75277240000000001</v>
      </c>
      <c r="H28" s="314" t="s">
        <v>221</v>
      </c>
      <c r="I28" s="314">
        <f t="shared" si="0"/>
        <v>-60.036461164718666</v>
      </c>
    </row>
    <row r="29" spans="1:15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134">
        <f>991220/10000000</f>
        <v>9.9122000000000002E-2</v>
      </c>
      <c r="G29" s="389">
        <f>64517/10000000</f>
        <v>6.4517000000000003E-3</v>
      </c>
      <c r="H29" s="314" t="s">
        <v>221</v>
      </c>
      <c r="I29" s="314">
        <f t="shared" si="0"/>
        <v>-93.491152317346291</v>
      </c>
    </row>
    <row r="30" spans="1:15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v>0.22</v>
      </c>
      <c r="G30" s="134">
        <v>0</v>
      </c>
      <c r="H30" s="316" t="s">
        <v>221</v>
      </c>
      <c r="I30" s="314">
        <f t="shared" si="0"/>
        <v>-100</v>
      </c>
    </row>
    <row r="31" spans="1:15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v>0</v>
      </c>
      <c r="G31" s="264">
        <v>0</v>
      </c>
      <c r="H31" s="316" t="s">
        <v>221</v>
      </c>
      <c r="I31" s="314" t="e">
        <f t="shared" si="0"/>
        <v>#DIV/0!</v>
      </c>
    </row>
    <row r="32" spans="1:15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134">
        <v>2.93</v>
      </c>
      <c r="G32" s="134">
        <f>2890498/10000000</f>
        <v>0.28904980000000002</v>
      </c>
      <c r="H32" s="316" t="s">
        <v>221</v>
      </c>
      <c r="I32" s="314">
        <f t="shared" si="0"/>
        <v>-90.134819112627994</v>
      </c>
      <c r="O32" s="380"/>
    </row>
    <row r="33" spans="1:15" x14ac:dyDescent="0.45">
      <c r="A33" s="403"/>
      <c r="B33" s="402" t="s">
        <v>266</v>
      </c>
      <c r="C33" s="409"/>
      <c r="D33" s="332"/>
      <c r="E33" s="308"/>
      <c r="F33" s="134">
        <v>0.43</v>
      </c>
      <c r="G33" s="134">
        <v>0</v>
      </c>
      <c r="H33" s="316"/>
      <c r="I33" s="314">
        <f t="shared" si="0"/>
        <v>-100</v>
      </c>
      <c r="O33" s="380"/>
    </row>
    <row r="34" spans="1:15" ht="15" x14ac:dyDescent="0.4">
      <c r="A34" s="2020">
        <v>4</v>
      </c>
      <c r="B34" s="2021" t="s">
        <v>287</v>
      </c>
      <c r="C34" s="2022"/>
      <c r="D34" s="2022"/>
      <c r="E34" s="2022"/>
      <c r="F34" s="2022"/>
      <c r="G34" s="2022"/>
      <c r="H34" s="2022"/>
      <c r="I34" s="2023"/>
      <c r="M34" s="26"/>
    </row>
    <row r="35" spans="1:15" ht="15.4" x14ac:dyDescent="0.4">
      <c r="A35" s="2020"/>
      <c r="B35" s="2006" t="s">
        <v>27</v>
      </c>
      <c r="C35" s="2007"/>
      <c r="D35" s="331" t="s">
        <v>221</v>
      </c>
      <c r="E35" s="307">
        <v>0.20250000000000001</v>
      </c>
      <c r="F35" s="433">
        <v>0.52800000000000002</v>
      </c>
      <c r="G35" s="283">
        <v>5.7000000000000002E-2</v>
      </c>
      <c r="H35" s="314" t="s">
        <v>221</v>
      </c>
      <c r="I35" s="314">
        <f>(G35-F35)/F35*100</f>
        <v>-89.204545454545453</v>
      </c>
      <c r="K35" s="432" t="s">
        <v>203</v>
      </c>
      <c r="L35" s="432" t="s">
        <v>275</v>
      </c>
    </row>
    <row r="36" spans="1:15" ht="15.4" x14ac:dyDescent="0.4">
      <c r="A36" s="2020"/>
      <c r="B36" s="2006" t="s">
        <v>28</v>
      </c>
      <c r="C36" s="2007"/>
      <c r="D36" s="333" t="s">
        <v>221</v>
      </c>
      <c r="E36" s="307" t="s">
        <v>221</v>
      </c>
      <c r="F36" s="433">
        <f>762688/10000000</f>
        <v>7.6268799999999998E-2</v>
      </c>
      <c r="G36" s="134">
        <v>0</v>
      </c>
      <c r="H36" s="314" t="s">
        <v>221</v>
      </c>
      <c r="I36" s="314">
        <f>(G36-F36)/F36*100</f>
        <v>-100</v>
      </c>
      <c r="K36" s="432">
        <f>4574+556+30+12011+280+180+240+12294+285+692+3475+700</f>
        <v>35317</v>
      </c>
      <c r="L36" s="432">
        <f>2+95+1240+3906+1656+16414+110+10000+1500</f>
        <v>34923</v>
      </c>
    </row>
    <row r="37" spans="1:15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433">
        <v>4.5285300000000001E-2</v>
      </c>
      <c r="G37" s="134">
        <f>770151/10000000</f>
        <v>7.7015100000000003E-2</v>
      </c>
      <c r="H37" s="314" t="s">
        <v>221</v>
      </c>
      <c r="I37" s="314">
        <f>(G37-F37)/F37*100</f>
        <v>70.066445402812832</v>
      </c>
    </row>
    <row r="38" spans="1:15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v>0</v>
      </c>
      <c r="G38" s="134">
        <v>0</v>
      </c>
      <c r="H38" s="314" t="s">
        <v>221</v>
      </c>
      <c r="I38" s="314">
        <v>0</v>
      </c>
    </row>
    <row r="39" spans="1:15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264">
        <v>0</v>
      </c>
      <c r="G39" s="134">
        <v>0</v>
      </c>
      <c r="H39" s="314" t="s">
        <v>221</v>
      </c>
      <c r="I39" s="314">
        <v>0</v>
      </c>
    </row>
    <row r="40" spans="1:15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389">
        <f>35317/10000000</f>
        <v>3.5317E-3</v>
      </c>
      <c r="G40" s="389">
        <f>34923/1000000</f>
        <v>3.4923000000000003E-2</v>
      </c>
      <c r="H40" s="314"/>
      <c r="I40" s="314">
        <v>0</v>
      </c>
    </row>
    <row r="41" spans="1:15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</row>
    <row r="42" spans="1:15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3.14</v>
      </c>
      <c r="G42" s="433">
        <v>8.4999999999999995E-4</v>
      </c>
      <c r="H42" s="314" t="s">
        <v>221</v>
      </c>
      <c r="I42" s="314">
        <v>0</v>
      </c>
      <c r="L42" s="5">
        <f>G42*1000000</f>
        <v>850</v>
      </c>
      <c r="M42" s="5">
        <f>L42/100000</f>
        <v>8.5000000000000006E-3</v>
      </c>
    </row>
    <row r="43" spans="1:15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134">
        <v>2.0299999999999998</v>
      </c>
      <c r="G43" s="283">
        <v>5.5099999999999995E-4</v>
      </c>
      <c r="H43" s="2027" t="s">
        <v>221</v>
      </c>
      <c r="I43" s="314">
        <v>0</v>
      </c>
      <c r="L43" s="5">
        <f>G43*1000000</f>
        <v>551</v>
      </c>
      <c r="M43" s="5">
        <f>L43/100000</f>
        <v>5.5100000000000001E-3</v>
      </c>
      <c r="N43" s="5">
        <f>(M43-L43)/L43*100</f>
        <v>-99.999000000000009</v>
      </c>
    </row>
    <row r="44" spans="1:15" ht="15.4" x14ac:dyDescent="0.4">
      <c r="A44" s="2020"/>
      <c r="B44" s="2070"/>
      <c r="C44" s="320" t="s">
        <v>228</v>
      </c>
      <c r="D44" s="2068"/>
      <c r="E44" s="2066"/>
      <c r="F44" s="134">
        <v>0.76</v>
      </c>
      <c r="G44" s="283">
        <f>85223/1000000</f>
        <v>8.5222999999999993E-2</v>
      </c>
      <c r="H44" s="2029"/>
      <c r="I44" s="314">
        <f>(G44-F44)/F44*100</f>
        <v>-88.786447368421051</v>
      </c>
      <c r="L44" s="5">
        <f>G44*1000000</f>
        <v>85223</v>
      </c>
      <c r="M44" s="5">
        <f>L44/100000</f>
        <v>0.85223000000000004</v>
      </c>
    </row>
    <row r="45" spans="1:15" ht="15" x14ac:dyDescent="0.35">
      <c r="A45" s="2020">
        <v>6</v>
      </c>
      <c r="B45" s="2021" t="s">
        <v>288</v>
      </c>
      <c r="C45" s="2022"/>
      <c r="D45" s="2022"/>
      <c r="E45" s="2022"/>
      <c r="F45" s="2022"/>
      <c r="G45" s="2022"/>
      <c r="H45" s="2022"/>
      <c r="I45" s="2023"/>
    </row>
    <row r="46" spans="1:15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>
        <v>228.11</v>
      </c>
      <c r="G46" s="78">
        <v>282.23</v>
      </c>
      <c r="H46" s="2027" t="s">
        <v>221</v>
      </c>
      <c r="I46" s="314">
        <f>(G46-F46)/F46*100</f>
        <v>23.725395642453204</v>
      </c>
    </row>
    <row r="47" spans="1:15" ht="15.4" x14ac:dyDescent="0.4">
      <c r="A47" s="2020"/>
      <c r="B47" s="2006" t="s">
        <v>37</v>
      </c>
      <c r="C47" s="2007"/>
      <c r="D47" s="303" t="s">
        <v>221</v>
      </c>
      <c r="E47" s="2025"/>
      <c r="F47" s="78">
        <v>21.75</v>
      </c>
      <c r="G47" s="78">
        <v>29.57</v>
      </c>
      <c r="H47" s="2028"/>
      <c r="I47" s="314">
        <f>(G47-F47)/F47*100</f>
        <v>35.954022988505749</v>
      </c>
    </row>
    <row r="48" spans="1:15" ht="15.4" x14ac:dyDescent="0.4">
      <c r="A48" s="2020"/>
      <c r="B48" s="2006" t="s">
        <v>38</v>
      </c>
      <c r="C48" s="2007"/>
      <c r="D48" s="303" t="s">
        <v>221</v>
      </c>
      <c r="E48" s="2026"/>
      <c r="F48" s="78">
        <f>SUM(F46:F47)</f>
        <v>249.86</v>
      </c>
      <c r="G48" s="78">
        <f>SUM(G46:G47)</f>
        <v>311.8</v>
      </c>
      <c r="H48" s="2029"/>
      <c r="I48" s="314">
        <f>(G48-F48)/F48*100</f>
        <v>24.789882334107098</v>
      </c>
    </row>
    <row r="50" spans="2:8" s="5" customFormat="1" ht="13.5" x14ac:dyDescent="0.35">
      <c r="B50" s="300" t="s">
        <v>277</v>
      </c>
      <c r="D50" s="84"/>
      <c r="E50" s="35"/>
      <c r="F50" s="5">
        <v>26325</v>
      </c>
      <c r="G50" s="5">
        <v>102</v>
      </c>
      <c r="H50" s="11"/>
    </row>
    <row r="54" spans="2:8" s="5" customFormat="1" ht="13.5" x14ac:dyDescent="0.35">
      <c r="C54" s="12">
        <v>56.49</v>
      </c>
      <c r="D54" s="84">
        <v>18.96</v>
      </c>
      <c r="E54" s="428">
        <f>C54-D54</f>
        <v>37.53</v>
      </c>
      <c r="F54" s="12">
        <v>290</v>
      </c>
      <c r="G54" s="12">
        <f>E54+F54</f>
        <v>327.52999999999997</v>
      </c>
      <c r="H54" s="11"/>
    </row>
    <row r="64" spans="2:8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36" bottom="0.24" header="0.3" footer="0.3"/>
  <pageSetup paperSize="9" scale="61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T64"/>
  <sheetViews>
    <sheetView workbookViewId="0">
      <selection activeCell="F17" sqref="F17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6" style="5" customWidth="1"/>
    <col min="4" max="4" width="11.73046875" style="84" customWidth="1"/>
    <col min="5" max="5" width="11.265625" style="35" customWidth="1"/>
    <col min="6" max="6" width="11" style="5" customWidth="1"/>
    <col min="7" max="7" width="12" style="5" customWidth="1"/>
    <col min="8" max="8" width="12.86328125" style="11" customWidth="1"/>
    <col min="9" max="9" width="11.86328125" style="82" customWidth="1"/>
    <col min="10" max="11" width="9.1328125" style="5"/>
    <col min="12" max="12" width="9.59765625" style="5" customWidth="1"/>
    <col min="13" max="16" width="9.1328125" style="5"/>
    <col min="17" max="17" width="10.1328125" style="5" customWidth="1"/>
    <col min="18" max="16384" width="9.1328125" style="5"/>
  </cols>
  <sheetData>
    <row r="1" spans="1:19" ht="23.25" customHeight="1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9" s="301" customFormat="1" ht="26.25" customHeight="1" thickBot="1" x14ac:dyDescent="0.5">
      <c r="A2" s="2092" t="s">
        <v>429</v>
      </c>
      <c r="B2" s="2093"/>
      <c r="C2" s="2093"/>
      <c r="D2" s="2093"/>
      <c r="E2" s="2093"/>
      <c r="F2" s="2093"/>
      <c r="G2" s="2093"/>
      <c r="H2" s="2093"/>
      <c r="I2" s="2094"/>
    </row>
    <row r="3" spans="1:19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9" s="35" customFormat="1" ht="29.25" customHeight="1" x14ac:dyDescent="0.45">
      <c r="A4" s="2035"/>
      <c r="B4" s="2047"/>
      <c r="C4" s="2048"/>
      <c r="D4" s="366" t="s">
        <v>9</v>
      </c>
      <c r="E4" s="383">
        <f>G4</f>
        <v>44044</v>
      </c>
      <c r="F4" s="383">
        <v>43678</v>
      </c>
      <c r="G4" s="383">
        <v>44044</v>
      </c>
      <c r="H4" s="2041" t="s">
        <v>12</v>
      </c>
      <c r="I4" s="2041" t="s">
        <v>13</v>
      </c>
    </row>
    <row r="5" spans="1:19" ht="23.25" customHeight="1" x14ac:dyDescent="0.3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</row>
    <row r="6" spans="1:19" ht="30" customHeight="1" x14ac:dyDescent="0.35">
      <c r="A6" s="372">
        <v>1</v>
      </c>
      <c r="B6" s="2049" t="s">
        <v>290</v>
      </c>
      <c r="C6" s="2049"/>
      <c r="D6" s="304">
        <v>231.56</v>
      </c>
      <c r="E6" s="305">
        <v>11.73</v>
      </c>
      <c r="F6" s="305">
        <f>'UPTO JUNE 2020'!F6+'JULY-2020'!F6+'AUG-2020'!F6</f>
        <v>376.88462679999998</v>
      </c>
      <c r="G6" s="305">
        <f>'UPTO JUNE 2020'!G6+'JULY-2020'!G6+'AUG-2020'!G6</f>
        <v>-4.6193746999999989</v>
      </c>
      <c r="H6" s="306">
        <f>(G6-E6)/E6*100</f>
        <v>-139.38085848252342</v>
      </c>
      <c r="I6" s="306">
        <f>(G6-F6)/F6*100</f>
        <v>-101.22567342139199</v>
      </c>
    </row>
    <row r="7" spans="1:19" ht="26.25" customHeight="1" x14ac:dyDescent="0.35">
      <c r="A7" s="373">
        <v>2</v>
      </c>
      <c r="B7" s="2050" t="s">
        <v>291</v>
      </c>
      <c r="C7" s="2051"/>
      <c r="D7" s="434">
        <v>177.3</v>
      </c>
      <c r="E7" s="434">
        <v>73.209999999999994</v>
      </c>
      <c r="F7" s="434">
        <f>'UPTO JUNE 2020'!F7+'JULY-2020'!F7+'AUG-2020'!F7</f>
        <v>80.489999999999995</v>
      </c>
      <c r="G7" s="434">
        <f>'UPTO JUNE 2020'!G7+'JULY-2020'!G7+'AUG-2020'!G7</f>
        <v>45.38</v>
      </c>
      <c r="H7" s="517">
        <f>(G7-E7)/E7*100</f>
        <v>-38.013932522879379</v>
      </c>
      <c r="I7" s="517">
        <f>(G7-F7)/F7*100</f>
        <v>-43.620325506274064</v>
      </c>
    </row>
    <row r="8" spans="1:19" ht="32.25" customHeight="1" x14ac:dyDescent="0.35">
      <c r="A8" s="374">
        <v>3</v>
      </c>
      <c r="B8" s="2021" t="s">
        <v>292</v>
      </c>
      <c r="C8" s="2023"/>
      <c r="D8" s="364">
        <v>23.29</v>
      </c>
      <c r="E8" s="364">
        <v>10.06</v>
      </c>
      <c r="F8" s="305">
        <f>'UPTO JUNE 2020'!F8+'JULY-2020'!F8+'AUG-2020'!F8</f>
        <v>36.049999999999997</v>
      </c>
      <c r="G8" s="305">
        <f>'UPTO JUNE 2020'!G8+'JULY-2020'!G8+'AUG-2020'!G8</f>
        <v>3.4460000000000002</v>
      </c>
      <c r="H8" s="306">
        <f>(G8-E8)/E8*100</f>
        <v>-65.7455268389662</v>
      </c>
      <c r="I8" s="365">
        <f>(G8-F8)/F8*100</f>
        <v>-90.441054091539527</v>
      </c>
    </row>
    <row r="9" spans="1:19" ht="34.5" customHeight="1" x14ac:dyDescent="0.35">
      <c r="A9" s="373">
        <v>4</v>
      </c>
      <c r="B9" s="2052" t="s">
        <v>293</v>
      </c>
      <c r="C9" s="2053"/>
      <c r="D9" s="434">
        <v>2.73</v>
      </c>
      <c r="E9" s="434">
        <f>E35+E36+E37</f>
        <v>1.1375000000000002</v>
      </c>
      <c r="F9" s="434">
        <f>'UPTO JUNE 2020'!F9+'JULY-2020'!F9+'AUG-2020'!F9</f>
        <v>4.7200000000000006</v>
      </c>
      <c r="G9" s="434">
        <f>'UPTO JUNE 2020'!G9+'JULY-2020'!G9+'AUG-2020'!G9</f>
        <v>0.29210000000000003</v>
      </c>
      <c r="H9" s="517">
        <f>(G9-E9)/E9*100</f>
        <v>-74.320879120879127</v>
      </c>
      <c r="I9" s="517">
        <f>(G9-F9)/F9*100</f>
        <v>-93.811440677966104</v>
      </c>
    </row>
    <row r="10" spans="1:19" ht="28.5" customHeight="1" x14ac:dyDescent="0.35">
      <c r="A10" s="374">
        <v>5</v>
      </c>
      <c r="B10" s="2054" t="s">
        <v>294</v>
      </c>
      <c r="C10" s="2055"/>
      <c r="D10" s="321">
        <f>SUM(D6:D9)</f>
        <v>434.88000000000005</v>
      </c>
      <c r="E10" s="321">
        <f>SUM(E6:E9)</f>
        <v>96.137500000000003</v>
      </c>
      <c r="F10" s="321">
        <f>SUM(F6:F9)</f>
        <v>498.14462680000003</v>
      </c>
      <c r="G10" s="321">
        <f>SUM(G6:G9)</f>
        <v>44.498725299999997</v>
      </c>
      <c r="H10" s="306">
        <f>(G10-E10)/E10*100</f>
        <v>-53.713456975685872</v>
      </c>
      <c r="I10" s="322">
        <f>(G10-F10)/F10*100</f>
        <v>-91.067107240350538</v>
      </c>
    </row>
    <row r="11" spans="1:19" ht="14.2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9" ht="36.75" customHeight="1" x14ac:dyDescent="0.35">
      <c r="A12" s="373">
        <v>6.3</v>
      </c>
      <c r="B12" s="2116" t="s">
        <v>250</v>
      </c>
      <c r="C12" s="2116"/>
      <c r="D12" s="332" t="s">
        <v>221</v>
      </c>
      <c r="E12" s="307" t="s">
        <v>221</v>
      </c>
      <c r="F12" s="305">
        <f>'UPTO JUNE 2020'!F12+'JULY-2020'!F12+'AUG-2020'!F12</f>
        <v>32.201000000000001</v>
      </c>
      <c r="G12" s="305">
        <v>-0.17</v>
      </c>
      <c r="H12" s="308" t="s">
        <v>221</v>
      </c>
      <c r="I12" s="308">
        <f>(G12-F12)/F12*100</f>
        <v>-100.5279339150958</v>
      </c>
    </row>
    <row r="13" spans="1:19" ht="18.75" customHeight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9" ht="30.75" customHeight="1" x14ac:dyDescent="0.35">
      <c r="A14" s="2003">
        <v>1</v>
      </c>
      <c r="B14" s="2021" t="s">
        <v>425</v>
      </c>
      <c r="C14" s="2022"/>
      <c r="D14" s="2022"/>
      <c r="E14" s="2022"/>
      <c r="F14" s="2022"/>
      <c r="G14" s="2022"/>
      <c r="H14" s="2022"/>
      <c r="I14" s="2023"/>
    </row>
    <row r="15" spans="1:19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434">
        <f>'UPTO JUNE 2020'!F15+'JULY-2020'!F15+'AUG-2020'!F15</f>
        <v>8.5500000000000007</v>
      </c>
      <c r="G15" s="436">
        <f>'UPTO JUNE 2020'!G15+'JULY-2020'!G15+'AUG-2020'!G15</f>
        <v>6.8099999999999996E-4</v>
      </c>
      <c r="H15" s="314" t="s">
        <v>221</v>
      </c>
      <c r="I15" s="314">
        <v>0</v>
      </c>
      <c r="K15" s="27">
        <f>5073683/10000000</f>
        <v>0.50736829999999999</v>
      </c>
      <c r="L15" s="6">
        <f>1980/10000000</f>
        <v>1.9799999999999999E-4</v>
      </c>
      <c r="N15" s="12">
        <f t="shared" ref="N15:O17" si="0">F15+K15</f>
        <v>9.0573683000000003</v>
      </c>
      <c r="O15" s="13">
        <f t="shared" si="0"/>
        <v>8.7900000000000001E-4</v>
      </c>
      <c r="Q15" s="12">
        <f>F15</f>
        <v>8.5500000000000007</v>
      </c>
      <c r="R15" s="12">
        <f>G15</f>
        <v>6.8099999999999996E-4</v>
      </c>
      <c r="S15" s="11">
        <f>(R15-Q15)/Q15*100</f>
        <v>-99.992035087719302</v>
      </c>
    </row>
    <row r="16" spans="1:19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434">
        <f>'UPTO JUNE 2020'!F16+'JULY-2020'!F16+'AUG-2020'!F16</f>
        <v>82.409999999999982</v>
      </c>
      <c r="G16" s="434">
        <f>'UPTO JUNE 2020'!G16+'JULY-2020'!G16+'AUG-2020'!G16</f>
        <v>13.875142499999999</v>
      </c>
      <c r="H16" s="2027" t="s">
        <v>221</v>
      </c>
      <c r="I16" s="314">
        <v>0</v>
      </c>
      <c r="K16" s="27">
        <f>35821587/10000000</f>
        <v>3.5821586999999999</v>
      </c>
      <c r="L16" s="27">
        <v>0</v>
      </c>
      <c r="N16" s="12">
        <f t="shared" si="0"/>
        <v>85.992158699999976</v>
      </c>
      <c r="O16" s="12">
        <f t="shared" si="0"/>
        <v>13.875142499999999</v>
      </c>
      <c r="Q16" s="12">
        <f>F16+F17</f>
        <v>368.33462679999991</v>
      </c>
      <c r="R16" s="12">
        <f>G16+G17</f>
        <v>-4.6200557000000053</v>
      </c>
      <c r="S16" s="11">
        <f>(R16-Q16)/Q16*100</f>
        <v>-101.25430935998006</v>
      </c>
    </row>
    <row r="17" spans="1:20" ht="15.4" x14ac:dyDescent="0.4">
      <c r="A17" s="2005"/>
      <c r="B17" s="2071"/>
      <c r="C17" s="320" t="s">
        <v>228</v>
      </c>
      <c r="D17" s="2064"/>
      <c r="E17" s="2066"/>
      <c r="F17" s="434">
        <f>'UPTO JUNE 2020'!F17+'JULY-2020'!F17+'AUG-2020'!F17</f>
        <v>285.92462679999994</v>
      </c>
      <c r="G17" s="434">
        <f>'UPTO JUNE 2020'!G17+'JULY-2020'!G17+'AUG-2020'!G17</f>
        <v>-18.495198200000004</v>
      </c>
      <c r="H17" s="2029"/>
      <c r="I17" s="314">
        <f>(G17-F17)/F17*100</f>
        <v>-106.46855725825152</v>
      </c>
      <c r="K17" s="27">
        <f>158006783/10000000</f>
        <v>15.8006783</v>
      </c>
      <c r="L17" s="27">
        <f>20753918/10000000</f>
        <v>2.0753917999999998</v>
      </c>
      <c r="N17" s="12">
        <f t="shared" si="0"/>
        <v>301.72530509999996</v>
      </c>
      <c r="O17" s="12">
        <f t="shared" si="0"/>
        <v>-16.419806400000006</v>
      </c>
      <c r="Q17" s="12">
        <f>SUM(Q15:Q16)</f>
        <v>376.88462679999992</v>
      </c>
      <c r="R17" s="12">
        <f>SUM(R15:R16)</f>
        <v>-4.6193747000000052</v>
      </c>
      <c r="S17" s="11">
        <f>(R17-Q17)/Q17*100</f>
        <v>-101.22567342139199</v>
      </c>
    </row>
    <row r="18" spans="1:20" ht="27" customHeight="1" x14ac:dyDescent="0.35">
      <c r="A18" s="2003">
        <v>2</v>
      </c>
      <c r="B18" s="2021" t="s">
        <v>426</v>
      </c>
      <c r="C18" s="2022"/>
      <c r="D18" s="2022"/>
      <c r="E18" s="2022"/>
      <c r="F18" s="2022"/>
      <c r="G18" s="2022"/>
      <c r="H18" s="2022"/>
      <c r="I18" s="2023"/>
    </row>
    <row r="19" spans="1:20" ht="18.75" customHeight="1" x14ac:dyDescent="0.4">
      <c r="A19" s="2004"/>
      <c r="B19" s="2008" t="s">
        <v>230</v>
      </c>
      <c r="C19" s="2000" t="s">
        <v>231</v>
      </c>
      <c r="D19" s="2001"/>
      <c r="E19" s="2002"/>
      <c r="F19" s="434">
        <f>'UPTO JUNE 2020'!F19+'JULY-2020'!F19+'AUG-2020'!F19</f>
        <v>37.681876600000002</v>
      </c>
      <c r="G19" s="434">
        <f>'UPTO JUNE 2020'!G19+'JULY-2020'!G19+'AUG-2020'!G19</f>
        <v>14.1226308</v>
      </c>
      <c r="H19" s="316" t="s">
        <v>221</v>
      </c>
      <c r="I19" s="314">
        <f>(G19-F19)/F19*100</f>
        <v>-62.521423893203874</v>
      </c>
    </row>
    <row r="20" spans="1:20" ht="18.75" customHeight="1" x14ac:dyDescent="0.4">
      <c r="A20" s="2004"/>
      <c r="B20" s="2009"/>
      <c r="C20" s="2000" t="s">
        <v>232</v>
      </c>
      <c r="D20" s="2001"/>
      <c r="E20" s="2002"/>
      <c r="F20" s="434">
        <f>'UPTO JUNE 2020'!F20+'JULY-2020'!F20+'AUG-2020'!F20</f>
        <v>31.148831199999996</v>
      </c>
      <c r="G20" s="434">
        <f>'UPTO JUNE 2020'!G20+'JULY-2020'!G20+'AUG-2020'!G20</f>
        <v>23.118216400000001</v>
      </c>
      <c r="H20" s="316" t="s">
        <v>221</v>
      </c>
      <c r="I20" s="314">
        <f>(G20-F20)/F20*100</f>
        <v>-25.781432209886567</v>
      </c>
    </row>
    <row r="21" spans="1:20" ht="18.75" customHeight="1" x14ac:dyDescent="0.4">
      <c r="A21" s="2004"/>
      <c r="B21" s="2009"/>
      <c r="C21" s="2000" t="s">
        <v>239</v>
      </c>
      <c r="D21" s="2001"/>
      <c r="E21" s="2002"/>
      <c r="F21" s="434">
        <f>'UPTO JUNE 2020'!F21+'JULY-2020'!F21+'AUG-2020'!F21</f>
        <v>3.6423899999999998</v>
      </c>
      <c r="G21" s="434">
        <f>'UPTO JUNE 2020'!G21+'JULY-2020'!G21+'AUG-2020'!G21</f>
        <v>3.2772604000000003</v>
      </c>
      <c r="H21" s="316" t="s">
        <v>221</v>
      </c>
      <c r="I21" s="314">
        <v>0</v>
      </c>
    </row>
    <row r="22" spans="1:20" ht="18.75" customHeight="1" x14ac:dyDescent="0.4">
      <c r="A22" s="2004"/>
      <c r="B22" s="2009"/>
      <c r="C22" s="2000" t="s">
        <v>233</v>
      </c>
      <c r="D22" s="2001"/>
      <c r="E22" s="2002"/>
      <c r="F22" s="434">
        <f>'UPTO JUNE 2020'!F22+'JULY-2020'!F22+'AUG-2020'!F22</f>
        <v>6.5735945999999998</v>
      </c>
      <c r="G22" s="434">
        <f>'UPTO JUNE 2020'!G22+'JULY-2020'!G22+'AUG-2020'!G22</f>
        <v>4.7750831000000007</v>
      </c>
      <c r="H22" s="316" t="s">
        <v>221</v>
      </c>
      <c r="I22" s="314">
        <f>(G22-F22)/F22*100</f>
        <v>-27.359635168253288</v>
      </c>
      <c r="Q22" s="5">
        <f>748850/5</f>
        <v>149770</v>
      </c>
      <c r="R22" s="41">
        <f>471988/8</f>
        <v>58998.5</v>
      </c>
      <c r="S22" s="5">
        <f>80.5/5</f>
        <v>16.100000000000001</v>
      </c>
      <c r="T22" s="12">
        <f>45.36/5</f>
        <v>9.0719999999999992</v>
      </c>
    </row>
    <row r="23" spans="1:20" ht="18.75" customHeight="1" x14ac:dyDescent="0.4">
      <c r="A23" s="2004"/>
      <c r="B23" s="2009"/>
      <c r="C23" s="2000" t="s">
        <v>234</v>
      </c>
      <c r="D23" s="2001"/>
      <c r="E23" s="2002"/>
      <c r="F23" s="434">
        <f>'UPTO JUNE 2020'!F23+'JULY-2020'!F23+'AUG-2020'!F23</f>
        <v>1.3946615999999998</v>
      </c>
      <c r="G23" s="434">
        <f>'UPTO JUNE 2020'!G23+'JULY-2020'!G23+'AUG-2020'!G23</f>
        <v>0.08</v>
      </c>
      <c r="H23" s="316" t="s">
        <v>221</v>
      </c>
      <c r="I23" s="314">
        <f>(G23-F23)/F23*100</f>
        <v>-94.263841493879227</v>
      </c>
    </row>
    <row r="24" spans="1:20" ht="18.75" customHeight="1" x14ac:dyDescent="0.4">
      <c r="A24" s="2004"/>
      <c r="B24" s="2009"/>
      <c r="C24" s="2000" t="s">
        <v>235</v>
      </c>
      <c r="D24" s="2001"/>
      <c r="E24" s="2002"/>
      <c r="F24" s="434">
        <f>'UPTO JUNE 2020'!F24+'JULY-2020'!F24+'AUG-2020'!F24</f>
        <v>4.8587400000000003E-2</v>
      </c>
      <c r="G24" s="434">
        <f>'UPTO JUNE 2020'!G24+'JULY-2020'!G24+'AUG-2020'!G24</f>
        <v>0</v>
      </c>
      <c r="H24" s="316"/>
      <c r="I24" s="314">
        <v>0</v>
      </c>
    </row>
    <row r="25" spans="1:20" ht="31.5" customHeight="1" x14ac:dyDescent="0.4">
      <c r="A25" s="2005"/>
      <c r="B25" s="2010"/>
      <c r="C25" s="2011" t="s">
        <v>424</v>
      </c>
      <c r="D25" s="2012"/>
      <c r="E25" s="2013"/>
      <c r="F25" s="434">
        <f>'UPTO JUNE 2020'!F25+'JULY-2020'!F25+'AUG-2020'!F25</f>
        <v>0</v>
      </c>
      <c r="G25" s="434">
        <f>'UPTO JUNE 2020'!G25+'JULY-2020'!G25+'AUG-2020'!G25</f>
        <v>0</v>
      </c>
      <c r="H25" s="316" t="s">
        <v>221</v>
      </c>
      <c r="I25" s="316">
        <v>0</v>
      </c>
    </row>
    <row r="26" spans="1:20" ht="24.75" customHeight="1" x14ac:dyDescent="0.35">
      <c r="A26" s="2014">
        <v>3</v>
      </c>
      <c r="B26" s="2021" t="s">
        <v>427</v>
      </c>
      <c r="C26" s="2022"/>
      <c r="D26" s="2022"/>
      <c r="E26" s="2022"/>
      <c r="F26" s="2022"/>
      <c r="G26" s="2022"/>
      <c r="H26" s="2022"/>
      <c r="I26" s="2023"/>
    </row>
    <row r="27" spans="1:20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434">
        <f>'UPTO JUNE 2020'!F27+'JULY-2020'!F27+'AUG-2020'!F27</f>
        <v>7.8761082</v>
      </c>
      <c r="G27" s="434">
        <f>'UPTO JUNE 2020'!G27+'JULY-2020'!G27+'AUG-2020'!G27</f>
        <v>7.2919999999999999E-3</v>
      </c>
      <c r="H27" s="314" t="s">
        <v>221</v>
      </c>
      <c r="I27" s="314">
        <f t="shared" ref="I27:I33" si="1">(G27-F27)/F27*100</f>
        <v>-99.907416203347736</v>
      </c>
      <c r="K27" s="6"/>
      <c r="L27" s="6"/>
      <c r="N27" s="5">
        <f>3640</f>
        <v>3640</v>
      </c>
    </row>
    <row r="28" spans="1:20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434">
        <f>'UPTO JUNE 2020'!F28+'JULY-2020'!F28+'AUG-2020'!F28</f>
        <v>9.8606958999999996</v>
      </c>
      <c r="G28" s="434">
        <f>'UPTO JUNE 2020'!G28+'JULY-2020'!G28+'AUG-2020'!G28</f>
        <v>1.8115483999999999</v>
      </c>
      <c r="H28" s="314" t="s">
        <v>221</v>
      </c>
      <c r="I28" s="314">
        <f t="shared" si="1"/>
        <v>-81.628594793193045</v>
      </c>
      <c r="K28" s="6"/>
      <c r="L28" s="6"/>
    </row>
    <row r="29" spans="1:20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434">
        <f>'UPTO JUNE 2020'!F29+'JULY-2020'!F29+'AUG-2020'!F29</f>
        <v>0.72528560000000009</v>
      </c>
      <c r="G29" s="434">
        <f>'UPTO JUNE 2020'!G29+'JULY-2020'!G29+'AUG-2020'!G29</f>
        <v>1.2406199999999999E-2</v>
      </c>
      <c r="H29" s="314" t="s">
        <v>221</v>
      </c>
      <c r="I29" s="314">
        <f t="shared" si="1"/>
        <v>-98.289473829343905</v>
      </c>
      <c r="K29" s="6"/>
      <c r="L29" s="6"/>
    </row>
    <row r="30" spans="1:20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434">
        <f>'UPTO JUNE 2020'!F30+'JULY-2020'!F30+'AUG-2020'!F30</f>
        <v>1.3541449999999999</v>
      </c>
      <c r="G30" s="434">
        <f>'UPTO JUNE 2020'!G30+'JULY-2020'!G30+'AUG-2020'!G30</f>
        <v>0</v>
      </c>
      <c r="H30" s="316" t="s">
        <v>221</v>
      </c>
      <c r="I30" s="314">
        <f t="shared" si="1"/>
        <v>-100</v>
      </c>
      <c r="K30" s="6"/>
      <c r="L30" s="6"/>
    </row>
    <row r="31" spans="1:20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434">
        <f>'UPTO JUNE 2020'!F31+'JULY-2020'!F31+'AUG-2020'!F31</f>
        <v>1.6982465</v>
      </c>
      <c r="G31" s="434">
        <f>'UPTO JUNE 2020'!G31+'JULY-2020'!G31+'AUG-2020'!G31</f>
        <v>0</v>
      </c>
      <c r="H31" s="316" t="s">
        <v>221</v>
      </c>
      <c r="I31" s="314">
        <f t="shared" si="1"/>
        <v>-100</v>
      </c>
      <c r="K31" s="6"/>
      <c r="L31" s="6"/>
    </row>
    <row r="32" spans="1:20" ht="15.4" x14ac:dyDescent="0.4">
      <c r="A32" s="2016"/>
      <c r="B32" s="2017" t="s">
        <v>241</v>
      </c>
      <c r="C32" s="2030"/>
      <c r="D32" s="332" t="s">
        <v>221</v>
      </c>
      <c r="E32" s="308" t="s">
        <v>221</v>
      </c>
      <c r="F32" s="434">
        <f>'UPTO JUNE 2020'!F32+'JULY-2020'!F32+'AUG-2020'!F32</f>
        <v>13.954559100000001</v>
      </c>
      <c r="G32" s="434">
        <f>'UPTO JUNE 2020'!G32+'JULY-2020'!G32+'AUG-2020'!G32</f>
        <v>1.6119259000000001</v>
      </c>
      <c r="H32" s="316" t="s">
        <v>221</v>
      </c>
      <c r="I32" s="314">
        <f t="shared" si="1"/>
        <v>-88.448750774218311</v>
      </c>
      <c r="K32" s="6"/>
      <c r="L32" s="6"/>
    </row>
    <row r="33" spans="1:19" x14ac:dyDescent="0.4">
      <c r="A33" s="403"/>
      <c r="B33" s="402" t="s">
        <v>266</v>
      </c>
      <c r="C33" s="409"/>
      <c r="D33" s="332"/>
      <c r="E33" s="308"/>
      <c r="F33" s="434">
        <f>'UPTO JUNE 2020'!F33+'JULY-2020'!F33+'AUG-2020'!F33</f>
        <v>0.43934259999999997</v>
      </c>
      <c r="G33" s="434">
        <f>'UPTO JUNE 2020'!G33+'JULY-2020'!G33+'AUG-2020'!G33</f>
        <v>4.9899999999999999E-4</v>
      </c>
      <c r="H33" s="316"/>
      <c r="I33" s="314">
        <f t="shared" si="1"/>
        <v>-99.886421212056376</v>
      </c>
      <c r="K33" s="6"/>
      <c r="L33" s="6"/>
    </row>
    <row r="34" spans="1:19" ht="15" x14ac:dyDescent="0.35">
      <c r="A34" s="2020">
        <v>4</v>
      </c>
      <c r="B34" s="2021" t="s">
        <v>428</v>
      </c>
      <c r="C34" s="2022"/>
      <c r="D34" s="2022"/>
      <c r="E34" s="2022"/>
      <c r="F34" s="2022"/>
      <c r="G34" s="2022"/>
      <c r="H34" s="2022"/>
      <c r="I34" s="2023"/>
    </row>
    <row r="35" spans="1:19" ht="15.4" x14ac:dyDescent="0.4">
      <c r="A35" s="2020"/>
      <c r="B35" s="2006" t="s">
        <v>27</v>
      </c>
      <c r="C35" s="2007"/>
      <c r="D35" s="331">
        <v>2.4300000000000002</v>
      </c>
      <c r="E35" s="307">
        <v>1.0125000000000002</v>
      </c>
      <c r="F35" s="434">
        <f>'UPTO JUNE 2020'!F35+'JULY-2020'!F35+'AUG-2020'!F35</f>
        <v>2.5893630000000001</v>
      </c>
      <c r="G35" s="434">
        <f>'UPTO JUNE 2020'!G35+'JULY-2020'!G35+'AUG-2020'!G35</f>
        <v>0.13550000000000001</v>
      </c>
      <c r="H35" s="314">
        <f>(G35-E35)/E35*100</f>
        <v>-86.617283950617292</v>
      </c>
      <c r="I35" s="314">
        <f>(G35-F35)/F35*100</f>
        <v>-94.767052746177342</v>
      </c>
      <c r="M35" s="5">
        <f>D35/12</f>
        <v>0.20250000000000001</v>
      </c>
      <c r="N35" s="5">
        <f>M35*5</f>
        <v>1.0125000000000002</v>
      </c>
    </row>
    <row r="36" spans="1:19" ht="15.4" x14ac:dyDescent="0.4">
      <c r="A36" s="2020"/>
      <c r="B36" s="2006" t="s">
        <v>28</v>
      </c>
      <c r="C36" s="2007"/>
      <c r="D36" s="333">
        <v>0.11</v>
      </c>
      <c r="E36" s="307">
        <v>4.5833333333333337E-2</v>
      </c>
      <c r="F36" s="434">
        <f>'UPTO JUNE 2020'!F36+'JULY-2020'!F36+'AUG-2020'!F36</f>
        <v>1.3851956000000001</v>
      </c>
      <c r="G36" s="434">
        <f>'UPTO JUNE 2020'!G36+'JULY-2020'!G36+'AUG-2020'!G36</f>
        <v>0</v>
      </c>
      <c r="H36" s="314">
        <f>(G36-E36)/E36*100</f>
        <v>-100</v>
      </c>
      <c r="I36" s="314">
        <f>(G36-F36)/F36*100</f>
        <v>-100</v>
      </c>
      <c r="M36" s="5">
        <f>D36/12</f>
        <v>9.1666666666666667E-3</v>
      </c>
      <c r="N36" s="5">
        <f>M36*5</f>
        <v>4.5833333333333337E-2</v>
      </c>
    </row>
    <row r="37" spans="1:19" ht="15.4" x14ac:dyDescent="0.4">
      <c r="A37" s="2020"/>
      <c r="B37" s="378" t="s">
        <v>224</v>
      </c>
      <c r="C37" s="379"/>
      <c r="D37" s="331">
        <v>0.19</v>
      </c>
      <c r="E37" s="307">
        <v>7.9166666666666677E-2</v>
      </c>
      <c r="F37" s="434">
        <f>'UPTO JUNE 2020'!F37+'JULY-2020'!F37+'AUG-2020'!F37</f>
        <v>0.72947699999999993</v>
      </c>
      <c r="G37" s="434">
        <f>'UPTO JUNE 2020'!G37+'JULY-2020'!G37+'AUG-2020'!G37</f>
        <v>0.1042862</v>
      </c>
      <c r="H37" s="314">
        <f>(G37-E37)/E37*100</f>
        <v>31.729936842105239</v>
      </c>
      <c r="I37" s="314">
        <f>(G37-F37)/F37*100</f>
        <v>-85.703976958834886</v>
      </c>
      <c r="M37" s="5">
        <f>D37/12</f>
        <v>1.5833333333333335E-2</v>
      </c>
      <c r="N37" s="5">
        <f>M37*5</f>
        <v>7.9166666666666677E-2</v>
      </c>
    </row>
    <row r="38" spans="1:19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434">
        <f>'UPTO JUNE 2020'!F38+'JULY-2020'!F38+'AUG-2020'!F38</f>
        <v>0</v>
      </c>
      <c r="G38" s="434">
        <f>'UPTO JUNE 2020'!G38+'JULY-2020'!G38+'AUG-2020'!G38</f>
        <v>0</v>
      </c>
      <c r="H38" s="314" t="s">
        <v>221</v>
      </c>
      <c r="I38" s="314">
        <v>0</v>
      </c>
    </row>
    <row r="39" spans="1:19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434">
        <f>'UPTO JUNE 2020'!F39+'JULY-2020'!F39+'AUG-2020'!F39</f>
        <v>1.1401E-2</v>
      </c>
      <c r="G39" s="434">
        <f>'UPTO JUNE 2020'!G39+'JULY-2020'!G39+'AUG-2020'!G39</f>
        <v>0</v>
      </c>
      <c r="H39" s="314" t="s">
        <v>221</v>
      </c>
      <c r="I39" s="314">
        <v>0</v>
      </c>
    </row>
    <row r="40" spans="1:19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434">
        <f>'UPTO JUNE 2020'!F40+'JULY-2020'!F40+'AUG-2020'!F40</f>
        <v>9.0916699999999989E-2</v>
      </c>
      <c r="G40" s="434">
        <f>'UPTO JUNE 2020'!G40+'JULY-2020'!G40+'AUG-2020'!G40</f>
        <v>5.7866300000000009E-2</v>
      </c>
      <c r="H40" s="314"/>
      <c r="I40" s="314">
        <f>(G40-F40)/F40*100</f>
        <v>-36.352397304345608</v>
      </c>
    </row>
    <row r="41" spans="1:19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</row>
    <row r="42" spans="1:19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434">
        <f>'APRIL 2020'!F42+'MAY 2020'!F42+'JUNE-2020'!F42+'JULY-2020'!F42+'AUG-2020'!F42</f>
        <v>14.719999999999999</v>
      </c>
      <c r="G42" s="435">
        <f>'APRIL 2020'!G42+'MAY 2020'!G42+'JUNE-2020'!G42+'JULY-2020'!G42+'AUG-2020'!G42</f>
        <v>8.4999999999999995E-4</v>
      </c>
      <c r="H42" s="314" t="s">
        <v>221</v>
      </c>
      <c r="I42" s="314">
        <v>0</v>
      </c>
      <c r="K42" s="6"/>
      <c r="L42" s="6">
        <v>650</v>
      </c>
      <c r="N42" s="5">
        <f>G42*1000000</f>
        <v>850</v>
      </c>
      <c r="O42" s="12">
        <f>N42/100000</f>
        <v>8.5000000000000006E-3</v>
      </c>
    </row>
    <row r="43" spans="1:19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434">
        <f>'APRIL 2020'!F43+'MAY 2020'!F43+'JUNE-2020'!F43+'JULY-2020'!F43+'AUG-2020'!F43</f>
        <v>12.84</v>
      </c>
      <c r="G43" s="434">
        <f>'APRIL 2020'!G43+'MAY 2020'!G43+'JUNE-2020'!G43+'JULY-2020'!G43+'AUG-2020'!G43</f>
        <v>0.18290899999999999</v>
      </c>
      <c r="H43" s="2027" t="s">
        <v>221</v>
      </c>
      <c r="I43" s="314">
        <v>0</v>
      </c>
      <c r="K43" s="6"/>
      <c r="L43" s="6"/>
      <c r="N43" s="5">
        <f>G43*1000000</f>
        <v>182909</v>
      </c>
      <c r="O43" s="12">
        <f>N43/100000</f>
        <v>1.8290900000000001</v>
      </c>
      <c r="Q43" s="12">
        <f>F43+F44</f>
        <v>17.481000000000002</v>
      </c>
      <c r="R43" s="12">
        <f>G43+G44</f>
        <v>-0.16960600000000003</v>
      </c>
      <c r="S43" s="5">
        <f>(R43-Q43)/Q43*100</f>
        <v>-100.97023053601053</v>
      </c>
    </row>
    <row r="44" spans="1:19" ht="15.4" x14ac:dyDescent="0.4">
      <c r="A44" s="2020"/>
      <c r="B44" s="2070"/>
      <c r="C44" s="320" t="s">
        <v>228</v>
      </c>
      <c r="D44" s="2068"/>
      <c r="E44" s="2066"/>
      <c r="F44" s="434">
        <f>'APRIL 2020'!F44+'MAY 2020'!F44+'JUNE-2020'!F44+'JULY-2020'!F44+'AUG-2020'!F44</f>
        <v>4.641</v>
      </c>
      <c r="G44" s="434">
        <f>'APRIL 2020'!G44+'MAY 2020'!G44+'JUNE-2020'!G44+'JULY-2020'!G44+'AUG-2020'!G44</f>
        <v>-0.35251500000000002</v>
      </c>
      <c r="H44" s="2029"/>
      <c r="I44" s="314">
        <f>(G44-F44)/F44*100</f>
        <v>-107.59566903684552</v>
      </c>
      <c r="K44" s="6"/>
      <c r="L44" s="6"/>
      <c r="N44" s="5">
        <f>G44*1000000</f>
        <v>-352515</v>
      </c>
      <c r="O44" s="12">
        <f>N44/100000</f>
        <v>-3.52515</v>
      </c>
      <c r="Q44" s="5">
        <f>Q43*1000000</f>
        <v>17481000</v>
      </c>
      <c r="R44" s="5">
        <f>R43*1000000</f>
        <v>-169606.00000000003</v>
      </c>
    </row>
    <row r="45" spans="1:19" ht="15.75" customHeight="1" x14ac:dyDescent="0.35">
      <c r="A45" s="2020">
        <v>6</v>
      </c>
      <c r="B45" s="2021" t="s">
        <v>288</v>
      </c>
      <c r="C45" s="2022"/>
      <c r="D45" s="2022"/>
      <c r="E45" s="2022"/>
      <c r="F45" s="2022"/>
      <c r="G45" s="2022"/>
      <c r="H45" s="2022"/>
      <c r="I45" s="2023"/>
      <c r="Q45" s="5">
        <f>Q44/100000</f>
        <v>174.81</v>
      </c>
      <c r="R45" s="5">
        <f>R44/100000</f>
        <v>-1.6960600000000003</v>
      </c>
    </row>
    <row r="46" spans="1:19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2">
        <v>228.11</v>
      </c>
      <c r="G46" s="72">
        <v>282.23</v>
      </c>
      <c r="H46" s="2027" t="s">
        <v>221</v>
      </c>
      <c r="I46" s="314">
        <f>(G46-F46)/F46*100</f>
        <v>23.725395642453204</v>
      </c>
    </row>
    <row r="47" spans="1:19" ht="15.4" x14ac:dyDescent="0.4">
      <c r="A47" s="2020"/>
      <c r="B47" s="2006" t="s">
        <v>37</v>
      </c>
      <c r="C47" s="2007"/>
      <c r="D47" s="303" t="s">
        <v>221</v>
      </c>
      <c r="E47" s="2025"/>
      <c r="F47" s="72">
        <v>21.75</v>
      </c>
      <c r="G47" s="72">
        <v>29.57</v>
      </c>
      <c r="H47" s="2028"/>
      <c r="I47" s="314">
        <f>(G47-F47)/F47*100</f>
        <v>35.954022988505749</v>
      </c>
      <c r="P47" s="5">
        <f>30+31+30+31+31</f>
        <v>153</v>
      </c>
      <c r="Q47" s="12">
        <f>Q45/153</f>
        <v>1.1425490196078432</v>
      </c>
      <c r="R47" s="12">
        <f>R45/153</f>
        <v>-1.1085359477124185E-2</v>
      </c>
    </row>
    <row r="48" spans="1:19" ht="15.4" x14ac:dyDescent="0.4">
      <c r="A48" s="2020"/>
      <c r="B48" s="2006" t="s">
        <v>38</v>
      </c>
      <c r="C48" s="2007"/>
      <c r="D48" s="303" t="s">
        <v>221</v>
      </c>
      <c r="E48" s="2026"/>
      <c r="F48" s="72">
        <f>SUM(F46:F47)</f>
        <v>249.86</v>
      </c>
      <c r="G48" s="72">
        <f>SUM(G46:G47)</f>
        <v>311.8</v>
      </c>
      <c r="H48" s="2029"/>
      <c r="I48" s="314">
        <f>(G48-F48)/F48*100</f>
        <v>24.789882334107098</v>
      </c>
    </row>
    <row r="64" spans="8:8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3" bottom="0.11" header="0.3" footer="0.14000000000000001"/>
  <pageSetup paperSize="9" scale="44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Q64"/>
  <sheetViews>
    <sheetView topLeftCell="A19" workbookViewId="0">
      <selection activeCell="G42" sqref="G42:G44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7.265625" style="5" customWidth="1"/>
    <col min="4" max="4" width="8.3984375" style="84" customWidth="1"/>
    <col min="5" max="5" width="8.86328125" style="35" bestFit="1" customWidth="1"/>
    <col min="6" max="6" width="11" style="5" customWidth="1"/>
    <col min="7" max="7" width="12" style="5" customWidth="1"/>
    <col min="8" max="8" width="8.265625" style="11" customWidth="1"/>
    <col min="9" max="9" width="11.265625" style="82" customWidth="1"/>
    <col min="10" max="11" width="9.1328125" style="5"/>
    <col min="12" max="12" width="11.265625" style="5" customWidth="1"/>
    <col min="13" max="13" width="10.1328125" style="5" customWidth="1"/>
    <col min="14" max="14" width="9.1328125" style="5"/>
    <col min="15" max="15" width="22.73046875" style="5" customWidth="1"/>
    <col min="16" max="16" width="9.265625" style="5" customWidth="1"/>
    <col min="17" max="16384" width="9.1328125" style="5"/>
  </cols>
  <sheetData>
    <row r="1" spans="1:17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7" s="301" customFormat="1" ht="17.25" thickBot="1" x14ac:dyDescent="0.5">
      <c r="A2" s="2092" t="s">
        <v>289</v>
      </c>
      <c r="B2" s="2093"/>
      <c r="C2" s="2093"/>
      <c r="D2" s="2093"/>
      <c r="E2" s="2093"/>
      <c r="F2" s="2093"/>
      <c r="G2" s="2093"/>
      <c r="H2" s="2093"/>
      <c r="I2" s="2094"/>
    </row>
    <row r="3" spans="1:17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7" s="35" customFormat="1" ht="15" x14ac:dyDescent="0.45">
      <c r="A4" s="2035"/>
      <c r="B4" s="2047"/>
      <c r="C4" s="2048"/>
      <c r="D4" s="366" t="s">
        <v>9</v>
      </c>
      <c r="E4" s="383">
        <f>G4</f>
        <v>44075</v>
      </c>
      <c r="F4" s="383">
        <v>43709</v>
      </c>
      <c r="G4" s="383">
        <v>44075</v>
      </c>
      <c r="H4" s="2041" t="s">
        <v>12</v>
      </c>
      <c r="I4" s="2041" t="s">
        <v>13</v>
      </c>
      <c r="N4" s="380"/>
      <c r="O4" s="380"/>
    </row>
    <row r="5" spans="1:17" ht="15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/>
    </row>
    <row r="6" spans="1:17" x14ac:dyDescent="0.35">
      <c r="A6" s="372">
        <v>1</v>
      </c>
      <c r="B6" s="2049" t="s">
        <v>279</v>
      </c>
      <c r="C6" s="2049"/>
      <c r="D6" s="304" t="s">
        <v>221</v>
      </c>
      <c r="E6" s="305" t="s">
        <v>221</v>
      </c>
      <c r="F6" s="305">
        <f>F15+F16+F17</f>
        <v>70.67</v>
      </c>
      <c r="G6" s="305">
        <f>G15+G16+G17</f>
        <v>8.6666922</v>
      </c>
      <c r="H6" s="306" t="s">
        <v>221</v>
      </c>
      <c r="I6" s="306">
        <f>(G6-F6)/F6*100</f>
        <v>-87.736391396632229</v>
      </c>
      <c r="K6" s="319"/>
      <c r="L6" s="319">
        <v>30462813</v>
      </c>
    </row>
    <row r="7" spans="1:17" x14ac:dyDescent="0.35">
      <c r="A7" s="373">
        <v>2</v>
      </c>
      <c r="B7" s="2050" t="s">
        <v>281</v>
      </c>
      <c r="C7" s="2051"/>
      <c r="D7" s="307" t="s">
        <v>221</v>
      </c>
      <c r="E7" s="307" t="s">
        <v>221</v>
      </c>
      <c r="F7" s="307">
        <v>19.53</v>
      </c>
      <c r="G7" s="307">
        <v>11.11</v>
      </c>
      <c r="H7" s="308" t="s">
        <v>221</v>
      </c>
      <c r="I7" s="308">
        <f>(G7-F7)/F7*100</f>
        <v>-43.113159242191507</v>
      </c>
      <c r="M7" s="172"/>
    </row>
    <row r="8" spans="1:17" x14ac:dyDescent="0.35">
      <c r="A8" s="374">
        <v>3</v>
      </c>
      <c r="B8" s="2021" t="s">
        <v>282</v>
      </c>
      <c r="C8" s="2023"/>
      <c r="D8" s="364" t="s">
        <v>221</v>
      </c>
      <c r="E8" s="364" t="s">
        <v>221</v>
      </c>
      <c r="F8" s="364">
        <v>6.43</v>
      </c>
      <c r="G8" s="364">
        <v>1.306</v>
      </c>
      <c r="H8" s="365" t="s">
        <v>221</v>
      </c>
      <c r="I8" s="365">
        <f>(G8-F8)/F8*100</f>
        <v>-79.688958009331259</v>
      </c>
      <c r="L8" s="5">
        <f>G7*10000000</f>
        <v>111100000</v>
      </c>
      <c r="P8" s="12"/>
    </row>
    <row r="9" spans="1:17" x14ac:dyDescent="0.35">
      <c r="A9" s="373">
        <v>4</v>
      </c>
      <c r="B9" s="2052" t="s">
        <v>283</v>
      </c>
      <c r="C9" s="2053"/>
      <c r="D9" s="307" t="s">
        <v>221</v>
      </c>
      <c r="E9" s="307" t="s">
        <v>221</v>
      </c>
      <c r="F9" s="307">
        <v>0.66</v>
      </c>
      <c r="G9" s="406">
        <v>2.3699999999999999E-2</v>
      </c>
      <c r="H9" s="308" t="s">
        <v>221</v>
      </c>
      <c r="I9" s="308">
        <f>(G9-F9)/F9*100</f>
        <v>-96.409090909090921</v>
      </c>
      <c r="L9" s="5">
        <f>L8/100000</f>
        <v>1111</v>
      </c>
    </row>
    <row r="10" spans="1:17" ht="17.649999999999999" x14ac:dyDescent="0.35">
      <c r="A10" s="374">
        <v>5</v>
      </c>
      <c r="B10" s="2117" t="s">
        <v>284</v>
      </c>
      <c r="C10" s="2118"/>
      <c r="D10" s="321" t="s">
        <v>221</v>
      </c>
      <c r="E10" s="321" t="s">
        <v>221</v>
      </c>
      <c r="F10" s="446">
        <f>SUM(F6:F9)</f>
        <v>97.289999999999992</v>
      </c>
      <c r="G10" s="446">
        <f>SUM(G6:G9)</f>
        <v>21.106392200000002</v>
      </c>
      <c r="H10" s="322" t="s">
        <v>221</v>
      </c>
      <c r="I10" s="322">
        <f>(G10-F10)/F10*100</f>
        <v>-78.30569205468187</v>
      </c>
    </row>
    <row r="11" spans="1:17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7" ht="18.399999999999999" thickTop="1" thickBot="1" x14ac:dyDescent="0.5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6.4542640000000002</v>
      </c>
      <c r="G12" s="447">
        <f>G42+G43+G44</f>
        <v>0.131826</v>
      </c>
      <c r="H12" s="310" t="s">
        <v>221</v>
      </c>
      <c r="I12" s="311">
        <f>(G12-F12)/F12*100</f>
        <v>-97.957536289188042</v>
      </c>
      <c r="O12"/>
      <c r="P12" s="13"/>
    </row>
    <row r="13" spans="1:17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7" ht="15" x14ac:dyDescent="0.4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Q14">
        <v>42733</v>
      </c>
    </row>
    <row r="15" spans="1:17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264">
        <v>1.7</v>
      </c>
      <c r="G15" s="433">
        <f>11905/10000000</f>
        <v>1.1904999999999999E-3</v>
      </c>
      <c r="H15" s="314" t="s">
        <v>221</v>
      </c>
      <c r="I15" s="314">
        <f>(G15-F15)/F15*100</f>
        <v>-99.929970588235278</v>
      </c>
      <c r="K15" s="5">
        <f>G15*10000000</f>
        <v>11905</v>
      </c>
      <c r="L15" s="5">
        <f>K15/10000000</f>
        <v>1.1904999999999999E-3</v>
      </c>
    </row>
    <row r="16" spans="1:17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134">
        <v>14.05</v>
      </c>
      <c r="G16" s="433">
        <f>62890/10000000</f>
        <v>6.2890000000000003E-3</v>
      </c>
      <c r="H16" s="2027" t="s">
        <v>221</v>
      </c>
      <c r="I16" s="314">
        <f>(G16-F16)/F16*100</f>
        <v>-99.955238434163689</v>
      </c>
      <c r="K16" s="5">
        <f>G16*10000000</f>
        <v>62890</v>
      </c>
      <c r="L16" s="5">
        <f>K16/10000000</f>
        <v>6.2890000000000003E-3</v>
      </c>
      <c r="M16" s="12"/>
    </row>
    <row r="17" spans="1:17" ht="15.75" x14ac:dyDescent="0.45">
      <c r="A17" s="2005"/>
      <c r="B17" s="2071"/>
      <c r="C17" s="320" t="s">
        <v>228</v>
      </c>
      <c r="D17" s="2064"/>
      <c r="E17" s="2066"/>
      <c r="F17" s="252">
        <v>54.92</v>
      </c>
      <c r="G17" s="444">
        <f>86592127/10000000</f>
        <v>8.6592126999999994</v>
      </c>
      <c r="H17" s="2029"/>
      <c r="I17" s="314">
        <f>(G17-F17)/F17*100</f>
        <v>-84.233043153678082</v>
      </c>
      <c r="K17" s="5">
        <f>G17*10000000</f>
        <v>86592127</v>
      </c>
      <c r="L17" s="5">
        <f>K17/10000000</f>
        <v>8.6592126999999994</v>
      </c>
    </row>
    <row r="18" spans="1:17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17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f>123246111/10000000</f>
        <v>12.3246111</v>
      </c>
      <c r="G19" s="264">
        <f>54417406/10000000</f>
        <v>5.4417406000000001</v>
      </c>
      <c r="H19" s="316" t="s">
        <v>221</v>
      </c>
      <c r="I19" s="314">
        <f>(G19-F19)/F19*100</f>
        <v>-55.846553243371709</v>
      </c>
      <c r="L19"/>
    </row>
    <row r="20" spans="1:17" ht="15.4" x14ac:dyDescent="0.4">
      <c r="A20" s="2004"/>
      <c r="B20" s="2009"/>
      <c r="C20" s="2000" t="s">
        <v>232</v>
      </c>
      <c r="D20" s="2001"/>
      <c r="E20" s="2002"/>
      <c r="F20" s="264">
        <f>48295959/10000000</f>
        <v>4.8295959000000002</v>
      </c>
      <c r="G20" s="264">
        <f>27143002/10000000</f>
        <v>2.7143001999999998</v>
      </c>
      <c r="H20" s="316" t="s">
        <v>221</v>
      </c>
      <c r="I20" s="314">
        <f>(G20-F20)/F20*100</f>
        <v>-43.798606421709117</v>
      </c>
    </row>
    <row r="21" spans="1:17" ht="15.4" x14ac:dyDescent="0.4">
      <c r="A21" s="2004"/>
      <c r="B21" s="2009"/>
      <c r="C21" s="2000" t="s">
        <v>239</v>
      </c>
      <c r="D21" s="2001"/>
      <c r="E21" s="2002"/>
      <c r="F21" s="264">
        <f>8525780/10000000</f>
        <v>0.85257799999999995</v>
      </c>
      <c r="G21" s="264">
        <f>19801637/10000000</f>
        <v>1.9801637000000001</v>
      </c>
      <c r="H21" s="316" t="s">
        <v>221</v>
      </c>
      <c r="I21" s="314">
        <f>(G21-F21)/F21*100</f>
        <v>132.25601645831819</v>
      </c>
    </row>
    <row r="22" spans="1:17" ht="15.4" x14ac:dyDescent="0.4">
      <c r="A22" s="2004"/>
      <c r="B22" s="2009"/>
      <c r="C22" s="2000" t="s">
        <v>233</v>
      </c>
      <c r="D22" s="2001"/>
      <c r="E22" s="2002"/>
      <c r="F22" s="264">
        <f>10462222/10000000</f>
        <v>1.0462222000000001</v>
      </c>
      <c r="G22" s="264">
        <f>9765551/10000000</f>
        <v>0.97655510000000001</v>
      </c>
      <c r="H22" s="316" t="s">
        <v>221</v>
      </c>
      <c r="I22" s="314">
        <f>(G22-F22)/F22*100</f>
        <v>-6.658920064972822</v>
      </c>
    </row>
    <row r="23" spans="1:17" ht="15.4" x14ac:dyDescent="0.4">
      <c r="A23" s="2004"/>
      <c r="B23" s="2009"/>
      <c r="C23" s="2000" t="s">
        <v>234</v>
      </c>
      <c r="D23" s="2001"/>
      <c r="E23" s="2002"/>
      <c r="F23" s="264">
        <f>4801712/10000000</f>
        <v>0.48017120000000002</v>
      </c>
      <c r="G23" s="264">
        <f>0</f>
        <v>0</v>
      </c>
      <c r="H23" s="316" t="s">
        <v>221</v>
      </c>
      <c r="I23" s="314">
        <f>(G23-F23)/F23*100</f>
        <v>-100</v>
      </c>
    </row>
    <row r="24" spans="1:17" ht="15.4" x14ac:dyDescent="0.4">
      <c r="A24" s="2004"/>
      <c r="B24" s="2009"/>
      <c r="C24" s="2000" t="s">
        <v>235</v>
      </c>
      <c r="D24" s="2001"/>
      <c r="E24" s="2002"/>
      <c r="F24" s="264">
        <v>0</v>
      </c>
      <c r="G24" s="264">
        <v>0</v>
      </c>
      <c r="H24" s="316"/>
      <c r="I24" s="314">
        <v>0</v>
      </c>
    </row>
    <row r="25" spans="1:17" ht="15.4" x14ac:dyDescent="0.4">
      <c r="A25" s="2005"/>
      <c r="B25" s="2010"/>
      <c r="C25" s="2011" t="s">
        <v>236</v>
      </c>
      <c r="D25" s="2012"/>
      <c r="E25" s="2013"/>
      <c r="F25" s="264">
        <v>0</v>
      </c>
      <c r="G25" s="264">
        <v>0</v>
      </c>
      <c r="H25" s="316" t="s">
        <v>221</v>
      </c>
      <c r="I25" s="314">
        <v>0</v>
      </c>
    </row>
    <row r="26" spans="1:17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17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134">
        <v>1.36</v>
      </c>
      <c r="G27" s="283">
        <f>485283/10000000</f>
        <v>4.8528300000000003E-2</v>
      </c>
      <c r="H27" s="314" t="s">
        <v>221</v>
      </c>
      <c r="I27" s="314">
        <f t="shared" ref="I27:I33" si="0">(G27-F27)/F27*100</f>
        <v>-96.431742647058812</v>
      </c>
      <c r="K27" s="5" t="s">
        <v>126</v>
      </c>
      <c r="L27" s="5" t="s">
        <v>299</v>
      </c>
      <c r="N27" s="5">
        <v>485283</v>
      </c>
      <c r="O27" s="5">
        <f>6.43-6.18</f>
        <v>0.25</v>
      </c>
    </row>
    <row r="28" spans="1:17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v>1.88</v>
      </c>
      <c r="G28" s="134">
        <f>8986352/10000000</f>
        <v>0.89863519999999997</v>
      </c>
      <c r="H28" s="314" t="s">
        <v>221</v>
      </c>
      <c r="I28" s="314">
        <f t="shared" si="0"/>
        <v>-52.200255319148937</v>
      </c>
      <c r="N28" s="5">
        <f>N27/100000</f>
        <v>4.85283</v>
      </c>
    </row>
    <row r="29" spans="1:17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134">
        <v>0.11</v>
      </c>
      <c r="G29" s="389">
        <f>64863/10000000</f>
        <v>6.4863000000000004E-3</v>
      </c>
      <c r="H29" s="314" t="s">
        <v>221</v>
      </c>
      <c r="I29" s="314">
        <f t="shared" si="0"/>
        <v>-94.103363636363639</v>
      </c>
    </row>
    <row r="30" spans="1:17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v>0.13</v>
      </c>
      <c r="G30" s="134">
        <v>0</v>
      </c>
      <c r="H30" s="316" t="s">
        <v>221</v>
      </c>
      <c r="I30" s="314">
        <f t="shared" si="0"/>
        <v>-100</v>
      </c>
    </row>
    <row r="31" spans="1:17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v>0</v>
      </c>
      <c r="G31" s="264">
        <v>0</v>
      </c>
      <c r="H31" s="316" t="s">
        <v>221</v>
      </c>
      <c r="I31" s="314" t="e">
        <f t="shared" si="0"/>
        <v>#DIV/0!</v>
      </c>
    </row>
    <row r="32" spans="1:17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134">
        <f>24795590/10000000</f>
        <v>2.4795590000000001</v>
      </c>
      <c r="G32" s="134">
        <f>3518640/10000000</f>
        <v>0.35186400000000001</v>
      </c>
      <c r="H32" s="316" t="s">
        <v>221</v>
      </c>
      <c r="I32" s="314">
        <f t="shared" si="0"/>
        <v>-85.809412076905616</v>
      </c>
      <c r="K32" s="437">
        <v>8790711</v>
      </c>
      <c r="O32" s="380"/>
      <c r="P32" s="319"/>
      <c r="Q32" s="319">
        <v>1076731</v>
      </c>
    </row>
    <row r="33" spans="1:15" x14ac:dyDescent="0.45">
      <c r="A33" s="403"/>
      <c r="B33" s="402" t="s">
        <v>266</v>
      </c>
      <c r="C33" s="409"/>
      <c r="D33" s="332"/>
      <c r="E33" s="308"/>
      <c r="F33" s="134">
        <v>0.25</v>
      </c>
      <c r="G33" s="134">
        <f>7704/10000000</f>
        <v>7.7039999999999997E-4</v>
      </c>
      <c r="H33" s="316"/>
      <c r="I33" s="314">
        <f t="shared" si="0"/>
        <v>-99.691839999999999</v>
      </c>
      <c r="K33" s="5">
        <f>1300+15+630+420+120+6330</f>
        <v>8815</v>
      </c>
      <c r="O33" s="380"/>
    </row>
    <row r="34" spans="1:15" ht="15" x14ac:dyDescent="0.4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  <c r="M34" s="26"/>
    </row>
    <row r="35" spans="1:15" ht="15.4" x14ac:dyDescent="0.4">
      <c r="A35" s="2020"/>
      <c r="B35" s="2006" t="s">
        <v>27</v>
      </c>
      <c r="C35" s="2007"/>
      <c r="D35" s="331" t="s">
        <v>221</v>
      </c>
      <c r="E35" s="307">
        <v>0.20250000000000001</v>
      </c>
      <c r="F35" s="433">
        <f>0.43</f>
        <v>0.43</v>
      </c>
      <c r="G35" s="389">
        <f>3000/10000000</f>
        <v>2.9999999999999997E-4</v>
      </c>
      <c r="H35" s="314" t="s">
        <v>221</v>
      </c>
      <c r="I35" s="314">
        <f>(G35-F35)/F35*100</f>
        <v>-99.930232558139537</v>
      </c>
      <c r="K35" s="432" t="s">
        <v>203</v>
      </c>
      <c r="L35" s="432" t="s">
        <v>275</v>
      </c>
    </row>
    <row r="36" spans="1:15" ht="15.4" x14ac:dyDescent="0.4">
      <c r="A36" s="2020"/>
      <c r="B36" s="2006" t="s">
        <v>28</v>
      </c>
      <c r="C36" s="2007"/>
      <c r="D36" s="333" t="s">
        <v>221</v>
      </c>
      <c r="E36" s="307" t="s">
        <v>221</v>
      </c>
      <c r="F36" s="433">
        <v>0.13</v>
      </c>
      <c r="G36" s="134">
        <v>0</v>
      </c>
      <c r="H36" s="314" t="s">
        <v>221</v>
      </c>
      <c r="I36" s="314">
        <f>(G36-F36)/F36*100</f>
        <v>-100</v>
      </c>
      <c r="K36" s="5" t="s">
        <v>126</v>
      </c>
      <c r="L36" s="5" t="s">
        <v>299</v>
      </c>
    </row>
    <row r="37" spans="1:15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433">
        <v>6.7000000000000004E-2</v>
      </c>
      <c r="G37" s="134">
        <v>0</v>
      </c>
      <c r="H37" s="314" t="s">
        <v>221</v>
      </c>
      <c r="I37" s="314">
        <f>(G37-F37)/F37*100</f>
        <v>-100</v>
      </c>
      <c r="K37" s="5">
        <f>3695+606+35+5749+46464+300+10194+144+159691+235+1730+67000</f>
        <v>295843</v>
      </c>
      <c r="L37" s="5">
        <f>25+365+225+6840+16000+6567+1744+440+70464+130+400+130293+200</f>
        <v>233693</v>
      </c>
    </row>
    <row r="38" spans="1:15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v>0</v>
      </c>
      <c r="G38" s="134">
        <v>0</v>
      </c>
      <c r="H38" s="314" t="s">
        <v>221</v>
      </c>
      <c r="I38" s="314">
        <v>0</v>
      </c>
      <c r="K38" s="5">
        <f>K37/10000000</f>
        <v>2.9584300000000001E-2</v>
      </c>
      <c r="L38" s="5">
        <f>L37/10000000</f>
        <v>2.3369299999999999E-2</v>
      </c>
    </row>
    <row r="39" spans="1:15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264">
        <v>5.4999999999999997E-3</v>
      </c>
      <c r="G39" s="134">
        <v>0</v>
      </c>
      <c r="H39" s="314" t="s">
        <v>221</v>
      </c>
      <c r="I39" s="314">
        <v>0</v>
      </c>
    </row>
    <row r="40" spans="1:15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389">
        <v>2.9499999999999998E-2</v>
      </c>
      <c r="G40" s="389">
        <v>2.3369299999999999E-2</v>
      </c>
      <c r="H40" s="314"/>
      <c r="I40" s="314">
        <v>0</v>
      </c>
    </row>
    <row r="41" spans="1:15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</row>
    <row r="42" spans="1:15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3.1150000000000002</v>
      </c>
      <c r="G42" s="433">
        <f>2350/1000000</f>
        <v>2.3500000000000001E-3</v>
      </c>
      <c r="H42" s="314" t="s">
        <v>221</v>
      </c>
      <c r="I42" s="314">
        <v>0</v>
      </c>
      <c r="L42" s="5">
        <f>G42*1000000</f>
        <v>2350</v>
      </c>
      <c r="M42" s="5">
        <f>L42/100000</f>
        <v>2.35E-2</v>
      </c>
    </row>
    <row r="43" spans="1:15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134">
        <v>2.387</v>
      </c>
      <c r="G43" s="283">
        <f>958/1000000</f>
        <v>9.5799999999999998E-4</v>
      </c>
      <c r="H43" s="2027" t="s">
        <v>221</v>
      </c>
      <c r="I43" s="314">
        <v>0</v>
      </c>
      <c r="L43" s="5">
        <f>G43*1000000</f>
        <v>958</v>
      </c>
      <c r="M43" s="5">
        <f>L43/100000</f>
        <v>9.58E-3</v>
      </c>
      <c r="N43" s="5">
        <f>(M43-L43)/L43*100</f>
        <v>-99.998999999999995</v>
      </c>
    </row>
    <row r="44" spans="1:15" ht="15.4" x14ac:dyDescent="0.4">
      <c r="A44" s="2020"/>
      <c r="B44" s="2070"/>
      <c r="C44" s="320" t="s">
        <v>228</v>
      </c>
      <c r="D44" s="2068"/>
      <c r="E44" s="2066"/>
      <c r="F44" s="134">
        <f>952264/1000000</f>
        <v>0.952264</v>
      </c>
      <c r="G44" s="283">
        <f>128518/1000000</f>
        <v>0.12851799999999999</v>
      </c>
      <c r="H44" s="2029"/>
      <c r="I44" s="314">
        <f>(G44-F44)/F44*100</f>
        <v>-86.503952685389763</v>
      </c>
      <c r="L44" s="5">
        <f>G44*1000000</f>
        <v>128518</v>
      </c>
      <c r="M44" s="5">
        <f>L44/100000</f>
        <v>1.28518</v>
      </c>
    </row>
    <row r="45" spans="1:15" ht="15" x14ac:dyDescent="0.35">
      <c r="A45" s="2020">
        <v>6</v>
      </c>
      <c r="B45" s="2021" t="s">
        <v>288</v>
      </c>
      <c r="C45" s="2022"/>
      <c r="D45" s="2022"/>
      <c r="E45" s="2022"/>
      <c r="F45" s="2022"/>
      <c r="G45" s="2022"/>
      <c r="H45" s="2022"/>
      <c r="I45" s="2023"/>
    </row>
    <row r="46" spans="1:15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/>
      <c r="G46" s="78"/>
      <c r="H46" s="2027" t="s">
        <v>221</v>
      </c>
      <c r="I46" s="314" t="e">
        <f>(G46-F46)/F46*100</f>
        <v>#DIV/0!</v>
      </c>
    </row>
    <row r="47" spans="1:15" ht="15.4" x14ac:dyDescent="0.4">
      <c r="A47" s="2020"/>
      <c r="B47" s="2006" t="s">
        <v>37</v>
      </c>
      <c r="C47" s="2007"/>
      <c r="D47" s="303" t="s">
        <v>221</v>
      </c>
      <c r="E47" s="2025"/>
      <c r="F47" s="78"/>
      <c r="G47" s="78"/>
      <c r="H47" s="2028"/>
      <c r="I47" s="314" t="e">
        <f>(G47-F47)/F47*100</f>
        <v>#DIV/0!</v>
      </c>
    </row>
    <row r="48" spans="1:15" ht="15.4" x14ac:dyDescent="0.4">
      <c r="A48" s="2020"/>
      <c r="B48" s="2006" t="s">
        <v>38</v>
      </c>
      <c r="C48" s="2007"/>
      <c r="D48" s="303" t="s">
        <v>221</v>
      </c>
      <c r="E48" s="2026"/>
      <c r="F48" s="78"/>
      <c r="G48" s="78"/>
      <c r="H48" s="2029"/>
      <c r="I48" s="314" t="e">
        <f>(G48-F48)/F48*100</f>
        <v>#DIV/0!</v>
      </c>
    </row>
    <row r="50" spans="2:8" s="5" customFormat="1" ht="13.5" x14ac:dyDescent="0.35">
      <c r="B50" s="300"/>
      <c r="D50" s="84"/>
      <c r="E50" s="35">
        <f>31.15</f>
        <v>31.15</v>
      </c>
      <c r="F50" s="5">
        <f>E50*100000</f>
        <v>3115000</v>
      </c>
      <c r="G50" s="5">
        <f>F50/1000000</f>
        <v>3.1150000000000002</v>
      </c>
      <c r="H50" s="11"/>
    </row>
    <row r="51" spans="2:8" s="5" customFormat="1" ht="13.5" x14ac:dyDescent="0.35">
      <c r="B51" s="300"/>
      <c r="D51" s="84"/>
      <c r="E51" s="35">
        <v>23.87</v>
      </c>
      <c r="F51" s="5">
        <f>E51*100000</f>
        <v>2387000</v>
      </c>
      <c r="G51" s="5">
        <f>F51/1000000</f>
        <v>2.387</v>
      </c>
      <c r="H51" s="11"/>
    </row>
    <row r="52" spans="2:8" s="5" customFormat="1" ht="13.5" x14ac:dyDescent="0.35">
      <c r="B52" s="300"/>
      <c r="D52" s="84"/>
      <c r="E52" s="35">
        <v>9.52</v>
      </c>
      <c r="F52" s="5">
        <f>E52*100000</f>
        <v>952000</v>
      </c>
      <c r="G52" s="5">
        <f>F52/1000000</f>
        <v>0.95199999999999996</v>
      </c>
      <c r="H52" s="11"/>
    </row>
    <row r="54" spans="2:8" s="5" customFormat="1" ht="13.5" x14ac:dyDescent="0.35">
      <c r="C54" s="12"/>
      <c r="D54" s="84"/>
      <c r="E54" s="428"/>
      <c r="F54" s="12"/>
      <c r="G54" s="12"/>
      <c r="H54" s="11"/>
    </row>
    <row r="64" spans="2:8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39" bottom="0.24" header="0.3" footer="0.3"/>
  <pageSetup paperSize="9" scale="4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Z64"/>
  <sheetViews>
    <sheetView workbookViewId="0">
      <selection activeCell="B35" sqref="B35:C35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6" style="5" customWidth="1"/>
    <col min="4" max="4" width="8.3984375" style="84" customWidth="1"/>
    <col min="5" max="5" width="10.73046875" style="35" customWidth="1"/>
    <col min="6" max="6" width="11" style="5" customWidth="1"/>
    <col min="7" max="7" width="12" style="5" customWidth="1"/>
    <col min="8" max="8" width="9.1328125" style="11" customWidth="1"/>
    <col min="9" max="9" width="9.1328125" style="82" customWidth="1"/>
    <col min="10" max="11" width="9.1328125" style="5"/>
    <col min="12" max="12" width="9.59765625" style="5" customWidth="1"/>
    <col min="13" max="16" width="9.1328125" style="5"/>
    <col min="17" max="17" width="10.1328125" style="5" customWidth="1"/>
    <col min="18" max="16384" width="9.1328125" style="5"/>
  </cols>
  <sheetData>
    <row r="1" spans="1:26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26" s="301" customFormat="1" thickBot="1" x14ac:dyDescent="0.5">
      <c r="A2" s="2119" t="s">
        <v>300</v>
      </c>
      <c r="B2" s="2120"/>
      <c r="C2" s="2120"/>
      <c r="D2" s="2120"/>
      <c r="E2" s="2120"/>
      <c r="F2" s="2120"/>
      <c r="G2" s="2120"/>
      <c r="H2" s="2120"/>
      <c r="I2" s="2121"/>
    </row>
    <row r="3" spans="1:2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26" s="35" customFormat="1" ht="19.5" customHeight="1" x14ac:dyDescent="0.45">
      <c r="A4" s="2035"/>
      <c r="B4" s="2047"/>
      <c r="C4" s="2048"/>
      <c r="D4" s="366" t="s">
        <v>9</v>
      </c>
      <c r="E4" s="383">
        <f>G4</f>
        <v>44075</v>
      </c>
      <c r="F4" s="383">
        <v>43709</v>
      </c>
      <c r="G4" s="383">
        <v>44075</v>
      </c>
      <c r="H4" s="2041" t="s">
        <v>12</v>
      </c>
      <c r="I4" s="2041" t="s">
        <v>13</v>
      </c>
    </row>
    <row r="5" spans="1:26" ht="15" x14ac:dyDescent="0.3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</row>
    <row r="6" spans="1:26" x14ac:dyDescent="0.35">
      <c r="A6" s="372">
        <v>1</v>
      </c>
      <c r="B6" s="2049" t="s">
        <v>290</v>
      </c>
      <c r="C6" s="2049"/>
      <c r="D6" s="304" t="s">
        <v>221</v>
      </c>
      <c r="E6" s="305" t="s">
        <v>221</v>
      </c>
      <c r="F6" s="305">
        <f>'UPTO JUNE 2020'!F6+'JULY-2020'!F6+'AUG-2020'!F6+'SEP-2020'!F6</f>
        <v>447.55462679999999</v>
      </c>
      <c r="G6" s="305">
        <f>'UPTO JUNE 2020'!G6+'JULY-2020'!G6+'AUG-2020'!G6+'SEP-2020'!G6</f>
        <v>4.047317500000001</v>
      </c>
      <c r="H6" s="306" t="s">
        <v>221</v>
      </c>
      <c r="I6" s="306">
        <f>(G6-F6)/F6*100</f>
        <v>-99.095681899450312</v>
      </c>
    </row>
    <row r="7" spans="1:26" x14ac:dyDescent="0.35">
      <c r="A7" s="373">
        <v>2</v>
      </c>
      <c r="B7" s="2050" t="s">
        <v>291</v>
      </c>
      <c r="C7" s="2051"/>
      <c r="D7" s="307" t="s">
        <v>221</v>
      </c>
      <c r="E7" s="307" t="s">
        <v>221</v>
      </c>
      <c r="F7" s="434">
        <f>'UPTO JUNE 2020'!F7+'JULY-2020'!F7+'AUG-2020'!F7+'SEP-2020'!F7</f>
        <v>100.02</v>
      </c>
      <c r="G7" s="434">
        <f>'UPTO JUNE 2020'!G7+'JULY-2020'!G7+'AUG-2020'!G7+'SEP-2020'!G7</f>
        <v>56.49</v>
      </c>
      <c r="H7" s="308" t="s">
        <v>221</v>
      </c>
      <c r="I7" s="308">
        <f>(G7-F7)/F7*100</f>
        <v>-43.521295740851826</v>
      </c>
    </row>
    <row r="8" spans="1:26" s="438" customFormat="1" x14ac:dyDescent="0.35">
      <c r="A8" s="374">
        <v>3</v>
      </c>
      <c r="B8" s="2021" t="s">
        <v>292</v>
      </c>
      <c r="C8" s="2023"/>
      <c r="D8" s="364" t="s">
        <v>221</v>
      </c>
      <c r="E8" s="364" t="s">
        <v>221</v>
      </c>
      <c r="F8" s="305">
        <f>'UPTO JUNE 2020'!F8+'JULY-2020'!F8+'AUG-2020'!F8+'SEP-2020'!F8</f>
        <v>42.48</v>
      </c>
      <c r="G8" s="305">
        <f>'UPTO JUNE 2020'!G8+'JULY-2020'!G8+'AUG-2020'!G8+'SEP-2020'!G8</f>
        <v>4.7520000000000007</v>
      </c>
      <c r="H8" s="365" t="s">
        <v>221</v>
      </c>
      <c r="I8" s="365">
        <f>(G8-F8)/F8*100</f>
        <v>-88.813559322033896</v>
      </c>
      <c r="K8" s="449"/>
      <c r="L8" s="449"/>
      <c r="M8" s="449"/>
      <c r="N8" s="449"/>
      <c r="O8" s="449"/>
      <c r="P8" s="449"/>
      <c r="Q8" s="449"/>
      <c r="R8" s="449"/>
      <c r="S8" s="449"/>
      <c r="T8" s="449"/>
      <c r="U8" s="449"/>
      <c r="V8" s="449"/>
      <c r="W8" s="449"/>
      <c r="X8" s="449"/>
      <c r="Y8" s="449"/>
      <c r="Z8" s="449"/>
    </row>
    <row r="9" spans="1:26" x14ac:dyDescent="0.35">
      <c r="A9" s="373">
        <v>4</v>
      </c>
      <c r="B9" s="2052" t="s">
        <v>293</v>
      </c>
      <c r="C9" s="2053"/>
      <c r="D9" s="307" t="s">
        <v>221</v>
      </c>
      <c r="E9" s="307" t="s">
        <v>221</v>
      </c>
      <c r="F9" s="434">
        <f>'UPTO JUNE 2020'!F9+'JULY-2020'!F9+'AUG-2020'!F9+'SEP-2020'!F9</f>
        <v>5.3800000000000008</v>
      </c>
      <c r="G9" s="434">
        <f>'UPTO JUNE 2020'!G9+'JULY-2020'!G9+'AUG-2020'!G9+'SEP-2020'!G9</f>
        <v>0.31580000000000003</v>
      </c>
      <c r="H9" s="308" t="s">
        <v>221</v>
      </c>
      <c r="I9" s="308">
        <f>(G9-F9)/F9*100</f>
        <v>-94.130111524163567</v>
      </c>
      <c r="K9" s="450"/>
      <c r="L9" s="450"/>
      <c r="M9" s="450"/>
      <c r="N9" s="450"/>
      <c r="O9" s="450"/>
      <c r="P9" s="450"/>
      <c r="Q9" s="450"/>
      <c r="R9" s="450"/>
      <c r="S9" s="450"/>
      <c r="T9" s="450"/>
      <c r="U9" s="450"/>
      <c r="V9" s="450"/>
      <c r="W9" s="450"/>
      <c r="X9" s="450"/>
      <c r="Y9" s="450"/>
      <c r="Z9" s="450"/>
    </row>
    <row r="10" spans="1:26" s="438" customFormat="1" ht="17.649999999999999" x14ac:dyDescent="0.35">
      <c r="A10" s="374">
        <v>5</v>
      </c>
      <c r="B10" s="2054" t="s">
        <v>294</v>
      </c>
      <c r="C10" s="2055"/>
      <c r="D10" s="321" t="s">
        <v>221</v>
      </c>
      <c r="E10" s="321" t="s">
        <v>221</v>
      </c>
      <c r="F10" s="445">
        <f>SUM(F6:F9)</f>
        <v>595.43462680000005</v>
      </c>
      <c r="G10" s="445">
        <f>SUM(G6:G9)</f>
        <v>65.605117499999992</v>
      </c>
      <c r="H10" s="322" t="s">
        <v>221</v>
      </c>
      <c r="I10" s="322">
        <f>(G10-F10)/F10*100</f>
        <v>-88.981978113604725</v>
      </c>
      <c r="K10" s="449"/>
      <c r="L10" s="449"/>
      <c r="M10" s="449"/>
      <c r="N10" s="449"/>
      <c r="O10" s="449"/>
      <c r="P10" s="449"/>
      <c r="Q10" s="449"/>
      <c r="R10" s="449"/>
      <c r="S10" s="449"/>
      <c r="T10" s="449"/>
      <c r="U10" s="449"/>
      <c r="V10" s="449"/>
      <c r="W10" s="449"/>
      <c r="X10" s="449"/>
      <c r="Y10" s="449"/>
      <c r="Z10" s="449"/>
    </row>
    <row r="11" spans="1:26" ht="13.9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26" x14ac:dyDescent="0.35">
      <c r="A12" s="373">
        <v>6.3</v>
      </c>
      <c r="B12" s="2116" t="s">
        <v>305</v>
      </c>
      <c r="C12" s="2116"/>
      <c r="D12" s="332" t="s">
        <v>221</v>
      </c>
      <c r="E12" s="307" t="s">
        <v>221</v>
      </c>
      <c r="F12" s="448">
        <f>'APRIL 2020'!F12+'MAY 2020'!F12+'JUNE-2020'!F12+'JULY-2020'!F12+'AUG-2020'!F12+'SEP-2020'!F12</f>
        <v>38.655264000000003</v>
      </c>
      <c r="G12" s="448">
        <f>'APRIL 2020'!G12+'MAY 2020'!G12+'JUNE-2020'!G12+'JULY-2020'!G12+'AUG-2020'!G12+'SEP-2020'!G12</f>
        <v>-3.6930000000000018E-2</v>
      </c>
      <c r="H12" s="308" t="s">
        <v>221</v>
      </c>
      <c r="I12" s="308">
        <f>(G12-F12)/F12*100</f>
        <v>-100.09553679416081</v>
      </c>
    </row>
    <row r="13" spans="1:26" ht="17.649999999999999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26" ht="15" x14ac:dyDescent="0.35">
      <c r="A14" s="2003">
        <v>1</v>
      </c>
      <c r="B14" s="2021" t="s">
        <v>298</v>
      </c>
      <c r="C14" s="2022"/>
      <c r="D14" s="2022"/>
      <c r="E14" s="2022"/>
      <c r="F14" s="2022"/>
      <c r="G14" s="2022"/>
      <c r="H14" s="2022"/>
      <c r="I14" s="2023"/>
    </row>
    <row r="15" spans="1:26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414">
        <f>'UPTO JUNE 2020'!F15+'JULY-2020'!F15+'AUG-2020'!F15+'SEP-2020'!F15</f>
        <v>10.25</v>
      </c>
      <c r="G15" s="416">
        <f>'UPTO JUNE 2020'!G15+'JULY-2020'!G15+'AUG-2020'!G15+'SEP-2020'!G15</f>
        <v>1.8714999999999999E-3</v>
      </c>
      <c r="H15" s="314" t="s">
        <v>221</v>
      </c>
      <c r="I15" s="314">
        <v>0</v>
      </c>
      <c r="K15" s="27">
        <f>5073683/10000000</f>
        <v>0.50736829999999999</v>
      </c>
      <c r="L15" s="6">
        <f>1980/10000000</f>
        <v>1.9799999999999999E-4</v>
      </c>
      <c r="N15" s="12">
        <f t="shared" ref="N15:O17" si="0">F15+K15</f>
        <v>10.7573683</v>
      </c>
      <c r="O15" s="13">
        <f t="shared" si="0"/>
        <v>2.0694999999999997E-3</v>
      </c>
      <c r="Q15" s="12">
        <f>F15</f>
        <v>10.25</v>
      </c>
      <c r="R15" s="12">
        <f>G15</f>
        <v>1.8714999999999999E-3</v>
      </c>
      <c r="S15" s="11">
        <f>(R15-Q15)/Q15*100</f>
        <v>-99.981741463414636</v>
      </c>
    </row>
    <row r="16" spans="1:26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414">
        <f>'UPTO JUNE 2020'!F16+'JULY-2020'!F16+'AUG-2020'!F16+'SEP-2020'!F16</f>
        <v>96.45999999999998</v>
      </c>
      <c r="G16" s="414">
        <f>'UPTO JUNE 2020'!G16+'JULY-2020'!G16+'AUG-2020'!G16+'SEP-2020'!G16</f>
        <v>13.8814315</v>
      </c>
      <c r="H16" s="2027" t="s">
        <v>221</v>
      </c>
      <c r="I16" s="314">
        <f>(G16-F16)/F16*100</f>
        <v>-85.609131764461949</v>
      </c>
      <c r="K16" s="27">
        <f>35821587/10000000</f>
        <v>3.5821586999999999</v>
      </c>
      <c r="L16" s="27">
        <v>0</v>
      </c>
      <c r="N16" s="12">
        <f t="shared" si="0"/>
        <v>100.04215869999997</v>
      </c>
      <c r="O16" s="12">
        <f t="shared" si="0"/>
        <v>13.8814315</v>
      </c>
      <c r="Q16" s="12">
        <f>F16+F17</f>
        <v>437.30462679999994</v>
      </c>
      <c r="R16" s="12">
        <f>G16+G17</f>
        <v>4.0454459999999948</v>
      </c>
      <c r="S16" s="11">
        <f>(R16-Q16)/Q16*100</f>
        <v>-99.07491351518442</v>
      </c>
    </row>
    <row r="17" spans="1:20" ht="15.4" x14ac:dyDescent="0.4">
      <c r="A17" s="2005"/>
      <c r="B17" s="2071"/>
      <c r="C17" s="320" t="s">
        <v>228</v>
      </c>
      <c r="D17" s="2064"/>
      <c r="E17" s="2066"/>
      <c r="F17" s="414">
        <f>'UPTO JUNE 2020'!F17+'JULY-2020'!F17+'AUG-2020'!F17+'SEP-2020'!F17</f>
        <v>340.84462679999996</v>
      </c>
      <c r="G17" s="414">
        <f>'UPTO JUNE 2020'!G17+'JULY-2020'!G17+'AUG-2020'!G17+'SEP-2020'!G17</f>
        <v>-9.8359855000000049</v>
      </c>
      <c r="H17" s="2029"/>
      <c r="I17" s="314">
        <f>(G17-F17)/F17*100</f>
        <v>-102.88576809684361</v>
      </c>
      <c r="K17" s="27">
        <f>158006783/10000000</f>
        <v>15.8006783</v>
      </c>
      <c r="L17" s="27">
        <f>20753918/10000000</f>
        <v>2.0753917999999998</v>
      </c>
      <c r="N17" s="12">
        <f t="shared" si="0"/>
        <v>356.64530509999997</v>
      </c>
      <c r="O17" s="12">
        <f t="shared" si="0"/>
        <v>-7.7605937000000047</v>
      </c>
      <c r="Q17" s="12">
        <f>SUM(Q15:Q16)</f>
        <v>447.55462679999994</v>
      </c>
      <c r="R17" s="12">
        <f>SUM(R15:R16)</f>
        <v>4.0473174999999948</v>
      </c>
      <c r="S17" s="11">
        <f>(R17-Q17)/Q17*100</f>
        <v>-99.095681899450312</v>
      </c>
    </row>
    <row r="18" spans="1:20" ht="27" customHeight="1" x14ac:dyDescent="0.35">
      <c r="A18" s="2003">
        <v>2</v>
      </c>
      <c r="B18" s="2021" t="s">
        <v>297</v>
      </c>
      <c r="C18" s="2022"/>
      <c r="D18" s="2022"/>
      <c r="E18" s="2022"/>
      <c r="F18" s="2022"/>
      <c r="G18" s="2022"/>
      <c r="H18" s="2022"/>
      <c r="I18" s="2023"/>
    </row>
    <row r="19" spans="1:20" ht="18.75" customHeight="1" x14ac:dyDescent="0.4">
      <c r="A19" s="2004"/>
      <c r="B19" s="2008" t="s">
        <v>230</v>
      </c>
      <c r="C19" s="2000" t="s">
        <v>231</v>
      </c>
      <c r="D19" s="2001"/>
      <c r="E19" s="2002"/>
      <c r="F19" s="414">
        <f>'UPTO JUNE 2020'!F19+'JULY-2020'!F19+'AUG-2020'!F19+'SEP-2020'!F19</f>
        <v>50.006487700000001</v>
      </c>
      <c r="G19" s="414">
        <f>'UPTO JUNE 2020'!G19+'JULY-2020'!G19+'AUG-2020'!G19+'SEP-2020'!G19</f>
        <v>19.564371399999999</v>
      </c>
      <c r="H19" s="316" t="s">
        <v>221</v>
      </c>
      <c r="I19" s="314">
        <f>(G19-F19)/F19*100</f>
        <v>-60.876333652203293</v>
      </c>
    </row>
    <row r="20" spans="1:20" ht="18.75" customHeight="1" x14ac:dyDescent="0.4">
      <c r="A20" s="2004"/>
      <c r="B20" s="2009"/>
      <c r="C20" s="2000" t="s">
        <v>232</v>
      </c>
      <c r="D20" s="2001"/>
      <c r="E20" s="2002"/>
      <c r="F20" s="414">
        <f>'UPTO JUNE 2020'!F20+'JULY-2020'!F20+'AUG-2020'!F20+'SEP-2020'!F20</f>
        <v>35.978427099999998</v>
      </c>
      <c r="G20" s="414">
        <f>'UPTO JUNE 2020'!G20+'JULY-2020'!G20+'AUG-2020'!G20+'SEP-2020'!G20</f>
        <v>25.832516600000002</v>
      </c>
      <c r="H20" s="316" t="s">
        <v>221</v>
      </c>
      <c r="I20" s="314">
        <f>(G20-F20)/F20*100</f>
        <v>-28.199983483991709</v>
      </c>
    </row>
    <row r="21" spans="1:20" ht="18.75" customHeight="1" x14ac:dyDescent="0.4">
      <c r="A21" s="2004"/>
      <c r="B21" s="2009"/>
      <c r="C21" s="2000" t="s">
        <v>239</v>
      </c>
      <c r="D21" s="2001"/>
      <c r="E21" s="2002"/>
      <c r="F21" s="414">
        <f>'UPTO JUNE 2020'!F21+'JULY-2020'!F21+'AUG-2020'!F21+'SEP-2020'!F21</f>
        <v>4.4949680000000001</v>
      </c>
      <c r="G21" s="414">
        <f>'UPTO JUNE 2020'!G21+'JULY-2020'!G21+'AUG-2020'!G21+'SEP-2020'!G21</f>
        <v>5.2574241000000006</v>
      </c>
      <c r="H21" s="316" t="s">
        <v>221</v>
      </c>
      <c r="I21" s="314">
        <f>(G21-F21)/F21*100</f>
        <v>16.962436662507955</v>
      </c>
    </row>
    <row r="22" spans="1:20" ht="18.75" customHeight="1" x14ac:dyDescent="0.4">
      <c r="A22" s="2004"/>
      <c r="B22" s="2009"/>
      <c r="C22" s="2000" t="s">
        <v>233</v>
      </c>
      <c r="D22" s="2001"/>
      <c r="E22" s="2002"/>
      <c r="F22" s="414">
        <f>'UPTO JUNE 2020'!F22+'JULY-2020'!F22+'AUG-2020'!F22+'SEP-2020'!F22</f>
        <v>7.6198167999999997</v>
      </c>
      <c r="G22" s="414">
        <f>'UPTO JUNE 2020'!G22+'JULY-2020'!G22+'AUG-2020'!G22+'SEP-2020'!G22</f>
        <v>5.7516382000000004</v>
      </c>
      <c r="H22" s="316" t="s">
        <v>221</v>
      </c>
      <c r="I22" s="314">
        <f>(G22-F22)/F22*100</f>
        <v>-24.517368974015223</v>
      </c>
      <c r="L22" s="5">
        <v>10.16</v>
      </c>
      <c r="Q22" s="5">
        <f>748850/5</f>
        <v>149770</v>
      </c>
      <c r="R22" s="41">
        <f>471988/8</f>
        <v>58998.5</v>
      </c>
      <c r="S22" s="5">
        <f>80.5/5</f>
        <v>16.100000000000001</v>
      </c>
      <c r="T22" s="12">
        <f>45.36/5</f>
        <v>9.0719999999999992</v>
      </c>
    </row>
    <row r="23" spans="1:20" ht="18.75" customHeight="1" x14ac:dyDescent="0.4">
      <c r="A23" s="2004"/>
      <c r="B23" s="2009"/>
      <c r="C23" s="2000" t="s">
        <v>234</v>
      </c>
      <c r="D23" s="2001"/>
      <c r="E23" s="2002"/>
      <c r="F23" s="414">
        <f>'UPTO JUNE 2020'!F23+'JULY-2020'!F23+'AUG-2020'!F23+'SEP-2020'!F23</f>
        <v>1.8748327999999999</v>
      </c>
      <c r="G23" s="414">
        <f>'UPTO JUNE 2020'!G23+'JULY-2020'!G23+'AUG-2020'!G23+'SEP-2020'!G23</f>
        <v>0.08</v>
      </c>
      <c r="H23" s="316" t="s">
        <v>221</v>
      </c>
      <c r="I23" s="314">
        <f>(G23-F23)/F23*100</f>
        <v>-95.732952826513369</v>
      </c>
      <c r="L23" s="5">
        <f>L22/12</f>
        <v>0.84666666666666668</v>
      </c>
      <c r="M23" s="5">
        <f>L23*6</f>
        <v>5.08</v>
      </c>
    </row>
    <row r="24" spans="1:20" ht="18.75" customHeight="1" x14ac:dyDescent="0.4">
      <c r="A24" s="2004"/>
      <c r="B24" s="2009"/>
      <c r="C24" s="2000" t="s">
        <v>235</v>
      </c>
      <c r="D24" s="2001"/>
      <c r="E24" s="2002"/>
      <c r="F24" s="414">
        <f>'UPTO JUNE 2020'!F24+'JULY-2020'!F24+'AUG-2020'!F24+'SEP-2020'!F24</f>
        <v>4.8587400000000003E-2</v>
      </c>
      <c r="G24" s="414">
        <f>'UPTO JUNE 2020'!G24+'JULY-2020'!G24+'AUG-2020'!G24+'SEP-2020'!G24</f>
        <v>0</v>
      </c>
      <c r="H24" s="316"/>
      <c r="I24" s="314">
        <v>0</v>
      </c>
    </row>
    <row r="25" spans="1:20" ht="31.5" customHeight="1" x14ac:dyDescent="0.4">
      <c r="A25" s="2005"/>
      <c r="B25" s="2010"/>
      <c r="C25" s="2011" t="s">
        <v>236</v>
      </c>
      <c r="D25" s="2012"/>
      <c r="E25" s="2013"/>
      <c r="F25" s="414">
        <f>'UPTO JUNE 2020'!F25+'JULY-2020'!F25+'AUG-2020'!F25+'SEP-2020'!F25</f>
        <v>0</v>
      </c>
      <c r="G25" s="414">
        <f>'UPTO JUNE 2020'!G25+'JULY-2020'!G25+'AUG-2020'!G25+'SEP-2020'!G25</f>
        <v>0</v>
      </c>
      <c r="H25" s="316" t="s">
        <v>221</v>
      </c>
      <c r="I25" s="314">
        <v>0</v>
      </c>
    </row>
    <row r="26" spans="1:20" ht="24.75" customHeight="1" x14ac:dyDescent="0.35">
      <c r="A26" s="2014">
        <v>3</v>
      </c>
      <c r="B26" s="2021" t="s">
        <v>296</v>
      </c>
      <c r="C26" s="2022"/>
      <c r="D26" s="2022"/>
      <c r="E26" s="2022"/>
      <c r="F26" s="2022"/>
      <c r="G26" s="2022"/>
      <c r="H26" s="2022"/>
      <c r="I26" s="2023"/>
    </row>
    <row r="27" spans="1:20" ht="15.4" x14ac:dyDescent="0.4">
      <c r="A27" s="2015"/>
      <c r="B27" s="2006" t="s">
        <v>2</v>
      </c>
      <c r="C27" s="2007"/>
      <c r="D27" s="331" t="s">
        <v>221</v>
      </c>
      <c r="E27" s="414" t="s">
        <v>221</v>
      </c>
      <c r="F27" s="414">
        <f>'UPTO JUNE 2020'!F27+'JULY-2020'!F27+'AUG-2020'!F27+'SEP-2020'!F27</f>
        <v>9.2361082000000003</v>
      </c>
      <c r="G27" s="416">
        <f>'UPTO JUNE 2020'!G27+'JULY-2020'!G27+'AUG-2020'!G27+'SEP-2020'!G27</f>
        <v>5.5820300000000003E-2</v>
      </c>
      <c r="H27" s="314" t="s">
        <v>221</v>
      </c>
      <c r="I27" s="314">
        <f t="shared" ref="I27:I33" si="1">(G27-F27)/F27*100</f>
        <v>-99.395629644096189</v>
      </c>
      <c r="K27" s="6"/>
      <c r="L27" s="6"/>
      <c r="N27" s="12">
        <f>'JULY-2020'!F27+'AUG-2020'!F27+'SEP-2020'!F27</f>
        <v>3.8556766000000007</v>
      </c>
      <c r="O27" s="12">
        <f>'JULY-2020'!G27+'AUG-2020'!G27+'SEP-2020'!G27</f>
        <v>5.5820300000000003E-2</v>
      </c>
      <c r="Q27" s="314">
        <f>(O27-N27)/N27*100</f>
        <v>-98.552256690823086</v>
      </c>
    </row>
    <row r="28" spans="1:20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414">
        <f>'UPTO JUNE 2020'!F28+'JULY-2020'!F28+'AUG-2020'!F28+'SEP-2020'!F28</f>
        <v>11.740695899999999</v>
      </c>
      <c r="G28" s="414">
        <f>'UPTO JUNE 2020'!G28+'JULY-2020'!G28+'AUG-2020'!G28+'SEP-2020'!G28</f>
        <v>2.7101835999999997</v>
      </c>
      <c r="H28" s="314" t="s">
        <v>221</v>
      </c>
      <c r="I28" s="314">
        <f t="shared" si="1"/>
        <v>-76.916329124920097</v>
      </c>
      <c r="K28" s="6"/>
      <c r="L28" s="6"/>
      <c r="N28" s="12">
        <f>'JULY-2020'!F28+'AUG-2020'!F28+'SEP-2020'!F28</f>
        <v>5.8634151000000001</v>
      </c>
      <c r="O28" s="12">
        <f>'JULY-2020'!G28+'AUG-2020'!G28+'SEP-2020'!G28</f>
        <v>2.1707488000000001</v>
      </c>
    </row>
    <row r="29" spans="1:20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414">
        <f>'UPTO JUNE 2020'!F29+'JULY-2020'!F29+'AUG-2020'!F29+'SEP-2020'!F29</f>
        <v>0.83528560000000007</v>
      </c>
      <c r="G29" s="414">
        <f>'UPTO JUNE 2020'!G29+'JULY-2020'!G29+'AUG-2020'!G29+'SEP-2020'!G29</f>
        <v>1.88925E-2</v>
      </c>
      <c r="H29" s="314" t="s">
        <v>221</v>
      </c>
      <c r="I29" s="314">
        <f t="shared" si="1"/>
        <v>-97.73819876698461</v>
      </c>
      <c r="K29" s="6"/>
      <c r="L29" s="6"/>
      <c r="N29" s="12">
        <f>'JULY-2020'!F29+'AUG-2020'!F29+'SEP-2020'!F29</f>
        <v>0.3248299</v>
      </c>
      <c r="O29" s="12">
        <f>'JULY-2020'!G29+'AUG-2020'!G29+'SEP-2020'!G29</f>
        <v>1.5965100000000003E-2</v>
      </c>
    </row>
    <row r="30" spans="1:20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414">
        <f>'UPTO JUNE 2020'!F30+'JULY-2020'!F30+'AUG-2020'!F30+'SEP-2020'!F30</f>
        <v>1.4841449999999998</v>
      </c>
      <c r="G30" s="414">
        <f>'UPTO JUNE 2020'!G30+'JULY-2020'!G30+'AUG-2020'!G30+'SEP-2020'!G30</f>
        <v>0</v>
      </c>
      <c r="H30" s="316" t="s">
        <v>221</v>
      </c>
      <c r="I30" s="314">
        <f t="shared" si="1"/>
        <v>-100</v>
      </c>
      <c r="K30" s="6"/>
      <c r="L30" s="6"/>
      <c r="N30" s="12">
        <f>'JULY-2020'!F30+'AUG-2020'!F30+'SEP-2020'!F30</f>
        <v>0.58000000000000007</v>
      </c>
      <c r="O30" s="12">
        <f>'JULY-2020'!G30+'AUG-2020'!G30+'SEP-2020'!G30</f>
        <v>0</v>
      </c>
    </row>
    <row r="31" spans="1:20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414">
        <f>'UPTO JUNE 2020'!F31+'JULY-2020'!F31+'AUG-2020'!F31+'SEP-2020'!F31</f>
        <v>1.6982465</v>
      </c>
      <c r="G31" s="414">
        <f>'UPTO JUNE 2020'!G31+'JULY-2020'!G31+'AUG-2020'!G31+'SEP-2020'!G31</f>
        <v>0</v>
      </c>
      <c r="H31" s="316" t="s">
        <v>221</v>
      </c>
      <c r="I31" s="314">
        <f t="shared" si="1"/>
        <v>-100</v>
      </c>
      <c r="K31" s="6"/>
      <c r="L31" s="6"/>
      <c r="N31" s="12">
        <f>'JULY-2020'!F31+'AUG-2020'!F31+'SEP-2020'!F31</f>
        <v>0</v>
      </c>
      <c r="O31" s="12">
        <f>'JULY-2020'!G31+'AUG-2020'!G31+'SEP-2020'!G31</f>
        <v>0</v>
      </c>
    </row>
    <row r="32" spans="1:20" ht="15.4" x14ac:dyDescent="0.4">
      <c r="A32" s="2016"/>
      <c r="B32" s="2017" t="s">
        <v>241</v>
      </c>
      <c r="C32" s="2030"/>
      <c r="D32" s="332" t="s">
        <v>221</v>
      </c>
      <c r="E32" s="308" t="s">
        <v>221</v>
      </c>
      <c r="F32" s="414">
        <f>'UPTO JUNE 2020'!F32+'JULY-2020'!F32+'AUG-2020'!F32+'SEP-2020'!F32</f>
        <v>16.434118099999999</v>
      </c>
      <c r="G32" s="414">
        <f>'UPTO JUNE 2020'!G32+'JULY-2020'!G32+'AUG-2020'!G32+'SEP-2020'!G32</f>
        <v>1.9637899000000001</v>
      </c>
      <c r="H32" s="316" t="s">
        <v>221</v>
      </c>
      <c r="I32" s="314">
        <f t="shared" si="1"/>
        <v>-88.050530682263997</v>
      </c>
      <c r="K32" s="6"/>
      <c r="L32" s="6"/>
      <c r="N32" s="12">
        <f>'JULY-2020'!F32+'AUG-2020'!F32+'SEP-2020'!F32</f>
        <v>7.8795590000000004</v>
      </c>
      <c r="O32" s="12">
        <f>'JULY-2020'!G32+'AUG-2020'!G32+'SEP-2020'!G32</f>
        <v>1.0314137999999999</v>
      </c>
    </row>
    <row r="33" spans="1:19" x14ac:dyDescent="0.4">
      <c r="A33" s="403"/>
      <c r="B33" s="402" t="s">
        <v>266</v>
      </c>
      <c r="C33" s="409"/>
      <c r="D33" s="332"/>
      <c r="E33" s="308"/>
      <c r="F33" s="414">
        <f>'UPTO JUNE 2020'!F33+'JULY-2020'!F33+'AUG-2020'!F33+'SEP-2020'!F33</f>
        <v>0.68934260000000003</v>
      </c>
      <c r="G33" s="415">
        <f>'UPTO JUNE 2020'!G33+'JULY-2020'!G33+'AUG-2020'!G33+'SEP-2020'!G33</f>
        <v>1.2694E-3</v>
      </c>
      <c r="H33" s="316"/>
      <c r="I33" s="314">
        <f t="shared" si="1"/>
        <v>-99.81585353929961</v>
      </c>
      <c r="K33" s="6"/>
      <c r="L33" s="6"/>
    </row>
    <row r="34" spans="1:19" ht="15" x14ac:dyDescent="0.35">
      <c r="A34" s="2020">
        <v>4</v>
      </c>
      <c r="B34" s="2021" t="s">
        <v>295</v>
      </c>
      <c r="C34" s="2022"/>
      <c r="D34" s="2022"/>
      <c r="E34" s="2022"/>
      <c r="F34" s="2022"/>
      <c r="G34" s="2022"/>
      <c r="H34" s="2022"/>
      <c r="I34" s="2023"/>
    </row>
    <row r="35" spans="1:19" ht="15.4" x14ac:dyDescent="0.4">
      <c r="A35" s="2020"/>
      <c r="B35" s="2006" t="s">
        <v>27</v>
      </c>
      <c r="C35" s="2007"/>
      <c r="D35" s="331" t="s">
        <v>221</v>
      </c>
      <c r="E35" s="307">
        <v>5.08</v>
      </c>
      <c r="F35" s="414">
        <f>'UPTO JUNE 2020'!F35+'JULY-2020'!F35+'AUG-2020'!F35+'SEP-2020'!F35</f>
        <v>3.0193630000000002</v>
      </c>
      <c r="G35" s="414">
        <f>'UPTO JUNE 2020'!G35+'JULY-2020'!G35+'AUG-2020'!G35+'SEP-2020'!G35</f>
        <v>0.1358</v>
      </c>
      <c r="H35" s="314">
        <f>(G35-E35)/E35*100</f>
        <v>-97.326771653543304</v>
      </c>
      <c r="I35" s="314">
        <f>(G35-F35)/F35*100</f>
        <v>-95.50236258442591</v>
      </c>
    </row>
    <row r="36" spans="1:19" ht="15.4" x14ac:dyDescent="0.4">
      <c r="A36" s="2020"/>
      <c r="B36" s="2006" t="s">
        <v>28</v>
      </c>
      <c r="C36" s="2007"/>
      <c r="D36" s="333" t="s">
        <v>221</v>
      </c>
      <c r="E36" s="307" t="s">
        <v>221</v>
      </c>
      <c r="F36" s="414">
        <f>'UPTO JUNE 2020'!F36+'JULY-2020'!F36+'AUG-2020'!F36+'SEP-2020'!F36</f>
        <v>1.5151956000000002</v>
      </c>
      <c r="G36" s="414">
        <f>'UPTO JUNE 2020'!G36+'JULY-2020'!G36+'AUG-2020'!G36+'SEP-2020'!G36</f>
        <v>0</v>
      </c>
      <c r="H36" s="314" t="s">
        <v>221</v>
      </c>
      <c r="I36" s="314">
        <f>(G36-F36)/F36*100</f>
        <v>-100</v>
      </c>
    </row>
    <row r="37" spans="1:19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414">
        <f>'UPTO JUNE 2020'!F37+'JULY-2020'!F37+'AUG-2020'!F37+'SEP-2020'!F37</f>
        <v>0.79647699999999988</v>
      </c>
      <c r="G37" s="414">
        <f>'UPTO JUNE 2020'!G37+'JULY-2020'!G37+'AUG-2020'!G37+'SEP-2020'!G37</f>
        <v>0.1042862</v>
      </c>
      <c r="H37" s="314" t="s">
        <v>221</v>
      </c>
      <c r="I37" s="314">
        <f>(G37-F37)/F37*100</f>
        <v>-86.906564784670493</v>
      </c>
    </row>
    <row r="38" spans="1:19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414">
        <f>'UPTO JUNE 2020'!F38+'JULY-2020'!F38+'AUG-2020'!F38+'SEP-2020'!F38</f>
        <v>0</v>
      </c>
      <c r="G38" s="414">
        <f>'UPTO JUNE 2020'!G38+'JULY-2020'!G38+'AUG-2020'!G38+'SEP-2020'!G38</f>
        <v>0</v>
      </c>
      <c r="H38" s="314" t="s">
        <v>221</v>
      </c>
      <c r="I38" s="314">
        <v>0</v>
      </c>
    </row>
    <row r="39" spans="1:19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414">
        <f>'UPTO JUNE 2020'!F39+'JULY-2020'!F39+'AUG-2020'!F39+'SEP-2020'!F39</f>
        <v>1.6900999999999999E-2</v>
      </c>
      <c r="G39" s="414">
        <f>'UPTO JUNE 2020'!G39+'JULY-2020'!G39+'AUG-2020'!G39+'SEP-2020'!G39</f>
        <v>0</v>
      </c>
      <c r="H39" s="314" t="s">
        <v>221</v>
      </c>
      <c r="I39" s="314">
        <v>0</v>
      </c>
    </row>
    <row r="40" spans="1:19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414">
        <f>'UPTO JUNE 2020'!F40+'JULY-2020'!F40+'AUG-2020'!F40+'SEP-2020'!F40</f>
        <v>0.12041669999999999</v>
      </c>
      <c r="G40" s="414">
        <f>'UPTO JUNE 2020'!G40+'JULY-2020'!G40+'AUG-2020'!G40+'SEP-2020'!G40</f>
        <v>8.1235600000000005E-2</v>
      </c>
      <c r="H40" s="314"/>
      <c r="I40" s="314">
        <v>0</v>
      </c>
    </row>
    <row r="41" spans="1:19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</row>
    <row r="42" spans="1:19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451">
        <f>'APRIL 2020'!F42+'MAY 2020'!F42+'JUNE-2020'!F42+'JULY-2020'!F42+'AUG-2020'!F42+'SEP-2020'!F42</f>
        <v>17.835000000000001</v>
      </c>
      <c r="G42" s="451">
        <f>'APRIL 2020'!G42+'MAY 2020'!G42+'JUNE-2020'!G42+'JULY-2020'!G42+'AUG-2020'!G42+'SEP-2020'!G42</f>
        <v>3.2000000000000002E-3</v>
      </c>
      <c r="H42" s="314" t="s">
        <v>221</v>
      </c>
      <c r="I42" s="314">
        <v>0</v>
      </c>
      <c r="K42" s="6"/>
      <c r="L42" s="6">
        <v>650</v>
      </c>
      <c r="N42" s="5">
        <f>G42*1000000</f>
        <v>3200</v>
      </c>
      <c r="O42" s="12">
        <f>N42/100000</f>
        <v>3.2000000000000001E-2</v>
      </c>
    </row>
    <row r="43" spans="1:19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451">
        <f>'APRIL 2020'!F43+'MAY 2020'!F43+'JUNE-2020'!F43+'JULY-2020'!F43+'AUG-2020'!F43+'SEP-2020'!F43</f>
        <v>15.227</v>
      </c>
      <c r="G43" s="451">
        <f>'APRIL 2020'!G43+'MAY 2020'!G43+'JUNE-2020'!G43+'JULY-2020'!G43+'AUG-2020'!G43+'SEP-2020'!G43</f>
        <v>0.18386699999999997</v>
      </c>
      <c r="H43" s="2027" t="s">
        <v>221</v>
      </c>
      <c r="I43" s="314">
        <v>0</v>
      </c>
      <c r="K43" s="6"/>
      <c r="L43" s="6"/>
      <c r="N43" s="5">
        <f>G43*1000000</f>
        <v>183866.99999999997</v>
      </c>
      <c r="O43" s="12">
        <f>N43/100000</f>
        <v>1.8386699999999998</v>
      </c>
      <c r="Q43" s="12">
        <f>F43+F44</f>
        <v>20.820264000000002</v>
      </c>
      <c r="R43" s="12">
        <f>G43+G44</f>
        <v>-4.0130000000000055E-2</v>
      </c>
      <c r="S43" s="5">
        <f>(R43-Q43)/Q43*100</f>
        <v>-100.19274491428159</v>
      </c>
    </row>
    <row r="44" spans="1:19" ht="15.4" x14ac:dyDescent="0.4">
      <c r="A44" s="2020"/>
      <c r="B44" s="2070"/>
      <c r="C44" s="320" t="s">
        <v>228</v>
      </c>
      <c r="D44" s="2068"/>
      <c r="E44" s="2066"/>
      <c r="F44" s="451">
        <f>'APRIL 2020'!F44+'MAY 2020'!F44+'JUNE-2020'!F44+'JULY-2020'!F44+'AUG-2020'!F44+'SEP-2020'!F44</f>
        <v>5.5932639999999996</v>
      </c>
      <c r="G44" s="451">
        <f>'APRIL 2020'!G44+'MAY 2020'!G44+'JUNE-2020'!G44+'JULY-2020'!G44+'AUG-2020'!G44+'SEP-2020'!G44</f>
        <v>-0.22399700000000003</v>
      </c>
      <c r="H44" s="2029"/>
      <c r="I44" s="314">
        <f>(G44-F44)/F44*100</f>
        <v>-104.00476358705757</v>
      </c>
      <c r="K44" s="6"/>
      <c r="L44" s="6"/>
      <c r="N44" s="5">
        <f>G44*1000000</f>
        <v>-223997.00000000003</v>
      </c>
      <c r="O44" s="12">
        <f>N44/100000</f>
        <v>-2.2399700000000005</v>
      </c>
      <c r="Q44" s="5">
        <f>Q43*1000000</f>
        <v>20820264</v>
      </c>
      <c r="R44" s="5">
        <f>R43*1000000</f>
        <v>-40130.000000000051</v>
      </c>
    </row>
    <row r="45" spans="1:19" ht="15" x14ac:dyDescent="0.35">
      <c r="A45" s="2020">
        <v>6</v>
      </c>
      <c r="B45" s="2021" t="s">
        <v>306</v>
      </c>
      <c r="C45" s="2022"/>
      <c r="D45" s="2022"/>
      <c r="E45" s="2022"/>
      <c r="F45" s="2022"/>
      <c r="G45" s="2022"/>
      <c r="H45" s="2022"/>
      <c r="I45" s="2023"/>
      <c r="Q45" s="5">
        <f>Q44/100000</f>
        <v>208.20264</v>
      </c>
      <c r="R45" s="5">
        <f>R44/100000</f>
        <v>-0.40130000000000049</v>
      </c>
    </row>
    <row r="46" spans="1:19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>
        <v>283.67</v>
      </c>
      <c r="G46" s="78">
        <v>298.57</v>
      </c>
      <c r="H46" s="2027" t="s">
        <v>221</v>
      </c>
      <c r="I46" s="314">
        <f>(G46-F46)/F46*100</f>
        <v>5.2525822258257744</v>
      </c>
    </row>
    <row r="47" spans="1:19" ht="15.4" x14ac:dyDescent="0.4">
      <c r="A47" s="2020"/>
      <c r="B47" s="2006" t="s">
        <v>37</v>
      </c>
      <c r="C47" s="2007"/>
      <c r="D47" s="303" t="s">
        <v>221</v>
      </c>
      <c r="E47" s="2025"/>
      <c r="F47" s="78">
        <v>28.13</v>
      </c>
      <c r="G47" s="78">
        <v>29.66</v>
      </c>
      <c r="H47" s="2028"/>
      <c r="I47" s="314">
        <f>(G47-F47)/F47*100</f>
        <v>5.439033060789197</v>
      </c>
      <c r="P47" s="5">
        <f>30+31+30+31+31</f>
        <v>153</v>
      </c>
      <c r="Q47" s="12">
        <f>Q45/153</f>
        <v>1.3608015686274511</v>
      </c>
      <c r="R47" s="12">
        <f>R45/153</f>
        <v>-2.6228758169934674E-3</v>
      </c>
    </row>
    <row r="48" spans="1:19" ht="15.4" x14ac:dyDescent="0.4">
      <c r="A48" s="2020"/>
      <c r="B48" s="2006" t="s">
        <v>38</v>
      </c>
      <c r="C48" s="2007"/>
      <c r="D48" s="303" t="s">
        <v>221</v>
      </c>
      <c r="E48" s="2026"/>
      <c r="F48" s="78">
        <f>SUM(F46:F47)</f>
        <v>311.8</v>
      </c>
      <c r="G48" s="78">
        <f>SUM(G46:G47)</f>
        <v>328.23</v>
      </c>
      <c r="H48" s="2029"/>
      <c r="I48" s="314">
        <f>(G48-F48)/F48*100</f>
        <v>5.2694034637588221</v>
      </c>
    </row>
    <row r="50" spans="3:10" x14ac:dyDescent="0.35">
      <c r="D50" s="35">
        <v>3.2000000000000002E-3</v>
      </c>
      <c r="E50" s="5">
        <f>D50*1000000</f>
        <v>3200</v>
      </c>
      <c r="F50" s="5">
        <f>E50/100000</f>
        <v>3.2000000000000001E-2</v>
      </c>
      <c r="G50" s="5">
        <f>E50/100000</f>
        <v>3.2000000000000001E-2</v>
      </c>
    </row>
    <row r="51" spans="3:10" x14ac:dyDescent="0.35">
      <c r="D51" s="35">
        <v>0.18</v>
      </c>
      <c r="E51" s="5">
        <f>D51*1000000</f>
        <v>180000</v>
      </c>
      <c r="F51" s="5">
        <f>E51/100000</f>
        <v>1.8</v>
      </c>
    </row>
    <row r="52" spans="3:10" x14ac:dyDescent="0.35">
      <c r="D52" s="35">
        <v>-0.22</v>
      </c>
      <c r="E52" s="5">
        <f>D52*1000000</f>
        <v>-220000</v>
      </c>
      <c r="F52" s="5">
        <f>E52/100000</f>
        <v>-2.2000000000000002</v>
      </c>
    </row>
    <row r="55" spans="3:10" x14ac:dyDescent="0.35">
      <c r="D55" s="84">
        <v>0</v>
      </c>
      <c r="E55" s="35">
        <v>0</v>
      </c>
      <c r="F55" s="5">
        <v>0</v>
      </c>
      <c r="G55" s="5">
        <v>0</v>
      </c>
      <c r="H55" s="11">
        <v>8.4999999999999995E-4</v>
      </c>
      <c r="I55" s="82">
        <v>2.3500000000000001E-3</v>
      </c>
      <c r="J55" s="5">
        <f>SUM(D55:I55)</f>
        <v>3.2000000000000002E-3</v>
      </c>
    </row>
    <row r="56" spans="3:10" x14ac:dyDescent="0.35">
      <c r="D56" s="84">
        <v>0</v>
      </c>
      <c r="E56" s="35">
        <v>0.18118999999999999</v>
      </c>
      <c r="F56" s="5">
        <v>1.168E-3</v>
      </c>
      <c r="G56" s="5">
        <v>0</v>
      </c>
      <c r="H56" s="11">
        <v>5.5099999999999995E-4</v>
      </c>
      <c r="I56" s="82">
        <v>9.5799999999999998E-4</v>
      </c>
      <c r="J56" s="5">
        <f>SUM(D56:I56)</f>
        <v>0.18386699999999997</v>
      </c>
    </row>
    <row r="57" spans="3:10" x14ac:dyDescent="0.35">
      <c r="D57" s="84">
        <v>-0.21001600000000001</v>
      </c>
      <c r="E57" s="35">
        <v>-0.199907</v>
      </c>
      <c r="F57" s="5">
        <v>-7.8978000000000007E-2</v>
      </c>
      <c r="G57" s="5">
        <v>5.1163E-2</v>
      </c>
      <c r="H57" s="11">
        <v>8.5222999999999993E-2</v>
      </c>
      <c r="I57" s="82">
        <v>0.12851799999999999</v>
      </c>
      <c r="J57" s="5">
        <f>SUM(D57:I57)</f>
        <v>-0.22399700000000003</v>
      </c>
    </row>
    <row r="58" spans="3:10" x14ac:dyDescent="0.35">
      <c r="C58" s="5">
        <f t="shared" ref="C58:I58" si="2">SUM(C55:C57)</f>
        <v>0</v>
      </c>
      <c r="D58" s="13">
        <f t="shared" si="2"/>
        <v>-0.21001600000000001</v>
      </c>
      <c r="E58" s="13">
        <f t="shared" si="2"/>
        <v>-1.8717000000000011E-2</v>
      </c>
      <c r="F58" s="13">
        <f t="shared" si="2"/>
        <v>-7.7810000000000004E-2</v>
      </c>
      <c r="G58" s="13">
        <f t="shared" si="2"/>
        <v>5.1163E-2</v>
      </c>
      <c r="H58" s="13">
        <f t="shared" si="2"/>
        <v>8.6623999999999993E-2</v>
      </c>
      <c r="I58" s="13">
        <f t="shared" si="2"/>
        <v>0.131826</v>
      </c>
      <c r="J58" s="5">
        <f>SUM(J55:J57)</f>
        <v>-3.6930000000000046E-2</v>
      </c>
    </row>
    <row r="64" spans="3:10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53" bottom="0.24" header="0.3" footer="0.3"/>
  <pageSetup paperSize="9" scale="37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T64"/>
  <sheetViews>
    <sheetView topLeftCell="A25" workbookViewId="0">
      <selection activeCell="G42" sqref="G42:G44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7.265625" style="5" customWidth="1"/>
    <col min="4" max="4" width="8.3984375" style="84" customWidth="1"/>
    <col min="5" max="5" width="11.265625" style="35" customWidth="1"/>
    <col min="6" max="6" width="11" style="5" customWidth="1"/>
    <col min="7" max="7" width="12" style="5" customWidth="1"/>
    <col min="8" max="8" width="7.1328125" style="11" customWidth="1"/>
    <col min="9" max="9" width="11.86328125" style="82" customWidth="1"/>
    <col min="10" max="10" width="9.1328125" style="5"/>
    <col min="11" max="12" width="11.265625" style="5" customWidth="1"/>
    <col min="13" max="13" width="10.1328125" style="5" customWidth="1"/>
    <col min="14" max="14" width="14.3984375" style="5" customWidth="1"/>
    <col min="15" max="15" width="22.73046875" style="5" customWidth="1"/>
    <col min="16" max="16384" width="9.1328125" style="5"/>
  </cols>
  <sheetData>
    <row r="1" spans="1:16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ht="17.25" thickBot="1" x14ac:dyDescent="0.5">
      <c r="A2" s="2092" t="s">
        <v>307</v>
      </c>
      <c r="B2" s="2093"/>
      <c r="C2" s="2093"/>
      <c r="D2" s="2093"/>
      <c r="E2" s="2093"/>
      <c r="F2" s="2093"/>
      <c r="G2" s="2093"/>
      <c r="H2" s="2093"/>
      <c r="I2" s="2094"/>
    </row>
    <row r="3" spans="1:1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6" s="35" customFormat="1" ht="15" x14ac:dyDescent="0.45">
      <c r="A4" s="2035"/>
      <c r="B4" s="2047"/>
      <c r="C4" s="2048"/>
      <c r="D4" s="366" t="s">
        <v>9</v>
      </c>
      <c r="E4" s="383">
        <f>G4</f>
        <v>44105</v>
      </c>
      <c r="F4" s="383">
        <v>43739</v>
      </c>
      <c r="G4" s="383">
        <v>44105</v>
      </c>
      <c r="H4" s="2041" t="s">
        <v>12</v>
      </c>
      <c r="I4" s="2041" t="s">
        <v>13</v>
      </c>
      <c r="N4" s="380"/>
      <c r="O4" s="380"/>
    </row>
    <row r="5" spans="1:16" ht="15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/>
    </row>
    <row r="6" spans="1:16" x14ac:dyDescent="0.45">
      <c r="A6" s="372">
        <v>1</v>
      </c>
      <c r="B6" s="2049" t="s">
        <v>279</v>
      </c>
      <c r="C6" s="2049"/>
      <c r="D6" s="304" t="s">
        <v>221</v>
      </c>
      <c r="E6" s="305" t="s">
        <v>221</v>
      </c>
      <c r="F6" s="305">
        <f>F15+F16+F17</f>
        <v>70.829595800000007</v>
      </c>
      <c r="G6" s="305">
        <f>G15+G16+G17</f>
        <v>18.998082796999999</v>
      </c>
      <c r="H6" s="306" t="s">
        <v>221</v>
      </c>
      <c r="I6" s="306">
        <f>(G6-F6)/F6*100</f>
        <v>-73.177761947640548</v>
      </c>
      <c r="K6" s="319"/>
      <c r="L6">
        <v>196749532</v>
      </c>
    </row>
    <row r="7" spans="1:16" x14ac:dyDescent="0.35">
      <c r="A7" s="373">
        <v>2</v>
      </c>
      <c r="B7" s="2050" t="s">
        <v>281</v>
      </c>
      <c r="C7" s="2051"/>
      <c r="D7" s="307" t="s">
        <v>221</v>
      </c>
      <c r="E7" s="307" t="s">
        <v>221</v>
      </c>
      <c r="F7" s="307">
        <v>13.71</v>
      </c>
      <c r="G7" s="307">
        <v>6.88</v>
      </c>
      <c r="H7" s="308" t="s">
        <v>221</v>
      </c>
      <c r="I7" s="308">
        <f>(G7-F7)/F7*100</f>
        <v>-49.817651349380021</v>
      </c>
      <c r="M7" s="172"/>
    </row>
    <row r="8" spans="1:16" x14ac:dyDescent="0.35">
      <c r="A8" s="374">
        <v>3</v>
      </c>
      <c r="B8" s="2021" t="s">
        <v>282</v>
      </c>
      <c r="C8" s="2023"/>
      <c r="D8" s="364" t="s">
        <v>221</v>
      </c>
      <c r="E8" s="364" t="s">
        <v>221</v>
      </c>
      <c r="F8" s="364">
        <v>7.77</v>
      </c>
      <c r="G8" s="364">
        <v>1.95</v>
      </c>
      <c r="H8" s="365" t="s">
        <v>221</v>
      </c>
      <c r="I8" s="365">
        <f>(G8-F8)/F8*100</f>
        <v>-74.903474903474901</v>
      </c>
      <c r="L8" s="5">
        <f>G7*10000000</f>
        <v>68800000</v>
      </c>
    </row>
    <row r="9" spans="1:16" x14ac:dyDescent="0.35">
      <c r="A9" s="373">
        <v>4</v>
      </c>
      <c r="B9" s="2052" t="s">
        <v>283</v>
      </c>
      <c r="C9" s="2053"/>
      <c r="D9" s="307" t="s">
        <v>221</v>
      </c>
      <c r="E9" s="307" t="s">
        <v>221</v>
      </c>
      <c r="F9" s="307">
        <v>0.55000000000000004</v>
      </c>
      <c r="G9" s="307">
        <v>6.8000000000000005E-2</v>
      </c>
      <c r="H9" s="308" t="s">
        <v>221</v>
      </c>
      <c r="I9" s="308">
        <f>(G9-F9)/F9*100</f>
        <v>-87.63636363636364</v>
      </c>
      <c r="L9" s="5">
        <f>L8/100000</f>
        <v>688</v>
      </c>
    </row>
    <row r="10" spans="1:16" ht="17.649999999999999" x14ac:dyDescent="0.35">
      <c r="A10" s="374">
        <v>5</v>
      </c>
      <c r="B10" s="2117" t="s">
        <v>284</v>
      </c>
      <c r="C10" s="2118"/>
      <c r="D10" s="321" t="s">
        <v>221</v>
      </c>
      <c r="E10" s="321" t="s">
        <v>221</v>
      </c>
      <c r="F10" s="446">
        <f>SUM(F6:F9)</f>
        <v>92.859595799999994</v>
      </c>
      <c r="G10" s="446">
        <f>SUM(G6:G9)</f>
        <v>27.896082796999998</v>
      </c>
      <c r="H10" s="322" t="s">
        <v>221</v>
      </c>
      <c r="I10" s="322">
        <f>(G10-F10)/F10*100</f>
        <v>-69.958858256197587</v>
      </c>
      <c r="K10" s="12"/>
    </row>
    <row r="11" spans="1:16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6" ht="18.399999999999999" thickTop="1" thickBot="1" x14ac:dyDescent="0.5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6.0950000000000006</v>
      </c>
      <c r="G12" s="447">
        <f>G42+G43+G44</f>
        <v>0.32766500000000004</v>
      </c>
      <c r="H12" s="310" t="s">
        <v>221</v>
      </c>
      <c r="I12" s="311">
        <f>(G12-F12)/F12*100</f>
        <v>-94.624036095159965</v>
      </c>
      <c r="O12"/>
    </row>
    <row r="13" spans="1:16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P13" s="5">
        <v>8</v>
      </c>
    </row>
    <row r="14" spans="1:16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</row>
    <row r="15" spans="1:16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264">
        <v>1.48</v>
      </c>
      <c r="G15" s="433">
        <f>164733.97/10000000</f>
        <v>1.6473397000000001E-2</v>
      </c>
      <c r="H15" s="314" t="s">
        <v>221</v>
      </c>
      <c r="I15" s="314">
        <f>(G15-F15)/F15*100</f>
        <v>-98.886932635135139</v>
      </c>
      <c r="M15" s="5">
        <f t="shared" ref="M15:N17" si="0">F15*10000000</f>
        <v>14800000</v>
      </c>
      <c r="N15" s="5">
        <f t="shared" si="0"/>
        <v>164733.97</v>
      </c>
      <c r="O15" s="12">
        <f>N15/100000</f>
        <v>1.6473397000000001</v>
      </c>
      <c r="P15" s="5">
        <f>M15/100000</f>
        <v>148</v>
      </c>
    </row>
    <row r="16" spans="1:16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134">
        <v>17.89</v>
      </c>
      <c r="G16" s="433">
        <f>69990/10000000</f>
        <v>6.999E-3</v>
      </c>
      <c r="H16" s="2027" t="s">
        <v>221</v>
      </c>
      <c r="I16" s="314">
        <f>(G16-F16)/F16*100</f>
        <v>-99.960877585243139</v>
      </c>
      <c r="K16" s="5">
        <f>69.35</f>
        <v>69.349999999999994</v>
      </c>
      <c r="L16" s="12"/>
      <c r="M16" s="5">
        <f t="shared" si="0"/>
        <v>178900000</v>
      </c>
      <c r="N16" s="5">
        <f t="shared" si="0"/>
        <v>69990</v>
      </c>
      <c r="O16" s="12">
        <f>N16/100000</f>
        <v>0.69989999999999997</v>
      </c>
      <c r="P16" s="5">
        <f>M16/100000</f>
        <v>1789</v>
      </c>
    </row>
    <row r="17" spans="1:16" ht="15.75" x14ac:dyDescent="0.45">
      <c r="A17" s="2005"/>
      <c r="B17" s="2071"/>
      <c r="C17" s="320" t="s">
        <v>228</v>
      </c>
      <c r="D17" s="2064"/>
      <c r="E17" s="2066"/>
      <c r="F17" s="252">
        <f>514595958/10000000</f>
        <v>51.459595800000002</v>
      </c>
      <c r="G17" s="470">
        <f>189746104/10000000</f>
        <v>18.9746104</v>
      </c>
      <c r="H17" s="2029"/>
      <c r="I17" s="314">
        <f>(G17-F17)/F17*100</f>
        <v>-63.12716781968971</v>
      </c>
      <c r="K17" s="386">
        <f>K16-F17</f>
        <v>17.890404199999992</v>
      </c>
      <c r="L17" s="319">
        <v>514595958</v>
      </c>
      <c r="M17" s="5">
        <f t="shared" si="0"/>
        <v>514595958</v>
      </c>
      <c r="N17" s="5">
        <f t="shared" si="0"/>
        <v>189746104</v>
      </c>
      <c r="O17" s="12">
        <f>N17/100000</f>
        <v>1897.4610399999999</v>
      </c>
      <c r="P17" s="41">
        <f>M17/100000</f>
        <v>5145.9595799999997</v>
      </c>
    </row>
    <row r="18" spans="1:16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16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f>73578872/10000000</f>
        <v>7.3578872000000004</v>
      </c>
      <c r="G19" s="264">
        <f>22625140/10000000</f>
        <v>2.2625139999999999</v>
      </c>
      <c r="H19" s="316" t="s">
        <v>221</v>
      </c>
      <c r="I19" s="314">
        <f>(G19-F19)/F19*100</f>
        <v>-69.250493538416862</v>
      </c>
      <c r="L19"/>
    </row>
    <row r="20" spans="1:16" ht="15.4" x14ac:dyDescent="0.4">
      <c r="A20" s="2004"/>
      <c r="B20" s="2009"/>
      <c r="C20" s="2000" t="s">
        <v>232</v>
      </c>
      <c r="D20" s="2001"/>
      <c r="E20" s="2002"/>
      <c r="F20" s="264">
        <f>45215771/10000000</f>
        <v>4.5215771</v>
      </c>
      <c r="G20" s="264">
        <f>13539900/10000000</f>
        <v>1.35399</v>
      </c>
      <c r="H20" s="316" t="s">
        <v>221</v>
      </c>
      <c r="I20" s="314">
        <f>(G20-F20)/F20*100</f>
        <v>-70.054917342889055</v>
      </c>
    </row>
    <row r="21" spans="1:16" ht="15.4" x14ac:dyDescent="0.4">
      <c r="A21" s="2004"/>
      <c r="B21" s="2009"/>
      <c r="C21" s="2000" t="s">
        <v>239</v>
      </c>
      <c r="D21" s="2001"/>
      <c r="E21" s="2002"/>
      <c r="F21" s="264">
        <f>5380169/10000000</f>
        <v>0.53801690000000002</v>
      </c>
      <c r="G21" s="264">
        <f>27615940/10000000</f>
        <v>2.7615940000000001</v>
      </c>
      <c r="H21" s="316" t="s">
        <v>221</v>
      </c>
      <c r="I21" s="314">
        <f>(G21-F21)/F21*100</f>
        <v>413.2913111093722</v>
      </c>
    </row>
    <row r="22" spans="1:16" ht="15.4" x14ac:dyDescent="0.4">
      <c r="A22" s="2004"/>
      <c r="B22" s="2009"/>
      <c r="C22" s="2000" t="s">
        <v>233</v>
      </c>
      <c r="D22" s="2001"/>
      <c r="E22" s="2002"/>
      <c r="F22" s="264">
        <f>9285111/10000000</f>
        <v>0.92851110000000003</v>
      </c>
      <c r="G22" s="264">
        <f>5019155/10000000</f>
        <v>0.50191549999999996</v>
      </c>
      <c r="H22" s="316" t="s">
        <v>221</v>
      </c>
      <c r="I22" s="314">
        <f>(G22-F22)/F22*100</f>
        <v>-45.944049564943278</v>
      </c>
    </row>
    <row r="23" spans="1:16" ht="15.4" x14ac:dyDescent="0.4">
      <c r="A23" s="2004"/>
      <c r="B23" s="2009"/>
      <c r="C23" s="2000" t="s">
        <v>234</v>
      </c>
      <c r="D23" s="2001"/>
      <c r="E23" s="2002"/>
      <c r="F23" s="264">
        <f>3617541/10000000</f>
        <v>0.36175410000000002</v>
      </c>
      <c r="G23" s="264">
        <v>0</v>
      </c>
      <c r="H23" s="316" t="s">
        <v>221</v>
      </c>
      <c r="I23" s="314">
        <f>(G23-F23)/F23*100</f>
        <v>-100</v>
      </c>
    </row>
    <row r="24" spans="1:16" ht="15.4" x14ac:dyDescent="0.4">
      <c r="A24" s="2004"/>
      <c r="B24" s="2009"/>
      <c r="C24" s="2000" t="s">
        <v>235</v>
      </c>
      <c r="D24" s="2001"/>
      <c r="E24" s="2002"/>
      <c r="F24" s="264">
        <v>0</v>
      </c>
      <c r="G24" s="264">
        <v>0</v>
      </c>
      <c r="H24" s="316"/>
      <c r="I24" s="314">
        <v>0</v>
      </c>
    </row>
    <row r="25" spans="1:16" ht="15.4" x14ac:dyDescent="0.4">
      <c r="A25" s="2005"/>
      <c r="B25" s="2010"/>
      <c r="C25" s="2011" t="s">
        <v>236</v>
      </c>
      <c r="D25" s="2012"/>
      <c r="E25" s="2013"/>
      <c r="F25" s="264">
        <v>0</v>
      </c>
      <c r="G25" s="264">
        <v>0</v>
      </c>
      <c r="H25" s="316" t="s">
        <v>221</v>
      </c>
      <c r="I25" s="314">
        <v>0</v>
      </c>
    </row>
    <row r="26" spans="1:16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16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134">
        <v>2.35</v>
      </c>
      <c r="G27" s="283">
        <f>527362/10000000</f>
        <v>5.2736199999999997E-2</v>
      </c>
      <c r="H27" s="314" t="s">
        <v>221</v>
      </c>
      <c r="I27" s="314">
        <f t="shared" ref="I27:I33" si="1">(G27-F27)/F27*100</f>
        <v>-97.755906382978722</v>
      </c>
      <c r="K27" s="6" t="s">
        <v>126</v>
      </c>
      <c r="L27" s="6" t="s">
        <v>299</v>
      </c>
      <c r="N27" s="5">
        <v>485283</v>
      </c>
      <c r="O27" s="5">
        <f>6.43-6.18</f>
        <v>0.25</v>
      </c>
    </row>
    <row r="28" spans="1:16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v>1.95</v>
      </c>
      <c r="G28" s="134">
        <f>11758708/10000000</f>
        <v>1.1758708</v>
      </c>
      <c r="H28" s="314" t="s">
        <v>221</v>
      </c>
      <c r="I28" s="314">
        <f t="shared" si="1"/>
        <v>-39.698933333333329</v>
      </c>
      <c r="K28" s="6"/>
      <c r="L28" s="6">
        <f>4041+15+190</f>
        <v>4246</v>
      </c>
      <c r="N28" s="5">
        <f>N27/100000</f>
        <v>4.85283</v>
      </c>
    </row>
    <row r="29" spans="1:16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134">
        <v>0.107</v>
      </c>
      <c r="G29" s="389">
        <f>210912/10000000</f>
        <v>2.1091200000000001E-2</v>
      </c>
      <c r="H29" s="314" t="s">
        <v>221</v>
      </c>
      <c r="I29" s="314">
        <f t="shared" si="1"/>
        <v>-80.288598130841109</v>
      </c>
    </row>
    <row r="30" spans="1:16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v>0.06</v>
      </c>
      <c r="G30" s="134">
        <v>0</v>
      </c>
      <c r="H30" s="316" t="s">
        <v>221</v>
      </c>
      <c r="I30" s="314">
        <f t="shared" si="1"/>
        <v>-100</v>
      </c>
    </row>
    <row r="31" spans="1:16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v>0</v>
      </c>
      <c r="G31" s="264">
        <v>0</v>
      </c>
      <c r="H31" s="316" t="s">
        <v>221</v>
      </c>
      <c r="I31" s="314" t="e">
        <f t="shared" si="1"/>
        <v>#DIV/0!</v>
      </c>
    </row>
    <row r="32" spans="1:16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134">
        <v>3.3</v>
      </c>
      <c r="G32" s="470">
        <f>7024968/10000000</f>
        <v>0.70249680000000003</v>
      </c>
      <c r="H32" s="316" t="s">
        <v>221</v>
      </c>
      <c r="I32" s="314">
        <f t="shared" si="1"/>
        <v>-78.712218181818187</v>
      </c>
      <c r="K32" s="437">
        <v>8790711</v>
      </c>
      <c r="O32" s="380"/>
    </row>
    <row r="33" spans="1:20" x14ac:dyDescent="0.45">
      <c r="A33" s="403"/>
      <c r="B33" s="402" t="s">
        <v>266</v>
      </c>
      <c r="C33" s="409"/>
      <c r="D33" s="332"/>
      <c r="E33" s="308"/>
      <c r="F33" s="134">
        <v>5.0000000000000001E-4</v>
      </c>
      <c r="G33" s="389">
        <f>4246/10000000</f>
        <v>4.2460000000000002E-4</v>
      </c>
      <c r="H33" s="316"/>
      <c r="I33" s="314">
        <f t="shared" si="1"/>
        <v>-15.079999999999998</v>
      </c>
      <c r="K33" s="5">
        <f>1300+15+630+420+120+6330</f>
        <v>8815</v>
      </c>
      <c r="O33" s="380"/>
    </row>
    <row r="34" spans="1:20" ht="15" x14ac:dyDescent="0.4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  <c r="M34" s="26"/>
    </row>
    <row r="35" spans="1:20" ht="15.4" x14ac:dyDescent="0.4">
      <c r="A35" s="2020"/>
      <c r="B35" s="2006" t="s">
        <v>27</v>
      </c>
      <c r="C35" s="2007"/>
      <c r="D35" s="331">
        <v>10.16</v>
      </c>
      <c r="E35" s="307">
        <v>0.20250000000000001</v>
      </c>
      <c r="F35" s="264">
        <v>0.28499999999999998</v>
      </c>
      <c r="G35" s="283">
        <v>5.4699999999999999E-2</v>
      </c>
      <c r="H35" s="314">
        <f>(G35-E35)/E35*100</f>
        <v>-72.987654320987659</v>
      </c>
      <c r="I35" s="314">
        <f>(G35-F35)/F35*100</f>
        <v>-80.807017543859644</v>
      </c>
      <c r="K35" s="432" t="s">
        <v>203</v>
      </c>
      <c r="L35" s="432" t="s">
        <v>275</v>
      </c>
    </row>
    <row r="36" spans="1:20" ht="15.4" x14ac:dyDescent="0.4">
      <c r="A36" s="2020"/>
      <c r="B36" s="2006" t="s">
        <v>28</v>
      </c>
      <c r="C36" s="2007"/>
      <c r="D36" s="333" t="s">
        <v>221</v>
      </c>
      <c r="E36" s="307" t="s">
        <v>221</v>
      </c>
      <c r="F36" s="264">
        <v>0.04</v>
      </c>
      <c r="G36" s="134">
        <v>0</v>
      </c>
      <c r="H36" s="314" t="s">
        <v>221</v>
      </c>
      <c r="I36" s="314">
        <f>(G36-F36)/F36*100</f>
        <v>-100</v>
      </c>
      <c r="K36" s="5" t="s">
        <v>126</v>
      </c>
      <c r="L36" s="5" t="s">
        <v>299</v>
      </c>
    </row>
    <row r="37" spans="1:20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264">
        <f>2187933/10000000</f>
        <v>0.2187933</v>
      </c>
      <c r="G37" s="389">
        <f>39152/10000000</f>
        <v>3.9151999999999998E-3</v>
      </c>
      <c r="H37" s="314" t="s">
        <v>221</v>
      </c>
      <c r="I37" s="314">
        <f>(G37-F37)/F37*100</f>
        <v>-98.210548494857932</v>
      </c>
      <c r="K37" s="6">
        <f>3695+606+35+5749+46464+300+10194+144+159691+235+1730+67000</f>
        <v>295843</v>
      </c>
      <c r="L37" s="6">
        <f>M37-N37</f>
        <v>90359</v>
      </c>
      <c r="M37" s="5">
        <v>641386</v>
      </c>
      <c r="N37" s="5">
        <f>148+245+1076+8802+3000+20347+1830+16+11900+2000+116+4500+2920+1000+419492+73635</f>
        <v>551027</v>
      </c>
    </row>
    <row r="38" spans="1:20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v>0</v>
      </c>
      <c r="G38" s="134">
        <v>0</v>
      </c>
      <c r="H38" s="314" t="s">
        <v>221</v>
      </c>
      <c r="I38" s="314">
        <v>0</v>
      </c>
      <c r="K38" s="30">
        <f>K37/10000000</f>
        <v>2.9584300000000001E-2</v>
      </c>
      <c r="L38" s="30">
        <f>L37/10000000</f>
        <v>9.0358999999999995E-3</v>
      </c>
    </row>
    <row r="39" spans="1:20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264">
        <v>0</v>
      </c>
      <c r="G39" s="134">
        <v>0</v>
      </c>
      <c r="H39" s="314" t="s">
        <v>221</v>
      </c>
      <c r="I39" s="314">
        <v>0</v>
      </c>
    </row>
    <row r="40" spans="1:20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134">
        <v>0.01</v>
      </c>
      <c r="G40" s="283">
        <v>8.9999999999999993E-3</v>
      </c>
      <c r="H40" s="314"/>
      <c r="I40" s="314">
        <v>0</v>
      </c>
    </row>
    <row r="41" spans="1:20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</row>
    <row r="42" spans="1:20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2.58</v>
      </c>
      <c r="G42" s="433">
        <f>39476/1000000</f>
        <v>3.9475999999999997E-2</v>
      </c>
      <c r="H42" s="314" t="s">
        <v>221</v>
      </c>
      <c r="I42" s="314">
        <v>0</v>
      </c>
      <c r="K42" s="5">
        <f>G42*1000000</f>
        <v>39476</v>
      </c>
      <c r="L42" s="5">
        <f>K42/100000</f>
        <v>0.39476</v>
      </c>
    </row>
    <row r="43" spans="1:20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134">
        <v>2.64</v>
      </c>
      <c r="G43" s="283">
        <f>1558/1000000</f>
        <v>1.5579999999999999E-3</v>
      </c>
      <c r="H43" s="2027" t="s">
        <v>221</v>
      </c>
      <c r="I43" s="314">
        <v>0</v>
      </c>
      <c r="K43" s="5">
        <f>G43*1000000</f>
        <v>1558</v>
      </c>
      <c r="L43" s="5">
        <f>K43/100000</f>
        <v>1.558E-2</v>
      </c>
      <c r="M43" s="12">
        <f>G43+G44</f>
        <v>0.28818900000000003</v>
      </c>
      <c r="N43" s="5">
        <f>(M43-L43)/L43*100</f>
        <v>1749.7368421052633</v>
      </c>
    </row>
    <row r="44" spans="1:20" ht="15.75" x14ac:dyDescent="0.45">
      <c r="A44" s="2020"/>
      <c r="B44" s="2070"/>
      <c r="C44" s="320" t="s">
        <v>228</v>
      </c>
      <c r="D44" s="2068"/>
      <c r="E44" s="2066"/>
      <c r="F44" s="134">
        <f>0.875</f>
        <v>0.875</v>
      </c>
      <c r="G44" s="470">
        <f>286631/1000000</f>
        <v>0.28663100000000002</v>
      </c>
      <c r="H44" s="2029"/>
      <c r="I44" s="314">
        <f>(G44-F44)/F44*100</f>
        <v>-67.242171428571424</v>
      </c>
      <c r="K44" s="5">
        <f>G44*1000000</f>
        <v>286631</v>
      </c>
      <c r="L44" s="5">
        <f>K44/100000</f>
        <v>2.8663099999999999</v>
      </c>
      <c r="Q44" s="5">
        <v>150000</v>
      </c>
      <c r="R44" s="5">
        <v>260000</v>
      </c>
      <c r="S44" s="5">
        <v>178000</v>
      </c>
      <c r="T44" s="5">
        <f>S44+24000</f>
        <v>202000</v>
      </c>
    </row>
    <row r="45" spans="1:20" ht="15" x14ac:dyDescent="0.35">
      <c r="A45" s="2020">
        <v>6</v>
      </c>
      <c r="B45" s="2021" t="s">
        <v>314</v>
      </c>
      <c r="C45" s="2022"/>
      <c r="D45" s="2022"/>
      <c r="E45" s="2022"/>
      <c r="F45" s="2022"/>
      <c r="G45" s="2022"/>
      <c r="H45" s="2022"/>
      <c r="I45" s="2023"/>
      <c r="Q45" s="5">
        <f>Q44-24000</f>
        <v>126000</v>
      </c>
    </row>
    <row r="46" spans="1:20" ht="15.75" x14ac:dyDescent="0.45">
      <c r="A46" s="2020"/>
      <c r="B46" s="2006" t="s">
        <v>36</v>
      </c>
      <c r="C46" s="2007"/>
      <c r="D46" s="303" t="s">
        <v>221</v>
      </c>
      <c r="E46" s="2024" t="s">
        <v>221</v>
      </c>
      <c r="F46" s="78">
        <v>218.52</v>
      </c>
      <c r="G46" s="78">
        <v>320.17</v>
      </c>
      <c r="H46" s="2027" t="s">
        <v>221</v>
      </c>
      <c r="I46" s="314">
        <f>(G46-F46)/F46*100</f>
        <v>46.517481237415339</v>
      </c>
      <c r="L46" s="5">
        <v>3.51</v>
      </c>
      <c r="M46">
        <v>875440</v>
      </c>
      <c r="Q46" s="5">
        <f>Q45*1.58</f>
        <v>199080</v>
      </c>
    </row>
    <row r="47" spans="1:20" ht="15.4" x14ac:dyDescent="0.4">
      <c r="A47" s="2020"/>
      <c r="B47" s="2006" t="s">
        <v>37</v>
      </c>
      <c r="C47" s="2007"/>
      <c r="D47" s="303" t="s">
        <v>221</v>
      </c>
      <c r="E47" s="2025"/>
      <c r="F47" s="78">
        <v>33.47</v>
      </c>
      <c r="G47" s="78">
        <v>30.1</v>
      </c>
      <c r="H47" s="2028"/>
      <c r="I47" s="314">
        <f>(G47-F47)/F47*100</f>
        <v>-10.068718255153861</v>
      </c>
      <c r="L47" s="5">
        <f>L46-0.88</f>
        <v>2.63</v>
      </c>
      <c r="M47" s="12">
        <f>M46/1000000</f>
        <v>0.87544</v>
      </c>
      <c r="Q47" s="5">
        <f>Q46/100</f>
        <v>1990.8</v>
      </c>
    </row>
    <row r="48" spans="1:20" ht="15.4" x14ac:dyDescent="0.4">
      <c r="A48" s="2020"/>
      <c r="B48" s="2006" t="s">
        <v>38</v>
      </c>
      <c r="C48" s="2007"/>
      <c r="D48" s="303" t="s">
        <v>221</v>
      </c>
      <c r="E48" s="2026"/>
      <c r="F48" s="78">
        <f>SUM(F46:F47)</f>
        <v>251.99</v>
      </c>
      <c r="G48" s="78">
        <f>SUM(G46:G47)</f>
        <v>350.27000000000004</v>
      </c>
      <c r="H48" s="2029"/>
      <c r="I48" s="314">
        <f>(G48-F48)/F48*100</f>
        <v>39.001547680463524</v>
      </c>
    </row>
    <row r="49" spans="2:15" s="5" customFormat="1" ht="13.5" x14ac:dyDescent="0.35">
      <c r="B49" s="300"/>
      <c r="D49" s="84"/>
      <c r="E49" s="35"/>
      <c r="H49" s="11"/>
      <c r="I49" s="82"/>
      <c r="O49" s="5">
        <v>10</v>
      </c>
    </row>
    <row r="50" spans="2:15" s="5" customFormat="1" ht="13.5" x14ac:dyDescent="0.35">
      <c r="B50" s="300"/>
      <c r="D50" s="84"/>
      <c r="E50" s="35">
        <f>31.15</f>
        <v>31.15</v>
      </c>
      <c r="F50" s="5">
        <f>E50*100000</f>
        <v>3115000</v>
      </c>
      <c r="G50" s="5">
        <f>F50/1000000</f>
        <v>3.1150000000000002</v>
      </c>
      <c r="H50" s="11"/>
      <c r="O50" s="5">
        <f>O49/12</f>
        <v>0.83333333333333337</v>
      </c>
    </row>
    <row r="51" spans="2:15" s="5" customFormat="1" ht="13.5" x14ac:dyDescent="0.35">
      <c r="B51" s="300"/>
      <c r="D51" s="84"/>
      <c r="E51" s="35">
        <v>23.87</v>
      </c>
      <c r="F51" s="5">
        <f>E51*100000</f>
        <v>2387000</v>
      </c>
      <c r="G51" s="5">
        <f>F51/1000000</f>
        <v>2.387</v>
      </c>
      <c r="H51" s="11"/>
      <c r="O51" s="5">
        <f>O50*18</f>
        <v>15</v>
      </c>
    </row>
    <row r="52" spans="2:15" s="5" customFormat="1" ht="13.5" x14ac:dyDescent="0.35">
      <c r="B52" s="300"/>
      <c r="D52" s="84"/>
      <c r="E52" s="35">
        <v>9.52</v>
      </c>
      <c r="F52" s="5">
        <f>E52*100000</f>
        <v>952000</v>
      </c>
      <c r="G52" s="5">
        <f>F52/1000000</f>
        <v>0.95199999999999996</v>
      </c>
      <c r="H52" s="11"/>
      <c r="O52" s="5">
        <f>O51/100</f>
        <v>0.15</v>
      </c>
    </row>
    <row r="53" spans="2:15" s="5" customFormat="1" ht="13.5" x14ac:dyDescent="0.35">
      <c r="B53" s="300"/>
      <c r="D53" s="84"/>
      <c r="E53" s="35"/>
      <c r="H53" s="11"/>
      <c r="I53" s="82"/>
      <c r="O53" s="5">
        <f>0.83+0.15</f>
        <v>0.98</v>
      </c>
    </row>
    <row r="54" spans="2:15" s="5" customFormat="1" ht="13.5" x14ac:dyDescent="0.35">
      <c r="C54" s="12"/>
      <c r="D54" s="84"/>
      <c r="E54" s="428"/>
      <c r="F54" s="12"/>
      <c r="G54" s="12"/>
      <c r="H54" s="11"/>
    </row>
    <row r="55" spans="2:15" s="5" customFormat="1" ht="13.5" x14ac:dyDescent="0.35">
      <c r="B55" s="300"/>
      <c r="D55" s="84"/>
      <c r="E55" s="35"/>
      <c r="G55" s="5">
        <f>G42*1000000</f>
        <v>39476</v>
      </c>
      <c r="H55" s="11">
        <f>G55/100000</f>
        <v>0.39476</v>
      </c>
      <c r="I55" s="82"/>
    </row>
    <row r="56" spans="2:15" s="5" customFormat="1" ht="13.5" x14ac:dyDescent="0.35">
      <c r="B56" s="300"/>
      <c r="D56" s="84"/>
      <c r="E56" s="35"/>
      <c r="G56" s="5">
        <f>G43*1000000</f>
        <v>1558</v>
      </c>
      <c r="H56" s="11">
        <f>G56/100000</f>
        <v>1.558E-2</v>
      </c>
      <c r="I56" s="82"/>
    </row>
    <row r="57" spans="2:15" s="5" customFormat="1" ht="13.5" x14ac:dyDescent="0.35">
      <c r="B57" s="300"/>
      <c r="D57" s="84"/>
      <c r="E57" s="35"/>
      <c r="G57" s="5">
        <f>G44*1000000</f>
        <v>286631</v>
      </c>
      <c r="H57" s="11">
        <f>G57/100000</f>
        <v>2.8663099999999999</v>
      </c>
      <c r="I57" s="82"/>
    </row>
    <row r="64" spans="2:15" s="5" customFormat="1" ht="13.5" x14ac:dyDescent="0.35">
      <c r="H64" s="11">
        <f>60000/100000</f>
        <v>0.6</v>
      </c>
    </row>
  </sheetData>
  <mergeCells count="64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17" right="0.27" top="0.17" bottom="0.75" header="0.3" footer="0.3"/>
  <pageSetup paperSize="9" scale="41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V64"/>
  <sheetViews>
    <sheetView topLeftCell="B1" workbookViewId="0">
      <selection activeCell="G10" sqref="G10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7.265625" style="5" customWidth="1"/>
    <col min="4" max="4" width="8.3984375" style="84" customWidth="1"/>
    <col min="5" max="5" width="10.265625" style="35" customWidth="1"/>
    <col min="6" max="6" width="11" style="5" customWidth="1"/>
    <col min="7" max="7" width="12" style="5" customWidth="1"/>
    <col min="8" max="8" width="8.59765625" style="11" customWidth="1"/>
    <col min="9" max="9" width="11.1328125" style="82" customWidth="1"/>
    <col min="10" max="11" width="9.1328125" style="5"/>
    <col min="12" max="12" width="13.1328125" style="5" customWidth="1"/>
    <col min="13" max="13" width="10.1328125" style="5" customWidth="1"/>
    <col min="14" max="14" width="9.1328125" style="5"/>
    <col min="15" max="15" width="22.73046875" style="5" customWidth="1"/>
    <col min="16" max="16" width="9.265625" style="5" customWidth="1"/>
    <col min="17" max="16384" width="9.1328125" style="5"/>
  </cols>
  <sheetData>
    <row r="1" spans="1:22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22" s="301" customFormat="1" thickBot="1" x14ac:dyDescent="0.5">
      <c r="A2" s="2119" t="s">
        <v>308</v>
      </c>
      <c r="B2" s="2120"/>
      <c r="C2" s="2120"/>
      <c r="D2" s="2120"/>
      <c r="E2" s="2120"/>
      <c r="F2" s="2120"/>
      <c r="G2" s="2120"/>
      <c r="H2" s="2120"/>
      <c r="I2" s="2121"/>
    </row>
    <row r="3" spans="1:22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22" s="35" customFormat="1" ht="15" x14ac:dyDescent="0.45">
      <c r="A4" s="2035"/>
      <c r="B4" s="2047"/>
      <c r="C4" s="2048"/>
      <c r="D4" s="366" t="s">
        <v>9</v>
      </c>
      <c r="E4" s="383">
        <f>G4</f>
        <v>44105</v>
      </c>
      <c r="F4" s="383">
        <v>43739</v>
      </c>
      <c r="G4" s="383">
        <v>44105</v>
      </c>
      <c r="H4" s="2041" t="s">
        <v>12</v>
      </c>
      <c r="I4" s="2041" t="s">
        <v>13</v>
      </c>
      <c r="N4" s="380"/>
      <c r="O4" s="380"/>
    </row>
    <row r="5" spans="1:22" ht="15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/>
    </row>
    <row r="6" spans="1:22" x14ac:dyDescent="0.35">
      <c r="A6" s="372">
        <v>1</v>
      </c>
      <c r="B6" s="2049" t="s">
        <v>279</v>
      </c>
      <c r="C6" s="2049"/>
      <c r="D6" s="304" t="s">
        <v>221</v>
      </c>
      <c r="E6" s="305" t="s">
        <v>221</v>
      </c>
      <c r="F6" s="305">
        <f>'UPTO SEP 2020'!F6+'OCT-2020'!F6</f>
        <v>518.38422260000004</v>
      </c>
      <c r="G6" s="305">
        <f>'UPTO SEP 2020'!G6+'OCT-2020'!G6</f>
        <v>23.045400297</v>
      </c>
      <c r="H6" s="306" t="s">
        <v>221</v>
      </c>
      <c r="I6" s="306">
        <f>(G6-F6)/F6*100</f>
        <v>-95.554378529999653</v>
      </c>
      <c r="K6" s="319"/>
      <c r="L6" s="319">
        <v>30462813</v>
      </c>
    </row>
    <row r="7" spans="1:22" x14ac:dyDescent="0.35">
      <c r="A7" s="373">
        <v>2</v>
      </c>
      <c r="B7" s="2050" t="s">
        <v>281</v>
      </c>
      <c r="C7" s="2051"/>
      <c r="D7" s="307" t="s">
        <v>221</v>
      </c>
      <c r="E7" s="307" t="s">
        <v>221</v>
      </c>
      <c r="F7" s="305">
        <f>'UPTO SEP 2020'!F7+'OCT-2020'!F7</f>
        <v>113.72999999999999</v>
      </c>
      <c r="G7" s="305">
        <f>'UPTO SEP 2020'!G7+'OCT-2020'!G7</f>
        <v>63.370000000000005</v>
      </c>
      <c r="H7" s="308" t="s">
        <v>221</v>
      </c>
      <c r="I7" s="308">
        <f>(G7-F7)/F7*100</f>
        <v>-44.280313022069805</v>
      </c>
      <c r="M7" s="172"/>
      <c r="P7" s="5">
        <v>114.65</v>
      </c>
      <c r="Q7" s="5">
        <v>63.37</v>
      </c>
      <c r="R7" s="5">
        <f>P7-Q7</f>
        <v>51.280000000000008</v>
      </c>
      <c r="T7" s="5">
        <v>98.45</v>
      </c>
      <c r="U7" s="5">
        <v>25.09</v>
      </c>
      <c r="V7" s="5">
        <f>T7+U7</f>
        <v>123.54</v>
      </c>
    </row>
    <row r="8" spans="1:22" x14ac:dyDescent="0.35">
      <c r="A8" s="374">
        <v>3</v>
      </c>
      <c r="B8" s="2021" t="s">
        <v>282</v>
      </c>
      <c r="C8" s="2023"/>
      <c r="D8" s="364" t="s">
        <v>221</v>
      </c>
      <c r="E8" s="364" t="s">
        <v>221</v>
      </c>
      <c r="F8" s="305">
        <v>49.99</v>
      </c>
      <c r="G8" s="305">
        <f>'UPTO SEP 2020'!G8+'OCT-2020'!G8</f>
        <v>6.7020000000000008</v>
      </c>
      <c r="H8" s="365" t="s">
        <v>221</v>
      </c>
      <c r="I8" s="365">
        <f>(G8-F8)/F8*100</f>
        <v>-86.593318663732759</v>
      </c>
      <c r="L8" s="5">
        <f>G7*10000000</f>
        <v>633700000</v>
      </c>
      <c r="P8" s="12"/>
      <c r="T8" s="5">
        <v>7.8</v>
      </c>
      <c r="U8" s="5">
        <v>6.7</v>
      </c>
      <c r="V8" s="5">
        <f>T8+U8</f>
        <v>14.5</v>
      </c>
    </row>
    <row r="9" spans="1:22" x14ac:dyDescent="0.35">
      <c r="A9" s="373">
        <v>4</v>
      </c>
      <c r="B9" s="2052" t="s">
        <v>283</v>
      </c>
      <c r="C9" s="2053"/>
      <c r="D9" s="307" t="s">
        <v>221</v>
      </c>
      <c r="E9" s="307" t="s">
        <v>221</v>
      </c>
      <c r="F9" s="305">
        <f>'UPTO SEP 2020'!F9+'OCT-2020'!F9</f>
        <v>5.9300000000000006</v>
      </c>
      <c r="G9" s="305">
        <f>'UPTO SEP 2020'!G9+'OCT-2020'!G9</f>
        <v>0.38380000000000003</v>
      </c>
      <c r="H9" s="308" t="s">
        <v>221</v>
      </c>
      <c r="I9" s="308">
        <f>(G9-F9)/F9*100</f>
        <v>-93.527824620573369</v>
      </c>
      <c r="L9" s="5">
        <f>L8/100000</f>
        <v>6337</v>
      </c>
      <c r="T9" s="5">
        <v>51.28</v>
      </c>
      <c r="U9" s="5">
        <v>63.37</v>
      </c>
      <c r="V9" s="5">
        <f>T9+U9</f>
        <v>114.65</v>
      </c>
    </row>
    <row r="10" spans="1:22" ht="17.649999999999999" x14ac:dyDescent="0.35">
      <c r="A10" s="374">
        <v>5</v>
      </c>
      <c r="B10" s="2117" t="s">
        <v>284</v>
      </c>
      <c r="C10" s="2118"/>
      <c r="D10" s="321" t="s">
        <v>221</v>
      </c>
      <c r="E10" s="321" t="s">
        <v>221</v>
      </c>
      <c r="F10" s="446">
        <f>SUM(F6:F9)</f>
        <v>688.03422260000002</v>
      </c>
      <c r="G10" s="446">
        <f>SUM(G6:G9)</f>
        <v>93.501200296999997</v>
      </c>
      <c r="H10" s="322" t="s">
        <v>221</v>
      </c>
      <c r="I10" s="322">
        <f>(G10-F10)/F10*100</f>
        <v>-86.410385235828826</v>
      </c>
      <c r="T10" s="5">
        <v>2.38</v>
      </c>
      <c r="U10" s="5">
        <v>0.38</v>
      </c>
      <c r="V10" s="5">
        <f>T10+U10</f>
        <v>2.76</v>
      </c>
    </row>
    <row r="11" spans="1:22" ht="14.25" thickBot="1" x14ac:dyDescent="0.4">
      <c r="A11" s="2099"/>
      <c r="B11" s="2100"/>
      <c r="C11" s="2100"/>
      <c r="D11" s="2100"/>
      <c r="E11" s="2100"/>
      <c r="F11" s="2100"/>
      <c r="G11" s="2100"/>
      <c r="H11" s="2100"/>
      <c r="I11" s="2101"/>
      <c r="Q11" s="5">
        <v>3.3</v>
      </c>
      <c r="V11" s="5">
        <f>SUM(V7:V10)</f>
        <v>255.45000000000002</v>
      </c>
    </row>
    <row r="12" spans="1:22" ht="17.649999999999999" thickTop="1" thickBot="1" x14ac:dyDescent="0.5">
      <c r="A12" s="375">
        <v>6.3</v>
      </c>
      <c r="B12" s="2056" t="s">
        <v>305</v>
      </c>
      <c r="C12" s="2057"/>
      <c r="D12" s="371" t="s">
        <v>221</v>
      </c>
      <c r="E12" s="472" t="s">
        <v>221</v>
      </c>
      <c r="F12" s="471">
        <f>'APRIL 2020'!F12+'MAY 2020'!F12+'JUNE-2020'!F12+'JULY-2020'!F12+'AUG-2020'!F12+'SEP-2020'!F12+'OCT-2020'!F12</f>
        <v>44.750264000000001</v>
      </c>
      <c r="G12" s="471">
        <f>'APRIL 2020'!G12+'MAY 2020'!G12+'JUNE-2020'!G12+'JULY-2020'!G12+'AUG-2020'!G12+'SEP-2020'!G12+'OCT-2020'!G12</f>
        <v>0.29073500000000002</v>
      </c>
      <c r="H12" s="473" t="s">
        <v>221</v>
      </c>
      <c r="I12" s="311">
        <f>(G12-F12)/F12*100</f>
        <v>-99.350316681930636</v>
      </c>
      <c r="L12" s="5">
        <v>77.27</v>
      </c>
      <c r="M12" s="5">
        <f>L12-44.77</f>
        <v>32.499999999999993</v>
      </c>
      <c r="N12" s="5">
        <f>2.1-0.29</f>
        <v>1.81</v>
      </c>
      <c r="O12"/>
      <c r="P12" s="13"/>
      <c r="Q12" s="5">
        <f>Q11*5</f>
        <v>16.5</v>
      </c>
    </row>
    <row r="13" spans="1:22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Q13" s="5">
        <f>Q12+2.9</f>
        <v>19.399999999999999</v>
      </c>
    </row>
    <row r="14" spans="1:22" ht="15" x14ac:dyDescent="0.4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Q14">
        <v>42733</v>
      </c>
    </row>
    <row r="15" spans="1:22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264">
        <f>'UPTO SEP 2020'!F15+'OCT-2020'!F15</f>
        <v>11.73</v>
      </c>
      <c r="G15" s="264">
        <f>'UPTO SEP 2020'!G15+'OCT-2020'!G15</f>
        <v>1.8344896999999999E-2</v>
      </c>
      <c r="H15" s="314" t="s">
        <v>221</v>
      </c>
      <c r="I15" s="314">
        <f>(G15-F15)/F15*100</f>
        <v>-99.84360701619778</v>
      </c>
      <c r="K15" s="5">
        <f>G15*10000000</f>
        <v>183448.97</v>
      </c>
      <c r="L15" s="12">
        <f>K15/100000</f>
        <v>1.8344897</v>
      </c>
    </row>
    <row r="16" spans="1:22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264">
        <f>'UPTO SEP 2020'!F16+'OCT-2020'!F16</f>
        <v>114.34999999999998</v>
      </c>
      <c r="G16" s="264">
        <f>'UPTO SEP 2020'!G16+'OCT-2020'!G16</f>
        <v>13.8884305</v>
      </c>
      <c r="H16" s="2027" t="s">
        <v>221</v>
      </c>
      <c r="I16" s="314">
        <f>(G16-F16)/F16*100</f>
        <v>-87.854455181460423</v>
      </c>
      <c r="K16" s="5">
        <f>G16*10000000</f>
        <v>138884305</v>
      </c>
      <c r="L16" s="12">
        <f>K16/100000</f>
        <v>1388.8430499999999</v>
      </c>
      <c r="M16" s="12"/>
    </row>
    <row r="17" spans="1:22" ht="15.4" x14ac:dyDescent="0.4">
      <c r="A17" s="2005"/>
      <c r="B17" s="2071"/>
      <c r="C17" s="320" t="s">
        <v>228</v>
      </c>
      <c r="D17" s="2064"/>
      <c r="E17" s="2066"/>
      <c r="F17" s="264">
        <f>'UPTO SEP 2020'!F17+'OCT-2020'!F17</f>
        <v>392.30422259999995</v>
      </c>
      <c r="G17" s="264">
        <f>'UPTO SEP 2020'!G17+'OCT-2020'!G17</f>
        <v>9.1386248999999946</v>
      </c>
      <c r="H17" s="2029"/>
      <c r="I17" s="314">
        <f>(G17-F17)/F17*100</f>
        <v>-97.670525991427354</v>
      </c>
      <c r="K17" s="5">
        <f>G17*10000000</f>
        <v>91386248.99999994</v>
      </c>
      <c r="L17" s="12">
        <f>K17/100000</f>
        <v>913.86248999999941</v>
      </c>
    </row>
    <row r="18" spans="1:22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22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f>'UPTO SEP 2020'!F19+'OCT-2020'!F19</f>
        <v>57.364374900000001</v>
      </c>
      <c r="G19" s="264">
        <f>'UPTO SEP 2020'!G19+'OCT-2020'!G19</f>
        <v>21.826885399999998</v>
      </c>
      <c r="H19" s="316" t="s">
        <v>221</v>
      </c>
      <c r="I19" s="314">
        <f>(G19-F19)/F19*100</f>
        <v>-61.950451934585637</v>
      </c>
      <c r="L19"/>
      <c r="R19" s="5">
        <v>123.54</v>
      </c>
      <c r="S19" s="5">
        <v>25.09</v>
      </c>
      <c r="T19" s="5">
        <f>R19-S19</f>
        <v>98.45</v>
      </c>
    </row>
    <row r="20" spans="1:22" ht="15.4" x14ac:dyDescent="0.4">
      <c r="A20" s="2004"/>
      <c r="B20" s="2009"/>
      <c r="C20" s="2000" t="s">
        <v>232</v>
      </c>
      <c r="D20" s="2001"/>
      <c r="E20" s="2002"/>
      <c r="F20" s="264">
        <f>'UPTO SEP 2020'!F20+'OCT-2020'!F20</f>
        <v>40.500004199999999</v>
      </c>
      <c r="G20" s="264">
        <f>'UPTO SEP 2020'!G20+'OCT-2020'!G20</f>
        <v>27.186506600000001</v>
      </c>
      <c r="H20" s="316" t="s">
        <v>221</v>
      </c>
      <c r="I20" s="314">
        <f>(G20-F20)/F20*100</f>
        <v>-32.872830171212669</v>
      </c>
    </row>
    <row r="21" spans="1:22" ht="15.4" x14ac:dyDescent="0.4">
      <c r="A21" s="2004"/>
      <c r="B21" s="2009"/>
      <c r="C21" s="2000" t="s">
        <v>239</v>
      </c>
      <c r="D21" s="2001"/>
      <c r="E21" s="2002"/>
      <c r="F21" s="264">
        <f>'UPTO SEP 2020'!F21+'OCT-2020'!F21</f>
        <v>5.0329848999999998</v>
      </c>
      <c r="G21" s="264">
        <f>'UPTO SEP 2020'!G21+'OCT-2020'!G21</f>
        <v>8.0190181000000003</v>
      </c>
      <c r="H21" s="316" t="s">
        <v>221</v>
      </c>
      <c r="I21" s="314">
        <f>(G21-F21)/F21*100</f>
        <v>59.329269992445255</v>
      </c>
    </row>
    <row r="22" spans="1:22" ht="15.4" x14ac:dyDescent="0.4">
      <c r="A22" s="2004"/>
      <c r="B22" s="2009"/>
      <c r="C22" s="2000" t="s">
        <v>233</v>
      </c>
      <c r="D22" s="2001"/>
      <c r="E22" s="2002"/>
      <c r="F22" s="264">
        <f>'UPTO SEP 2020'!F22+'OCT-2020'!F22</f>
        <v>8.5483279000000003</v>
      </c>
      <c r="G22" s="264">
        <f>'UPTO SEP 2020'!G22+'OCT-2020'!G22</f>
        <v>6.2535537000000003</v>
      </c>
      <c r="H22" s="316" t="s">
        <v>221</v>
      </c>
      <c r="I22" s="314">
        <f>(G22-F22)/F22*100</f>
        <v>-26.84471427447232</v>
      </c>
    </row>
    <row r="23" spans="1:22" ht="15.4" x14ac:dyDescent="0.4">
      <c r="A23" s="2004"/>
      <c r="B23" s="2009"/>
      <c r="C23" s="2000" t="s">
        <v>234</v>
      </c>
      <c r="D23" s="2001"/>
      <c r="E23" s="2002"/>
      <c r="F23" s="264">
        <f>'UPTO SEP 2020'!F23+'OCT-2020'!F23</f>
        <v>2.2365868999999998</v>
      </c>
      <c r="G23" s="264">
        <f>'UPTO SEP 2020'!G23+'OCT-2020'!G23</f>
        <v>0.08</v>
      </c>
      <c r="H23" s="316" t="s">
        <v>221</v>
      </c>
      <c r="I23" s="314">
        <f>(G23-F23)/F23*100</f>
        <v>-96.423121319363887</v>
      </c>
    </row>
    <row r="24" spans="1:22" ht="15.4" x14ac:dyDescent="0.4">
      <c r="A24" s="2004"/>
      <c r="B24" s="2009"/>
      <c r="C24" s="2000" t="s">
        <v>235</v>
      </c>
      <c r="D24" s="2001"/>
      <c r="E24" s="2002"/>
      <c r="F24" s="264">
        <f>'UPTO SEP 2020'!F24+'OCT-2020'!F24</f>
        <v>4.8587400000000003E-2</v>
      </c>
      <c r="G24" s="264">
        <f>'UPTO SEP 2020'!G24+'OCT-2020'!G24</f>
        <v>0</v>
      </c>
      <c r="H24" s="316"/>
      <c r="I24" s="314">
        <v>0</v>
      </c>
    </row>
    <row r="25" spans="1:22" ht="15.4" x14ac:dyDescent="0.4">
      <c r="A25" s="2005"/>
      <c r="B25" s="2010"/>
      <c r="C25" s="2011" t="s">
        <v>236</v>
      </c>
      <c r="D25" s="2012"/>
      <c r="E25" s="2013"/>
      <c r="F25" s="264">
        <f>'UPTO SEP 2020'!F25+'OCT-2020'!F25</f>
        <v>0</v>
      </c>
      <c r="G25" s="264">
        <f>'UPTO SEP 2020'!G25+'OCT-2020'!G25</f>
        <v>0</v>
      </c>
      <c r="H25" s="316" t="s">
        <v>221</v>
      </c>
      <c r="I25" s="314">
        <v>0</v>
      </c>
    </row>
    <row r="26" spans="1:22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  <c r="S26" s="5" t="s">
        <v>325</v>
      </c>
    </row>
    <row r="27" spans="1:22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264">
        <f>'UPTO SEP 2020'!F27+'OCT-2020'!F27</f>
        <v>11.5861082</v>
      </c>
      <c r="G27" s="264">
        <f>'UPTO SEP 2020'!G27+'OCT-2020'!G27</f>
        <v>0.1085565</v>
      </c>
      <c r="H27" s="314" t="s">
        <v>221</v>
      </c>
      <c r="I27" s="314">
        <f t="shared" ref="I27:I33" si="0">(G27-F27)/F27*100</f>
        <v>-99.063046036459411</v>
      </c>
      <c r="K27" s="5" t="s">
        <v>126</v>
      </c>
      <c r="L27" s="5" t="s">
        <v>299</v>
      </c>
      <c r="N27" s="5">
        <v>485283</v>
      </c>
      <c r="O27" s="5">
        <f>6.43-6.18</f>
        <v>0.25</v>
      </c>
      <c r="S27" s="5">
        <v>0.4</v>
      </c>
      <c r="T27" s="12">
        <f>S27-G27</f>
        <v>0.29144350000000002</v>
      </c>
    </row>
    <row r="28" spans="1:22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264">
        <f>'UPTO SEP 2020'!F28+'OCT-2020'!F28</f>
        <v>13.690695899999998</v>
      </c>
      <c r="G28" s="264">
        <f>'UPTO SEP 2020'!G28+'OCT-2020'!G28</f>
        <v>3.8860543999999999</v>
      </c>
      <c r="H28" s="314" t="s">
        <v>221</v>
      </c>
      <c r="I28" s="314">
        <f t="shared" si="0"/>
        <v>-71.615362517839586</v>
      </c>
      <c r="N28" s="5">
        <f>N27/100000</f>
        <v>4.85283</v>
      </c>
      <c r="S28" s="5">
        <v>9.8800000000000008</v>
      </c>
      <c r="T28" s="12">
        <f>S28-G28</f>
        <v>5.9939456000000009</v>
      </c>
    </row>
    <row r="29" spans="1:22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264">
        <f>'UPTO SEP 2020'!F29+'OCT-2020'!F29</f>
        <v>0.94228560000000006</v>
      </c>
      <c r="G29" s="264">
        <f>'UPTO SEP 2020'!G29+'OCT-2020'!G29</f>
        <v>3.9983699999999997E-2</v>
      </c>
      <c r="H29" s="314" t="s">
        <v>221</v>
      </c>
      <c r="I29" s="314">
        <f t="shared" si="0"/>
        <v>-95.756732353757727</v>
      </c>
      <c r="S29" s="5">
        <v>0.1</v>
      </c>
      <c r="T29" s="12">
        <f>S29-G29</f>
        <v>6.0016300000000009E-2</v>
      </c>
    </row>
    <row r="30" spans="1:22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264">
        <f>'UPTO SEP 2020'!F30+'OCT-2020'!F30</f>
        <v>1.5441449999999999</v>
      </c>
      <c r="G30" s="264">
        <f>'UPTO SEP 2020'!G30+'OCT-2020'!G30</f>
        <v>0</v>
      </c>
      <c r="H30" s="316" t="s">
        <v>221</v>
      </c>
      <c r="I30" s="314">
        <f t="shared" si="0"/>
        <v>-100</v>
      </c>
      <c r="S30" s="5">
        <v>0</v>
      </c>
      <c r="T30" s="12">
        <f>S30-G30</f>
        <v>0</v>
      </c>
    </row>
    <row r="31" spans="1:22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264">
        <f>'UPTO SEP 2020'!F31+'OCT-2020'!F31</f>
        <v>1.6982465</v>
      </c>
      <c r="G31" s="264">
        <f>'UPTO SEP 2020'!G31+'OCT-2020'!G31</f>
        <v>0</v>
      </c>
      <c r="H31" s="316" t="s">
        <v>221</v>
      </c>
      <c r="I31" s="314">
        <f t="shared" si="0"/>
        <v>-100</v>
      </c>
      <c r="S31" s="5">
        <v>0</v>
      </c>
      <c r="T31" s="12">
        <f>S31-G31</f>
        <v>0</v>
      </c>
      <c r="V31" s="12">
        <f>T33+G8</f>
        <v>13.847405400000001</v>
      </c>
    </row>
    <row r="32" spans="1:22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264">
        <f>'UPTO SEP 2020'!F32+'OCT-2020'!F32</f>
        <v>19.7341181</v>
      </c>
      <c r="G32" s="264">
        <f>'UPTO SEP 2020'!G32+'OCT-2020'!G32</f>
        <v>2.6662867000000001</v>
      </c>
      <c r="H32" s="316" t="s">
        <v>221</v>
      </c>
      <c r="I32" s="314">
        <f t="shared" si="0"/>
        <v>-86.488949308558148</v>
      </c>
      <c r="K32" s="437">
        <v>8790711</v>
      </c>
      <c r="O32" s="380"/>
      <c r="P32" s="319"/>
      <c r="Q32" s="319">
        <v>1076731</v>
      </c>
      <c r="S32" s="5">
        <v>3.67</v>
      </c>
      <c r="T32" s="12">
        <v>0.8</v>
      </c>
    </row>
    <row r="33" spans="1:20" x14ac:dyDescent="0.45">
      <c r="A33" s="403"/>
      <c r="B33" s="402" t="s">
        <v>266</v>
      </c>
      <c r="C33" s="409"/>
      <c r="D33" s="332"/>
      <c r="E33" s="308"/>
      <c r="F33" s="264">
        <f>'UPTO SEP 2020'!F33+'OCT-2020'!F33</f>
        <v>0.68984259999999997</v>
      </c>
      <c r="G33" s="264">
        <f>'UPTO SEP 2020'!G33+'OCT-2020'!G33</f>
        <v>1.694E-3</v>
      </c>
      <c r="H33" s="316"/>
      <c r="I33" s="314">
        <f t="shared" si="0"/>
        <v>-99.754436736728053</v>
      </c>
      <c r="K33" s="5">
        <f>1300+15+630+420+120+6330</f>
        <v>8815</v>
      </c>
      <c r="O33" s="380"/>
      <c r="T33" s="12">
        <f>SUM(T27:T32)</f>
        <v>7.1454054000000005</v>
      </c>
    </row>
    <row r="34" spans="1:20" ht="15" x14ac:dyDescent="0.4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  <c r="M34" s="26"/>
      <c r="S34" s="5" t="s">
        <v>325</v>
      </c>
    </row>
    <row r="35" spans="1:20" ht="15.4" x14ac:dyDescent="0.4">
      <c r="A35" s="2020"/>
      <c r="B35" s="2006" t="s">
        <v>27</v>
      </c>
      <c r="C35" s="2007"/>
      <c r="D35" s="331">
        <v>10.16</v>
      </c>
      <c r="E35" s="265">
        <f>'UPTO SEP 2020'!E35+'OCT-2020'!E35</f>
        <v>5.2824999999999998</v>
      </c>
      <c r="F35" s="264">
        <f>'UPTO SEP 2020'!F35+'OCT-2020'!F35</f>
        <v>3.3043630000000004</v>
      </c>
      <c r="G35" s="264">
        <f>'UPTO SEP 2020'!G35+'OCT-2020'!G35</f>
        <v>0.1905</v>
      </c>
      <c r="H35" s="314">
        <f>(G35-E35)/E35*100</f>
        <v>-96.393752957879784</v>
      </c>
      <c r="I35" s="314">
        <f>(G35-F35)/F35*100</f>
        <v>-94.234894895022123</v>
      </c>
      <c r="K35" s="432" t="s">
        <v>203</v>
      </c>
      <c r="L35" s="432" t="s">
        <v>275</v>
      </c>
      <c r="S35" s="5">
        <v>1.32</v>
      </c>
      <c r="T35" s="12">
        <f>S35+G35</f>
        <v>1.5105</v>
      </c>
    </row>
    <row r="36" spans="1:20" ht="15.4" x14ac:dyDescent="0.4">
      <c r="A36" s="2020"/>
      <c r="B36" s="2006" t="s">
        <v>28</v>
      </c>
      <c r="C36" s="2007"/>
      <c r="D36" s="333" t="s">
        <v>221</v>
      </c>
      <c r="E36" s="307" t="s">
        <v>221</v>
      </c>
      <c r="F36" s="264">
        <f>'UPTO SEP 2020'!F36+'OCT-2020'!F36</f>
        <v>1.5551956000000002</v>
      </c>
      <c r="G36" s="264">
        <f>'UPTO SEP 2020'!G36+'OCT-2020'!G36</f>
        <v>0</v>
      </c>
      <c r="H36" s="314" t="s">
        <v>221</v>
      </c>
      <c r="I36" s="314">
        <f>(G36-F36)/F36*100</f>
        <v>-100</v>
      </c>
      <c r="K36" s="5" t="s">
        <v>126</v>
      </c>
      <c r="L36" s="5" t="s">
        <v>299</v>
      </c>
      <c r="S36" s="5">
        <f>5812262/10000000</f>
        <v>0.58122620000000003</v>
      </c>
      <c r="T36" s="12">
        <f>S36+G36</f>
        <v>0.58122620000000003</v>
      </c>
    </row>
    <row r="37" spans="1:20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264">
        <f>'UPTO SEP 2020'!F37+'OCT-2020'!F37</f>
        <v>1.0152702999999998</v>
      </c>
      <c r="G37" s="264">
        <f>'UPTO SEP 2020'!G37+'OCT-2020'!G37</f>
        <v>0.10820139999999999</v>
      </c>
      <c r="H37" s="314" t="s">
        <v>221</v>
      </c>
      <c r="I37" s="314">
        <f>(G37-F37)/F37*100</f>
        <v>-89.342601669722825</v>
      </c>
      <c r="K37" s="5">
        <f>3695+606+35+5749+46464+300+10194+144+159691+235+1730+67000</f>
        <v>295843</v>
      </c>
      <c r="L37" s="5">
        <f>25+365+225+6840+16000+6567+1744+440+70464+130+400+130293+200</f>
        <v>233693</v>
      </c>
      <c r="S37" s="5">
        <v>0.1764</v>
      </c>
      <c r="T37" s="12">
        <f>S37+G37</f>
        <v>0.2846014</v>
      </c>
    </row>
    <row r="38" spans="1:20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f>'UPTO SEP 2020'!F38+'OCT-2020'!F38</f>
        <v>0</v>
      </c>
      <c r="G38" s="264">
        <f>'UPTO SEP 2020'!G38+'OCT-2020'!G38</f>
        <v>0</v>
      </c>
      <c r="H38" s="314" t="s">
        <v>221</v>
      </c>
      <c r="I38" s="314">
        <v>0</v>
      </c>
      <c r="K38" s="5">
        <f>K37/10000000</f>
        <v>2.9584300000000001E-2</v>
      </c>
      <c r="L38" s="5">
        <f>L37/10000000</f>
        <v>2.3369299999999999E-2</v>
      </c>
      <c r="S38" s="5">
        <v>0</v>
      </c>
      <c r="T38" s="12">
        <f>S38+G38</f>
        <v>0</v>
      </c>
    </row>
    <row r="39" spans="1:20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264">
        <f>'UPTO SEP 2020'!F39+'OCT-2020'!F39</f>
        <v>1.6900999999999999E-2</v>
      </c>
      <c r="G39" s="264">
        <f>'UPTO SEP 2020'!G39+'OCT-2020'!G39</f>
        <v>0</v>
      </c>
      <c r="H39" s="314" t="s">
        <v>221</v>
      </c>
      <c r="I39" s="314">
        <v>0</v>
      </c>
      <c r="S39" s="42">
        <f>58386/10000000</f>
        <v>5.8386000000000002E-3</v>
      </c>
      <c r="T39" s="12">
        <f>S39+G39</f>
        <v>5.8386000000000002E-3</v>
      </c>
    </row>
    <row r="40" spans="1:20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264">
        <f>'UPTO SEP 2020'!F40+'OCT-2020'!F40</f>
        <v>0.1304167</v>
      </c>
      <c r="G40" s="264">
        <f>'UPTO SEP 2020'!G40+'OCT-2020'!G40</f>
        <v>9.0235599999999999E-2</v>
      </c>
      <c r="H40" s="314"/>
      <c r="I40" s="314">
        <v>0</v>
      </c>
      <c r="T40" s="12">
        <f>SUM(T35:T39)</f>
        <v>2.3821662000000003</v>
      </c>
    </row>
    <row r="41" spans="1:20" ht="15" x14ac:dyDescent="0.35">
      <c r="A41" s="2020"/>
      <c r="B41" s="2021" t="s">
        <v>316</v>
      </c>
      <c r="C41" s="2022"/>
      <c r="D41" s="2022"/>
      <c r="E41" s="2022"/>
      <c r="F41" s="2022"/>
      <c r="G41" s="2022"/>
      <c r="H41" s="2022"/>
      <c r="I41" s="2023"/>
    </row>
    <row r="42" spans="1:20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f>'UPTO SEP 2020'!F42+'OCT-2020'!F42</f>
        <v>20.414999999999999</v>
      </c>
      <c r="G42" s="264">
        <f>'UPTO SEP 2020'!G42+'OCT-2020'!G42</f>
        <v>4.2675999999999999E-2</v>
      </c>
      <c r="H42" s="314" t="s">
        <v>221</v>
      </c>
      <c r="I42" s="314">
        <f>(G42-F42)/F42*100</f>
        <v>-99.790957629194224</v>
      </c>
    </row>
    <row r="43" spans="1:20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264">
        <f>'UPTO SEP 2020'!F43+'OCT-2020'!F43</f>
        <v>17.867000000000001</v>
      </c>
      <c r="G43" s="264">
        <f>'UPTO SEP 2020'!G43+'OCT-2020'!G43</f>
        <v>0.18542499999999998</v>
      </c>
      <c r="H43" s="2027" t="s">
        <v>221</v>
      </c>
      <c r="I43" s="314">
        <f>(G43-F43)/F43*100</f>
        <v>-98.962192869536025</v>
      </c>
      <c r="L43" s="12">
        <f>F43+F44</f>
        <v>24.335264000000002</v>
      </c>
      <c r="M43" s="12">
        <f>G43+G44</f>
        <v>0.24805899999999997</v>
      </c>
      <c r="N43" s="5">
        <f>(M43-L43)/L43*100</f>
        <v>-98.980660328977734</v>
      </c>
    </row>
    <row r="44" spans="1:20" ht="15.4" x14ac:dyDescent="0.4">
      <c r="A44" s="2020"/>
      <c r="B44" s="2070"/>
      <c r="C44" s="320" t="s">
        <v>228</v>
      </c>
      <c r="D44" s="2068"/>
      <c r="E44" s="2066"/>
      <c r="F44" s="264">
        <f>'UPTO SEP 2020'!F44+'OCT-2020'!F44</f>
        <v>6.4682639999999996</v>
      </c>
      <c r="G44" s="264">
        <f>'UPTO SEP 2020'!G44+'OCT-2020'!G44</f>
        <v>6.2633999999999995E-2</v>
      </c>
      <c r="H44" s="2029"/>
      <c r="I44" s="314">
        <f>(G44-F44)/F44*100</f>
        <v>-99.031672176645841</v>
      </c>
    </row>
    <row r="45" spans="1:20" ht="15" x14ac:dyDescent="0.35">
      <c r="A45" s="2020">
        <v>6</v>
      </c>
      <c r="B45" s="2021" t="s">
        <v>315</v>
      </c>
      <c r="C45" s="2022"/>
      <c r="D45" s="2022"/>
      <c r="E45" s="2022"/>
      <c r="F45" s="2022"/>
      <c r="G45" s="2022"/>
      <c r="H45" s="2022"/>
      <c r="I45" s="2023"/>
    </row>
    <row r="46" spans="1:20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>
        <v>218.52</v>
      </c>
      <c r="G46" s="78">
        <v>320.17</v>
      </c>
      <c r="H46" s="2027" t="s">
        <v>221</v>
      </c>
      <c r="I46" s="314">
        <f>(G46-F46)/F46*100</f>
        <v>46.517481237415339</v>
      </c>
    </row>
    <row r="47" spans="1:20" ht="15.4" x14ac:dyDescent="0.4">
      <c r="A47" s="2020"/>
      <c r="B47" s="2006" t="s">
        <v>37</v>
      </c>
      <c r="C47" s="2007"/>
      <c r="D47" s="303" t="s">
        <v>221</v>
      </c>
      <c r="E47" s="2025"/>
      <c r="F47" s="78">
        <v>33.47</v>
      </c>
      <c r="G47" s="78">
        <v>30.1</v>
      </c>
      <c r="H47" s="2028"/>
      <c r="I47" s="314">
        <f>(G47-F47)/F47*100</f>
        <v>-10.068718255153861</v>
      </c>
    </row>
    <row r="48" spans="1:20" ht="15.4" x14ac:dyDescent="0.4">
      <c r="A48" s="2020"/>
      <c r="B48" s="2006" t="s">
        <v>38</v>
      </c>
      <c r="C48" s="2007"/>
      <c r="D48" s="303" t="s">
        <v>221</v>
      </c>
      <c r="E48" s="2026"/>
      <c r="F48" s="78">
        <f>SUM(F46:F47)</f>
        <v>251.99</v>
      </c>
      <c r="G48" s="78">
        <f>SUM(G46:G47)</f>
        <v>350.27000000000004</v>
      </c>
      <c r="H48" s="2029"/>
      <c r="I48" s="314">
        <f>(G48-F48)/F48*100</f>
        <v>39.001547680463524</v>
      </c>
    </row>
    <row r="50" spans="2:13" s="5" customFormat="1" ht="13.5" x14ac:dyDescent="0.35">
      <c r="B50" s="300"/>
      <c r="D50" s="84"/>
      <c r="E50" s="428">
        <f>G42</f>
        <v>4.2675999999999999E-2</v>
      </c>
      <c r="F50" s="5">
        <f>E50*100000</f>
        <v>4267.5999999999995</v>
      </c>
      <c r="G50" s="5">
        <f>F50/100000</f>
        <v>4.2675999999999992E-2</v>
      </c>
      <c r="H50" s="11"/>
    </row>
    <row r="51" spans="2:13" s="5" customFormat="1" ht="13.5" x14ac:dyDescent="0.35">
      <c r="B51" s="300"/>
      <c r="D51" s="84"/>
      <c r="E51" s="428">
        <f>G43</f>
        <v>0.18542499999999998</v>
      </c>
      <c r="F51" s="5">
        <f>E51*100000</f>
        <v>18542.499999999996</v>
      </c>
      <c r="G51" s="5">
        <f>F51/100000</f>
        <v>0.18542499999999995</v>
      </c>
      <c r="H51" s="11"/>
    </row>
    <row r="52" spans="2:13" s="5" customFormat="1" ht="13.5" x14ac:dyDescent="0.35">
      <c r="B52" s="300"/>
      <c r="D52" s="84"/>
      <c r="E52" s="428">
        <f>G44</f>
        <v>6.2633999999999995E-2</v>
      </c>
      <c r="F52" s="5">
        <f>E52*100000</f>
        <v>6263.4</v>
      </c>
      <c r="G52" s="5">
        <f>F52/100000</f>
        <v>6.2633999999999995E-2</v>
      </c>
      <c r="H52" s="11"/>
    </row>
    <row r="53" spans="2:13" s="5" customFormat="1" ht="13.5" x14ac:dyDescent="0.35">
      <c r="B53" s="300"/>
      <c r="D53" s="84"/>
      <c r="E53" s="35"/>
      <c r="H53" s="11"/>
      <c r="I53" s="82"/>
      <c r="J53" s="5">
        <v>29.46</v>
      </c>
      <c r="K53" s="5">
        <v>589</v>
      </c>
      <c r="M53" s="5">
        <f>(J53-K53)/K53*100</f>
        <v>-94.99830220713072</v>
      </c>
    </row>
    <row r="54" spans="2:13" s="5" customFormat="1" ht="13.5" x14ac:dyDescent="0.35">
      <c r="C54" s="12"/>
      <c r="D54" s="84"/>
      <c r="E54" s="428"/>
      <c r="F54" s="12"/>
      <c r="G54" s="12"/>
      <c r="H54" s="11"/>
    </row>
    <row r="56" spans="2:13" s="5" customFormat="1" ht="13.5" x14ac:dyDescent="0.35">
      <c r="B56" s="300"/>
      <c r="D56" s="84"/>
      <c r="E56" s="35"/>
      <c r="F56" s="5">
        <f>G35*10000000</f>
        <v>1905000</v>
      </c>
      <c r="H56" s="11"/>
      <c r="I56" s="82"/>
    </row>
    <row r="57" spans="2:13" s="5" customFormat="1" ht="13.5" x14ac:dyDescent="0.35">
      <c r="B57" s="300"/>
      <c r="D57" s="84"/>
      <c r="E57" s="35"/>
      <c r="F57" s="5">
        <f>F56/100000</f>
        <v>19.05</v>
      </c>
      <c r="H57" s="11"/>
      <c r="I57" s="82"/>
    </row>
    <row r="64" spans="2:13" s="5" customFormat="1" ht="13.5" x14ac:dyDescent="0.35">
      <c r="H64" s="11">
        <f>60000/100000</f>
        <v>0.6</v>
      </c>
    </row>
  </sheetData>
  <mergeCells count="64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75" bottom="0.24" header="0.3" footer="0.3"/>
  <pageSetup paperSize="9" scale="3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V64"/>
  <sheetViews>
    <sheetView workbookViewId="0">
      <selection activeCell="G19" sqref="G19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6.73046875" style="5" customWidth="1"/>
    <col min="4" max="4" width="7.86328125" style="84" customWidth="1"/>
    <col min="5" max="5" width="9.1328125" style="35" customWidth="1"/>
    <col min="6" max="6" width="11" style="5" customWidth="1"/>
    <col min="7" max="7" width="12" style="5" customWidth="1"/>
    <col min="8" max="8" width="8.59765625" style="11" customWidth="1"/>
    <col min="9" max="9" width="10.265625" style="82" customWidth="1"/>
    <col min="10" max="10" width="9.1328125" style="5"/>
    <col min="11" max="11" width="11.265625" style="5" customWidth="1"/>
    <col min="12" max="12" width="13.1328125" style="5" customWidth="1"/>
    <col min="13" max="13" width="10.1328125" style="5" customWidth="1"/>
    <col min="14" max="14" width="9.1328125" style="5"/>
    <col min="15" max="15" width="22.73046875" style="5" customWidth="1"/>
    <col min="16" max="16" width="9.265625" style="5" customWidth="1"/>
    <col min="17" max="16384" width="9.1328125" style="5"/>
  </cols>
  <sheetData>
    <row r="1" spans="1:22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22" s="301" customFormat="1" thickBot="1" x14ac:dyDescent="0.5">
      <c r="A2" s="2119" t="s">
        <v>345</v>
      </c>
      <c r="B2" s="2120"/>
      <c r="C2" s="2120"/>
      <c r="D2" s="2120"/>
      <c r="E2" s="2120"/>
      <c r="F2" s="2120"/>
      <c r="G2" s="2120"/>
      <c r="H2" s="2120"/>
      <c r="I2" s="2121"/>
    </row>
    <row r="3" spans="1:22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22" s="35" customFormat="1" ht="15" x14ac:dyDescent="0.45">
      <c r="A4" s="2035"/>
      <c r="B4" s="2047"/>
      <c r="C4" s="2048"/>
      <c r="D4" s="366" t="s">
        <v>9</v>
      </c>
      <c r="E4" s="383">
        <f>G4</f>
        <v>44136</v>
      </c>
      <c r="F4" s="383">
        <v>43770</v>
      </c>
      <c r="G4" s="383">
        <v>44136</v>
      </c>
      <c r="H4" s="2041" t="s">
        <v>12</v>
      </c>
      <c r="I4" s="2041" t="s">
        <v>13</v>
      </c>
      <c r="N4" s="380"/>
      <c r="O4" s="380"/>
    </row>
    <row r="5" spans="1:22" ht="15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/>
    </row>
    <row r="6" spans="1:22" x14ac:dyDescent="0.35">
      <c r="A6" s="372">
        <v>1</v>
      </c>
      <c r="B6" s="2049" t="s">
        <v>279</v>
      </c>
      <c r="C6" s="2049"/>
      <c r="D6" s="304" t="s">
        <v>221</v>
      </c>
      <c r="E6" s="305" t="s">
        <v>221</v>
      </c>
      <c r="F6" s="305">
        <f>'UPTO SEP 2020'!F6+'OCT-2020'!F6+'NOV-20'!F6</f>
        <v>595.63422260000004</v>
      </c>
      <c r="G6" s="305">
        <f>'UPTO SEP 2020'!G6+'OCT-2020'!G6+'NOV-20'!G6</f>
        <v>43.345674028000005</v>
      </c>
      <c r="H6" s="306" t="s">
        <v>221</v>
      </c>
      <c r="I6" s="306">
        <f>(G6-F6)/F6*100</f>
        <v>-92.72276971615365</v>
      </c>
      <c r="K6" s="319"/>
      <c r="L6" s="319">
        <v>30462813</v>
      </c>
    </row>
    <row r="7" spans="1:22" x14ac:dyDescent="0.35">
      <c r="A7" s="373">
        <v>2</v>
      </c>
      <c r="B7" s="2050" t="s">
        <v>281</v>
      </c>
      <c r="C7" s="2051"/>
      <c r="D7" s="307" t="s">
        <v>221</v>
      </c>
      <c r="E7" s="307" t="s">
        <v>221</v>
      </c>
      <c r="F7" s="305">
        <f>'UPTO SEP 2020'!F7+'OCT-2020'!F7+'NOV-20'!F7</f>
        <v>135.91</v>
      </c>
      <c r="G7" s="305">
        <f>'UPTO SEP 2020'!G7+'OCT-2020'!G7+'NOV-20'!G7</f>
        <v>74.330000000000013</v>
      </c>
      <c r="H7" s="308" t="s">
        <v>221</v>
      </c>
      <c r="I7" s="308">
        <f>(G7-F7)/F7*100</f>
        <v>-45.309395923773074</v>
      </c>
      <c r="M7" s="172"/>
      <c r="P7" s="5">
        <v>114.65</v>
      </c>
      <c r="Q7" s="5">
        <v>63.37</v>
      </c>
      <c r="R7" s="5">
        <f>P7-Q7</f>
        <v>51.280000000000008</v>
      </c>
      <c r="T7" s="5">
        <v>98.45</v>
      </c>
      <c r="U7" s="5">
        <v>25.09</v>
      </c>
      <c r="V7" s="5">
        <f>T7+U7</f>
        <v>123.54</v>
      </c>
    </row>
    <row r="8" spans="1:22" x14ac:dyDescent="0.35">
      <c r="A8" s="374">
        <v>3</v>
      </c>
      <c r="B8" s="2021" t="s">
        <v>282</v>
      </c>
      <c r="C8" s="2023"/>
      <c r="D8" s="364" t="s">
        <v>221</v>
      </c>
      <c r="E8" s="364" t="s">
        <v>221</v>
      </c>
      <c r="F8" s="305">
        <f>'UPTO SEP 2020'!F8+'OCT-2020'!F8+'NOV-20'!F8</f>
        <v>57.54</v>
      </c>
      <c r="G8" s="305">
        <v>9.4700000000000006</v>
      </c>
      <c r="H8" s="365" t="s">
        <v>221</v>
      </c>
      <c r="I8" s="365">
        <f>(G8-F8)/F8*100</f>
        <v>-83.541883906847417</v>
      </c>
      <c r="L8" s="5">
        <f>G7*10000000</f>
        <v>743300000.00000012</v>
      </c>
      <c r="P8" s="12"/>
      <c r="T8" s="5">
        <v>7.8</v>
      </c>
      <c r="U8" s="5">
        <v>6.7</v>
      </c>
      <c r="V8" s="5">
        <f>T8+U8</f>
        <v>14.5</v>
      </c>
    </row>
    <row r="9" spans="1:22" x14ac:dyDescent="0.35">
      <c r="A9" s="373">
        <v>4</v>
      </c>
      <c r="B9" s="2052" t="s">
        <v>283</v>
      </c>
      <c r="C9" s="2053"/>
      <c r="D9" s="307" t="s">
        <v>221</v>
      </c>
      <c r="E9" s="307" t="s">
        <v>221</v>
      </c>
      <c r="F9" s="305">
        <f>'UPTO SEP 2020'!F9+'OCT-2020'!F9+'NOV-20'!F9</f>
        <v>6.65</v>
      </c>
      <c r="G9" s="305">
        <f>'UPTO SEP 2020'!G9+'OCT-2020'!G9+'NOV-20'!G9</f>
        <v>0.51880000000000004</v>
      </c>
      <c r="H9" s="308" t="s">
        <v>221</v>
      </c>
      <c r="I9" s="308">
        <f>(G9-F9)/F9*100</f>
        <v>-92.198496240601514</v>
      </c>
      <c r="L9" s="5">
        <f>L8/100000</f>
        <v>7433.0000000000009</v>
      </c>
      <c r="T9" s="5">
        <v>51.28</v>
      </c>
      <c r="U9" s="5">
        <v>63.37</v>
      </c>
      <c r="V9" s="5">
        <f>T9+U9</f>
        <v>114.65</v>
      </c>
    </row>
    <row r="10" spans="1:22" ht="17.649999999999999" x14ac:dyDescent="0.35">
      <c r="A10" s="374">
        <v>5</v>
      </c>
      <c r="B10" s="2117" t="s">
        <v>284</v>
      </c>
      <c r="C10" s="2118"/>
      <c r="D10" s="321" t="s">
        <v>221</v>
      </c>
      <c r="E10" s="321" t="s">
        <v>221</v>
      </c>
      <c r="F10" s="446">
        <f>SUM(F6:F9)</f>
        <v>795.73422259999995</v>
      </c>
      <c r="G10" s="446">
        <f>SUM(G6:G9)</f>
        <v>127.66447402800001</v>
      </c>
      <c r="H10" s="322" t="s">
        <v>221</v>
      </c>
      <c r="I10" s="322">
        <f>(G10-F10)/F10*100</f>
        <v>-83.956392674570893</v>
      </c>
      <c r="T10" s="5">
        <v>2.38</v>
      </c>
      <c r="U10" s="5">
        <v>0.38</v>
      </c>
      <c r="V10" s="5">
        <f>T10+U10</f>
        <v>2.76</v>
      </c>
    </row>
    <row r="11" spans="1:22" ht="14.25" thickBot="1" x14ac:dyDescent="0.4">
      <c r="A11" s="2099"/>
      <c r="B11" s="2100"/>
      <c r="C11" s="2100"/>
      <c r="D11" s="2100"/>
      <c r="E11" s="2100"/>
      <c r="F11" s="2100"/>
      <c r="G11" s="2100"/>
      <c r="H11" s="2100"/>
      <c r="I11" s="2101"/>
      <c r="Q11" s="5">
        <v>3.3</v>
      </c>
      <c r="V11" s="5">
        <f>SUM(V7:V10)</f>
        <v>255.45000000000002</v>
      </c>
    </row>
    <row r="12" spans="1:22" ht="18.399999999999999" thickTop="1" thickBot="1" x14ac:dyDescent="0.5">
      <c r="A12" s="375">
        <v>6.3</v>
      </c>
      <c r="B12" s="2056" t="s">
        <v>305</v>
      </c>
      <c r="C12" s="2057"/>
      <c r="D12" s="371" t="s">
        <v>221</v>
      </c>
      <c r="E12" s="472" t="s">
        <v>221</v>
      </c>
      <c r="F12" s="447">
        <f>F42+F43+F44</f>
        <v>51.389263999999997</v>
      </c>
      <c r="G12" s="447">
        <f>G42+G43+G44</f>
        <v>0.68861600000000001</v>
      </c>
      <c r="H12" s="473" t="s">
        <v>221</v>
      </c>
      <c r="I12" s="311">
        <f>(G12-F12)/F12*100</f>
        <v>-98.660000267760211</v>
      </c>
      <c r="L12" s="5">
        <v>77.27</v>
      </c>
      <c r="M12" s="5">
        <f>L12-44.77</f>
        <v>32.499999999999993</v>
      </c>
      <c r="N12" s="5">
        <f>2.1-0.29</f>
        <v>1.81</v>
      </c>
      <c r="O12"/>
      <c r="P12" s="13"/>
      <c r="Q12" s="5">
        <f>Q11*5</f>
        <v>16.5</v>
      </c>
    </row>
    <row r="13" spans="1:22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Q13" s="5">
        <f>Q12+2.9</f>
        <v>19.399999999999999</v>
      </c>
    </row>
    <row r="14" spans="1:22" ht="15" x14ac:dyDescent="0.4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Q14">
        <v>42733</v>
      </c>
    </row>
    <row r="15" spans="1:22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264">
        <f>'UPTO SEP 2020'!F15+'OCT-2020'!F15+'NOV-20'!F15</f>
        <v>13.41</v>
      </c>
      <c r="G15" s="264">
        <f>'UPTO SEP 2020'!G15+'OCT-2020'!G15+'NOV-20'!G15</f>
        <v>3.3843628000000001E-2</v>
      </c>
      <c r="H15" s="314" t="s">
        <v>221</v>
      </c>
      <c r="I15" s="314">
        <f>(G15-F15)/F15*100</f>
        <v>-99.747623952274424</v>
      </c>
      <c r="K15" s="5">
        <f>G15*10000000</f>
        <v>338436.28</v>
      </c>
      <c r="L15" s="12">
        <f>K15/100000</f>
        <v>3.3843628000000003</v>
      </c>
    </row>
    <row r="16" spans="1:22" ht="15.4" x14ac:dyDescent="0.4">
      <c r="A16" s="2004"/>
      <c r="B16" s="2069" t="s">
        <v>15</v>
      </c>
      <c r="C16" s="320" t="s">
        <v>166</v>
      </c>
      <c r="D16" s="2064" t="s">
        <v>221</v>
      </c>
      <c r="E16" s="2065" t="s">
        <v>221</v>
      </c>
      <c r="F16" s="264">
        <f>'UPTO SEP 2020'!F16+'OCT-2020'!F16+'NOV-20'!F16</f>
        <v>130.36999999999998</v>
      </c>
      <c r="G16" s="264">
        <f>'UPTO SEP 2020'!G16+'OCT-2020'!G16+'NOV-20'!G16</f>
        <v>13.9006053</v>
      </c>
      <c r="H16" s="2027" t="s">
        <v>221</v>
      </c>
      <c r="I16" s="314">
        <f>(G16-F16)/F16*100</f>
        <v>-89.337573598220459</v>
      </c>
      <c r="K16" s="5">
        <f>G16*10000000</f>
        <v>139006053</v>
      </c>
      <c r="L16" s="41">
        <f>K16/100000</f>
        <v>1390.06053</v>
      </c>
      <c r="M16" s="12">
        <f>F16+F17</f>
        <v>582.22422259999996</v>
      </c>
      <c r="N16" s="12">
        <f>G16+G17</f>
        <v>43.311830399999998</v>
      </c>
      <c r="O16" s="5">
        <f>(N16-M16)/M16*100</f>
        <v>-92.560970719049578</v>
      </c>
    </row>
    <row r="17" spans="1:22" ht="15.4" x14ac:dyDescent="0.4">
      <c r="A17" s="2005"/>
      <c r="B17" s="2070"/>
      <c r="C17" s="320" t="s">
        <v>228</v>
      </c>
      <c r="D17" s="2064"/>
      <c r="E17" s="2066"/>
      <c r="F17" s="264">
        <f>'UPTO SEP 2020'!F17+'OCT-2020'!F17+'NOV-20'!F17</f>
        <v>451.85422259999996</v>
      </c>
      <c r="G17" s="264">
        <f>'UPTO SEP 2020'!G17+'OCT-2020'!G17+'NOV-20'!G17</f>
        <v>29.411225099999996</v>
      </c>
      <c r="H17" s="2029"/>
      <c r="I17" s="314">
        <f>(G17-F17)/F17*100</f>
        <v>-93.490992530563105</v>
      </c>
      <c r="K17" s="5">
        <f>G17*10000000</f>
        <v>294112250.99999994</v>
      </c>
      <c r="L17" s="41">
        <f>K17/100000</f>
        <v>2941.1225099999992</v>
      </c>
    </row>
    <row r="18" spans="1:22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22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f>'APRIL 2020'!F19+'MAY 2020'!F19+'JUNE-2020'!F19+'JULY-2020'!F19+'AUG-2020'!F19+'SEP-2020'!F19+'OCT-2020'!F19+'NOV-20'!F19</f>
        <v>68.815480199999996</v>
      </c>
      <c r="G19" s="264">
        <f>'APRIL 2020'!G19+'MAY 2020'!G19+'JUNE-2020'!G19+'JULY-2020'!G19+'AUG-2020'!G19+'SEP-2020'!G19+'OCT-2020'!G19+'NOV-20'!G19</f>
        <v>28.515356300000001</v>
      </c>
      <c r="H19" s="316" t="s">
        <v>221</v>
      </c>
      <c r="I19" s="314">
        <f>(G19-F19)/F19*100</f>
        <v>-58.562584730753642</v>
      </c>
      <c r="L19"/>
      <c r="R19" s="5">
        <v>123.54</v>
      </c>
      <c r="S19" s="5">
        <v>25.09</v>
      </c>
      <c r="T19" s="5">
        <f>R19-S19</f>
        <v>98.45</v>
      </c>
    </row>
    <row r="20" spans="1:22" ht="15.4" x14ac:dyDescent="0.4">
      <c r="A20" s="2004"/>
      <c r="B20" s="2009"/>
      <c r="C20" s="2000" t="s">
        <v>232</v>
      </c>
      <c r="D20" s="2001"/>
      <c r="E20" s="2002"/>
      <c r="F20" s="264">
        <f>'APRIL 2020'!F20+'MAY 2020'!F20+'JUNE-2020'!F20+'JULY-2020'!F20+'AUG-2020'!F20+'SEP-2020'!F20+'OCT-2020'!F20+'NOV-20'!F20</f>
        <v>48.800004200000004</v>
      </c>
      <c r="G20" s="264">
        <f>'APRIL 2020'!G20+'MAY 2020'!G20+'JUNE-2020'!G20+'JULY-2020'!G20+'AUG-2020'!G20+'SEP-2020'!G20+'OCT-2020'!G20+'NOV-20'!G20</f>
        <v>28.9624992</v>
      </c>
      <c r="H20" s="316" t="s">
        <v>221</v>
      </c>
      <c r="I20" s="314">
        <f>(G20-F20)/F20*100</f>
        <v>-40.65062150138094</v>
      </c>
    </row>
    <row r="21" spans="1:22" ht="15.4" x14ac:dyDescent="0.4">
      <c r="A21" s="2004"/>
      <c r="B21" s="2009"/>
      <c r="C21" s="2000" t="s">
        <v>239</v>
      </c>
      <c r="D21" s="2001"/>
      <c r="E21" s="2002"/>
      <c r="F21" s="264">
        <f>'APRIL 2020'!F21+'MAY 2020'!F21+'JUNE-2020'!F21+'JULY-2020'!F21+'AUG-2020'!F21+'SEP-2020'!F21+'OCT-2020'!F21+'NOV-20'!F21</f>
        <v>5.9292305999999995</v>
      </c>
      <c r="G21" s="264">
        <f>'APRIL 2020'!G21+'MAY 2020'!G21+'JUNE-2020'!G21+'JULY-2020'!G21+'AUG-2020'!G21+'SEP-2020'!G21+'OCT-2020'!G21+'NOV-20'!G21</f>
        <v>9.4663395999999995</v>
      </c>
      <c r="H21" s="316" t="s">
        <v>221</v>
      </c>
      <c r="I21" s="314">
        <f>(G21-F21)/F21*100</f>
        <v>59.655446694888212</v>
      </c>
    </row>
    <row r="22" spans="1:22" ht="15.4" x14ac:dyDescent="0.4">
      <c r="A22" s="2004"/>
      <c r="B22" s="2009"/>
      <c r="C22" s="2000" t="s">
        <v>233</v>
      </c>
      <c r="D22" s="2001"/>
      <c r="E22" s="2002"/>
      <c r="F22" s="264">
        <f>'APRIL 2020'!F22+'MAY 2020'!F22+'JUNE-2020'!F22+'JULY-2020'!F22+'AUG-2020'!F22+'SEP-2020'!F22+'OCT-2020'!F22+'NOV-20'!F22</f>
        <v>9.8125201000000004</v>
      </c>
      <c r="G22" s="264">
        <f>'APRIL 2020'!G22+'MAY 2020'!G22+'JUNE-2020'!G22+'JULY-2020'!G22+'AUG-2020'!G22+'SEP-2020'!G22+'OCT-2020'!G22+'NOV-20'!G22</f>
        <v>7.3082156999999999</v>
      </c>
      <c r="H22" s="316" t="s">
        <v>221</v>
      </c>
      <c r="I22" s="314">
        <f>(G22-F22)/F22*100</f>
        <v>-25.521521224705573</v>
      </c>
    </row>
    <row r="23" spans="1:22" ht="15.4" x14ac:dyDescent="0.4">
      <c r="A23" s="2004"/>
      <c r="B23" s="2009"/>
      <c r="C23" s="2000" t="s">
        <v>234</v>
      </c>
      <c r="D23" s="2001"/>
      <c r="E23" s="2002"/>
      <c r="F23" s="264">
        <f>'APRIL 2020'!F23+'MAY 2020'!F23+'JUNE-2020'!F23+'JULY-2020'!F23+'AUG-2020'!F23+'SEP-2020'!F23+'OCT-2020'!F23+'NOV-20'!F23</f>
        <v>2.5030712999999998</v>
      </c>
      <c r="G23" s="264">
        <f>'APRIL 2020'!G23+'MAY 2020'!G23+'JUNE-2020'!G23+'JULY-2020'!G23+'AUG-2020'!G23+'SEP-2020'!G23+'OCT-2020'!G23+'NOV-20'!G23</f>
        <v>0.08</v>
      </c>
      <c r="H23" s="316" t="s">
        <v>221</v>
      </c>
      <c r="I23" s="314">
        <f>(G23-F23)/F23*100</f>
        <v>-96.803926440289572</v>
      </c>
    </row>
    <row r="24" spans="1:22" ht="15.4" x14ac:dyDescent="0.4">
      <c r="A24" s="2004"/>
      <c r="B24" s="2009"/>
      <c r="C24" s="2000" t="s">
        <v>235</v>
      </c>
      <c r="D24" s="2001"/>
      <c r="E24" s="2002"/>
      <c r="F24" s="264">
        <f>'APRIL 2020'!F24+'MAY 2020'!F24+'JUNE-2020'!F24+'JULY-2020'!F24+'AUG-2020'!F24+'SEP-2020'!F24+'OCT-2020'!F24+'NOV-20'!F24</f>
        <v>4.8587400000000003E-2</v>
      </c>
      <c r="G24" s="264">
        <f>'APRIL 2020'!G24+'MAY 2020'!G24+'JUNE-2020'!G24+'JULY-2020'!G24+'AUG-2020'!G24+'SEP-2020'!G24+'OCT-2020'!G24+'NOV-20'!G24</f>
        <v>0</v>
      </c>
      <c r="H24" s="316"/>
      <c r="I24" s="314">
        <v>0</v>
      </c>
    </row>
    <row r="25" spans="1:22" ht="15.4" x14ac:dyDescent="0.4">
      <c r="A25" s="2005"/>
      <c r="B25" s="2010"/>
      <c r="C25" s="2011" t="s">
        <v>236</v>
      </c>
      <c r="D25" s="2012"/>
      <c r="E25" s="2013"/>
      <c r="F25" s="264">
        <f>'APRIL 2020'!F25+'MAY 2020'!F25+'JUNE-2020'!F25+'JULY-2020'!F25+'AUG-2020'!F25+'SEP-2020'!F25+'OCT-2020'!F25+'NOV-20'!F25</f>
        <v>0</v>
      </c>
      <c r="G25" s="264">
        <f>'APRIL 2020'!G25+'MAY 2020'!G25+'JUNE-2020'!G25+'JULY-2020'!G25+'AUG-2020'!G25+'SEP-2020'!G25+'OCT-2020'!G25+'NOV-20'!G25</f>
        <v>0</v>
      </c>
      <c r="H25" s="316" t="s">
        <v>221</v>
      </c>
      <c r="I25" s="314">
        <v>0</v>
      </c>
    </row>
    <row r="26" spans="1:22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  <c r="S26" s="5" t="s">
        <v>325</v>
      </c>
    </row>
    <row r="27" spans="1:22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264">
        <f>'UPTO SEP 2020'!F27+'OCT-2020'!F27+'NOV-20'!F27</f>
        <v>13.136108200000001</v>
      </c>
      <c r="G27" s="264">
        <f>'UPTO SEP 2020'!G27+'OCT-2020'!G27+'NOV-20'!G27</f>
        <v>0.21366079999999998</v>
      </c>
      <c r="H27" s="314" t="s">
        <v>221</v>
      </c>
      <c r="I27" s="314">
        <f t="shared" ref="I27:I33" si="0">(G27-F27)/F27*100</f>
        <v>-98.373484773823648</v>
      </c>
      <c r="K27" s="5" t="s">
        <v>126</v>
      </c>
      <c r="L27" s="5" t="s">
        <v>299</v>
      </c>
      <c r="N27" s="5">
        <v>485283</v>
      </c>
      <c r="O27" s="5">
        <f>6.43-6.18</f>
        <v>0.25</v>
      </c>
      <c r="S27" s="5">
        <v>0.4</v>
      </c>
      <c r="T27" s="12">
        <f>S27-G27</f>
        <v>0.18633920000000004</v>
      </c>
    </row>
    <row r="28" spans="1:22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264">
        <f>'UPTO SEP 2020'!F28+'OCT-2020'!F28+'NOV-20'!F28</f>
        <v>15.737184899999997</v>
      </c>
      <c r="G28" s="264">
        <f>'UPTO SEP 2020'!G28+'OCT-2020'!G28+'NOV-20'!G28</f>
        <v>5.1508731999999995</v>
      </c>
      <c r="H28" s="314" t="s">
        <v>221</v>
      </c>
      <c r="I28" s="314">
        <f t="shared" si="0"/>
        <v>-67.269411697641047</v>
      </c>
      <c r="N28" s="5">
        <f>N27/100000</f>
        <v>4.85283</v>
      </c>
      <c r="S28" s="5">
        <v>9.8800000000000008</v>
      </c>
      <c r="T28" s="12">
        <f>S28-G28</f>
        <v>4.7291268000000013</v>
      </c>
    </row>
    <row r="29" spans="1:22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264">
        <f>'UPTO SEP 2020'!F29+'OCT-2020'!F29+'NOV-20'!F29</f>
        <v>1.0454683</v>
      </c>
      <c r="G29" s="264">
        <f>'UPTO SEP 2020'!G29+'OCT-2020'!G29+'NOV-20'!G29</f>
        <v>8.1573499999999993E-2</v>
      </c>
      <c r="H29" s="314" t="s">
        <v>221</v>
      </c>
      <c r="I29" s="314">
        <f t="shared" si="0"/>
        <v>-92.197420046117145</v>
      </c>
      <c r="S29" s="5">
        <v>0.1</v>
      </c>
      <c r="T29" s="12">
        <f>S29-G29</f>
        <v>1.8426500000000012E-2</v>
      </c>
    </row>
    <row r="30" spans="1:22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264">
        <f>'UPTO SEP 2020'!F30+'OCT-2020'!F30+'NOV-20'!F30</f>
        <v>1.6118569999999999</v>
      </c>
      <c r="G30" s="264">
        <f>'UPTO SEP 2020'!G30+'OCT-2020'!G30+'NOV-20'!G30</f>
        <v>0</v>
      </c>
      <c r="H30" s="316" t="s">
        <v>221</v>
      </c>
      <c r="I30" s="314">
        <f t="shared" si="0"/>
        <v>-100</v>
      </c>
      <c r="S30" s="5">
        <v>0</v>
      </c>
      <c r="T30" s="12">
        <f>S30-G30</f>
        <v>0</v>
      </c>
    </row>
    <row r="31" spans="1:22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264">
        <f>'UPTO SEP 2020'!F31+'OCT-2020'!F31+'NOV-20'!F31</f>
        <v>1.9531265</v>
      </c>
      <c r="G31" s="264">
        <f>'UPTO SEP 2020'!G31+'OCT-2020'!G31+'NOV-20'!G31</f>
        <v>0</v>
      </c>
      <c r="H31" s="316" t="s">
        <v>221</v>
      </c>
      <c r="I31" s="314">
        <f t="shared" si="0"/>
        <v>-100</v>
      </c>
      <c r="S31" s="5">
        <v>0</v>
      </c>
      <c r="T31" s="12">
        <f>S31-G31</f>
        <v>0</v>
      </c>
      <c r="V31" s="12">
        <f>T33+G8</f>
        <v>15.203892500000002</v>
      </c>
    </row>
    <row r="32" spans="1:22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264">
        <f>'UPTO SEP 2020'!F32+'OCT-2020'!F32+'NOV-20'!F32</f>
        <v>22.415092600000001</v>
      </c>
      <c r="G32" s="264">
        <f>'UPTO SEP 2020'!G32+'OCT-2020'!G32+'NOV-20'!G32</f>
        <v>3.9701092000000004</v>
      </c>
      <c r="H32" s="316" t="s">
        <v>221</v>
      </c>
      <c r="I32" s="314">
        <f t="shared" si="0"/>
        <v>-82.288231992403198</v>
      </c>
      <c r="K32" s="437">
        <v>8790711</v>
      </c>
      <c r="O32" s="380"/>
      <c r="P32" s="319"/>
      <c r="Q32" s="319">
        <v>1076731</v>
      </c>
      <c r="S32" s="5">
        <v>3.67</v>
      </c>
      <c r="T32" s="12">
        <v>0.8</v>
      </c>
    </row>
    <row r="33" spans="1:20" x14ac:dyDescent="0.45">
      <c r="A33" s="403"/>
      <c r="B33" s="402" t="s">
        <v>266</v>
      </c>
      <c r="C33" s="409"/>
      <c r="D33" s="332"/>
      <c r="E33" s="308"/>
      <c r="F33" s="264">
        <f>'UPTO SEP 2020'!F33+'OCT-2020'!F33+'NOV-20'!F33</f>
        <v>1.2798425999999998</v>
      </c>
      <c r="G33" s="264">
        <v>0.1</v>
      </c>
      <c r="H33" s="316"/>
      <c r="I33" s="314">
        <f t="shared" si="0"/>
        <v>-92.186539188490826</v>
      </c>
      <c r="K33" s="5">
        <f>1300+15+630+420+120+6330</f>
        <v>8815</v>
      </c>
      <c r="O33" s="380"/>
      <c r="T33" s="12">
        <f>SUM(T27:T32)</f>
        <v>5.7338925000000014</v>
      </c>
    </row>
    <row r="34" spans="1:20" ht="15" x14ac:dyDescent="0.4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  <c r="M34" s="26"/>
      <c r="S34" s="5" t="s">
        <v>325</v>
      </c>
    </row>
    <row r="35" spans="1:20" ht="15.4" x14ac:dyDescent="0.4">
      <c r="A35" s="2020"/>
      <c r="B35" s="2006" t="s">
        <v>27</v>
      </c>
      <c r="C35" s="2007"/>
      <c r="D35" s="331">
        <v>10.16</v>
      </c>
      <c r="E35" s="265">
        <f>'UPTO SEP 2020'!E35+'OCT-2020'!E35+'NOV-20'!E35</f>
        <v>5.4849999999999994</v>
      </c>
      <c r="F35" s="264">
        <f>'UPTO SEP 2020'!F35+'OCT-2020'!F35+'NOV-20'!F35</f>
        <v>3.8786747000000004</v>
      </c>
      <c r="G35" s="264">
        <f>'UPTO SEP 2020'!G35+'OCT-2020'!G35+'NOV-20'!G35</f>
        <v>0.2044396</v>
      </c>
      <c r="H35" s="314">
        <f>(G35-E35)/E35*100</f>
        <v>-96.272751139471296</v>
      </c>
      <c r="I35" s="314">
        <f>(G35-F35)/F35*100</f>
        <v>-94.729137764504969</v>
      </c>
      <c r="K35" s="432" t="s">
        <v>203</v>
      </c>
      <c r="L35" s="432" t="s">
        <v>275</v>
      </c>
      <c r="S35" s="5">
        <v>1.32</v>
      </c>
      <c r="T35" s="12">
        <f>S35+G35</f>
        <v>1.5244396</v>
      </c>
    </row>
    <row r="36" spans="1:20" ht="15.4" x14ac:dyDescent="0.4">
      <c r="A36" s="2020"/>
      <c r="B36" s="2006" t="s">
        <v>28</v>
      </c>
      <c r="C36" s="2007"/>
      <c r="D36" s="333" t="s">
        <v>221</v>
      </c>
      <c r="E36" s="307" t="s">
        <v>221</v>
      </c>
      <c r="F36" s="264">
        <f>'UPTO SEP 2020'!F36+'OCT-2020'!F36+'NOV-20'!F36</f>
        <v>1.6590263000000003</v>
      </c>
      <c r="G36" s="264">
        <f>'UPTO SEP 2020'!G36+'OCT-2020'!G36+'NOV-20'!G36</f>
        <v>9.3093899999999993E-2</v>
      </c>
      <c r="H36" s="314" t="s">
        <v>221</v>
      </c>
      <c r="I36" s="314">
        <f>(G36-F36)/F36*100</f>
        <v>-94.388642301812823</v>
      </c>
      <c r="K36" s="5" t="s">
        <v>126</v>
      </c>
      <c r="L36" s="5" t="s">
        <v>299</v>
      </c>
      <c r="S36" s="5">
        <f>5812262/10000000</f>
        <v>0.58122620000000003</v>
      </c>
      <c r="T36" s="12">
        <f>S36+G36</f>
        <v>0.67432009999999998</v>
      </c>
    </row>
    <row r="37" spans="1:20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264">
        <f>'UPTO SEP 2020'!F37+'OCT-2020'!F37+'NOV-20'!F37</f>
        <v>1.0446523999999999</v>
      </c>
      <c r="G37" s="264">
        <f>'UPTO SEP 2020'!G37+'OCT-2020'!G37+'NOV-20'!G37</f>
        <v>0.13408349999999999</v>
      </c>
      <c r="H37" s="314" t="s">
        <v>221</v>
      </c>
      <c r="I37" s="314">
        <f>(G37-F37)/F37*100</f>
        <v>-87.164773660597533</v>
      </c>
      <c r="K37" s="5">
        <f>3695+606+35+5749+46464+300+10194+144+159691+235+1730+67000</f>
        <v>295843</v>
      </c>
      <c r="L37" s="5">
        <f>25+365+225+6840+16000+6567+1744+440+70464+130+400+130293+200</f>
        <v>233693</v>
      </c>
      <c r="P37" s="5">
        <v>30</v>
      </c>
      <c r="S37" s="5">
        <v>0.1764</v>
      </c>
      <c r="T37" s="12">
        <f>S37+G37</f>
        <v>0.31048350000000002</v>
      </c>
    </row>
    <row r="38" spans="1:20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f>'UPTO SEP 2020'!F38+'OCT-2020'!F38+'NOV-20'!F38</f>
        <v>0</v>
      </c>
      <c r="G38" s="264">
        <f>'UPTO SEP 2020'!G38+'OCT-2020'!G38+'NOV-20'!G38</f>
        <v>0</v>
      </c>
      <c r="H38" s="314" t="s">
        <v>221</v>
      </c>
      <c r="I38" s="314">
        <v>0</v>
      </c>
      <c r="K38" s="5">
        <f>K37/10000000</f>
        <v>2.9584300000000001E-2</v>
      </c>
      <c r="L38" s="5">
        <f>L37/10000000</f>
        <v>2.3369299999999999E-2</v>
      </c>
      <c r="P38" s="5">
        <v>31</v>
      </c>
      <c r="S38" s="5">
        <v>0</v>
      </c>
      <c r="T38" s="12">
        <f>S38+G38</f>
        <v>0</v>
      </c>
    </row>
    <row r="39" spans="1:20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264">
        <f>'UPTO SEP 2020'!F39+'OCT-2020'!F39+'NOV-20'!F39</f>
        <v>3.0324999999999998E-2</v>
      </c>
      <c r="G39" s="264">
        <f>'UPTO SEP 2020'!G39+'OCT-2020'!G39+'NOV-20'!G39</f>
        <v>0</v>
      </c>
      <c r="H39" s="314" t="s">
        <v>221</v>
      </c>
      <c r="I39" s="314">
        <v>0</v>
      </c>
      <c r="P39" s="5">
        <v>30</v>
      </c>
      <c r="S39" s="42">
        <f>58386/10000000</f>
        <v>5.8386000000000002E-3</v>
      </c>
      <c r="T39" s="12">
        <f>S39+G39</f>
        <v>5.8386000000000002E-3</v>
      </c>
    </row>
    <row r="40" spans="1:20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264">
        <v>0</v>
      </c>
      <c r="G40" s="264">
        <f>'UPTO SEP 2020'!G40+'OCT-2020'!G40+'NOV-20'!G40</f>
        <v>9.2755799999999999E-2</v>
      </c>
      <c r="H40" s="314"/>
      <c r="I40" s="314">
        <v>0</v>
      </c>
      <c r="P40" s="5">
        <v>31</v>
      </c>
      <c r="T40" s="12">
        <f>SUM(T35:T39)</f>
        <v>2.5150818000000004</v>
      </c>
    </row>
    <row r="41" spans="1:20" ht="15" x14ac:dyDescent="0.35">
      <c r="A41" s="2020"/>
      <c r="B41" s="2021" t="s">
        <v>346</v>
      </c>
      <c r="C41" s="2022"/>
      <c r="D41" s="2022"/>
      <c r="E41" s="2022"/>
      <c r="F41" s="2022"/>
      <c r="G41" s="2022"/>
      <c r="H41" s="2022"/>
      <c r="I41" s="2023"/>
      <c r="P41" s="5">
        <v>31</v>
      </c>
    </row>
    <row r="42" spans="1:20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f>'UPTO SEP 2020'!F42+'OCT-2020'!F42+'NOV-20'!F42</f>
        <v>23.381</v>
      </c>
      <c r="G42" s="264">
        <f>'UPTO SEP 2020'!G42+'OCT-2020'!G42+'NOV-20'!G42</f>
        <v>7.3755000000000001E-2</v>
      </c>
      <c r="H42" s="314" t="s">
        <v>221</v>
      </c>
      <c r="I42" s="314">
        <f>(G42-F42)/F42*100</f>
        <v>-99.684551558958134</v>
      </c>
      <c r="K42" s="5">
        <f>G42*1000000</f>
        <v>73755</v>
      </c>
      <c r="L42" s="5">
        <f>K42/100000</f>
        <v>0.73755000000000004</v>
      </c>
      <c r="N42" s="12">
        <f>G43+G44</f>
        <v>0.61486099999999999</v>
      </c>
      <c r="O42" s="5">
        <f>N42*1000000</f>
        <v>614861</v>
      </c>
      <c r="P42" s="5">
        <v>30</v>
      </c>
    </row>
    <row r="43" spans="1:20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264">
        <f>'UPTO SEP 2020'!F43+'OCT-2020'!F43+'NOV-20'!F43</f>
        <v>20.536999999999999</v>
      </c>
      <c r="G43" s="264">
        <f>'UPTO SEP 2020'!G43+'OCT-2020'!G43+'NOV-20'!G43</f>
        <v>0.18552899999999997</v>
      </c>
      <c r="H43" s="2027" t="s">
        <v>221</v>
      </c>
      <c r="I43" s="314">
        <f>(G43-F43)/F43*100</f>
        <v>-99.096610994789884</v>
      </c>
      <c r="K43" s="5">
        <f>G43*1000000</f>
        <v>185528.99999999997</v>
      </c>
      <c r="L43" s="5">
        <f>K43/100000</f>
        <v>1.8552899999999997</v>
      </c>
      <c r="M43" s="12">
        <f>G43+G44</f>
        <v>0.61486099999999999</v>
      </c>
      <c r="N43" s="5">
        <f>(M43-L43)/L43*100</f>
        <v>-66.859035514663475</v>
      </c>
      <c r="O43" s="5">
        <f>O42/100000</f>
        <v>6.1486099999999997</v>
      </c>
      <c r="P43" s="5">
        <v>31</v>
      </c>
    </row>
    <row r="44" spans="1:20" ht="15.4" x14ac:dyDescent="0.4">
      <c r="A44" s="2020"/>
      <c r="B44" s="2070"/>
      <c r="C44" s="320" t="s">
        <v>228</v>
      </c>
      <c r="D44" s="2068"/>
      <c r="E44" s="2066"/>
      <c r="F44" s="264">
        <f>'UPTO SEP 2020'!F44+'OCT-2020'!F44+'NOV-20'!F44</f>
        <v>7.4712639999999997</v>
      </c>
      <c r="G44" s="264">
        <f>'UPTO SEP 2020'!G44+'OCT-2020'!G44+'NOV-20'!G44</f>
        <v>0.42933200000000005</v>
      </c>
      <c r="H44" s="2029"/>
      <c r="I44" s="314">
        <f>(G44-F44)/F44*100</f>
        <v>-94.253556024790441</v>
      </c>
      <c r="K44" s="5">
        <f>G44*1000000</f>
        <v>429332.00000000006</v>
      </c>
      <c r="L44" s="5">
        <f>K44/100000</f>
        <v>4.2933200000000005</v>
      </c>
      <c r="P44" s="5">
        <v>30</v>
      </c>
    </row>
    <row r="45" spans="1:20" ht="15" x14ac:dyDescent="0.35">
      <c r="A45" s="2020">
        <v>6</v>
      </c>
      <c r="B45" s="2021" t="s">
        <v>347</v>
      </c>
      <c r="C45" s="2022"/>
      <c r="D45" s="2022"/>
      <c r="E45" s="2022"/>
      <c r="F45" s="2022"/>
      <c r="G45" s="2022"/>
      <c r="H45" s="2022"/>
      <c r="I45" s="2023"/>
      <c r="L45" s="5">
        <f>SUM(L42:L44)</f>
        <v>6.8861600000000003</v>
      </c>
    </row>
    <row r="46" spans="1:20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>
        <v>218.52</v>
      </c>
      <c r="G46" s="78">
        <v>310.06</v>
      </c>
      <c r="H46" s="2027" t="s">
        <v>221</v>
      </c>
      <c r="I46" s="314">
        <f>(G46-F46)/F46*100</f>
        <v>41.890902434559763</v>
      </c>
    </row>
    <row r="47" spans="1:20" ht="15.4" x14ac:dyDescent="0.4">
      <c r="A47" s="2020"/>
      <c r="B47" s="2006" t="s">
        <v>37</v>
      </c>
      <c r="C47" s="2007"/>
      <c r="D47" s="303" t="s">
        <v>221</v>
      </c>
      <c r="E47" s="2025"/>
      <c r="F47" s="78">
        <v>33.47</v>
      </c>
      <c r="G47" s="78">
        <v>31.79</v>
      </c>
      <c r="H47" s="2028"/>
      <c r="I47" s="314">
        <f>(G47-F47)/F47*100</f>
        <v>-5.0194203764565275</v>
      </c>
    </row>
    <row r="48" spans="1:20" ht="15.4" x14ac:dyDescent="0.4">
      <c r="A48" s="2020"/>
      <c r="B48" s="2006" t="s">
        <v>38</v>
      </c>
      <c r="C48" s="2007"/>
      <c r="D48" s="303" t="s">
        <v>221</v>
      </c>
      <c r="E48" s="2026"/>
      <c r="F48" s="78">
        <f>SUM(F46:F47)</f>
        <v>251.99</v>
      </c>
      <c r="G48" s="78">
        <f>SUM(G46:G47)</f>
        <v>341.85</v>
      </c>
      <c r="H48" s="2029"/>
      <c r="I48" s="314">
        <f>(G48-F48)/F48*100</f>
        <v>35.660145243858885</v>
      </c>
    </row>
    <row r="50" spans="2:13" s="5" customFormat="1" ht="13.5" x14ac:dyDescent="0.35">
      <c r="B50" s="300"/>
      <c r="D50" s="84"/>
      <c r="E50" s="428">
        <f>G42</f>
        <v>7.3755000000000001E-2</v>
      </c>
      <c r="F50" s="5">
        <f>E50*100000</f>
        <v>7375.5</v>
      </c>
      <c r="G50" s="5">
        <f>F50/100000</f>
        <v>7.3755000000000001E-2</v>
      </c>
      <c r="H50" s="11"/>
    </row>
    <row r="51" spans="2:13" s="5" customFormat="1" ht="13.5" x14ac:dyDescent="0.35">
      <c r="B51" s="300"/>
      <c r="D51" s="84"/>
      <c r="E51" s="428">
        <f>G43</f>
        <v>0.18552899999999997</v>
      </c>
      <c r="F51" s="5">
        <f>E51*100000</f>
        <v>18552.899999999998</v>
      </c>
      <c r="G51" s="5">
        <f>F51/100000</f>
        <v>0.18552899999999997</v>
      </c>
      <c r="H51" s="11"/>
    </row>
    <row r="52" spans="2:13" s="5" customFormat="1" ht="13.5" x14ac:dyDescent="0.35">
      <c r="B52" s="300"/>
      <c r="D52" s="84"/>
      <c r="E52" s="428">
        <f>G44</f>
        <v>0.42933200000000005</v>
      </c>
      <c r="F52" s="5">
        <f>E52*100000</f>
        <v>42933.200000000004</v>
      </c>
      <c r="G52" s="5">
        <f>F52/100000</f>
        <v>0.42933200000000005</v>
      </c>
      <c r="H52" s="11"/>
    </row>
    <row r="53" spans="2:13" s="5" customFormat="1" ht="13.5" x14ac:dyDescent="0.35">
      <c r="B53" s="300"/>
      <c r="D53" s="84"/>
      <c r="E53" s="35"/>
      <c r="H53" s="11"/>
      <c r="I53" s="82"/>
      <c r="J53" s="5">
        <v>29.46</v>
      </c>
      <c r="K53" s="5">
        <v>589</v>
      </c>
      <c r="M53" s="5">
        <f>(J53-K53)/K53*100</f>
        <v>-94.99830220713072</v>
      </c>
    </row>
    <row r="54" spans="2:13" s="5" customFormat="1" ht="13.5" x14ac:dyDescent="0.35">
      <c r="C54" s="12"/>
      <c r="D54" s="84"/>
      <c r="E54" s="428"/>
      <c r="F54" s="12"/>
      <c r="G54" s="12"/>
      <c r="H54" s="11"/>
    </row>
    <row r="56" spans="2:13" s="5" customFormat="1" ht="13.5" x14ac:dyDescent="0.35">
      <c r="B56" s="300"/>
      <c r="D56" s="84"/>
      <c r="E56" s="35"/>
      <c r="F56" s="5">
        <f>G35*10000000</f>
        <v>2044396</v>
      </c>
      <c r="H56" s="11"/>
      <c r="I56" s="82"/>
    </row>
    <row r="57" spans="2:13" s="5" customFormat="1" ht="13.5" x14ac:dyDescent="0.35">
      <c r="B57" s="300"/>
      <c r="D57" s="84"/>
      <c r="E57" s="35"/>
      <c r="F57" s="5">
        <f>F56/100000</f>
        <v>20.443960000000001</v>
      </c>
      <c r="H57" s="11"/>
      <c r="I57" s="82"/>
    </row>
    <row r="59" spans="2:13" s="5" customFormat="1" ht="13.5" x14ac:dyDescent="0.35">
      <c r="B59" s="300"/>
      <c r="D59" s="84"/>
      <c r="E59" s="35">
        <f>E35*10000000</f>
        <v>54849999.999999993</v>
      </c>
      <c r="H59" s="11"/>
      <c r="I59" s="82"/>
    </row>
    <row r="60" spans="2:13" s="5" customFormat="1" ht="13.5" x14ac:dyDescent="0.35">
      <c r="B60" s="300"/>
      <c r="D60" s="84"/>
      <c r="E60" s="35">
        <f>E59/100000</f>
        <v>548.49999999999989</v>
      </c>
      <c r="H60" s="11"/>
      <c r="I60" s="82"/>
    </row>
    <row r="64" spans="2:13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34" bottom="0.24" header="0.3" footer="0.3"/>
  <pageSetup paperSize="9" scale="3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U64"/>
  <sheetViews>
    <sheetView topLeftCell="A21" workbookViewId="0">
      <selection activeCell="F21" sqref="F21"/>
    </sheetView>
  </sheetViews>
  <sheetFormatPr defaultColWidth="9.1328125" defaultRowHeight="16.899999999999999" x14ac:dyDescent="0.35"/>
  <cols>
    <col min="1" max="1" width="5.3984375" style="376" customWidth="1"/>
    <col min="2" max="2" width="37.73046875" style="300" customWidth="1"/>
    <col min="3" max="3" width="13" style="5" customWidth="1"/>
    <col min="4" max="4" width="9" style="84" customWidth="1"/>
    <col min="5" max="5" width="9.3984375" style="35" customWidth="1"/>
    <col min="6" max="6" width="11" style="5" customWidth="1"/>
    <col min="7" max="7" width="12" style="5" customWidth="1"/>
    <col min="8" max="8" width="8.86328125" style="11" customWidth="1"/>
    <col min="9" max="9" width="11.86328125" style="82" customWidth="1"/>
    <col min="10" max="10" width="9.1328125" style="5"/>
    <col min="11" max="11" width="14.265625" style="5" customWidth="1"/>
    <col min="12" max="12" width="13.1328125" style="5" customWidth="1"/>
    <col min="13" max="13" width="11.86328125" style="5" customWidth="1"/>
    <col min="14" max="14" width="10.73046875" style="5" customWidth="1"/>
    <col min="15" max="15" width="10.1328125" style="5" customWidth="1"/>
    <col min="16" max="16384" width="9.1328125" style="5"/>
  </cols>
  <sheetData>
    <row r="1" spans="1:13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3" s="301" customFormat="1" ht="17.25" thickBot="1" x14ac:dyDescent="0.5">
      <c r="A2" s="2092" t="s">
        <v>349</v>
      </c>
      <c r="B2" s="2093"/>
      <c r="C2" s="2093"/>
      <c r="D2" s="2093"/>
      <c r="E2" s="2093"/>
      <c r="F2" s="2093"/>
      <c r="G2" s="2093"/>
      <c r="H2" s="2093"/>
      <c r="I2" s="2094"/>
    </row>
    <row r="3" spans="1:13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3" s="35" customFormat="1" ht="15" x14ac:dyDescent="0.45">
      <c r="A4" s="2035"/>
      <c r="B4" s="2047"/>
      <c r="C4" s="2048"/>
      <c r="D4" s="366" t="s">
        <v>9</v>
      </c>
      <c r="E4" s="383">
        <f>G4</f>
        <v>44166</v>
      </c>
      <c r="F4" s="383">
        <v>43800</v>
      </c>
      <c r="G4" s="383">
        <v>44166</v>
      </c>
      <c r="H4" s="2041" t="s">
        <v>12</v>
      </c>
      <c r="I4" s="2041" t="s">
        <v>13</v>
      </c>
    </row>
    <row r="5" spans="1:13" ht="15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/>
    </row>
    <row r="6" spans="1:13" x14ac:dyDescent="0.45">
      <c r="A6" s="372">
        <v>1</v>
      </c>
      <c r="B6" s="2049" t="s">
        <v>279</v>
      </c>
      <c r="C6" s="2049"/>
      <c r="D6" s="304" t="s">
        <v>221</v>
      </c>
      <c r="E6" s="305" t="s">
        <v>221</v>
      </c>
      <c r="F6" s="305">
        <f>F15+F16+F17</f>
        <v>78.279529331999996</v>
      </c>
      <c r="G6" s="305">
        <f>G15+G16+G17</f>
        <v>29.149559987</v>
      </c>
      <c r="H6" s="306" t="s">
        <v>221</v>
      </c>
      <c r="I6" s="306">
        <f>(G6-F6)/F6*100</f>
        <v>-62.76221863397955</v>
      </c>
      <c r="K6" s="319"/>
      <c r="L6"/>
    </row>
    <row r="7" spans="1:13" x14ac:dyDescent="0.35">
      <c r="A7" s="373">
        <v>2</v>
      </c>
      <c r="B7" s="2050" t="s">
        <v>281</v>
      </c>
      <c r="C7" s="2051"/>
      <c r="D7" s="307" t="s">
        <v>221</v>
      </c>
      <c r="E7" s="307" t="s">
        <v>221</v>
      </c>
      <c r="F7" s="307">
        <v>20.62</v>
      </c>
      <c r="G7" s="307">
        <v>10.99</v>
      </c>
      <c r="H7" s="308" t="s">
        <v>221</v>
      </c>
      <c r="I7" s="308">
        <f>(G7-F7)/F7*100</f>
        <v>-46.70223084384093</v>
      </c>
    </row>
    <row r="8" spans="1:13" x14ac:dyDescent="0.35">
      <c r="A8" s="374">
        <v>3</v>
      </c>
      <c r="B8" s="2021" t="s">
        <v>282</v>
      </c>
      <c r="C8" s="2023"/>
      <c r="D8" s="364" t="s">
        <v>221</v>
      </c>
      <c r="E8" s="364" t="s">
        <v>221</v>
      </c>
      <c r="F8" s="364">
        <f>F27+F28+F29+F30+F31+F32+F33</f>
        <v>6.8100000000000005</v>
      </c>
      <c r="G8" s="364">
        <f>G27+G28+G29+G30+G31+G32+G33</f>
        <v>2.6519283000000002</v>
      </c>
      <c r="H8" s="365" t="s">
        <v>221</v>
      </c>
      <c r="I8" s="365">
        <f>(G8-F8)/F8*100</f>
        <v>-61.058321585903087</v>
      </c>
    </row>
    <row r="9" spans="1:13" x14ac:dyDescent="0.35">
      <c r="A9" s="373">
        <v>4</v>
      </c>
      <c r="B9" s="2052" t="s">
        <v>283</v>
      </c>
      <c r="C9" s="2053"/>
      <c r="D9" s="307" t="s">
        <v>221</v>
      </c>
      <c r="E9" s="307" t="s">
        <v>221</v>
      </c>
      <c r="F9" s="307">
        <v>0.83</v>
      </c>
      <c r="G9" s="307">
        <f>G35+G36+G37+G38+G39+G40</f>
        <v>0.26865680000000003</v>
      </c>
      <c r="H9" s="308" t="s">
        <v>221</v>
      </c>
      <c r="I9" s="308">
        <f>(G9-F9)/F9*100</f>
        <v>-67.631710843373497</v>
      </c>
    </row>
    <row r="10" spans="1:13" ht="17.649999999999999" x14ac:dyDescent="0.35">
      <c r="A10" s="374">
        <v>5</v>
      </c>
      <c r="B10" s="2117" t="s">
        <v>284</v>
      </c>
      <c r="C10" s="2118"/>
      <c r="D10" s="321" t="s">
        <v>221</v>
      </c>
      <c r="E10" s="321" t="s">
        <v>221</v>
      </c>
      <c r="F10" s="446">
        <f>SUM(F6:F9)</f>
        <v>106.539529332</v>
      </c>
      <c r="G10" s="446">
        <f>SUM(G6:G9)</f>
        <v>43.060145087000002</v>
      </c>
      <c r="H10" s="322" t="s">
        <v>221</v>
      </c>
      <c r="I10" s="322">
        <f>(G10-F10)/F10*100</f>
        <v>-59.582940381860183</v>
      </c>
      <c r="K10" s="12"/>
    </row>
    <row r="11" spans="1:13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3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6.8609469999999995</v>
      </c>
      <c r="G12" s="447">
        <f>G42+G43+G44</f>
        <v>0.58807200000000004</v>
      </c>
      <c r="H12" s="310" t="s">
        <v>221</v>
      </c>
      <c r="I12" s="311">
        <f>(G12-F12)/F12*100</f>
        <v>-91.428705104411961</v>
      </c>
    </row>
    <row r="13" spans="1:13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3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K14" s="383">
        <f>F4</f>
        <v>43800</v>
      </c>
      <c r="L14" s="383">
        <v>44166</v>
      </c>
    </row>
    <row r="15" spans="1:13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264">
        <v>1.777869932</v>
      </c>
      <c r="G15" s="433">
        <v>2.5583986999999999E-2</v>
      </c>
      <c r="H15" s="314" t="s">
        <v>221</v>
      </c>
      <c r="I15" s="314">
        <f>(G15-F15)/F15*100</f>
        <v>-98.56097532561229</v>
      </c>
      <c r="J15" s="12">
        <f>K15/10000000</f>
        <v>1.777869932</v>
      </c>
      <c r="K15" s="41">
        <f>17778699.32</f>
        <v>17778699.32</v>
      </c>
      <c r="L15" s="476">
        <v>255839.87</v>
      </c>
      <c r="M15" s="264">
        <f>L15/10000000</f>
        <v>2.5583986999999999E-2</v>
      </c>
    </row>
    <row r="16" spans="1:13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134">
        <v>15.91</v>
      </c>
      <c r="G16" s="433">
        <v>1.38315E-2</v>
      </c>
      <c r="H16" s="2027" t="s">
        <v>221</v>
      </c>
      <c r="I16" s="314">
        <f>(G16-F16)/F16*100</f>
        <v>-99.913064110622258</v>
      </c>
      <c r="J16" s="12">
        <f>K16/10000000</f>
        <v>16.273868146000002</v>
      </c>
      <c r="K16" s="41">
        <v>162738681.46000001</v>
      </c>
      <c r="L16" s="477">
        <v>138315</v>
      </c>
      <c r="M16" s="264">
        <f>L16/10000000</f>
        <v>1.38315E-2</v>
      </c>
    </row>
    <row r="17" spans="1:21" ht="15.75" x14ac:dyDescent="0.45">
      <c r="A17" s="2005"/>
      <c r="B17" s="2071"/>
      <c r="C17" s="320" t="s">
        <v>228</v>
      </c>
      <c r="D17" s="2064"/>
      <c r="E17" s="2066"/>
      <c r="F17" s="475">
        <v>60.591659399999998</v>
      </c>
      <c r="G17" s="264">
        <v>29.110144500000001</v>
      </c>
      <c r="H17" s="2029"/>
      <c r="I17" s="314">
        <f>(G17-F17)/F17*100</f>
        <v>-51.956845565447573</v>
      </c>
      <c r="J17" s="12">
        <f>K17/10000000</f>
        <v>60.591659399999998</v>
      </c>
      <c r="K17" s="478">
        <v>605916594</v>
      </c>
      <c r="L17" s="319">
        <v>291101445</v>
      </c>
      <c r="M17" s="264">
        <f>L17/10000000</f>
        <v>29.110144500000001</v>
      </c>
      <c r="P17">
        <v>605916594</v>
      </c>
    </row>
    <row r="18" spans="1:21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21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v>10.29</v>
      </c>
      <c r="G19" s="264">
        <v>6.26</v>
      </c>
      <c r="H19" s="316" t="s">
        <v>221</v>
      </c>
      <c r="I19" s="314">
        <f>(G19-F19)/F19*100</f>
        <v>-39.16423712342079</v>
      </c>
      <c r="L19"/>
    </row>
    <row r="20" spans="1:21" ht="15.4" x14ac:dyDescent="0.4">
      <c r="A20" s="2004"/>
      <c r="B20" s="2009"/>
      <c r="C20" s="2000" t="s">
        <v>232</v>
      </c>
      <c r="D20" s="2001"/>
      <c r="E20" s="2002"/>
      <c r="F20" s="264">
        <f>87279631/10000000</f>
        <v>8.7279631000000002</v>
      </c>
      <c r="G20" s="264">
        <f>14362944/10000000</f>
        <v>1.4362944</v>
      </c>
      <c r="H20" s="316" t="s">
        <v>221</v>
      </c>
      <c r="I20" s="314">
        <f>(G20-F20)/F20*100</f>
        <v>-83.543761774153253</v>
      </c>
    </row>
    <row r="21" spans="1:21" ht="15.4" x14ac:dyDescent="0.4">
      <c r="A21" s="2004"/>
      <c r="B21" s="2009"/>
      <c r="C21" s="2000" t="s">
        <v>239</v>
      </c>
      <c r="D21" s="2001"/>
      <c r="E21" s="2002"/>
      <c r="F21" s="264">
        <f>4929324/10000000</f>
        <v>0.49293239999999999</v>
      </c>
      <c r="G21" s="264">
        <f>22756535/10000000</f>
        <v>2.2756535000000002</v>
      </c>
      <c r="H21" s="316" t="s">
        <v>221</v>
      </c>
      <c r="I21" s="314">
        <f>(G21-F21)/F21*100</f>
        <v>361.65630419100069</v>
      </c>
    </row>
    <row r="22" spans="1:21" ht="15.4" x14ac:dyDescent="0.4">
      <c r="A22" s="2004"/>
      <c r="B22" s="2009"/>
      <c r="C22" s="2000" t="s">
        <v>233</v>
      </c>
      <c r="D22" s="2001"/>
      <c r="E22" s="2002"/>
      <c r="F22" s="264">
        <f>8751337/10000000</f>
        <v>0.87513370000000001</v>
      </c>
      <c r="G22" s="264">
        <f>7319383/10000000</f>
        <v>0.73193830000000004</v>
      </c>
      <c r="H22" s="316" t="s">
        <v>221</v>
      </c>
      <c r="I22" s="314">
        <f>(G22-F22)/F22*100</f>
        <v>-16.362688352648284</v>
      </c>
    </row>
    <row r="23" spans="1:21" ht="15.4" x14ac:dyDescent="0.4">
      <c r="A23" s="2004"/>
      <c r="B23" s="2009"/>
      <c r="C23" s="2000" t="s">
        <v>234</v>
      </c>
      <c r="D23" s="2001"/>
      <c r="E23" s="2002"/>
      <c r="F23" s="264">
        <f>2412668/10000000</f>
        <v>0.2412668</v>
      </c>
      <c r="G23" s="264">
        <v>0</v>
      </c>
      <c r="H23" s="316" t="s">
        <v>221</v>
      </c>
      <c r="I23" s="314">
        <f>(G23-F23)/F23*100</f>
        <v>-100</v>
      </c>
    </row>
    <row r="24" spans="1:21" ht="15.4" x14ac:dyDescent="0.4">
      <c r="A24" s="2004"/>
      <c r="B24" s="2009"/>
      <c r="C24" s="2000" t="s">
        <v>235</v>
      </c>
      <c r="D24" s="2001"/>
      <c r="E24" s="2002"/>
      <c r="F24" s="264">
        <v>0</v>
      </c>
      <c r="G24" s="264">
        <f>2866900/10000000</f>
        <v>0.28669</v>
      </c>
      <c r="H24" s="316"/>
      <c r="I24" s="314">
        <v>0</v>
      </c>
      <c r="M24" s="5">
        <f>970545+185878</f>
        <v>1156423</v>
      </c>
    </row>
    <row r="25" spans="1:21" ht="15.4" x14ac:dyDescent="0.4">
      <c r="A25" s="2005"/>
      <c r="B25" s="2010"/>
      <c r="C25" s="2011" t="s">
        <v>236</v>
      </c>
      <c r="D25" s="2012"/>
      <c r="E25" s="2013"/>
      <c r="F25" s="264">
        <v>0</v>
      </c>
      <c r="G25" s="264">
        <v>0</v>
      </c>
      <c r="H25" s="316" t="s">
        <v>221</v>
      </c>
      <c r="I25" s="314">
        <v>0</v>
      </c>
      <c r="M25" s="5">
        <f>M24/10000000</f>
        <v>0.1156423</v>
      </c>
    </row>
    <row r="26" spans="1:21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21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134">
        <v>1.29</v>
      </c>
      <c r="G27" s="134">
        <v>0.08</v>
      </c>
      <c r="H27" s="314" t="s">
        <v>221</v>
      </c>
      <c r="I27" s="314">
        <f t="shared" ref="I27:I33" si="0">(G27-F27)/F27*100</f>
        <v>-93.798449612403104</v>
      </c>
      <c r="K27" s="6" t="s">
        <v>126</v>
      </c>
      <c r="L27" s="6" t="s">
        <v>299</v>
      </c>
      <c r="N27" s="5" t="s">
        <v>343</v>
      </c>
      <c r="O27" s="5">
        <f>F27*10000000</f>
        <v>12900000</v>
      </c>
      <c r="P27" s="5">
        <f>G27*10000000</f>
        <v>800000</v>
      </c>
    </row>
    <row r="28" spans="1:21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v>2.14</v>
      </c>
      <c r="G28" s="134">
        <v>1.33</v>
      </c>
      <c r="H28" s="314" t="s">
        <v>221</v>
      </c>
      <c r="I28" s="314">
        <f t="shared" si="0"/>
        <v>-37.850467289719624</v>
      </c>
      <c r="K28" s="6"/>
      <c r="L28" s="6">
        <f>6383+570</f>
        <v>6953</v>
      </c>
      <c r="M28" s="41">
        <v>757017</v>
      </c>
      <c r="N28" s="12"/>
      <c r="O28" s="11">
        <f>O27/100000</f>
        <v>129</v>
      </c>
      <c r="P28" s="11">
        <f>P27/100000</f>
        <v>8</v>
      </c>
      <c r="Q28" s="5">
        <f>5743117/100000</f>
        <v>57.431170000000002</v>
      </c>
      <c r="R28" s="5">
        <f>139396/100000</f>
        <v>1.3939600000000001</v>
      </c>
    </row>
    <row r="29" spans="1:21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134">
        <v>0.11</v>
      </c>
      <c r="G29" s="134">
        <v>0.04</v>
      </c>
      <c r="H29" s="314" t="s">
        <v>221</v>
      </c>
      <c r="I29" s="314">
        <f t="shared" si="0"/>
        <v>-63.636363636363647</v>
      </c>
      <c r="L29" s="5">
        <f>L28/10000000</f>
        <v>6.9530000000000004E-4</v>
      </c>
      <c r="O29" s="11"/>
    </row>
    <row r="30" spans="1:21" ht="15.75" x14ac:dyDescent="0.45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v>0.12</v>
      </c>
      <c r="G30" s="134">
        <v>0</v>
      </c>
      <c r="H30" s="316" t="s">
        <v>221</v>
      </c>
      <c r="I30" s="314">
        <f t="shared" si="0"/>
        <v>-100</v>
      </c>
      <c r="L30">
        <v>12012330</v>
      </c>
      <c r="O30" s="11"/>
      <c r="S30" s="5">
        <v>7.29</v>
      </c>
      <c r="T30" s="5">
        <v>6.7</v>
      </c>
      <c r="U30" s="5">
        <f>S30-T30</f>
        <v>0.58999999999999986</v>
      </c>
    </row>
    <row r="31" spans="1:21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v>0.21</v>
      </c>
      <c r="G31" s="476">
        <v>0</v>
      </c>
      <c r="H31" s="316" t="s">
        <v>221</v>
      </c>
      <c r="I31" s="314">
        <f t="shared" si="0"/>
        <v>-100</v>
      </c>
      <c r="L31" s="319">
        <v>648677</v>
      </c>
    </row>
    <row r="32" spans="1:21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134">
        <v>2.93</v>
      </c>
      <c r="G32" s="264">
        <f>12012330/10000000</f>
        <v>1.201233</v>
      </c>
      <c r="H32" s="316" t="s">
        <v>221</v>
      </c>
      <c r="I32" s="314">
        <f t="shared" si="0"/>
        <v>-59.002286689419805</v>
      </c>
      <c r="K32" s="437"/>
      <c r="L32">
        <v>12012330</v>
      </c>
    </row>
    <row r="33" spans="1:18" x14ac:dyDescent="0.4">
      <c r="A33" s="403"/>
      <c r="B33" s="402" t="s">
        <v>266</v>
      </c>
      <c r="C33" s="409"/>
      <c r="D33" s="332"/>
      <c r="E33" s="308"/>
      <c r="F33" s="134">
        <v>0.01</v>
      </c>
      <c r="G33" s="426">
        <v>6.9530000000000004E-4</v>
      </c>
      <c r="H33" s="316"/>
      <c r="I33" s="314">
        <f t="shared" si="0"/>
        <v>-93.046999999999997</v>
      </c>
    </row>
    <row r="34" spans="1:18" ht="15" x14ac:dyDescent="0.35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</row>
    <row r="35" spans="1:18" ht="15.4" x14ac:dyDescent="0.4">
      <c r="A35" s="2020"/>
      <c r="B35" s="2006" t="s">
        <v>27</v>
      </c>
      <c r="C35" s="2007"/>
      <c r="D35" s="331">
        <v>10.16</v>
      </c>
      <c r="E35" s="307">
        <v>0.20250000000000001</v>
      </c>
      <c r="F35" s="264">
        <f>6244912/10000000</f>
        <v>0.62449120000000002</v>
      </c>
      <c r="G35" s="283">
        <f>2025836/10000000</f>
        <v>0.2025836</v>
      </c>
      <c r="H35" s="314">
        <f>(G35-E35)/E35*100</f>
        <v>4.1283950617278631E-2</v>
      </c>
      <c r="I35" s="314">
        <f>(G35-F35)/F35*100</f>
        <v>-67.560215420169257</v>
      </c>
      <c r="K35" s="432" t="s">
        <v>203</v>
      </c>
      <c r="L35" s="432" t="s">
        <v>275</v>
      </c>
      <c r="Q35" s="6" t="s">
        <v>126</v>
      </c>
    </row>
    <row r="36" spans="1:18" ht="15.4" x14ac:dyDescent="0.4">
      <c r="A36" s="2020"/>
      <c r="B36" s="2006" t="s">
        <v>28</v>
      </c>
      <c r="C36" s="2007"/>
      <c r="D36" s="333" t="s">
        <v>221</v>
      </c>
      <c r="E36" s="307" t="s">
        <v>221</v>
      </c>
      <c r="F36" s="264">
        <v>0.18099999999999999</v>
      </c>
      <c r="G36" s="134">
        <f>0</f>
        <v>0</v>
      </c>
      <c r="H36" s="314" t="s">
        <v>221</v>
      </c>
      <c r="I36" s="314">
        <v>0</v>
      </c>
      <c r="K36" s="5" t="s">
        <v>126</v>
      </c>
      <c r="L36" s="5" t="s">
        <v>299</v>
      </c>
      <c r="Q36" s="172">
        <v>0.57431169999999998</v>
      </c>
      <c r="R36" s="5" t="s">
        <v>27</v>
      </c>
    </row>
    <row r="37" spans="1:18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433">
        <v>2.8000000000000001E-2</v>
      </c>
      <c r="G37" s="389">
        <v>0</v>
      </c>
      <c r="H37" s="314" t="s">
        <v>221</v>
      </c>
      <c r="I37" s="314">
        <v>0</v>
      </c>
      <c r="K37" s="6">
        <f>461865+202877+25352+1289035</f>
        <v>1979129</v>
      </c>
      <c r="L37" s="6">
        <f>M37-N37</f>
        <v>25202</v>
      </c>
      <c r="M37" s="5">
        <v>329700</v>
      </c>
      <c r="N37" s="5">
        <v>304498</v>
      </c>
      <c r="Q37" s="172">
        <v>0.1038307</v>
      </c>
      <c r="R37" s="5" t="s">
        <v>28</v>
      </c>
    </row>
    <row r="38" spans="1:18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v>0</v>
      </c>
      <c r="G38" s="134">
        <v>0</v>
      </c>
      <c r="H38" s="314" t="s">
        <v>221</v>
      </c>
      <c r="I38" s="314">
        <v>0</v>
      </c>
      <c r="J38" s="5">
        <f>K38/10000000</f>
        <v>4.5026900000000002E-2</v>
      </c>
      <c r="K38" s="30">
        <f>K39-K37</f>
        <v>450269</v>
      </c>
      <c r="L38" s="30">
        <f>M39/10000000</f>
        <v>3.89428E-2</v>
      </c>
      <c r="Q38" s="172">
        <v>1.3424E-2</v>
      </c>
      <c r="R38" s="5" t="s">
        <v>4</v>
      </c>
    </row>
    <row r="39" spans="1:18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264">
        <v>0</v>
      </c>
      <c r="G39" s="389">
        <f>10732/10000000</f>
        <v>1.0732000000000001E-3</v>
      </c>
      <c r="H39" s="314" t="s">
        <v>221</v>
      </c>
      <c r="I39" s="314">
        <v>0</v>
      </c>
      <c r="K39" s="5">
        <v>2429398</v>
      </c>
      <c r="L39" s="5">
        <v>648677</v>
      </c>
      <c r="M39" s="5">
        <f>L39-5242-254007</f>
        <v>389428</v>
      </c>
      <c r="Q39" s="172">
        <v>0</v>
      </c>
      <c r="R39" s="5" t="s">
        <v>29</v>
      </c>
    </row>
    <row r="40" spans="1:18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134">
        <v>4.4999999999999998E-2</v>
      </c>
      <c r="G40" s="283">
        <v>6.5000000000000002E-2</v>
      </c>
      <c r="H40" s="314"/>
      <c r="I40" s="314">
        <f>(G40-F40)/F40*100</f>
        <v>44.44444444444445</v>
      </c>
      <c r="Q40" s="172">
        <v>0</v>
      </c>
      <c r="R40" s="5" t="s">
        <v>64</v>
      </c>
    </row>
    <row r="41" spans="1:18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K41" s="383">
        <v>43770</v>
      </c>
      <c r="L41" s="383">
        <v>44136</v>
      </c>
      <c r="M41" s="5" t="s">
        <v>350</v>
      </c>
      <c r="N41" s="5" t="s">
        <v>351</v>
      </c>
      <c r="Q41" s="172">
        <v>2.9382100000000001E-2</v>
      </c>
      <c r="R41" s="5" t="s">
        <v>3</v>
      </c>
    </row>
    <row r="42" spans="1:18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f>31.63/10</f>
        <v>3.1629999999999998</v>
      </c>
      <c r="G42" s="264">
        <v>4.2096000000000001E-2</v>
      </c>
      <c r="H42" s="314" t="s">
        <v>221</v>
      </c>
      <c r="I42" s="314">
        <f>(G42-F42)/F42*100</f>
        <v>-98.669111602908629</v>
      </c>
      <c r="J42" s="12">
        <f>K42/1000000</f>
        <v>3.161527</v>
      </c>
      <c r="K42" s="5">
        <v>3161527</v>
      </c>
      <c r="L42" s="12">
        <v>42096</v>
      </c>
      <c r="M42" s="12">
        <f>L42/1000000</f>
        <v>4.2096000000000001E-2</v>
      </c>
      <c r="N42" s="42">
        <f>L42/100000</f>
        <v>0.42096</v>
      </c>
      <c r="R42" s="5" t="s">
        <v>31</v>
      </c>
    </row>
    <row r="43" spans="1:18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134">
        <f>2704188/1000000</f>
        <v>2.7041879999999998</v>
      </c>
      <c r="G43" s="283">
        <v>1.1900000000000001E-4</v>
      </c>
      <c r="H43" s="2027" t="s">
        <v>221</v>
      </c>
      <c r="I43" s="314">
        <f>(G43-F43)/F43*100</f>
        <v>-99.995599418383634</v>
      </c>
      <c r="J43" s="12">
        <f>K43/1000000</f>
        <v>2.7041879999999998</v>
      </c>
      <c r="K43" s="5">
        <v>2704188</v>
      </c>
      <c r="L43" s="12">
        <v>119</v>
      </c>
      <c r="M43" s="12">
        <f>L43/1000000</f>
        <v>1.1900000000000001E-4</v>
      </c>
      <c r="N43" s="42">
        <f>L43/100000</f>
        <v>1.1900000000000001E-3</v>
      </c>
    </row>
    <row r="44" spans="1:18" ht="15.4" x14ac:dyDescent="0.4">
      <c r="A44" s="2020"/>
      <c r="B44" s="2070"/>
      <c r="C44" s="320" t="s">
        <v>228</v>
      </c>
      <c r="D44" s="2068"/>
      <c r="E44" s="2066"/>
      <c r="F44" s="134">
        <f>G49/1000000</f>
        <v>0.99375899999999995</v>
      </c>
      <c r="G44" s="323">
        <v>0.54585700000000004</v>
      </c>
      <c r="H44" s="2029"/>
      <c r="I44" s="314">
        <f>(G44-F44)/F44*100</f>
        <v>-45.071491176432104</v>
      </c>
      <c r="J44" s="12">
        <f>K44/1000000</f>
        <v>0.99375899999999995</v>
      </c>
      <c r="K44" s="319">
        <v>993759</v>
      </c>
      <c r="L44" s="319">
        <v>545857</v>
      </c>
      <c r="M44" s="12">
        <f>L44/1000000</f>
        <v>0.54585700000000004</v>
      </c>
      <c r="N44" s="42">
        <f>L44/100000</f>
        <v>5.4585699999999999</v>
      </c>
    </row>
    <row r="45" spans="1:18" ht="15" x14ac:dyDescent="0.35">
      <c r="A45" s="2020">
        <v>6</v>
      </c>
      <c r="B45" s="2021" t="s">
        <v>342</v>
      </c>
      <c r="C45" s="2022"/>
      <c r="D45" s="2022"/>
      <c r="E45" s="2022"/>
      <c r="F45" s="2022"/>
      <c r="G45" s="2022"/>
      <c r="H45" s="2022"/>
      <c r="I45" s="2023"/>
      <c r="L45" s="12"/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/>
      <c r="G46" s="78"/>
      <c r="H46" s="2027" t="s">
        <v>221</v>
      </c>
      <c r="I46" s="314" t="e">
        <f>(G46-F46)/F46*100</f>
        <v>#DIV/0!</v>
      </c>
      <c r="L46" s="5">
        <v>3.51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78"/>
      <c r="G47" s="78"/>
      <c r="H47" s="2028"/>
      <c r="I47" s="314" t="e">
        <f>(G47-F47)/F47*100</f>
        <v>#DIV/0!</v>
      </c>
      <c r="L47" s="5">
        <f>L46-0.88</f>
        <v>2.63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78"/>
      <c r="G48" s="78"/>
      <c r="H48" s="2029"/>
      <c r="I48" s="314" t="e">
        <f>(G48-F48)/F48*100</f>
        <v>#DIV/0!</v>
      </c>
    </row>
    <row r="49" spans="2:9" s="5" customFormat="1" ht="14.25" x14ac:dyDescent="0.35">
      <c r="B49" s="300"/>
      <c r="D49" s="84"/>
      <c r="E49" s="35"/>
      <c r="F49" s="319"/>
      <c r="G49" s="319">
        <v>993759</v>
      </c>
      <c r="H49" s="11"/>
      <c r="I49" s="82"/>
    </row>
    <row r="50" spans="2:9" s="5" customFormat="1" ht="13.5" x14ac:dyDescent="0.35">
      <c r="B50" s="300"/>
      <c r="D50" s="84"/>
      <c r="E50" s="479">
        <f>G42</f>
        <v>4.2096000000000001E-2</v>
      </c>
      <c r="F50" s="5">
        <v>31079</v>
      </c>
      <c r="G50" s="12">
        <f>F50/100000</f>
        <v>0.31079000000000001</v>
      </c>
      <c r="H50" s="11"/>
    </row>
    <row r="51" spans="2:9" s="5" customFormat="1" ht="13.5" x14ac:dyDescent="0.35">
      <c r="B51" s="300"/>
      <c r="D51" s="84"/>
      <c r="E51" s="479">
        <f>G43</f>
        <v>1.1900000000000001E-4</v>
      </c>
      <c r="F51" s="5">
        <v>104</v>
      </c>
      <c r="G51" s="12">
        <f>F51/100000</f>
        <v>1.0399999999999999E-3</v>
      </c>
      <c r="H51" s="11"/>
    </row>
    <row r="52" spans="2:9" s="5" customFormat="1" ht="13.5" x14ac:dyDescent="0.35">
      <c r="B52" s="300"/>
      <c r="D52" s="84"/>
      <c r="E52" s="479">
        <f>G44</f>
        <v>0.54585700000000004</v>
      </c>
      <c r="F52" s="5">
        <v>366698</v>
      </c>
      <c r="G52" s="12">
        <f>F52/100000</f>
        <v>3.6669800000000001</v>
      </c>
      <c r="H52" s="11"/>
    </row>
    <row r="53" spans="2:9" s="5" customFormat="1" ht="13.5" x14ac:dyDescent="0.35">
      <c r="B53" s="300"/>
      <c r="C53" s="5">
        <v>10.16</v>
      </c>
      <c r="D53" s="84">
        <f>F35*10000000</f>
        <v>6244912</v>
      </c>
      <c r="E53" s="84">
        <f>G35*10000000</f>
        <v>2025836</v>
      </c>
      <c r="F53" s="12">
        <f t="shared" ref="F53:F58" si="1">E53/100000</f>
        <v>20.25836</v>
      </c>
      <c r="H53" s="11"/>
      <c r="I53" s="82"/>
    </row>
    <row r="54" spans="2:9" s="5" customFormat="1" ht="13.5" x14ac:dyDescent="0.35">
      <c r="C54" s="12">
        <f>C53*10000000</f>
        <v>101600000</v>
      </c>
      <c r="D54" s="84">
        <f t="shared" ref="D54:E58" si="2">F36*10000000</f>
        <v>1810000</v>
      </c>
      <c r="E54" s="84">
        <f>G36*10000000</f>
        <v>0</v>
      </c>
      <c r="F54" s="12">
        <f t="shared" si="1"/>
        <v>0</v>
      </c>
      <c r="G54" s="12"/>
      <c r="H54" s="11"/>
    </row>
    <row r="55" spans="2:9" s="5" customFormat="1" ht="13.5" x14ac:dyDescent="0.35">
      <c r="B55" s="300"/>
      <c r="D55" s="84">
        <f t="shared" si="2"/>
        <v>280000</v>
      </c>
      <c r="E55" s="84">
        <f t="shared" si="2"/>
        <v>0</v>
      </c>
      <c r="F55" s="12">
        <f t="shared" si="1"/>
        <v>0</v>
      </c>
      <c r="G55" s="5">
        <f>G42*1000000</f>
        <v>42096</v>
      </c>
      <c r="H55" s="11">
        <f>G55/100000</f>
        <v>0.42096</v>
      </c>
      <c r="I55" s="82"/>
    </row>
    <row r="56" spans="2:9" s="5" customFormat="1" ht="13.5" x14ac:dyDescent="0.35">
      <c r="B56" s="300"/>
      <c r="D56" s="84">
        <f t="shared" si="2"/>
        <v>0</v>
      </c>
      <c r="E56" s="84">
        <f t="shared" si="2"/>
        <v>0</v>
      </c>
      <c r="F56" s="12">
        <f t="shared" si="1"/>
        <v>0</v>
      </c>
      <c r="G56" s="5">
        <f>G43*1000000</f>
        <v>119</v>
      </c>
      <c r="H56" s="11">
        <f>G56/100000</f>
        <v>1.1900000000000001E-3</v>
      </c>
      <c r="I56" s="82"/>
    </row>
    <row r="57" spans="2:9" s="5" customFormat="1" ht="13.5" x14ac:dyDescent="0.35">
      <c r="B57" s="300"/>
      <c r="D57" s="84">
        <f t="shared" si="2"/>
        <v>0</v>
      </c>
      <c r="E57" s="84">
        <f t="shared" si="2"/>
        <v>10732</v>
      </c>
      <c r="F57" s="12">
        <f t="shared" si="1"/>
        <v>0.10732</v>
      </c>
      <c r="G57" s="5">
        <f>G44*1000000</f>
        <v>545857</v>
      </c>
      <c r="H57" s="11">
        <f>G57/100000</f>
        <v>5.4585699999999999</v>
      </c>
      <c r="I57" s="82"/>
    </row>
    <row r="58" spans="2:9" s="5" customFormat="1" ht="13.5" x14ac:dyDescent="0.35">
      <c r="B58" s="300"/>
      <c r="D58" s="84">
        <f t="shared" si="2"/>
        <v>450000</v>
      </c>
      <c r="E58" s="84">
        <f t="shared" si="2"/>
        <v>650000</v>
      </c>
      <c r="F58" s="12">
        <f t="shared" si="1"/>
        <v>6.5</v>
      </c>
      <c r="H58" s="11"/>
      <c r="I58" s="82"/>
    </row>
    <row r="64" spans="2:9" s="5" customFormat="1" ht="13.5" x14ac:dyDescent="0.35">
      <c r="H64" s="11">
        <f>60000/100000</f>
        <v>0.6</v>
      </c>
    </row>
  </sheetData>
  <mergeCells count="64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32" right="0.2" top="0.75" bottom="0.75" header="0.3" footer="0.3"/>
  <pageSetup paperSize="9" scale="40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V64"/>
  <sheetViews>
    <sheetView workbookViewId="0">
      <selection activeCell="G9" sqref="G9"/>
    </sheetView>
  </sheetViews>
  <sheetFormatPr defaultColWidth="9.1328125" defaultRowHeight="16.899999999999999" x14ac:dyDescent="0.35"/>
  <cols>
    <col min="1" max="1" width="4.86328125" style="376" customWidth="1"/>
    <col min="2" max="2" width="40.3984375" style="300" customWidth="1"/>
    <col min="3" max="3" width="6.73046875" style="5" customWidth="1"/>
    <col min="4" max="4" width="9.86328125" style="84" customWidth="1"/>
    <col min="5" max="5" width="12.59765625" style="35" customWidth="1"/>
    <col min="6" max="6" width="12.1328125" style="5" customWidth="1"/>
    <col min="7" max="7" width="14.3984375" style="5" customWidth="1"/>
    <col min="8" max="8" width="8.59765625" style="11" customWidth="1"/>
    <col min="9" max="9" width="10.265625" style="82" customWidth="1"/>
    <col min="10" max="10" width="9.1328125" style="5"/>
    <col min="11" max="11" width="11.265625" style="5" customWidth="1"/>
    <col min="12" max="12" width="13.1328125" style="5" customWidth="1"/>
    <col min="13" max="13" width="11.265625" style="5" customWidth="1"/>
    <col min="14" max="14" width="9.1328125" style="5"/>
    <col min="15" max="15" width="10.1328125" style="5" customWidth="1"/>
    <col min="16" max="16" width="9.1328125" style="5"/>
    <col min="17" max="17" width="10.1328125" style="5" customWidth="1"/>
    <col min="18" max="16384" width="9.1328125" style="5"/>
  </cols>
  <sheetData>
    <row r="1" spans="1:19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9" s="301" customFormat="1" thickBot="1" x14ac:dyDescent="0.5">
      <c r="A2" s="2119" t="s">
        <v>348</v>
      </c>
      <c r="B2" s="2120"/>
      <c r="C2" s="2120"/>
      <c r="D2" s="2120"/>
      <c r="E2" s="2120"/>
      <c r="F2" s="2120"/>
      <c r="G2" s="2120"/>
      <c r="H2" s="2120"/>
      <c r="I2" s="2121"/>
    </row>
    <row r="3" spans="1:19" ht="32.25" customHeight="1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9" s="35" customFormat="1" ht="32.25" customHeight="1" x14ac:dyDescent="0.45">
      <c r="A4" s="2035"/>
      <c r="B4" s="2047"/>
      <c r="C4" s="2048"/>
      <c r="D4" s="366" t="s">
        <v>9</v>
      </c>
      <c r="E4" s="383" t="str">
        <f>G4</f>
        <v>Upto
 Dec-20</v>
      </c>
      <c r="F4" s="383" t="s">
        <v>360</v>
      </c>
      <c r="G4" s="383" t="s">
        <v>361</v>
      </c>
      <c r="H4" s="2041" t="s">
        <v>12</v>
      </c>
      <c r="I4" s="2041" t="s">
        <v>13</v>
      </c>
    </row>
    <row r="5" spans="1:19" ht="32.25" hidden="1" customHeight="1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/>
    </row>
    <row r="6" spans="1:19" ht="32.25" customHeight="1" x14ac:dyDescent="0.35">
      <c r="A6" s="372">
        <v>1</v>
      </c>
      <c r="B6" s="2049" t="s">
        <v>279</v>
      </c>
      <c r="C6" s="2049"/>
      <c r="D6" s="304">
        <v>231.56</v>
      </c>
      <c r="E6" s="305">
        <v>90</v>
      </c>
      <c r="F6" s="305">
        <f>'UPTO SEP 2020'!F6+'OCT-2020'!F6+'NOV-20'!F6+'DEC-20'!F6</f>
        <v>673.91375193200008</v>
      </c>
      <c r="G6" s="305">
        <f>'UPTO SEP 2020'!G6+'OCT-2020'!G6+'NOV-20'!G6+'DEC-20'!G6</f>
        <v>72.495234015000008</v>
      </c>
      <c r="H6" s="306">
        <f>(G6-E6)/E6*100</f>
        <v>-19.449739983333323</v>
      </c>
      <c r="I6" s="306">
        <f>(G6-F6)/F6*100</f>
        <v>-89.242654003250692</v>
      </c>
      <c r="K6" s="319"/>
      <c r="L6" s="319">
        <v>30462813</v>
      </c>
    </row>
    <row r="7" spans="1:19" ht="32.25" customHeight="1" x14ac:dyDescent="0.35">
      <c r="A7" s="373">
        <v>2</v>
      </c>
      <c r="B7" s="2050" t="s">
        <v>281</v>
      </c>
      <c r="C7" s="2051"/>
      <c r="D7" s="307">
        <v>177.3</v>
      </c>
      <c r="E7" s="307">
        <v>142.27000000000001</v>
      </c>
      <c r="F7" s="305">
        <v>156.55000000000001</v>
      </c>
      <c r="G7" s="305">
        <f>'UPTO SEP 2020'!G7+'OCT-2020'!G7+'NOV-20'!G7+'DEC-20'!G7</f>
        <v>85.320000000000007</v>
      </c>
      <c r="H7" s="306">
        <f>(G7-E7)/E7*100</f>
        <v>-40.029521332677305</v>
      </c>
      <c r="I7" s="308">
        <f>(G7-F7)/F7*100</f>
        <v>-45.499840306611304</v>
      </c>
      <c r="M7" s="172"/>
    </row>
    <row r="8" spans="1:19" ht="32.25" customHeight="1" x14ac:dyDescent="0.35">
      <c r="A8" s="374">
        <v>3</v>
      </c>
      <c r="B8" s="2021" t="s">
        <v>282</v>
      </c>
      <c r="C8" s="2023"/>
      <c r="D8" s="364">
        <v>23.29</v>
      </c>
      <c r="E8" s="364">
        <v>17.829999999999998</v>
      </c>
      <c r="F8" s="305">
        <f>'UPTO SEP 2020'!F8+'OCT-2020'!F8+'NOV-20'!F8+'DEC-20'!F8</f>
        <v>64.349999999999994</v>
      </c>
      <c r="G8" s="305">
        <f>'UPTO SEP 2020'!G8+'OCT-2020'!G8+'NOV-20'!G8+'DEC-20'!G8</f>
        <v>12.0939283</v>
      </c>
      <c r="H8" s="306">
        <f>(G8-E8)/E8*100</f>
        <v>-32.170901289960732</v>
      </c>
      <c r="I8" s="365">
        <f>(G8-F8)/F8*100</f>
        <v>-81.206016627816624</v>
      </c>
      <c r="L8" s="5">
        <f>G7*10000000</f>
        <v>853200000.00000012</v>
      </c>
      <c r="O8" s="5">
        <f>F9*10000000</f>
        <v>76215863</v>
      </c>
      <c r="P8" s="5">
        <f>G9*10000000</f>
        <v>8087796</v>
      </c>
    </row>
    <row r="9" spans="1:19" ht="32.25" customHeight="1" x14ac:dyDescent="0.35">
      <c r="A9" s="373">
        <v>4</v>
      </c>
      <c r="B9" s="2052" t="s">
        <v>283</v>
      </c>
      <c r="C9" s="2053"/>
      <c r="D9" s="307">
        <v>2.73</v>
      </c>
      <c r="E9" s="307">
        <v>2.0419999999999998</v>
      </c>
      <c r="F9" s="305">
        <f>F35+F36+F37+F38+F39+F40</f>
        <v>7.6215863000000006</v>
      </c>
      <c r="G9" s="305">
        <f>G35+G36+G37+G38+G39+G40</f>
        <v>0.80877960000000004</v>
      </c>
      <c r="H9" s="306">
        <f>(G9-E9)/E9*100</f>
        <v>-60.392771792360421</v>
      </c>
      <c r="I9" s="308">
        <f>(G9-F9)/F9*100</f>
        <v>-89.388303587141692</v>
      </c>
      <c r="L9" s="5">
        <f>L8/100000</f>
        <v>8532.0000000000018</v>
      </c>
      <c r="O9" s="12">
        <f>O8/100000</f>
        <v>762.15863000000002</v>
      </c>
      <c r="P9" s="12">
        <f>P8/100000</f>
        <v>80.877960000000002</v>
      </c>
    </row>
    <row r="10" spans="1:19" ht="32.25" customHeight="1" x14ac:dyDescent="0.35">
      <c r="A10" s="374">
        <v>5</v>
      </c>
      <c r="B10" s="2117" t="s">
        <v>284</v>
      </c>
      <c r="C10" s="2118"/>
      <c r="D10" s="321">
        <f>SUM(D6:D9)</f>
        <v>434.88000000000005</v>
      </c>
      <c r="E10" s="321">
        <f>SUM(E6:E9)</f>
        <v>252.14200000000002</v>
      </c>
      <c r="F10" s="446">
        <f>SUM(F6:F9)</f>
        <v>902.43533823200016</v>
      </c>
      <c r="G10" s="446">
        <f>SUM(G6:G9)</f>
        <v>170.71794191500001</v>
      </c>
      <c r="H10" s="306">
        <f>(G10-E10)/E10*100</f>
        <v>-32.292937346812508</v>
      </c>
      <c r="I10" s="321">
        <f>(G10-F10)/F10*100</f>
        <v>-81.082529164974758</v>
      </c>
    </row>
    <row r="11" spans="1:19" ht="14.25" thickBot="1" x14ac:dyDescent="0.4">
      <c r="A11" s="2099"/>
      <c r="B11" s="2100"/>
      <c r="C11" s="2100"/>
      <c r="D11" s="2100"/>
      <c r="E11" s="2100"/>
      <c r="F11" s="2100"/>
      <c r="G11" s="2100"/>
      <c r="H11" s="2100"/>
      <c r="I11" s="2101"/>
    </row>
    <row r="12" spans="1:19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472" t="s">
        <v>221</v>
      </c>
      <c r="F12" s="447">
        <f>F42+F43+F44</f>
        <v>58.250211</v>
      </c>
      <c r="G12" s="447">
        <f>G42+G43+G44</f>
        <v>1.276688</v>
      </c>
      <c r="H12" s="473" t="s">
        <v>221</v>
      </c>
      <c r="I12" s="311">
        <f>(G12-F12)/F12*100</f>
        <v>-97.808268883352198</v>
      </c>
      <c r="L12" s="5">
        <v>77.27</v>
      </c>
      <c r="M12" s="5">
        <f>L12-44.77</f>
        <v>32.499999999999993</v>
      </c>
    </row>
    <row r="13" spans="1:19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9" thickBot="1" x14ac:dyDescent="0.4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N14" s="5">
        <f>31-12</f>
        <v>19</v>
      </c>
      <c r="O14" s="5">
        <f>G15/80</f>
        <v>7.4284518750000002E-4</v>
      </c>
      <c r="P14" s="480">
        <v>28.65</v>
      </c>
      <c r="Q14" s="481">
        <v>1435.9</v>
      </c>
      <c r="S14" s="5">
        <f>(P14-Q14)/Q14*100</f>
        <v>-98.004735705829091</v>
      </c>
    </row>
    <row r="15" spans="1:19" ht="15.4" x14ac:dyDescent="0.4">
      <c r="A15" s="2004"/>
      <c r="B15" s="2006" t="s">
        <v>16</v>
      </c>
      <c r="C15" s="2007"/>
      <c r="D15" s="331"/>
      <c r="E15" s="307"/>
      <c r="F15" s="264">
        <f>'UPTO SEP 2020'!F15+'OCT-2020'!F15+'NOV-20'!F15+'DEC-20'!F15</f>
        <v>15.187869932</v>
      </c>
      <c r="G15" s="264">
        <f>'UPTO SEP 2020'!G15+'OCT-2020'!G15+'NOV-20'!G15+'DEC-20'!G15</f>
        <v>5.9427615000000003E-2</v>
      </c>
      <c r="H15" s="314" t="s">
        <v>221</v>
      </c>
      <c r="I15" s="314">
        <f>(G15-F15)/F15*100</f>
        <v>-99.608716592477592</v>
      </c>
      <c r="K15" s="5">
        <f>G15*10000000</f>
        <v>594276.15</v>
      </c>
      <c r="L15" s="12">
        <f>K15/100000</f>
        <v>5.9427615000000005</v>
      </c>
      <c r="N15" s="5">
        <v>30</v>
      </c>
      <c r="O15" s="5">
        <f>O14*10000000</f>
        <v>7428.4518749999997</v>
      </c>
    </row>
    <row r="16" spans="1:19" ht="15.4" x14ac:dyDescent="0.4">
      <c r="A16" s="2004"/>
      <c r="B16" s="2069" t="s">
        <v>15</v>
      </c>
      <c r="C16" s="320" t="s">
        <v>166</v>
      </c>
      <c r="D16" s="2064"/>
      <c r="E16" s="2065"/>
      <c r="F16" s="264">
        <f>'UPTO SEP 2020'!F16+'OCT-2020'!F16+'NOV-20'!F16+'DEC-20'!F16</f>
        <v>146.27999999999997</v>
      </c>
      <c r="G16" s="264">
        <f>'UPTO SEP 2020'!G16+'OCT-2020'!G16+'NOV-20'!G16+'DEC-20'!G16</f>
        <v>13.914436800000001</v>
      </c>
      <c r="H16" s="2027" t="s">
        <v>221</v>
      </c>
      <c r="I16" s="314">
        <f>(G16-F16)/F16*100</f>
        <v>-90.487806398687439</v>
      </c>
      <c r="K16" s="5">
        <f>G16*10000000</f>
        <v>139144368</v>
      </c>
      <c r="L16" s="41">
        <f>K16/100000</f>
        <v>1391.4436800000001</v>
      </c>
      <c r="M16" s="12">
        <f>F16+F17</f>
        <v>658.72588199999996</v>
      </c>
      <c r="N16" s="5">
        <v>31</v>
      </c>
    </row>
    <row r="17" spans="1:22" ht="15.4" x14ac:dyDescent="0.4">
      <c r="A17" s="2005"/>
      <c r="B17" s="2070"/>
      <c r="C17" s="320" t="s">
        <v>228</v>
      </c>
      <c r="D17" s="2064"/>
      <c r="E17" s="2066"/>
      <c r="F17" s="264">
        <f>'UPTO SEP 2020'!F17+'OCT-2020'!F17+'NOV-20'!F17+'DEC-20'!F17</f>
        <v>512.44588199999998</v>
      </c>
      <c r="G17" s="264">
        <f>'UPTO SEP 2020'!G17+'OCT-2020'!G17+'NOV-20'!G17+'DEC-20'!G17</f>
        <v>58.5213696</v>
      </c>
      <c r="H17" s="2029"/>
      <c r="I17" s="314">
        <f>(G17-F17)/F17*100</f>
        <v>-88.579990267147863</v>
      </c>
      <c r="K17" s="5">
        <f>G17*10000000</f>
        <v>585213696</v>
      </c>
      <c r="L17" s="41">
        <f>K17/100000</f>
        <v>5852.1369599999998</v>
      </c>
      <c r="N17" s="5">
        <v>72.44</v>
      </c>
      <c r="O17" s="12">
        <f>N17/184</f>
        <v>0.39369565217391306</v>
      </c>
    </row>
    <row r="18" spans="1:22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  <c r="S18" s="5">
        <v>92</v>
      </c>
    </row>
    <row r="19" spans="1:22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f>'APRIL 2020'!F19+'MAY 2020'!F19+'JUNE-2020'!F19+'JULY-2020'!F19+'AUG-2020'!F19+'SEP-2020'!F19+'OCT-2020'!F19+'NOV-20'!F19+'DEC-20'!F19</f>
        <v>79.105480199999988</v>
      </c>
      <c r="G19" s="264">
        <v>35.1</v>
      </c>
      <c r="H19" s="316" t="s">
        <v>221</v>
      </c>
      <c r="I19" s="314">
        <f t="shared" ref="I19:I24" si="0">(G19-F19)/F19*100</f>
        <v>-55.628864256613156</v>
      </c>
      <c r="L19"/>
      <c r="O19" s="5">
        <f>184</f>
        <v>184</v>
      </c>
      <c r="S19" s="5">
        <v>64</v>
      </c>
    </row>
    <row r="20" spans="1:22" ht="15.4" x14ac:dyDescent="0.4">
      <c r="A20" s="2004"/>
      <c r="B20" s="2009"/>
      <c r="C20" s="2000" t="s">
        <v>232</v>
      </c>
      <c r="D20" s="2001"/>
      <c r="E20" s="2002"/>
      <c r="F20" s="264">
        <f>'APRIL 2020'!F20+'MAY 2020'!F20+'JUNE-2020'!F20+'JULY-2020'!F20+'AUG-2020'!F20+'SEP-2020'!F20+'OCT-2020'!F20+'NOV-20'!F20+'DEC-20'!F20</f>
        <v>57.5279673</v>
      </c>
      <c r="G20" s="264">
        <f>'APRIL 2020'!G20+'MAY 2020'!G20+'JUNE-2020'!G20+'JULY-2020'!G20+'AUG-2020'!G20+'SEP-2020'!G20+'OCT-2020'!G20+'NOV-20'!G20+'DEC-20'!G20</f>
        <v>30.398793600000001</v>
      </c>
      <c r="H20" s="316" t="s">
        <v>221</v>
      </c>
      <c r="I20" s="314">
        <f t="shared" si="0"/>
        <v>-47.158234461032308</v>
      </c>
      <c r="S20" s="5">
        <f>S18-S19</f>
        <v>28</v>
      </c>
      <c r="U20" s="5">
        <v>185</v>
      </c>
      <c r="V20" s="5">
        <v>605</v>
      </c>
    </row>
    <row r="21" spans="1:22" ht="15.4" x14ac:dyDescent="0.4">
      <c r="A21" s="2004"/>
      <c r="B21" s="2009"/>
      <c r="C21" s="2000" t="s">
        <v>239</v>
      </c>
      <c r="D21" s="2001"/>
      <c r="E21" s="2002"/>
      <c r="F21" s="264">
        <f>'APRIL 2020'!F21+'MAY 2020'!F21+'JUNE-2020'!F21+'JULY-2020'!F21+'AUG-2020'!F21+'SEP-2020'!F21+'OCT-2020'!F21+'NOV-20'!F21+'DEC-20'!F21</f>
        <v>6.4221629999999994</v>
      </c>
      <c r="G21" s="264">
        <f>'APRIL 2020'!G21+'MAY 2020'!G21+'JUNE-2020'!G21+'JULY-2020'!G21+'AUG-2020'!G21+'SEP-2020'!G21+'OCT-2020'!G21+'NOV-20'!G21+'DEC-20'!G21</f>
        <v>11.7419931</v>
      </c>
      <c r="H21" s="316" t="s">
        <v>221</v>
      </c>
      <c r="I21" s="314">
        <f t="shared" si="0"/>
        <v>82.835488604073134</v>
      </c>
    </row>
    <row r="22" spans="1:22" ht="15.4" x14ac:dyDescent="0.4">
      <c r="A22" s="2004"/>
      <c r="B22" s="2009"/>
      <c r="C22" s="2000" t="s">
        <v>233</v>
      </c>
      <c r="D22" s="2001"/>
      <c r="E22" s="2002"/>
      <c r="F22" s="264">
        <f>'APRIL 2020'!F22+'MAY 2020'!F22+'JUNE-2020'!F22+'JULY-2020'!F22+'AUG-2020'!F22+'SEP-2020'!F22+'OCT-2020'!F22+'NOV-20'!F22+'DEC-20'!F22</f>
        <v>10.6876538</v>
      </c>
      <c r="G22" s="264">
        <v>7.61</v>
      </c>
      <c r="H22" s="316" t="s">
        <v>221</v>
      </c>
      <c r="I22" s="314">
        <f t="shared" si="0"/>
        <v>-28.796346303807102</v>
      </c>
    </row>
    <row r="23" spans="1:22" ht="15.4" x14ac:dyDescent="0.4">
      <c r="A23" s="2004"/>
      <c r="B23" s="2009"/>
      <c r="C23" s="2000" t="s">
        <v>234</v>
      </c>
      <c r="D23" s="2001"/>
      <c r="E23" s="2002"/>
      <c r="F23" s="264">
        <f>'APRIL 2020'!F23+'MAY 2020'!F23+'JUNE-2020'!F23+'JULY-2020'!F23+'AUG-2020'!F23+'SEP-2020'!F23+'OCT-2020'!F23+'NOV-20'!F23+'DEC-20'!F23</f>
        <v>2.7443380999999998</v>
      </c>
      <c r="G23" s="264">
        <f>'APRIL 2020'!G23+'MAY 2020'!G23+'JUNE-2020'!G23+'JULY-2020'!G23+'AUG-2020'!G23+'SEP-2020'!G23+'OCT-2020'!G23+'NOV-20'!G23+'DEC-20'!G23</f>
        <v>0.08</v>
      </c>
      <c r="H23" s="316" t="s">
        <v>221</v>
      </c>
      <c r="I23" s="314">
        <f t="shared" si="0"/>
        <v>-97.084907286022798</v>
      </c>
    </row>
    <row r="24" spans="1:22" ht="15.4" x14ac:dyDescent="0.4">
      <c r="A24" s="2004"/>
      <c r="B24" s="2009"/>
      <c r="C24" s="2000" t="s">
        <v>235</v>
      </c>
      <c r="D24" s="2001"/>
      <c r="E24" s="2002"/>
      <c r="F24" s="264">
        <f>'APRIL 2020'!F24+'MAY 2020'!F24+'JUNE-2020'!F24+'JULY-2020'!F24+'AUG-2020'!F24+'SEP-2020'!F24+'OCT-2020'!F24+'NOV-20'!F24+'DEC-20'!F24</f>
        <v>4.8587400000000003E-2</v>
      </c>
      <c r="G24" s="264">
        <v>0.39</v>
      </c>
      <c r="H24" s="316"/>
      <c r="I24" s="314">
        <f t="shared" si="0"/>
        <v>702.67723730843795</v>
      </c>
    </row>
    <row r="25" spans="1:22" ht="15.4" x14ac:dyDescent="0.4">
      <c r="A25" s="2005"/>
      <c r="B25" s="2010"/>
      <c r="C25" s="2011" t="s">
        <v>236</v>
      </c>
      <c r="D25" s="2012"/>
      <c r="E25" s="2013"/>
      <c r="F25" s="264">
        <f>'APRIL 2020'!F25+'MAY 2020'!F25+'JUNE-2020'!F25+'JULY-2020'!F25+'AUG-2020'!F25+'SEP-2020'!F25+'OCT-2020'!F25+'NOV-20'!F25+'DEC-20'!F25</f>
        <v>0</v>
      </c>
      <c r="G25" s="264">
        <f>'APRIL 2020'!G25+'MAY 2020'!G25+'JUNE-2020'!G25+'JULY-2020'!G25+'AUG-2020'!G25+'SEP-2020'!G25+'OCT-2020'!G25+'NOV-20'!G25+'DEC-20'!G25</f>
        <v>0</v>
      </c>
      <c r="H25" s="316" t="s">
        <v>221</v>
      </c>
      <c r="I25" s="314">
        <v>0</v>
      </c>
    </row>
    <row r="26" spans="1:22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22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264">
        <f>'UPTO SEP 2020'!F27+'OCT-2020'!F27+'NOV-20'!F27+'DEC-20'!F27</f>
        <v>14.426108200000002</v>
      </c>
      <c r="G27" s="264">
        <f>'UPTO SEP 2020'!G27+'OCT-2020'!G27+'NOV-20'!G27+'DEC-20'!G27</f>
        <v>0.2936608</v>
      </c>
      <c r="H27" s="314" t="s">
        <v>221</v>
      </c>
      <c r="I27" s="314">
        <f>(G27-F27)/F27*100</f>
        <v>-97.964379610018455</v>
      </c>
      <c r="K27" s="5" t="s">
        <v>126</v>
      </c>
      <c r="L27" s="5" t="s">
        <v>299</v>
      </c>
      <c r="M27" s="5">
        <f>F27*10000000</f>
        <v>144261082.00000003</v>
      </c>
    </row>
    <row r="28" spans="1:22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264">
        <f>'UPTO SEP 2020'!F28+'OCT-2020'!F28+'NOV-20'!F28+'DEC-20'!F28</f>
        <v>17.877184899999996</v>
      </c>
      <c r="G28" s="264">
        <f>'UPTO SEP 2020'!G28+'OCT-2020'!G28+'NOV-20'!G28+'DEC-20'!G28</f>
        <v>6.4808731999999996</v>
      </c>
      <c r="H28" s="314" t="s">
        <v>221</v>
      </c>
      <c r="I28" s="314">
        <f t="shared" ref="I28:I33" si="1">(G28-F28)/F28*100</f>
        <v>-63.747797898538259</v>
      </c>
      <c r="M28" s="5">
        <f>M27/100000</f>
        <v>1442.6108200000003</v>
      </c>
    </row>
    <row r="29" spans="1:22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264">
        <f>'UPTO SEP 2020'!F29+'OCT-2020'!F29+'NOV-20'!F29+'DEC-20'!F29</f>
        <v>1.1554683000000001</v>
      </c>
      <c r="G29" s="264">
        <f>'UPTO SEP 2020'!G29+'OCT-2020'!G29+'NOV-20'!G29+'DEC-20'!G29</f>
        <v>0.1215735</v>
      </c>
      <c r="H29" s="314" t="s">
        <v>221</v>
      </c>
      <c r="I29" s="314">
        <f t="shared" si="1"/>
        <v>-89.478421865835699</v>
      </c>
    </row>
    <row r="30" spans="1:22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264">
        <f>'UPTO SEP 2020'!F30+'OCT-2020'!F30+'NOV-20'!F30+'DEC-20'!F30</f>
        <v>1.7318569999999998</v>
      </c>
      <c r="G30" s="264">
        <f>'UPTO SEP 2020'!G30+'OCT-2020'!G30+'NOV-20'!G30+'DEC-20'!G30</f>
        <v>0</v>
      </c>
      <c r="H30" s="316" t="s">
        <v>221</v>
      </c>
      <c r="I30" s="314">
        <f t="shared" si="1"/>
        <v>-100</v>
      </c>
    </row>
    <row r="31" spans="1:22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264">
        <f>'UPTO SEP 2020'!F31+'OCT-2020'!F31+'NOV-20'!F31+'DEC-20'!F31</f>
        <v>2.1631265000000002</v>
      </c>
      <c r="G31" s="264">
        <f>'UPTO SEP 2020'!G31+'OCT-2020'!G31+'NOV-20'!G31+'DEC-20'!G31</f>
        <v>0</v>
      </c>
      <c r="H31" s="316" t="s">
        <v>221</v>
      </c>
      <c r="I31" s="314">
        <f t="shared" si="1"/>
        <v>-100</v>
      </c>
      <c r="R31" s="5">
        <f>2.43</f>
        <v>2.4300000000000002</v>
      </c>
      <c r="S31" s="5">
        <v>11.35</v>
      </c>
      <c r="T31" s="5">
        <f>S31*100000</f>
        <v>1135000</v>
      </c>
    </row>
    <row r="32" spans="1:22" ht="15.4" x14ac:dyDescent="0.4">
      <c r="A32" s="2016"/>
      <c r="B32" s="2017" t="s">
        <v>241</v>
      </c>
      <c r="C32" s="2030"/>
      <c r="D32" s="332" t="s">
        <v>221</v>
      </c>
      <c r="E32" s="308" t="s">
        <v>221</v>
      </c>
      <c r="F32" s="264">
        <f>'UPTO SEP 2020'!F32+'OCT-2020'!F32+'NOV-20'!F32+'DEC-20'!F32</f>
        <v>25.345092600000001</v>
      </c>
      <c r="G32" s="264">
        <f>'UPTO SEP 2020'!G32+'OCT-2020'!G32+'NOV-20'!G32+'DEC-20'!G32</f>
        <v>5.1713422000000007</v>
      </c>
      <c r="H32" s="316" t="s">
        <v>221</v>
      </c>
      <c r="I32" s="314">
        <f t="shared" si="1"/>
        <v>-79.596278137093876</v>
      </c>
      <c r="K32" s="437">
        <v>8790711</v>
      </c>
      <c r="R32" s="5">
        <f>R31/12</f>
        <v>0.20250000000000001</v>
      </c>
      <c r="S32" s="5">
        <f>S31/12</f>
        <v>0.9458333333333333</v>
      </c>
      <c r="T32" s="5">
        <f>T31/10000000</f>
        <v>0.1135</v>
      </c>
    </row>
    <row r="33" spans="1:20" x14ac:dyDescent="0.4">
      <c r="A33" s="403"/>
      <c r="B33" s="402" t="s">
        <v>266</v>
      </c>
      <c r="C33" s="409"/>
      <c r="D33" s="332"/>
      <c r="E33" s="308"/>
      <c r="F33" s="264">
        <f>'UPTO SEP 2020'!F33+'OCT-2020'!F33+'NOV-20'!F33+'DEC-20'!F33</f>
        <v>1.2898425999999998</v>
      </c>
      <c r="G33" s="264">
        <f>'UPTO SEP 2020'!G33+'OCT-2020'!G33+'NOV-20'!G33+'DEC-20'!G33</f>
        <v>2.3389300000000002E-2</v>
      </c>
      <c r="H33" s="316"/>
      <c r="I33" s="314">
        <f t="shared" si="1"/>
        <v>-98.186654712753324</v>
      </c>
      <c r="K33" s="5">
        <f>1300+15+630+420+120+6330</f>
        <v>8815</v>
      </c>
      <c r="O33" s="5">
        <f>84.65*12</f>
        <v>1015.8000000000001</v>
      </c>
      <c r="R33" s="5">
        <f>R32*9</f>
        <v>1.8225000000000002</v>
      </c>
      <c r="S33" s="5">
        <f>S32*9</f>
        <v>8.5124999999999993</v>
      </c>
      <c r="T33" s="5">
        <f>T32/12</f>
        <v>9.4583333333333342E-3</v>
      </c>
    </row>
    <row r="34" spans="1:20" ht="15" x14ac:dyDescent="0.4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  <c r="M34" s="26"/>
      <c r="O34" s="5">
        <f>84.65*9</f>
        <v>761.85</v>
      </c>
      <c r="T34" s="5">
        <f>T33*8</f>
        <v>7.5666666666666674E-2</v>
      </c>
    </row>
    <row r="35" spans="1:20" ht="15.4" x14ac:dyDescent="0.4">
      <c r="A35" s="2020"/>
      <c r="B35" s="2006" t="s">
        <v>27</v>
      </c>
      <c r="C35" s="2007"/>
      <c r="D35" s="331">
        <v>2.4300000000000002</v>
      </c>
      <c r="E35" s="265">
        <f>'APRIL 2020'!E35+'MAY 2020'!E35+'JUNE-2020'!E35+'JULY-2020'!E35+'AUG-2020'!E35+'SEP-2020'!E35+'OCT-2020'!E35+'NOV-20'!E35+'DEC-20'!E35</f>
        <v>2.4300000000000006</v>
      </c>
      <c r="F35" s="264">
        <f>'UPTO SEP 2020'!F35+'OCT-2020'!F35+'NOV-20'!F35+'DEC-20'!F35</f>
        <v>4.5031659000000008</v>
      </c>
      <c r="G35" s="264">
        <f>'UPTO SEP 2020'!G35+'OCT-2020'!G35+'NOV-20'!G35+'DEC-20'!G35</f>
        <v>0.40702320000000003</v>
      </c>
      <c r="H35" s="314">
        <f>(G35-E35)/E35*100</f>
        <v>-83.250074074074064</v>
      </c>
      <c r="I35" s="314">
        <f>(G35-F35)/F35*100</f>
        <v>-90.961398957120366</v>
      </c>
      <c r="K35" s="432" t="s">
        <v>203</v>
      </c>
      <c r="L35" s="432" t="s">
        <v>275</v>
      </c>
    </row>
    <row r="36" spans="1:20" ht="15.4" x14ac:dyDescent="0.4">
      <c r="A36" s="2020"/>
      <c r="B36" s="2006" t="s">
        <v>28</v>
      </c>
      <c r="C36" s="2007"/>
      <c r="D36" s="331">
        <v>0.1135</v>
      </c>
      <c r="E36" s="265">
        <v>7.4999999999999997E-2</v>
      </c>
      <c r="F36" s="264">
        <f>'UPTO SEP 2020'!F36+'OCT-2020'!F36+'NOV-20'!F36+'DEC-20'!F36</f>
        <v>1.8400263000000003</v>
      </c>
      <c r="G36" s="264">
        <f>1088439/10000000</f>
        <v>0.10884389999999999</v>
      </c>
      <c r="H36" s="314">
        <f>(G36-E36)/E36*100</f>
        <v>45.1252</v>
      </c>
      <c r="I36" s="314">
        <f>(G36-F36)/F36*100</f>
        <v>-94.084655203026173</v>
      </c>
      <c r="K36" s="5" t="s">
        <v>126</v>
      </c>
      <c r="L36" s="5" t="s">
        <v>299</v>
      </c>
    </row>
    <row r="37" spans="1:20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264">
        <f>'UPTO SEP 2020'!F37+'OCT-2020'!F37+'NOV-20'!F37+'DEC-20'!F37</f>
        <v>1.0726524</v>
      </c>
      <c r="G37" s="264">
        <f>'UPTO SEP 2020'!G37+'OCT-2020'!G37+'NOV-20'!G37+'DEC-20'!G37</f>
        <v>0.13408349999999999</v>
      </c>
      <c r="H37" s="314" t="s">
        <v>221</v>
      </c>
      <c r="I37" s="314">
        <f>(G37-F37)/F37*100</f>
        <v>-87.499818207650492</v>
      </c>
      <c r="K37" s="5">
        <f>3695+606+35+5749+46464+300+10194+144+159691+235+1730+67000</f>
        <v>295843</v>
      </c>
      <c r="L37" s="5">
        <f>25+365+225+6840+16000+6567+1744+440+70464+130+400+130293+200</f>
        <v>233693</v>
      </c>
    </row>
    <row r="38" spans="1:20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f>'UPTO SEP 2020'!F38+'OCT-2020'!F38+'NOV-20'!F38+'DEC-20'!F38</f>
        <v>0</v>
      </c>
      <c r="G38" s="264">
        <f>'UPTO SEP 2020'!G38+'OCT-2020'!G38+'NOV-20'!G38+'DEC-20'!G38</f>
        <v>0</v>
      </c>
      <c r="H38" s="314" t="s">
        <v>221</v>
      </c>
      <c r="I38" s="314">
        <v>0</v>
      </c>
      <c r="K38" s="5">
        <f>K37/10000000</f>
        <v>2.9584300000000001E-2</v>
      </c>
      <c r="L38" s="5">
        <f>L37/10000000</f>
        <v>2.3369299999999999E-2</v>
      </c>
    </row>
    <row r="39" spans="1:20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264">
        <f>'UPTO SEP 2020'!F39+'OCT-2020'!F39+'NOV-20'!F39+'DEC-20'!F39</f>
        <v>3.0324999999999998E-2</v>
      </c>
      <c r="G39" s="433">
        <f>'UPTO SEP 2020'!G39+'OCT-2020'!G39+'NOV-20'!G39+'DEC-20'!G39</f>
        <v>1.0732000000000001E-3</v>
      </c>
      <c r="H39" s="314" t="s">
        <v>221</v>
      </c>
      <c r="I39" s="314">
        <f>(G39-F39)/F39*100</f>
        <v>-96.461005770816158</v>
      </c>
    </row>
    <row r="40" spans="1:20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264">
        <f>'UPTO SEP 2020'!F40+'OCT-2020'!F40+'NOV-20'!F40+'DEC-20'!F40</f>
        <v>0.17541669999999998</v>
      </c>
      <c r="G40" s="264">
        <f>'UPTO SEP 2020'!G40+'OCT-2020'!G40+'NOV-20'!G40+'DEC-20'!G40</f>
        <v>0.1577558</v>
      </c>
      <c r="H40" s="314"/>
      <c r="I40" s="314">
        <f>(G40-F40)/F40*100</f>
        <v>-10.067969583283679</v>
      </c>
      <c r="P40" s="5">
        <v>1088439</v>
      </c>
      <c r="Q40" s="5">
        <v>18390895</v>
      </c>
      <c r="R40" s="5">
        <f>(P40-Q40)/Q40*100</f>
        <v>-94.081642029928389</v>
      </c>
    </row>
    <row r="41" spans="1:20" ht="15" x14ac:dyDescent="0.35">
      <c r="A41" s="2020"/>
      <c r="B41" s="2021" t="s">
        <v>346</v>
      </c>
      <c r="C41" s="2022"/>
      <c r="D41" s="2022"/>
      <c r="E41" s="2022"/>
      <c r="F41" s="2022"/>
      <c r="G41" s="2022"/>
      <c r="H41" s="2022"/>
      <c r="I41" s="2023"/>
      <c r="P41" s="12">
        <f>P40/100000</f>
        <v>10.88439</v>
      </c>
      <c r="Q41" s="12">
        <f>Q40/100000</f>
        <v>183.90895</v>
      </c>
    </row>
    <row r="42" spans="1:20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f>'UPTO SEP 2020'!F42+'OCT-2020'!F42+'NOV-20'!F42+'DEC-20'!F42</f>
        <v>26.544</v>
      </c>
      <c r="G42" s="264">
        <f>'UPTO SEP 2020'!G42+'OCT-2020'!G42+'NOV-20'!G42+'DEC-20'!G42</f>
        <v>0.11585100000000001</v>
      </c>
      <c r="H42" s="314" t="s">
        <v>221</v>
      </c>
      <c r="I42" s="314">
        <f>(G42-F42)/F42*100</f>
        <v>-99.563551084990962</v>
      </c>
      <c r="K42" s="5">
        <f>G42*1000000</f>
        <v>115851.00000000001</v>
      </c>
      <c r="L42" s="5">
        <f>K42/100000</f>
        <v>1.1585100000000002</v>
      </c>
      <c r="M42" s="5">
        <f>G42*1000000</f>
        <v>115851.00000000001</v>
      </c>
      <c r="N42" s="12">
        <f>M42/100000</f>
        <v>1.1585100000000002</v>
      </c>
    </row>
    <row r="43" spans="1:20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264">
        <f>'UPTO SEP 2020'!F43+'OCT-2020'!F43+'NOV-20'!F43+'DEC-20'!F43</f>
        <v>23.241187999999998</v>
      </c>
      <c r="G43" s="264">
        <f>'UPTO SEP 2020'!G43+'OCT-2020'!G43+'NOV-20'!G43+'DEC-20'!G43</f>
        <v>0.18564799999999998</v>
      </c>
      <c r="H43" s="2027" t="s">
        <v>221</v>
      </c>
      <c r="I43" s="314">
        <f>(G43-F43)/F43*100</f>
        <v>-99.20121122896127</v>
      </c>
      <c r="K43" s="5">
        <f>G43*1000000</f>
        <v>185647.99999999997</v>
      </c>
      <c r="L43" s="5">
        <f>K43/100000</f>
        <v>1.8564799999999997</v>
      </c>
      <c r="M43" s="5">
        <f>G43*1000000</f>
        <v>185647.99999999997</v>
      </c>
      <c r="N43" s="12">
        <f>M43/100000</f>
        <v>1.8564799999999997</v>
      </c>
    </row>
    <row r="44" spans="1:20" ht="15.4" x14ac:dyDescent="0.4">
      <c r="A44" s="2020"/>
      <c r="B44" s="2070"/>
      <c r="C44" s="320" t="s">
        <v>228</v>
      </c>
      <c r="D44" s="2068"/>
      <c r="E44" s="2066"/>
      <c r="F44" s="264">
        <f>'UPTO SEP 2020'!F44+'OCT-2020'!F44+'NOV-20'!F44+'DEC-20'!F44</f>
        <v>8.4650230000000004</v>
      </c>
      <c r="G44" s="264">
        <f>'UPTO SEP 2020'!G44+'OCT-2020'!G44+'NOV-20'!G44+'DEC-20'!G44</f>
        <v>0.97518900000000008</v>
      </c>
      <c r="H44" s="2029"/>
      <c r="I44" s="314">
        <f>(G44-F44)/F44*100</f>
        <v>-88.479783220907962</v>
      </c>
      <c r="K44" s="5">
        <f>G44*1000000</f>
        <v>975189.00000000012</v>
      </c>
      <c r="L44" s="5">
        <f>K44/100000</f>
        <v>9.7518900000000013</v>
      </c>
      <c r="M44" s="5">
        <f>G44*1000000</f>
        <v>975189.00000000012</v>
      </c>
      <c r="N44" s="12">
        <f>M44/100000</f>
        <v>9.7518900000000013</v>
      </c>
    </row>
    <row r="45" spans="1:20" ht="15" x14ac:dyDescent="0.35">
      <c r="A45" s="2020">
        <v>6</v>
      </c>
      <c r="B45" s="2021" t="s">
        <v>352</v>
      </c>
      <c r="C45" s="2022"/>
      <c r="D45" s="2022"/>
      <c r="E45" s="2022"/>
      <c r="F45" s="2022"/>
      <c r="G45" s="2022"/>
      <c r="H45" s="2022"/>
      <c r="I45" s="2023"/>
      <c r="L45" s="5">
        <f>SUM(L42:L44)</f>
        <v>12.76688</v>
      </c>
    </row>
    <row r="46" spans="1:20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>
        <v>224.17</v>
      </c>
      <c r="G46" s="78">
        <v>266.36</v>
      </c>
      <c r="H46" s="2027" t="s">
        <v>221</v>
      </c>
      <c r="I46" s="314">
        <f>(G46-F46)/F46*100</f>
        <v>18.820537984565298</v>
      </c>
    </row>
    <row r="47" spans="1:20" ht="15.4" x14ac:dyDescent="0.4">
      <c r="A47" s="2020"/>
      <c r="B47" s="2006" t="s">
        <v>37</v>
      </c>
      <c r="C47" s="2007"/>
      <c r="D47" s="303" t="s">
        <v>221</v>
      </c>
      <c r="E47" s="2025"/>
      <c r="F47" s="78">
        <v>35.96</v>
      </c>
      <c r="G47" s="78">
        <v>31.42</v>
      </c>
      <c r="H47" s="2028"/>
      <c r="I47" s="314">
        <f>(G47-F47)/F47*100</f>
        <v>-12.625139043381534</v>
      </c>
    </row>
    <row r="48" spans="1:20" ht="15.4" x14ac:dyDescent="0.4">
      <c r="A48" s="2020"/>
      <c r="B48" s="2006" t="s">
        <v>38</v>
      </c>
      <c r="C48" s="2007"/>
      <c r="D48" s="303" t="s">
        <v>221</v>
      </c>
      <c r="E48" s="2026"/>
      <c r="F48" s="78">
        <f>SUM(F46:F47)</f>
        <v>260.13</v>
      </c>
      <c r="G48" s="78">
        <f>SUM(G46:G47)</f>
        <v>297.78000000000003</v>
      </c>
      <c r="H48" s="2029"/>
      <c r="I48" s="314">
        <f>(G48-F48)/F48*100</f>
        <v>14.473532464536977</v>
      </c>
    </row>
    <row r="50" spans="2:13" s="5" customFormat="1" ht="13.5" x14ac:dyDescent="0.35">
      <c r="B50" s="300"/>
      <c r="D50" s="84"/>
      <c r="E50" s="428">
        <f>G42</f>
        <v>0.11585100000000001</v>
      </c>
      <c r="F50" s="5">
        <f>E50*100000</f>
        <v>11585.1</v>
      </c>
      <c r="G50" s="5">
        <f>F50/100000</f>
        <v>0.11585100000000001</v>
      </c>
      <c r="H50" s="11"/>
    </row>
    <row r="51" spans="2:13" s="5" customFormat="1" ht="13.5" x14ac:dyDescent="0.35">
      <c r="B51" s="300"/>
      <c r="D51" s="84"/>
      <c r="E51" s="428">
        <f>G43</f>
        <v>0.18564799999999998</v>
      </c>
      <c r="F51" s="5">
        <f>E51*100000</f>
        <v>18564.8</v>
      </c>
      <c r="G51" s="5">
        <f>F51/100000</f>
        <v>0.18564799999999998</v>
      </c>
      <c r="H51" s="11"/>
    </row>
    <row r="52" spans="2:13" s="5" customFormat="1" ht="13.5" x14ac:dyDescent="0.35">
      <c r="B52" s="300"/>
      <c r="D52" s="84"/>
      <c r="E52" s="428">
        <f>G44</f>
        <v>0.97518900000000008</v>
      </c>
      <c r="F52" s="5">
        <f>E52*100000</f>
        <v>97518.900000000009</v>
      </c>
      <c r="G52" s="5">
        <f>F52/100000</f>
        <v>0.97518900000000008</v>
      </c>
      <c r="H52" s="11"/>
    </row>
    <row r="53" spans="2:13" s="5" customFormat="1" ht="13.5" x14ac:dyDescent="0.35">
      <c r="B53" s="300"/>
      <c r="D53" s="84"/>
      <c r="E53" s="35"/>
      <c r="H53" s="11"/>
      <c r="I53" s="82"/>
      <c r="J53" s="5">
        <v>29.46</v>
      </c>
      <c r="K53" s="5">
        <v>589</v>
      </c>
      <c r="M53" s="5">
        <f>(J53-K53)/K53*100</f>
        <v>-94.99830220713072</v>
      </c>
    </row>
    <row r="54" spans="2:13" s="5" customFormat="1" ht="13.5" x14ac:dyDescent="0.35">
      <c r="C54" s="12"/>
      <c r="D54" s="84"/>
      <c r="E54" s="428"/>
      <c r="F54" s="12"/>
      <c r="G54" s="12"/>
      <c r="H54" s="11"/>
    </row>
    <row r="56" spans="2:13" s="5" customFormat="1" ht="13.5" x14ac:dyDescent="0.35">
      <c r="B56" s="300"/>
      <c r="D56" s="84"/>
      <c r="E56" s="35"/>
      <c r="F56" s="5">
        <f>G35*10000000</f>
        <v>4070232.0000000005</v>
      </c>
      <c r="H56" s="11"/>
      <c r="I56" s="82"/>
    </row>
    <row r="57" spans="2:13" s="5" customFormat="1" ht="13.5" x14ac:dyDescent="0.35">
      <c r="B57" s="300"/>
      <c r="D57" s="84"/>
      <c r="E57" s="35"/>
      <c r="F57" s="5">
        <f>F56/100000</f>
        <v>40.702320000000007</v>
      </c>
      <c r="H57" s="11"/>
      <c r="I57" s="82"/>
    </row>
    <row r="59" spans="2:13" s="5" customFormat="1" ht="13.5" x14ac:dyDescent="0.35">
      <c r="B59" s="300"/>
      <c r="D59" s="84"/>
      <c r="E59" s="35">
        <f>E35*10000000</f>
        <v>24300000.000000007</v>
      </c>
      <c r="H59" s="11"/>
      <c r="I59" s="82"/>
    </row>
    <row r="60" spans="2:13" s="5" customFormat="1" ht="13.5" x14ac:dyDescent="0.35">
      <c r="B60" s="300"/>
      <c r="D60" s="84"/>
      <c r="E60" s="35">
        <f>E59/100000</f>
        <v>243.00000000000009</v>
      </c>
      <c r="H60" s="11"/>
      <c r="I60" s="82"/>
    </row>
    <row r="64" spans="2:13" s="5" customFormat="1" ht="13.5" x14ac:dyDescent="0.35">
      <c r="H64" s="11">
        <f>60000/100000</f>
        <v>0.6</v>
      </c>
    </row>
  </sheetData>
  <mergeCells count="64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40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D9:X62"/>
  <sheetViews>
    <sheetView topLeftCell="A28" zoomScale="90" zoomScaleNormal="90" workbookViewId="0">
      <selection activeCell="E38" sqref="E38"/>
    </sheetView>
  </sheetViews>
  <sheetFormatPr defaultRowHeight="14.25" x14ac:dyDescent="0.45"/>
  <cols>
    <col min="4" max="4" width="21.1328125" customWidth="1"/>
    <col min="5" max="5" width="10.86328125" customWidth="1"/>
    <col min="6" max="6" width="14.1328125" customWidth="1"/>
    <col min="7" max="7" width="10.73046875" customWidth="1"/>
    <col min="8" max="8" width="13.86328125" customWidth="1"/>
    <col min="9" max="9" width="15.59765625" customWidth="1"/>
    <col min="10" max="10" width="14.86328125" customWidth="1"/>
    <col min="11" max="11" width="15.1328125" customWidth="1"/>
    <col min="12" max="12" width="6.265625" customWidth="1"/>
    <col min="13" max="13" width="17.86328125" customWidth="1"/>
    <col min="14" max="14" width="21.86328125" customWidth="1"/>
    <col min="15" max="15" width="16.3984375" customWidth="1"/>
    <col min="16" max="16" width="17" customWidth="1"/>
    <col min="17" max="17" width="12.59765625" customWidth="1"/>
    <col min="18" max="18" width="13.73046875" customWidth="1"/>
    <col min="19" max="20" width="16" customWidth="1"/>
    <col min="21" max="21" width="12.73046875" customWidth="1"/>
  </cols>
  <sheetData>
    <row r="9" spans="4:18" ht="19.5" x14ac:dyDescent="0.6">
      <c r="D9" s="2143" t="s">
        <v>367</v>
      </c>
      <c r="E9" s="2143"/>
      <c r="F9" s="2143"/>
      <c r="G9" s="2143"/>
      <c r="H9" s="2143"/>
      <c r="I9" s="2143"/>
      <c r="J9" s="2143"/>
      <c r="K9" s="2143"/>
    </row>
    <row r="10" spans="4:18" ht="22.5" customHeight="1" x14ac:dyDescent="0.45">
      <c r="D10" s="2124" t="s">
        <v>353</v>
      </c>
      <c r="E10" s="2124"/>
      <c r="F10" s="2150" t="s">
        <v>366</v>
      </c>
      <c r="G10" s="2150" t="s">
        <v>365</v>
      </c>
      <c r="H10" s="2124" t="s">
        <v>362</v>
      </c>
      <c r="I10" s="2124"/>
      <c r="J10" s="2124" t="s">
        <v>364</v>
      </c>
      <c r="K10" s="2124"/>
    </row>
    <row r="11" spans="4:18" ht="35.25" customHeight="1" x14ac:dyDescent="0.45">
      <c r="D11" s="2124"/>
      <c r="E11" s="2124"/>
      <c r="F11" s="2150"/>
      <c r="G11" s="2150"/>
      <c r="H11" s="533" t="s">
        <v>361</v>
      </c>
      <c r="I11" s="533" t="s">
        <v>360</v>
      </c>
      <c r="J11" s="61" t="s">
        <v>194</v>
      </c>
      <c r="K11" s="61" t="s">
        <v>363</v>
      </c>
      <c r="P11">
        <v>40000</v>
      </c>
      <c r="Q11">
        <f>(19+28+31)</f>
        <v>78</v>
      </c>
      <c r="R11">
        <f>P11*Q11</f>
        <v>3120000</v>
      </c>
    </row>
    <row r="12" spans="4:18" ht="26.25" customHeight="1" x14ac:dyDescent="0.45">
      <c r="D12" s="483" t="s">
        <v>354</v>
      </c>
      <c r="E12" s="482" t="s">
        <v>356</v>
      </c>
      <c r="F12" s="485">
        <v>0.19</v>
      </c>
      <c r="G12" s="485">
        <v>0.14000000000000001</v>
      </c>
      <c r="H12" s="485">
        <v>0.13</v>
      </c>
      <c r="I12" s="485">
        <v>1.07</v>
      </c>
      <c r="J12" s="534">
        <f>(H12-G12)/G12*100</f>
        <v>-7.1428571428571477</v>
      </c>
      <c r="K12" s="534">
        <f>(H12-I12)/I12*100</f>
        <v>-87.850467289719631</v>
      </c>
      <c r="M12">
        <v>2.4300000000000002</v>
      </c>
      <c r="N12">
        <f>M12/12</f>
        <v>0.20250000000000001</v>
      </c>
      <c r="O12">
        <f>N12*10</f>
        <v>2.0250000000000004</v>
      </c>
      <c r="P12">
        <f>P11*13</f>
        <v>520000</v>
      </c>
      <c r="R12">
        <f>R11/10000000</f>
        <v>0.312</v>
      </c>
    </row>
    <row r="13" spans="4:18" ht="32.25" customHeight="1" x14ac:dyDescent="0.5">
      <c r="D13" s="484" t="s">
        <v>368</v>
      </c>
      <c r="E13" s="485" t="s">
        <v>359</v>
      </c>
      <c r="F13" s="485">
        <v>2.4300000000000002</v>
      </c>
      <c r="G13" s="485">
        <v>1.82</v>
      </c>
      <c r="H13" s="485">
        <v>0.4</v>
      </c>
      <c r="I13" s="485">
        <v>4.5</v>
      </c>
      <c r="J13" s="534">
        <f>(H13-G13)/G13*100</f>
        <v>-78.021978021978015</v>
      </c>
      <c r="K13" s="534">
        <f>(H13-I13)/I13*100</f>
        <v>-91.1111111111111</v>
      </c>
      <c r="P13">
        <f>P12/10000000</f>
        <v>5.1999999999999998E-2</v>
      </c>
    </row>
    <row r="14" spans="4:18" ht="27" customHeight="1" x14ac:dyDescent="0.5">
      <c r="D14" s="60" t="s">
        <v>355</v>
      </c>
      <c r="E14" s="485" t="s">
        <v>358</v>
      </c>
      <c r="F14" s="485">
        <v>0.11</v>
      </c>
      <c r="G14" s="485">
        <v>8.2000000000000003E-2</v>
      </c>
      <c r="H14" s="485">
        <v>0.11</v>
      </c>
      <c r="I14" s="485">
        <v>1.83</v>
      </c>
      <c r="J14" s="534">
        <f>(H14-G14)/G14*100</f>
        <v>34.146341463414629</v>
      </c>
      <c r="K14" s="534">
        <f>(H14-I14)/I14*100</f>
        <v>-93.989071038251353</v>
      </c>
    </row>
    <row r="15" spans="4:18" ht="21.75" customHeight="1" x14ac:dyDescent="0.45">
      <c r="D15" s="2144" t="s">
        <v>357</v>
      </c>
      <c r="E15" s="2146" t="s">
        <v>369</v>
      </c>
      <c r="F15" s="2142">
        <f>40000/10000000</f>
        <v>4.0000000000000001E-3</v>
      </c>
      <c r="G15" s="2142"/>
      <c r="H15" s="2147">
        <v>0.28999999999999998</v>
      </c>
      <c r="I15" s="2148">
        <v>14.53</v>
      </c>
      <c r="J15" s="2149"/>
      <c r="K15" s="2149">
        <f>(H15-I15)/I15*100</f>
        <v>-98.004129387474194</v>
      </c>
    </row>
    <row r="16" spans="4:18" ht="36" customHeight="1" x14ac:dyDescent="0.45">
      <c r="D16" s="2145"/>
      <c r="E16" s="2146"/>
      <c r="F16" s="2142"/>
      <c r="G16" s="2142"/>
      <c r="H16" s="2147"/>
      <c r="I16" s="2148"/>
      <c r="J16" s="2149"/>
      <c r="K16" s="2149"/>
    </row>
    <row r="18" spans="4:24" ht="19.149999999999999" thickBot="1" x14ac:dyDescent="0.55000000000000004">
      <c r="D18" s="2125" t="s">
        <v>416</v>
      </c>
      <c r="E18" s="2125"/>
      <c r="F18" s="2125"/>
      <c r="G18" s="2125"/>
      <c r="H18" s="2125"/>
      <c r="I18" s="2125"/>
      <c r="J18" s="2125"/>
      <c r="M18" s="2125" t="s">
        <v>414</v>
      </c>
      <c r="N18" s="2125"/>
      <c r="O18" s="2125"/>
      <c r="P18" s="2125"/>
      <c r="Q18" s="2125"/>
      <c r="R18" s="2125"/>
      <c r="S18" s="2125"/>
      <c r="T18" s="2125"/>
      <c r="U18" s="541" t="s">
        <v>415</v>
      </c>
    </row>
    <row r="19" spans="4:24" ht="24" customHeight="1" thickBot="1" x14ac:dyDescent="0.5">
      <c r="D19" s="2129" t="s">
        <v>127</v>
      </c>
      <c r="E19" s="2126" t="s">
        <v>237</v>
      </c>
      <c r="F19" s="2127"/>
      <c r="G19" s="2128"/>
      <c r="H19" s="2131" t="s">
        <v>370</v>
      </c>
      <c r="I19" s="2133" t="s">
        <v>371</v>
      </c>
      <c r="J19" s="2131" t="s">
        <v>63</v>
      </c>
      <c r="M19" s="2135" t="s">
        <v>127</v>
      </c>
      <c r="N19" s="2137" t="s">
        <v>237</v>
      </c>
      <c r="O19" s="2138"/>
      <c r="P19" s="2138"/>
      <c r="Q19" s="2139"/>
      <c r="R19" s="2140" t="s">
        <v>370</v>
      </c>
      <c r="S19" s="2140" t="s">
        <v>371</v>
      </c>
      <c r="T19" s="2140" t="s">
        <v>203</v>
      </c>
      <c r="U19" s="2140" t="s">
        <v>63</v>
      </c>
    </row>
    <row r="20" spans="4:24" ht="24" customHeight="1" thickBot="1" x14ac:dyDescent="0.5">
      <c r="D20" s="2130"/>
      <c r="E20" s="575" t="s">
        <v>94</v>
      </c>
      <c r="F20" s="576" t="s">
        <v>97</v>
      </c>
      <c r="G20" s="577" t="s">
        <v>63</v>
      </c>
      <c r="H20" s="2132"/>
      <c r="I20" s="2134"/>
      <c r="J20" s="2132"/>
      <c r="M20" s="2136"/>
      <c r="N20" s="550" t="s">
        <v>94</v>
      </c>
      <c r="O20" s="549" t="s">
        <v>97</v>
      </c>
      <c r="P20" s="549" t="s">
        <v>387</v>
      </c>
      <c r="Q20" s="551" t="s">
        <v>63</v>
      </c>
      <c r="R20" s="2141"/>
      <c r="S20" s="2141"/>
      <c r="T20" s="2141"/>
      <c r="U20" s="2141"/>
    </row>
    <row r="21" spans="4:24" ht="24" customHeight="1" x14ac:dyDescent="0.45">
      <c r="D21" s="571" t="s">
        <v>131</v>
      </c>
      <c r="E21" s="578">
        <v>0</v>
      </c>
      <c r="F21" s="570">
        <v>0</v>
      </c>
      <c r="G21" s="579">
        <f>SUM(E21:F21)</f>
        <v>0</v>
      </c>
      <c r="H21" s="589">
        <v>9.42</v>
      </c>
      <c r="I21" s="589">
        <v>2.25</v>
      </c>
      <c r="J21" s="589">
        <f>SUM(G21:I21)</f>
        <v>11.67</v>
      </c>
      <c r="M21" s="552" t="s">
        <v>131</v>
      </c>
      <c r="N21" s="545">
        <v>0</v>
      </c>
      <c r="O21" s="546">
        <v>0</v>
      </c>
      <c r="P21" s="546">
        <v>-14.077521600000001</v>
      </c>
      <c r="Q21" s="547">
        <f>SUM(N21:P21)</f>
        <v>-14.077521600000001</v>
      </c>
      <c r="R21" s="548">
        <f>'APRIL 2020'!G7</f>
        <v>7.3</v>
      </c>
      <c r="S21" s="548">
        <f>'APRIL 2020'!G8</f>
        <v>0.33</v>
      </c>
      <c r="T21" s="548">
        <f>'APRIL 2020'!G9</f>
        <v>0</v>
      </c>
      <c r="U21" s="548">
        <f>SUM(Q21:T21)</f>
        <v>-6.4475216000000009</v>
      </c>
    </row>
    <row r="22" spans="4:24" ht="24" customHeight="1" thickBot="1" x14ac:dyDescent="0.5">
      <c r="D22" s="572" t="s">
        <v>132</v>
      </c>
      <c r="E22" s="580">
        <v>0</v>
      </c>
      <c r="F22" s="543">
        <v>0.5</v>
      </c>
      <c r="G22" s="581">
        <f t="shared" ref="G22:G42" si="0">SUM(E22:F22)</f>
        <v>0.5</v>
      </c>
      <c r="H22" s="572">
        <v>21.14</v>
      </c>
      <c r="I22" s="572">
        <v>2.34</v>
      </c>
      <c r="J22" s="572">
        <f t="shared" ref="J22:J42" si="1">SUM(G22:I22)</f>
        <v>23.98</v>
      </c>
      <c r="M22" s="553" t="s">
        <v>132</v>
      </c>
      <c r="N22" s="554">
        <v>0</v>
      </c>
      <c r="O22" s="555">
        <v>13.746605300000001</v>
      </c>
      <c r="P22" s="555">
        <v>-13.859211999999999</v>
      </c>
      <c r="Q22" s="547">
        <f>SUM(N22:P22)</f>
        <v>-0.11260669999999884</v>
      </c>
      <c r="R22" s="556">
        <f>'MAY 2020'!G7</f>
        <v>9.7200000000000006</v>
      </c>
      <c r="S22" s="556">
        <f>'MAY 2020'!G8</f>
        <v>0.22</v>
      </c>
      <c r="T22" s="556">
        <f>'MAY 2020'!G9</f>
        <v>0</v>
      </c>
      <c r="U22" s="548">
        <f t="shared" ref="U22:U41" si="2">SUM(Q22:T22)</f>
        <v>9.8273933000000024</v>
      </c>
    </row>
    <row r="23" spans="4:24" ht="24" customHeight="1" thickBot="1" x14ac:dyDescent="0.5">
      <c r="D23" s="573" t="s">
        <v>204</v>
      </c>
      <c r="E23" s="582">
        <f>SUM(E21:E22)</f>
        <v>0</v>
      </c>
      <c r="F23" s="542">
        <f>SUM(F21:F22)</f>
        <v>0.5</v>
      </c>
      <c r="G23" s="583">
        <f t="shared" si="0"/>
        <v>0.5</v>
      </c>
      <c r="H23" s="573">
        <f>SUM(H21:H22)</f>
        <v>30.560000000000002</v>
      </c>
      <c r="I23" s="573">
        <f>SUM(I21:I22)</f>
        <v>4.59</v>
      </c>
      <c r="J23" s="573">
        <f>SUM(J21:J22)</f>
        <v>35.65</v>
      </c>
      <c r="M23" s="564" t="s">
        <v>204</v>
      </c>
      <c r="N23" s="565">
        <f>SUM(N21:N22)</f>
        <v>0</v>
      </c>
      <c r="O23" s="566">
        <f t="shared" ref="O23:T23" si="3">SUM(O21:O22)</f>
        <v>13.746605300000001</v>
      </c>
      <c r="P23" s="566">
        <f>SUM(P21:P22)</f>
        <v>-27.9367336</v>
      </c>
      <c r="Q23" s="633">
        <f>SUM(N23:P23)</f>
        <v>-14.1901283</v>
      </c>
      <c r="R23" s="568">
        <f t="shared" si="3"/>
        <v>17.02</v>
      </c>
      <c r="S23" s="568">
        <f t="shared" si="3"/>
        <v>0.55000000000000004</v>
      </c>
      <c r="T23" s="568">
        <f t="shared" si="3"/>
        <v>0</v>
      </c>
      <c r="U23" s="548">
        <f t="shared" si="2"/>
        <v>3.3798716999999998</v>
      </c>
    </row>
    <row r="24" spans="4:24" ht="24" customHeight="1" thickBot="1" x14ac:dyDescent="0.5">
      <c r="D24" s="572" t="s">
        <v>133</v>
      </c>
      <c r="E24" s="580">
        <v>0</v>
      </c>
      <c r="F24" s="543">
        <v>1</v>
      </c>
      <c r="G24" s="581">
        <f t="shared" si="0"/>
        <v>1</v>
      </c>
      <c r="H24" s="572">
        <v>14.53</v>
      </c>
      <c r="I24" s="572">
        <v>1.94</v>
      </c>
      <c r="J24" s="572">
        <f t="shared" si="1"/>
        <v>17.47</v>
      </c>
      <c r="M24" s="558" t="s">
        <v>133</v>
      </c>
      <c r="N24" s="559">
        <v>0</v>
      </c>
      <c r="O24" s="560">
        <v>0.12995399999999999</v>
      </c>
      <c r="P24" s="560">
        <v>-3.2332462999999998</v>
      </c>
      <c r="Q24" s="547">
        <f t="shared" ref="Q24:Q42" si="4">SUM(N24:P24)</f>
        <v>-3.1032922999999997</v>
      </c>
      <c r="R24" s="561">
        <f>'JUNE-2020'!G7</f>
        <v>14.88</v>
      </c>
      <c r="S24" s="561">
        <f>'JUNE-2020'!G8</f>
        <v>0.93</v>
      </c>
      <c r="T24" s="561">
        <f>'JUNE-2020'!G9</f>
        <v>4.6300000000000001E-2</v>
      </c>
      <c r="U24" s="548">
        <f t="shared" si="2"/>
        <v>12.753007700000001</v>
      </c>
    </row>
    <row r="25" spans="4:24" ht="24" customHeight="1" thickBot="1" x14ac:dyDescent="0.5">
      <c r="D25" s="573" t="s">
        <v>205</v>
      </c>
      <c r="E25" s="582">
        <f t="shared" ref="E25:J25" si="5">SUM(E23:E24)</f>
        <v>0</v>
      </c>
      <c r="F25" s="542">
        <f t="shared" si="5"/>
        <v>1.5</v>
      </c>
      <c r="G25" s="584">
        <f t="shared" si="5"/>
        <v>1.5</v>
      </c>
      <c r="H25" s="573">
        <f t="shared" si="5"/>
        <v>45.09</v>
      </c>
      <c r="I25" s="573">
        <f t="shared" si="5"/>
        <v>6.5299999999999994</v>
      </c>
      <c r="J25" s="573">
        <f t="shared" si="5"/>
        <v>53.12</v>
      </c>
      <c r="M25" s="564" t="s">
        <v>205</v>
      </c>
      <c r="N25" s="565">
        <f>SUM(N23:N24)</f>
        <v>0</v>
      </c>
      <c r="O25" s="566">
        <f t="shared" ref="O25:T25" si="6">SUM(O23:O24)</f>
        <v>13.8765593</v>
      </c>
      <c r="P25" s="566">
        <f t="shared" si="6"/>
        <v>-31.169979900000001</v>
      </c>
      <c r="Q25" s="633">
        <f t="shared" si="4"/>
        <v>-17.293420600000001</v>
      </c>
      <c r="R25" s="568">
        <f t="shared" si="6"/>
        <v>31.9</v>
      </c>
      <c r="S25" s="568">
        <f t="shared" si="6"/>
        <v>1.48</v>
      </c>
      <c r="T25" s="568">
        <f t="shared" si="6"/>
        <v>4.6300000000000001E-2</v>
      </c>
      <c r="U25" s="548">
        <f t="shared" si="2"/>
        <v>16.132879399999997</v>
      </c>
      <c r="X25" s="755">
        <v>13783554</v>
      </c>
    </row>
    <row r="26" spans="4:24" ht="24" customHeight="1" thickBot="1" x14ac:dyDescent="0.5">
      <c r="D26" s="572" t="s">
        <v>51</v>
      </c>
      <c r="E26" s="580">
        <v>0</v>
      </c>
      <c r="F26" s="543">
        <v>5.26</v>
      </c>
      <c r="G26" s="581">
        <f>SUM(E26:F26)</f>
        <v>5.26</v>
      </c>
      <c r="H26" s="572">
        <v>9.33</v>
      </c>
      <c r="I26" s="572">
        <v>1.69</v>
      </c>
      <c r="J26" s="572">
        <f t="shared" si="1"/>
        <v>16.28</v>
      </c>
      <c r="M26" s="558" t="s">
        <v>51</v>
      </c>
      <c r="N26" s="559">
        <v>0</v>
      </c>
      <c r="O26" s="560">
        <v>0</v>
      </c>
      <c r="P26" s="560">
        <v>5.7114256000000001</v>
      </c>
      <c r="Q26" s="547">
        <f t="shared" si="4"/>
        <v>5.7114256000000001</v>
      </c>
      <c r="R26" s="561">
        <f>'JULY-2020'!G7</f>
        <v>5.7</v>
      </c>
      <c r="S26" s="561">
        <f>'JULY-2020'!G8</f>
        <v>0.91</v>
      </c>
      <c r="T26" s="561">
        <f>'JULY-2020'!G9</f>
        <v>7.6799999999999993E-2</v>
      </c>
      <c r="U26" s="548">
        <f t="shared" si="2"/>
        <v>12.398225600000002</v>
      </c>
      <c r="X26">
        <f>X25/10000000</f>
        <v>1.3783554</v>
      </c>
    </row>
    <row r="27" spans="4:24" ht="24" customHeight="1" thickBot="1" x14ac:dyDescent="0.5">
      <c r="D27" s="573" t="s">
        <v>207</v>
      </c>
      <c r="E27" s="582">
        <f t="shared" ref="E27:J27" si="7">SUM(E25:E26)</f>
        <v>0</v>
      </c>
      <c r="F27" s="542">
        <f t="shared" si="7"/>
        <v>6.76</v>
      </c>
      <c r="G27" s="584">
        <f t="shared" si="7"/>
        <v>6.76</v>
      </c>
      <c r="H27" s="573">
        <f t="shared" si="7"/>
        <v>54.42</v>
      </c>
      <c r="I27" s="573">
        <f t="shared" si="7"/>
        <v>8.2199999999999989</v>
      </c>
      <c r="J27" s="573">
        <f t="shared" si="7"/>
        <v>69.400000000000006</v>
      </c>
      <c r="M27" s="564" t="s">
        <v>207</v>
      </c>
      <c r="N27" s="565">
        <f>SUM(N25:N26)</f>
        <v>0</v>
      </c>
      <c r="O27" s="566">
        <f>SUM(O25:O26)</f>
        <v>13.8765593</v>
      </c>
      <c r="P27" s="566">
        <f>SUM(P25:P26)</f>
        <v>-25.458554300000003</v>
      </c>
      <c r="Q27" s="633">
        <f t="shared" si="4"/>
        <v>-11.581995000000003</v>
      </c>
      <c r="R27" s="568">
        <f>SUM(R25:R26)</f>
        <v>37.6</v>
      </c>
      <c r="S27" s="568">
        <f>SUM(S25:S26)</f>
        <v>2.39</v>
      </c>
      <c r="T27" s="568">
        <f>SUM(T25:T26)</f>
        <v>0.12309999999999999</v>
      </c>
      <c r="U27" s="548">
        <f t="shared" si="2"/>
        <v>28.531105</v>
      </c>
    </row>
    <row r="28" spans="4:24" ht="24" customHeight="1" thickBot="1" x14ac:dyDescent="0.5">
      <c r="D28" s="572" t="s">
        <v>134</v>
      </c>
      <c r="E28" s="580">
        <v>0</v>
      </c>
      <c r="F28" s="543">
        <v>4.97</v>
      </c>
      <c r="G28" s="581">
        <f t="shared" si="0"/>
        <v>4.97</v>
      </c>
      <c r="H28" s="572">
        <v>18.79</v>
      </c>
      <c r="I28" s="572">
        <v>1.84</v>
      </c>
      <c r="J28" s="572">
        <f t="shared" si="1"/>
        <v>25.599999999999998</v>
      </c>
      <c r="M28" s="558" t="s">
        <v>134</v>
      </c>
      <c r="N28" s="559">
        <v>6.8099999999999996E-4</v>
      </c>
      <c r="O28" s="560">
        <v>1.3575E-3</v>
      </c>
      <c r="P28" s="560">
        <v>6.9633561000000004</v>
      </c>
      <c r="Q28" s="547">
        <f t="shared" si="4"/>
        <v>6.9653946000000007</v>
      </c>
      <c r="R28" s="561">
        <f>'AUG-2020'!G7</f>
        <v>7.78</v>
      </c>
      <c r="S28" s="561">
        <f>'AUG-2020'!G8</f>
        <v>1.056</v>
      </c>
      <c r="T28" s="561">
        <f>'AUG-2020'!G9</f>
        <v>0.16900000000000001</v>
      </c>
      <c r="U28" s="548">
        <f t="shared" si="2"/>
        <v>15.970394600000002</v>
      </c>
    </row>
    <row r="29" spans="4:24" ht="24" customHeight="1" thickBot="1" x14ac:dyDescent="0.5">
      <c r="D29" s="573" t="s">
        <v>208</v>
      </c>
      <c r="E29" s="582">
        <f t="shared" ref="E29:J29" si="8">SUM(E27:E28)</f>
        <v>0</v>
      </c>
      <c r="F29" s="542">
        <f t="shared" si="8"/>
        <v>11.73</v>
      </c>
      <c r="G29" s="584">
        <f t="shared" si="8"/>
        <v>11.73</v>
      </c>
      <c r="H29" s="573">
        <f t="shared" si="8"/>
        <v>73.210000000000008</v>
      </c>
      <c r="I29" s="573">
        <f t="shared" si="8"/>
        <v>10.059999999999999</v>
      </c>
      <c r="J29" s="573">
        <f t="shared" si="8"/>
        <v>95</v>
      </c>
      <c r="M29" s="564" t="s">
        <v>208</v>
      </c>
      <c r="N29" s="565">
        <f>SUM(N27:N28)</f>
        <v>6.8099999999999996E-4</v>
      </c>
      <c r="O29" s="566">
        <f>SUM(O27:O28)</f>
        <v>13.877916799999999</v>
      </c>
      <c r="P29" s="566">
        <f>SUM(P27:P28)</f>
        <v>-18.495198200000004</v>
      </c>
      <c r="Q29" s="633">
        <f t="shared" si="4"/>
        <v>-4.6166004000000047</v>
      </c>
      <c r="R29" s="568">
        <f>SUM(R27:R28)</f>
        <v>45.38</v>
      </c>
      <c r="S29" s="568">
        <f>SUM(S27:S28)</f>
        <v>3.4460000000000002</v>
      </c>
      <c r="T29" s="568">
        <f>SUM(T27:T28)</f>
        <v>0.29210000000000003</v>
      </c>
      <c r="U29" s="548">
        <f t="shared" si="2"/>
        <v>44.501499599999995</v>
      </c>
    </row>
    <row r="30" spans="4:24" ht="24" customHeight="1" thickBot="1" x14ac:dyDescent="0.5">
      <c r="D30" s="572" t="s">
        <v>135</v>
      </c>
      <c r="E30" s="580">
        <v>0</v>
      </c>
      <c r="F30" s="543">
        <v>3.67</v>
      </c>
      <c r="G30" s="581">
        <f t="shared" si="0"/>
        <v>3.67</v>
      </c>
      <c r="H30" s="572">
        <v>17.760000000000002</v>
      </c>
      <c r="I30" s="572">
        <v>1.64</v>
      </c>
      <c r="J30" s="572">
        <f t="shared" si="1"/>
        <v>23.07</v>
      </c>
      <c r="M30" s="558" t="s">
        <v>135</v>
      </c>
      <c r="N30" s="559">
        <v>1.1904999999999999E-3</v>
      </c>
      <c r="O30" s="560">
        <v>6.2890000000000003E-3</v>
      </c>
      <c r="P30" s="560">
        <v>8.6592126999999994</v>
      </c>
      <c r="Q30" s="547">
        <f t="shared" si="4"/>
        <v>8.6666922</v>
      </c>
      <c r="R30" s="561">
        <f>'SEP-2020'!G7</f>
        <v>11.11</v>
      </c>
      <c r="S30" s="561">
        <f>'SEP-2020'!G8</f>
        <v>1.306</v>
      </c>
      <c r="T30" s="561">
        <f>'SEP-2020'!G9</f>
        <v>2.3699999999999999E-2</v>
      </c>
      <c r="U30" s="548">
        <f t="shared" si="2"/>
        <v>21.106392200000002</v>
      </c>
    </row>
    <row r="31" spans="4:24" ht="24" customHeight="1" thickBot="1" x14ac:dyDescent="0.5">
      <c r="D31" s="573" t="s">
        <v>209</v>
      </c>
      <c r="E31" s="582">
        <f t="shared" ref="E31:J31" si="9">SUM(E29:E30)</f>
        <v>0</v>
      </c>
      <c r="F31" s="542">
        <f t="shared" si="9"/>
        <v>15.4</v>
      </c>
      <c r="G31" s="584">
        <f t="shared" si="9"/>
        <v>15.4</v>
      </c>
      <c r="H31" s="573">
        <f t="shared" si="9"/>
        <v>90.970000000000013</v>
      </c>
      <c r="I31" s="573">
        <f t="shared" si="9"/>
        <v>11.7</v>
      </c>
      <c r="J31" s="573">
        <f t="shared" si="9"/>
        <v>118.07</v>
      </c>
      <c r="M31" s="564" t="s">
        <v>209</v>
      </c>
      <c r="N31" s="565">
        <f>SUM(N29:N30)</f>
        <v>1.8714999999999999E-3</v>
      </c>
      <c r="O31" s="566">
        <f>SUM(O29:O30)</f>
        <v>13.8842058</v>
      </c>
      <c r="P31" s="566">
        <f>SUM(P29:P30)</f>
        <v>-9.8359855000000049</v>
      </c>
      <c r="Q31" s="633">
        <f t="shared" si="4"/>
        <v>4.0500917999999952</v>
      </c>
      <c r="R31" s="568">
        <f>SUM(R29:R30)</f>
        <v>56.49</v>
      </c>
      <c r="S31" s="568">
        <f>SUM(S29:S30)</f>
        <v>4.7520000000000007</v>
      </c>
      <c r="T31" s="568">
        <f>SUM(T29:T30)</f>
        <v>0.31580000000000003</v>
      </c>
      <c r="U31" s="548">
        <f t="shared" si="2"/>
        <v>65.60789179999999</v>
      </c>
    </row>
    <row r="32" spans="4:24" ht="24" customHeight="1" thickBot="1" x14ac:dyDescent="0.5">
      <c r="D32" s="572" t="s">
        <v>136</v>
      </c>
      <c r="E32" s="580">
        <v>0.02</v>
      </c>
      <c r="F32" s="543">
        <v>9.98</v>
      </c>
      <c r="G32" s="581">
        <f t="shared" si="0"/>
        <v>10</v>
      </c>
      <c r="H32" s="572">
        <v>12.46</v>
      </c>
      <c r="I32" s="572">
        <v>2.23</v>
      </c>
      <c r="J32" s="572">
        <f t="shared" si="1"/>
        <v>24.69</v>
      </c>
      <c r="M32" s="558" t="s">
        <v>136</v>
      </c>
      <c r="N32" s="559">
        <v>1.6473397000000001E-2</v>
      </c>
      <c r="O32" s="560">
        <v>6.999E-3</v>
      </c>
      <c r="P32" s="560">
        <v>18.9746104</v>
      </c>
      <c r="Q32" s="547">
        <f t="shared" si="4"/>
        <v>18.998082796999999</v>
      </c>
      <c r="R32" s="561">
        <f>'OCT-2020'!G7</f>
        <v>6.88</v>
      </c>
      <c r="S32" s="561">
        <f>'OCT-2020'!G8</f>
        <v>1.95</v>
      </c>
      <c r="T32" s="561">
        <f>'OCT-2020'!G9</f>
        <v>6.8000000000000005E-2</v>
      </c>
      <c r="U32" s="548">
        <f t="shared" si="2"/>
        <v>27.896082796999998</v>
      </c>
    </row>
    <row r="33" spans="4:21" ht="24" customHeight="1" thickBot="1" x14ac:dyDescent="0.5">
      <c r="D33" s="573" t="s">
        <v>210</v>
      </c>
      <c r="E33" s="582">
        <f t="shared" ref="E33:J33" si="10">SUM(E31:E32)</f>
        <v>0.02</v>
      </c>
      <c r="F33" s="542">
        <f t="shared" si="10"/>
        <v>25.380000000000003</v>
      </c>
      <c r="G33" s="584">
        <f t="shared" si="10"/>
        <v>25.4</v>
      </c>
      <c r="H33" s="573">
        <f t="shared" si="10"/>
        <v>103.43</v>
      </c>
      <c r="I33" s="573">
        <f t="shared" si="10"/>
        <v>13.93</v>
      </c>
      <c r="J33" s="573">
        <f t="shared" si="10"/>
        <v>142.76</v>
      </c>
      <c r="M33" s="564" t="s">
        <v>210</v>
      </c>
      <c r="N33" s="565">
        <f>SUM(N31:N32)</f>
        <v>1.8344896999999999E-2</v>
      </c>
      <c r="O33" s="566">
        <f>SUM(O31:O32)</f>
        <v>13.891204800000001</v>
      </c>
      <c r="P33" s="566">
        <f>SUM(P31:P32)</f>
        <v>9.1386248999999946</v>
      </c>
      <c r="Q33" s="633">
        <f t="shared" si="4"/>
        <v>23.048174596999996</v>
      </c>
      <c r="R33" s="568">
        <f>SUM(R31:R32)</f>
        <v>63.370000000000005</v>
      </c>
      <c r="S33" s="568">
        <f>SUM(S31:S32)</f>
        <v>6.7020000000000008</v>
      </c>
      <c r="T33" s="568">
        <f>SUM(T31:T32)</f>
        <v>0.38380000000000003</v>
      </c>
      <c r="U33" s="548">
        <f t="shared" si="2"/>
        <v>93.503974596999996</v>
      </c>
    </row>
    <row r="34" spans="4:21" ht="24" customHeight="1" thickBot="1" x14ac:dyDescent="0.5">
      <c r="D34" s="572" t="s">
        <v>137</v>
      </c>
      <c r="E34" s="580">
        <v>0.02</v>
      </c>
      <c r="F34" s="543">
        <v>17.559999999999999</v>
      </c>
      <c r="G34" s="581">
        <f t="shared" si="0"/>
        <v>17.579999999999998</v>
      </c>
      <c r="H34" s="572">
        <v>20.079999999999998</v>
      </c>
      <c r="I34" s="572">
        <v>2.02</v>
      </c>
      <c r="J34" s="572">
        <f t="shared" si="1"/>
        <v>39.68</v>
      </c>
      <c r="M34" s="558" t="s">
        <v>137</v>
      </c>
      <c r="N34" s="559">
        <v>1.5498731E-2</v>
      </c>
      <c r="O34" s="560">
        <v>1.21748E-2</v>
      </c>
      <c r="P34" s="560">
        <v>20.272600199999999</v>
      </c>
      <c r="Q34" s="547">
        <f t="shared" si="4"/>
        <v>20.300273731000001</v>
      </c>
      <c r="R34" s="561">
        <f>'NOV-20'!G7</f>
        <v>10.96</v>
      </c>
      <c r="S34" s="561">
        <f>'NOV-20'!G8</f>
        <v>2.74</v>
      </c>
      <c r="T34" s="561">
        <f>'NOV-20'!G9</f>
        <v>0.13500000000000001</v>
      </c>
      <c r="U34" s="548">
        <f t="shared" si="2"/>
        <v>34.135273730999998</v>
      </c>
    </row>
    <row r="35" spans="4:21" ht="24" customHeight="1" thickBot="1" x14ac:dyDescent="0.5">
      <c r="D35" s="573" t="s">
        <v>211</v>
      </c>
      <c r="E35" s="582">
        <f t="shared" ref="E35:J35" si="11">SUM(E33:E34)</f>
        <v>0.04</v>
      </c>
      <c r="F35" s="542">
        <f t="shared" si="11"/>
        <v>42.94</v>
      </c>
      <c r="G35" s="584">
        <f t="shared" si="11"/>
        <v>42.98</v>
      </c>
      <c r="H35" s="573">
        <f t="shared" si="11"/>
        <v>123.51</v>
      </c>
      <c r="I35" s="573">
        <f t="shared" si="11"/>
        <v>15.95</v>
      </c>
      <c r="J35" s="573">
        <f t="shared" si="11"/>
        <v>182.44</v>
      </c>
      <c r="M35" s="564" t="s">
        <v>211</v>
      </c>
      <c r="N35" s="565">
        <f>SUM(N33:N34)</f>
        <v>3.3843628000000001E-2</v>
      </c>
      <c r="O35" s="566">
        <f>SUM(O33:O34)</f>
        <v>13.903379600000001</v>
      </c>
      <c r="P35" s="566">
        <f>SUM(P33:P34)</f>
        <v>29.411225099999996</v>
      </c>
      <c r="Q35" s="633">
        <f t="shared" si="4"/>
        <v>43.348448327999996</v>
      </c>
      <c r="R35" s="568">
        <f>SUM(R33:R34)</f>
        <v>74.330000000000013</v>
      </c>
      <c r="S35" s="568">
        <f>SUM(S33:S34)</f>
        <v>9.4420000000000002</v>
      </c>
      <c r="T35" s="568">
        <f>SUM(T33:T34)</f>
        <v>0.51880000000000004</v>
      </c>
      <c r="U35" s="548">
        <f t="shared" si="2"/>
        <v>127.63924832800001</v>
      </c>
    </row>
    <row r="36" spans="4:21" ht="24" customHeight="1" thickBot="1" x14ac:dyDescent="0.5">
      <c r="D36" s="572" t="s">
        <v>138</v>
      </c>
      <c r="E36" s="580">
        <v>0.02</v>
      </c>
      <c r="F36" s="544">
        <v>47</v>
      </c>
      <c r="G36" s="581">
        <f t="shared" si="0"/>
        <v>47.02</v>
      </c>
      <c r="H36" s="572">
        <v>18.760000000000002</v>
      </c>
      <c r="I36" s="572">
        <v>1.88</v>
      </c>
      <c r="J36" s="572">
        <f t="shared" si="1"/>
        <v>67.66</v>
      </c>
      <c r="M36" s="558" t="s">
        <v>138</v>
      </c>
      <c r="N36" s="559">
        <v>2.5583986999999999E-2</v>
      </c>
      <c r="O36" s="560">
        <v>1.38315E-2</v>
      </c>
      <c r="P36" s="560">
        <v>29.110144500000001</v>
      </c>
      <c r="Q36" s="547">
        <f t="shared" si="4"/>
        <v>29.149559987</v>
      </c>
      <c r="R36" s="561">
        <f>'DEC-20'!G7</f>
        <v>10.99</v>
      </c>
      <c r="S36" s="561">
        <f>'DEC-20'!G8</f>
        <v>2.6519283000000002</v>
      </c>
      <c r="T36" s="561">
        <f>'DEC-20'!G9</f>
        <v>0.26865680000000003</v>
      </c>
      <c r="U36" s="548">
        <f t="shared" si="2"/>
        <v>43.060145087000002</v>
      </c>
    </row>
    <row r="37" spans="4:21" ht="24" customHeight="1" thickBot="1" x14ac:dyDescent="0.5">
      <c r="D37" s="573" t="s">
        <v>212</v>
      </c>
      <c r="E37" s="582">
        <f t="shared" ref="E37:J37" si="12">SUM(E35:E36)</f>
        <v>0.06</v>
      </c>
      <c r="F37" s="542">
        <f t="shared" si="12"/>
        <v>89.94</v>
      </c>
      <c r="G37" s="584">
        <f t="shared" si="12"/>
        <v>90</v>
      </c>
      <c r="H37" s="573">
        <f t="shared" si="12"/>
        <v>142.27000000000001</v>
      </c>
      <c r="I37" s="573">
        <f t="shared" si="12"/>
        <v>17.829999999999998</v>
      </c>
      <c r="J37" s="573">
        <f t="shared" si="12"/>
        <v>250.1</v>
      </c>
      <c r="M37" s="564" t="s">
        <v>212</v>
      </c>
      <c r="N37" s="565">
        <f>SUM(N35:N36)</f>
        <v>5.9427615000000003E-2</v>
      </c>
      <c r="O37" s="566">
        <f>SUM(O35:O36)</f>
        <v>13.917211100000001</v>
      </c>
      <c r="P37" s="566">
        <f>SUM(P35:P36)</f>
        <v>58.5213696</v>
      </c>
      <c r="Q37" s="633">
        <f t="shared" si="4"/>
        <v>72.498008315000007</v>
      </c>
      <c r="R37" s="568">
        <f>SUM(R35:R36)</f>
        <v>85.320000000000007</v>
      </c>
      <c r="S37" s="568">
        <f>SUM(S35:S36)</f>
        <v>12.0939283</v>
      </c>
      <c r="T37" s="568">
        <f>SUM(T35:T36)</f>
        <v>0.78745680000000007</v>
      </c>
      <c r="U37" s="548">
        <f t="shared" si="2"/>
        <v>170.699393415</v>
      </c>
    </row>
    <row r="38" spans="4:21" ht="24" customHeight="1" thickBot="1" x14ac:dyDescent="0.5">
      <c r="D38" s="572" t="s">
        <v>139</v>
      </c>
      <c r="E38" s="580">
        <v>0.02</v>
      </c>
      <c r="F38" s="544">
        <v>48</v>
      </c>
      <c r="G38" s="581">
        <f t="shared" si="0"/>
        <v>48.02</v>
      </c>
      <c r="H38" s="572">
        <v>17.14</v>
      </c>
      <c r="I38" s="572">
        <v>1.86</v>
      </c>
      <c r="J38" s="572">
        <f t="shared" si="1"/>
        <v>67.02</v>
      </c>
      <c r="M38" s="558" t="s">
        <v>139</v>
      </c>
      <c r="N38" s="559">
        <v>5.1386088000000003E-2</v>
      </c>
      <c r="O38" s="560">
        <v>2.4579400000000001E-2</v>
      </c>
      <c r="P38" s="560">
        <v>43.017555399999999</v>
      </c>
      <c r="Q38" s="547">
        <f t="shared" si="4"/>
        <v>43.093520888</v>
      </c>
      <c r="R38" s="561">
        <f>'JAN-2021'!G7</f>
        <v>10.306924199999999</v>
      </c>
      <c r="S38" s="561">
        <f>'JAN-2021'!G8</f>
        <v>2.9175481999999997</v>
      </c>
      <c r="T38" s="563">
        <f>'JAN-2021'!G9</f>
        <v>0.28966330000000001</v>
      </c>
      <c r="U38" s="548">
        <f t="shared" si="2"/>
        <v>56.607656587999998</v>
      </c>
    </row>
    <row r="39" spans="4:21" ht="24" customHeight="1" thickBot="1" x14ac:dyDescent="0.5">
      <c r="D39" s="573" t="s">
        <v>206</v>
      </c>
      <c r="E39" s="582">
        <f t="shared" ref="E39:J39" si="13">SUM(E37:E38)</f>
        <v>0.08</v>
      </c>
      <c r="F39" s="542">
        <f t="shared" si="13"/>
        <v>137.94</v>
      </c>
      <c r="G39" s="584">
        <f t="shared" si="13"/>
        <v>138.02000000000001</v>
      </c>
      <c r="H39" s="573">
        <f t="shared" si="13"/>
        <v>159.41000000000003</v>
      </c>
      <c r="I39" s="573">
        <f t="shared" si="13"/>
        <v>19.689999999999998</v>
      </c>
      <c r="J39" s="573">
        <f t="shared" si="13"/>
        <v>317.12</v>
      </c>
      <c r="M39" s="564" t="s">
        <v>206</v>
      </c>
      <c r="N39" s="565">
        <f>SUM(N37:N38)</f>
        <v>0.11081370300000001</v>
      </c>
      <c r="O39" s="566">
        <f>SUM(O37:O38)</f>
        <v>13.941790500000002</v>
      </c>
      <c r="P39" s="566">
        <f>SUM(P37:P38)</f>
        <v>101.53892500000001</v>
      </c>
      <c r="Q39" s="633">
        <f t="shared" si="4"/>
        <v>115.59152920300001</v>
      </c>
      <c r="R39" s="568">
        <f>SUM(R37:R38)</f>
        <v>95.626924200000005</v>
      </c>
      <c r="S39" s="568">
        <f>SUM(S37:S38)</f>
        <v>15.011476500000001</v>
      </c>
      <c r="T39" s="568">
        <f>SUM(T37:T38)</f>
        <v>1.0771201000000001</v>
      </c>
      <c r="U39" s="548">
        <f t="shared" si="2"/>
        <v>227.30705000300003</v>
      </c>
    </row>
    <row r="40" spans="4:21" ht="24" customHeight="1" thickBot="1" x14ac:dyDescent="0.5">
      <c r="D40" s="572" t="s">
        <v>140</v>
      </c>
      <c r="E40" s="580">
        <v>0.02</v>
      </c>
      <c r="F40" s="544">
        <v>45</v>
      </c>
      <c r="G40" s="581">
        <f t="shared" si="0"/>
        <v>45.02</v>
      </c>
      <c r="H40" s="572">
        <v>9.0399999999999991</v>
      </c>
      <c r="I40" s="572">
        <v>1.6</v>
      </c>
      <c r="J40" s="572">
        <f t="shared" si="1"/>
        <v>55.660000000000004</v>
      </c>
      <c r="M40" s="558" t="s">
        <v>140</v>
      </c>
      <c r="N40" s="559">
        <v>4.1974644999999998E-2</v>
      </c>
      <c r="O40" s="560">
        <v>3.3575599999999997E-2</v>
      </c>
      <c r="P40" s="560">
        <v>40.700816000000003</v>
      </c>
      <c r="Q40" s="547">
        <f t="shared" si="4"/>
        <v>40.776366245000006</v>
      </c>
      <c r="R40" s="561">
        <f>'FEB-21'!G7</f>
        <v>11.4666952</v>
      </c>
      <c r="S40" s="561">
        <f>'FEB-21'!G8</f>
        <v>3.8488273</v>
      </c>
      <c r="T40" s="563">
        <f>'FEB-21'!G9</f>
        <v>0.2002669</v>
      </c>
      <c r="U40" s="548">
        <f t="shared" si="2"/>
        <v>56.292155645000008</v>
      </c>
    </row>
    <row r="41" spans="4:21" ht="24" customHeight="1" thickBot="1" x14ac:dyDescent="0.5">
      <c r="D41" s="573" t="s">
        <v>215</v>
      </c>
      <c r="E41" s="585">
        <f t="shared" ref="E41:J41" si="14">SUM(E39:E40)</f>
        <v>0.1</v>
      </c>
      <c r="F41" s="542">
        <f t="shared" si="14"/>
        <v>182.94</v>
      </c>
      <c r="G41" s="584">
        <f t="shared" si="14"/>
        <v>183.04000000000002</v>
      </c>
      <c r="H41" s="573">
        <f t="shared" si="14"/>
        <v>168.45000000000002</v>
      </c>
      <c r="I41" s="573">
        <f t="shared" si="14"/>
        <v>21.29</v>
      </c>
      <c r="J41" s="573">
        <f t="shared" si="14"/>
        <v>372.78000000000003</v>
      </c>
      <c r="M41" s="564" t="s">
        <v>215</v>
      </c>
      <c r="N41" s="565">
        <f>SUM(N39:N40)</f>
        <v>0.15278834800000002</v>
      </c>
      <c r="O41" s="566">
        <f>SUM(O39:O40)</f>
        <v>13.975366100000002</v>
      </c>
      <c r="P41" s="566">
        <f>SUM(P39:P40)</f>
        <v>142.23974100000001</v>
      </c>
      <c r="Q41" s="633">
        <f t="shared" si="4"/>
        <v>156.36789544800001</v>
      </c>
      <c r="R41" s="568">
        <f>SUM(R39:R40)</f>
        <v>107.09361940000001</v>
      </c>
      <c r="S41" s="568">
        <f>SUM(S39:S40)</f>
        <v>18.860303800000001</v>
      </c>
      <c r="T41" s="568">
        <v>1.3</v>
      </c>
      <c r="U41" s="548">
        <f t="shared" si="2"/>
        <v>283.62181864800004</v>
      </c>
    </row>
    <row r="42" spans="4:21" ht="24" customHeight="1" thickBot="1" x14ac:dyDescent="0.5">
      <c r="D42" s="572" t="s">
        <v>141</v>
      </c>
      <c r="E42" s="580">
        <v>0.02</v>
      </c>
      <c r="F42" s="544">
        <v>48.5</v>
      </c>
      <c r="G42" s="581">
        <f t="shared" si="0"/>
        <v>48.52</v>
      </c>
      <c r="H42" s="572">
        <v>8.85</v>
      </c>
      <c r="I42" s="572">
        <v>2</v>
      </c>
      <c r="J42" s="572">
        <f t="shared" si="1"/>
        <v>59.370000000000005</v>
      </c>
      <c r="M42" s="557" t="s">
        <v>141</v>
      </c>
      <c r="N42" s="545">
        <v>6.0005963000000002E-2</v>
      </c>
      <c r="O42" s="546">
        <v>5.1194400000000001E-2</v>
      </c>
      <c r="P42" s="546">
        <v>46.057393400000002</v>
      </c>
      <c r="Q42" s="547">
        <f t="shared" si="4"/>
        <v>46.168593763000004</v>
      </c>
      <c r="R42" s="548">
        <v>23.32</v>
      </c>
      <c r="S42" s="548">
        <v>3.86</v>
      </c>
      <c r="T42" s="548">
        <v>0.3</v>
      </c>
      <c r="U42" s="562"/>
    </row>
    <row r="43" spans="4:21" ht="24" customHeight="1" thickBot="1" x14ac:dyDescent="0.5">
      <c r="D43" s="574" t="s">
        <v>240</v>
      </c>
      <c r="E43" s="586">
        <f t="shared" ref="E43:J43" si="15">SUM(E41:E42)</f>
        <v>0.12000000000000001</v>
      </c>
      <c r="F43" s="587">
        <f t="shared" si="15"/>
        <v>231.44</v>
      </c>
      <c r="G43" s="588">
        <f t="shared" si="15"/>
        <v>231.56000000000003</v>
      </c>
      <c r="H43" s="574">
        <f t="shared" si="15"/>
        <v>177.3</v>
      </c>
      <c r="I43" s="574">
        <f t="shared" si="15"/>
        <v>23.29</v>
      </c>
      <c r="J43" s="574">
        <f t="shared" si="15"/>
        <v>432.15000000000003</v>
      </c>
      <c r="M43" s="569" t="s">
        <v>240</v>
      </c>
      <c r="N43" s="768">
        <f>SUM(N41:N42)</f>
        <v>0.21279431100000001</v>
      </c>
      <c r="O43" s="769">
        <f>SUM(O41:O42)</f>
        <v>14.026560500000002</v>
      </c>
      <c r="P43" s="769">
        <f>SUM(P41:P42)</f>
        <v>188.2971344</v>
      </c>
      <c r="Q43" s="770">
        <f>Q41+Q42</f>
        <v>202.536489211</v>
      </c>
      <c r="R43" s="770">
        <f>R41+R42</f>
        <v>130.41361940000002</v>
      </c>
      <c r="S43" s="770">
        <f>S41+S42</f>
        <v>22.7203038</v>
      </c>
      <c r="T43" s="567">
        <f>T41+T42</f>
        <v>1.6</v>
      </c>
      <c r="U43" s="567">
        <f>SUM(Q43:T43)</f>
        <v>357.27041241100005</v>
      </c>
    </row>
    <row r="44" spans="4:21" ht="24" customHeight="1" x14ac:dyDescent="0.45">
      <c r="D44" s="570"/>
      <c r="E44" s="570"/>
      <c r="F44" s="570"/>
      <c r="G44" s="570"/>
      <c r="H44" s="570"/>
      <c r="I44" s="570"/>
      <c r="J44" s="570"/>
      <c r="N44" s="2123" t="s">
        <v>518</v>
      </c>
      <c r="O44" s="2123"/>
      <c r="P44" s="2123"/>
      <c r="Q44" s="2123"/>
      <c r="R44" s="2123"/>
      <c r="S44" s="2123"/>
    </row>
    <row r="45" spans="4:21" ht="56.25" customHeight="1" x14ac:dyDescent="0.45">
      <c r="E45" s="229"/>
      <c r="F45" s="229"/>
      <c r="G45" s="229"/>
      <c r="H45" s="229"/>
      <c r="I45" s="229"/>
      <c r="N45" s="764" t="s">
        <v>353</v>
      </c>
      <c r="O45" s="764" t="s">
        <v>194</v>
      </c>
      <c r="P45" s="764" t="s">
        <v>227</v>
      </c>
      <c r="Q45" s="764" t="s">
        <v>195</v>
      </c>
      <c r="R45" s="765" t="s">
        <v>509</v>
      </c>
      <c r="S45" s="765" t="s">
        <v>515</v>
      </c>
    </row>
    <row r="46" spans="4:21" ht="38.25" customHeight="1" x14ac:dyDescent="0.45">
      <c r="E46" s="229"/>
      <c r="F46" s="229"/>
      <c r="G46" s="763">
        <f>G28+G30+G32+G34+G36+G38+G40+G42</f>
        <v>224.80000000000004</v>
      </c>
      <c r="H46" s="763">
        <f>H28+H30+H32+H34+H36+H38+H40+H42</f>
        <v>122.88</v>
      </c>
      <c r="I46" s="229"/>
      <c r="M46" s="2122"/>
      <c r="N46" s="766" t="s">
        <v>516</v>
      </c>
      <c r="O46" s="290">
        <v>224.80000000000004</v>
      </c>
      <c r="P46" s="767">
        <v>214.11848421100001</v>
      </c>
      <c r="Q46" s="767">
        <v>571.08377623199999</v>
      </c>
      <c r="R46" s="286">
        <f>(P46-O46)/O46*100</f>
        <v>-4.7515639630783051</v>
      </c>
      <c r="S46" s="285">
        <f>(P46-Q46)/Q46*100</f>
        <v>-62.506642086078898</v>
      </c>
      <c r="T46" s="763">
        <f>R28+R30+R32+R34+R36+R38+R40+R42</f>
        <v>92.813619399999993</v>
      </c>
    </row>
    <row r="47" spans="4:21" ht="38.25" customHeight="1" x14ac:dyDescent="0.45">
      <c r="M47" s="2122"/>
      <c r="N47" s="766" t="s">
        <v>517</v>
      </c>
      <c r="O47" s="290" t="s">
        <v>221</v>
      </c>
      <c r="P47" s="286">
        <v>41.35</v>
      </c>
      <c r="Q47" s="286">
        <v>483.57</v>
      </c>
      <c r="R47" s="286" t="s">
        <v>221</v>
      </c>
      <c r="S47" s="285">
        <f>(P47-Q47)/Q47*100</f>
        <v>-91.449014620427235</v>
      </c>
    </row>
    <row r="48" spans="4:21" ht="30" x14ac:dyDescent="0.45">
      <c r="E48">
        <f>E47/100000</f>
        <v>0</v>
      </c>
      <c r="F48">
        <f>F47/100000</f>
        <v>0</v>
      </c>
      <c r="G48">
        <f>G47/100000</f>
        <v>0</v>
      </c>
      <c r="H48">
        <f>H47/100000</f>
        <v>0</v>
      </c>
      <c r="I48">
        <f>I47/100000</f>
        <v>0</v>
      </c>
      <c r="M48" s="2122"/>
      <c r="N48" s="766" t="s">
        <v>514</v>
      </c>
      <c r="O48" s="290">
        <v>122.88</v>
      </c>
      <c r="P48" s="286">
        <v>92.84</v>
      </c>
      <c r="Q48" s="286">
        <v>135.09915280000001</v>
      </c>
      <c r="R48" s="286">
        <f>(P48-O48)/O48*100</f>
        <v>-24.446614583333329</v>
      </c>
      <c r="S48" s="285">
        <f>(P48-Q48)/Q48*100</f>
        <v>-31.280102002238468</v>
      </c>
    </row>
    <row r="49" spans="4:16" x14ac:dyDescent="0.45">
      <c r="D49" s="89" t="s">
        <v>391</v>
      </c>
      <c r="E49" s="89" t="s">
        <v>126</v>
      </c>
      <c r="F49" t="s">
        <v>249</v>
      </c>
      <c r="N49" s="54"/>
    </row>
    <row r="50" spans="4:16" x14ac:dyDescent="0.45">
      <c r="D50" t="s">
        <v>131</v>
      </c>
      <c r="E50">
        <v>5861098</v>
      </c>
    </row>
    <row r="51" spans="4:16" x14ac:dyDescent="0.45">
      <c r="D51" t="s">
        <v>132</v>
      </c>
      <c r="E51">
        <v>4814865</v>
      </c>
    </row>
    <row r="52" spans="4:16" x14ac:dyDescent="0.45">
      <c r="D52" t="s">
        <v>133</v>
      </c>
      <c r="E52">
        <v>3344389</v>
      </c>
      <c r="M52" s="98" t="s">
        <v>510</v>
      </c>
      <c r="N52" s="98"/>
      <c r="O52" s="98"/>
    </row>
    <row r="53" spans="4:16" x14ac:dyDescent="0.45">
      <c r="D53" t="s">
        <v>51</v>
      </c>
      <c r="E53">
        <v>6554376</v>
      </c>
      <c r="M53" s="98" t="s">
        <v>511</v>
      </c>
      <c r="N53" s="103">
        <v>5.93</v>
      </c>
      <c r="O53" s="103">
        <v>8.6623999999999993E-2</v>
      </c>
    </row>
    <row r="54" spans="4:16" x14ac:dyDescent="0.45">
      <c r="D54" t="s">
        <v>134</v>
      </c>
      <c r="E54">
        <v>5282486</v>
      </c>
      <c r="M54" s="98" t="s">
        <v>512</v>
      </c>
      <c r="N54" s="103">
        <v>6.4542640000000002</v>
      </c>
      <c r="O54" s="103">
        <v>0.131826</v>
      </c>
    </row>
    <row r="55" spans="4:16" x14ac:dyDescent="0.45">
      <c r="D55" t="s">
        <v>135</v>
      </c>
      <c r="E55">
        <v>4283021</v>
      </c>
      <c r="M55" s="98" t="s">
        <v>52</v>
      </c>
      <c r="N55" s="103">
        <v>6.0950000000000006</v>
      </c>
      <c r="O55" s="103">
        <v>0.32766500000000004</v>
      </c>
    </row>
    <row r="56" spans="4:16" x14ac:dyDescent="0.45">
      <c r="D56" t="s">
        <v>136</v>
      </c>
      <c r="E56">
        <v>2850821</v>
      </c>
      <c r="M56" s="98" t="s">
        <v>53</v>
      </c>
      <c r="N56" s="103">
        <v>6.6390000000000002</v>
      </c>
      <c r="O56" s="103">
        <v>0.39788100000000004</v>
      </c>
    </row>
    <row r="57" spans="4:16" x14ac:dyDescent="0.45">
      <c r="D57" t="s">
        <v>137</v>
      </c>
      <c r="E57">
        <v>5743117</v>
      </c>
      <c r="M57" s="98" t="s">
        <v>54</v>
      </c>
      <c r="N57" s="103">
        <v>6.8609469999999995</v>
      </c>
      <c r="O57" s="103">
        <v>0.58807200000000004</v>
      </c>
    </row>
    <row r="58" spans="4:16" x14ac:dyDescent="0.45">
      <c r="D58" t="s">
        <v>138</v>
      </c>
      <c r="E58">
        <v>6244912</v>
      </c>
      <c r="M58" s="98" t="s">
        <v>55</v>
      </c>
      <c r="N58" s="103">
        <v>6.702</v>
      </c>
      <c r="O58" s="103">
        <v>0.87855099999999997</v>
      </c>
    </row>
    <row r="59" spans="4:16" x14ac:dyDescent="0.45">
      <c r="D59" t="s">
        <v>139</v>
      </c>
      <c r="E59">
        <v>3613469</v>
      </c>
      <c r="M59" s="98" t="s">
        <v>56</v>
      </c>
      <c r="N59" s="103">
        <v>6.1270000000000007</v>
      </c>
      <c r="O59" s="103">
        <v>0.81472999999999995</v>
      </c>
    </row>
    <row r="60" spans="4:16" x14ac:dyDescent="0.45">
      <c r="D60" t="s">
        <v>140</v>
      </c>
      <c r="E60">
        <v>6923420</v>
      </c>
      <c r="M60" s="98" t="s">
        <v>57</v>
      </c>
      <c r="N60" s="103">
        <v>3.5497719999999999</v>
      </c>
      <c r="O60" s="103">
        <v>0.90999999999999992</v>
      </c>
    </row>
    <row r="61" spans="4:16" x14ac:dyDescent="0.45">
      <c r="D61" t="s">
        <v>141</v>
      </c>
      <c r="M61" s="98" t="s">
        <v>513</v>
      </c>
      <c r="N61" s="103">
        <f>SUM(N53:N60)</f>
        <v>48.357982999999997</v>
      </c>
      <c r="O61" s="103">
        <f>SUM(O53:O60)</f>
        <v>4.1353489999999997</v>
      </c>
      <c r="P61">
        <f>N61*1000000</f>
        <v>48357983</v>
      </c>
    </row>
    <row r="62" spans="4:16" x14ac:dyDescent="0.45">
      <c r="E62">
        <f>SUM(E50:E59)</f>
        <v>48592554</v>
      </c>
      <c r="P62">
        <f>P61/100000</f>
        <v>483.57983000000002</v>
      </c>
    </row>
  </sheetData>
  <mergeCells count="30">
    <mergeCell ref="U19:U20"/>
    <mergeCell ref="T19:T20"/>
    <mergeCell ref="G15:G16"/>
    <mergeCell ref="D9:K9"/>
    <mergeCell ref="D15:D16"/>
    <mergeCell ref="F15:F16"/>
    <mergeCell ref="E15:E16"/>
    <mergeCell ref="J10:K10"/>
    <mergeCell ref="H15:H16"/>
    <mergeCell ref="I15:I16"/>
    <mergeCell ref="J15:J16"/>
    <mergeCell ref="K15:K16"/>
    <mergeCell ref="G10:G11"/>
    <mergeCell ref="F10:F11"/>
    <mergeCell ref="E10:E11"/>
    <mergeCell ref="D10:D11"/>
    <mergeCell ref="M46:M48"/>
    <mergeCell ref="N44:S44"/>
    <mergeCell ref="H10:I10"/>
    <mergeCell ref="D18:J18"/>
    <mergeCell ref="M18:T18"/>
    <mergeCell ref="E19:G19"/>
    <mergeCell ref="D19:D20"/>
    <mergeCell ref="H19:H20"/>
    <mergeCell ref="I19:I20"/>
    <mergeCell ref="J19:J20"/>
    <mergeCell ref="M19:M20"/>
    <mergeCell ref="N19:Q19"/>
    <mergeCell ref="R19:R20"/>
    <mergeCell ref="S19:S20"/>
  </mergeCells>
  <printOptions horizontalCentered="1"/>
  <pageMargins left="0.24" right="0.16" top="0.74803149606299213" bottom="0.74803149606299213" header="0.31496062992125984" footer="0.31496062992125984"/>
  <pageSetup scale="38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U65"/>
  <sheetViews>
    <sheetView topLeftCell="A21" zoomScale="90" zoomScaleNormal="90" workbookViewId="0">
      <selection activeCell="F42" sqref="F42"/>
    </sheetView>
  </sheetViews>
  <sheetFormatPr defaultColWidth="9.1328125" defaultRowHeight="16.899999999999999" x14ac:dyDescent="0.35"/>
  <cols>
    <col min="1" max="1" width="5.3984375" style="376" customWidth="1"/>
    <col min="2" max="2" width="37.73046875" style="300" customWidth="1"/>
    <col min="3" max="3" width="13" style="5" customWidth="1"/>
    <col min="4" max="4" width="9" style="84" customWidth="1"/>
    <col min="5" max="5" width="9.3984375" style="35" customWidth="1"/>
    <col min="6" max="6" width="11" style="5" customWidth="1"/>
    <col min="7" max="7" width="12" style="5" customWidth="1"/>
    <col min="8" max="8" width="9.265625" style="11" customWidth="1"/>
    <col min="9" max="9" width="11.86328125" style="82" customWidth="1"/>
    <col min="10" max="10" width="9.1328125" style="5"/>
    <col min="11" max="11" width="14.265625" style="5" customWidth="1"/>
    <col min="12" max="12" width="13.1328125" style="5" customWidth="1"/>
    <col min="13" max="13" width="11.86328125" style="5" customWidth="1"/>
    <col min="14" max="14" width="10.73046875" style="5" customWidth="1"/>
    <col min="15" max="15" width="10.59765625" style="5" bestFit="1" customWidth="1"/>
    <col min="16" max="16" width="11.1328125" style="5" bestFit="1" customWidth="1"/>
    <col min="17" max="16384" width="9.1328125" style="5"/>
  </cols>
  <sheetData>
    <row r="1" spans="1:17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7" s="301" customFormat="1" ht="17.25" thickBot="1" x14ac:dyDescent="0.5">
      <c r="A2" s="2092" t="s">
        <v>386</v>
      </c>
      <c r="B2" s="2093"/>
      <c r="C2" s="2093"/>
      <c r="D2" s="2093"/>
      <c r="E2" s="2093"/>
      <c r="F2" s="2093"/>
      <c r="G2" s="2093"/>
      <c r="H2" s="2093"/>
      <c r="I2" s="2094"/>
    </row>
    <row r="3" spans="1:17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7" s="35" customFormat="1" ht="15" x14ac:dyDescent="0.45">
      <c r="A4" s="2035"/>
      <c r="B4" s="2047"/>
      <c r="C4" s="2048"/>
      <c r="D4" s="366" t="s">
        <v>9</v>
      </c>
      <c r="E4" s="383">
        <f>G4</f>
        <v>44197</v>
      </c>
      <c r="F4" s="383">
        <v>43831</v>
      </c>
      <c r="G4" s="383">
        <v>44197</v>
      </c>
      <c r="H4" s="2041" t="s">
        <v>12</v>
      </c>
      <c r="I4" s="2041" t="s">
        <v>13</v>
      </c>
    </row>
    <row r="5" spans="1:17" ht="15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/>
    </row>
    <row r="6" spans="1:17" x14ac:dyDescent="0.45">
      <c r="A6" s="372">
        <v>1</v>
      </c>
      <c r="B6" s="2049" t="s">
        <v>279</v>
      </c>
      <c r="C6" s="2049"/>
      <c r="D6" s="304" t="s">
        <v>221</v>
      </c>
      <c r="E6" s="305">
        <v>48.02</v>
      </c>
      <c r="F6" s="305">
        <f>F15+F16+F17</f>
        <v>85.89</v>
      </c>
      <c r="G6" s="305">
        <f>G15+G16+G17</f>
        <v>43.093520888</v>
      </c>
      <c r="H6" s="306">
        <f>(G6-E6)/E6*100</f>
        <v>-10.259223473552691</v>
      </c>
      <c r="I6" s="306">
        <f>(G6-F6)/F6*100</f>
        <v>-49.827080116427993</v>
      </c>
      <c r="K6" s="319"/>
      <c r="L6"/>
    </row>
    <row r="7" spans="1:17" x14ac:dyDescent="0.35">
      <c r="A7" s="373">
        <v>2</v>
      </c>
      <c r="B7" s="2050" t="s">
        <v>281</v>
      </c>
      <c r="C7" s="2051"/>
      <c r="D7" s="307" t="s">
        <v>221</v>
      </c>
      <c r="E7" s="307">
        <v>17.14</v>
      </c>
      <c r="F7" s="307">
        <f>F19+F20+F21+F22+F23+F24+F25</f>
        <v>18.8630833</v>
      </c>
      <c r="G7" s="307">
        <f>G19+G20+G21+G22+G23+G24+G25</f>
        <v>10.306924199999999</v>
      </c>
      <c r="H7" s="306">
        <f>(G7-E7)/E7*100</f>
        <v>-39.866253208868152</v>
      </c>
      <c r="I7" s="308">
        <f>(G7-F7)/F7*100</f>
        <v>-45.359281745842686</v>
      </c>
    </row>
    <row r="8" spans="1:17" x14ac:dyDescent="0.35">
      <c r="A8" s="374">
        <v>3</v>
      </c>
      <c r="B8" s="2021" t="s">
        <v>282</v>
      </c>
      <c r="C8" s="2023"/>
      <c r="D8" s="364" t="s">
        <v>221</v>
      </c>
      <c r="E8" s="364">
        <v>1.86</v>
      </c>
      <c r="F8" s="364">
        <f>F27+F28+F29+F30+F31+F32+F33</f>
        <v>6.7332803999999999</v>
      </c>
      <c r="G8" s="364">
        <f>G27+G28+G29+G30+G31+G32+G33</f>
        <v>2.9175481999999997</v>
      </c>
      <c r="H8" s="306">
        <f>(G8-E8)/E8*100</f>
        <v>56.857430107526866</v>
      </c>
      <c r="I8" s="365">
        <f>(G8-F8)/F8*100</f>
        <v>-56.669735601683847</v>
      </c>
    </row>
    <row r="9" spans="1:17" x14ac:dyDescent="0.35">
      <c r="A9" s="373">
        <v>4</v>
      </c>
      <c r="B9" s="2052" t="s">
        <v>283</v>
      </c>
      <c r="C9" s="2053"/>
      <c r="D9" s="307" t="s">
        <v>221</v>
      </c>
      <c r="E9" s="307">
        <f>E35+E36+E37</f>
        <v>0.22750000000000004</v>
      </c>
      <c r="F9" s="307">
        <f>F35+F36+F37+F38+F39+F40</f>
        <v>0.65282390000000001</v>
      </c>
      <c r="G9" s="307">
        <f>G35+G36+G37+G38+G39+G40</f>
        <v>0.28966330000000001</v>
      </c>
      <c r="H9" s="306">
        <f>(G9-E9)/E9*100</f>
        <v>27.324527472527461</v>
      </c>
      <c r="I9" s="308">
        <f>(G9-F9)/F9*100</f>
        <v>-55.629182693832135</v>
      </c>
      <c r="K9" s="5">
        <f>48*10000000</f>
        <v>480000000</v>
      </c>
    </row>
    <row r="10" spans="1:17" ht="17.649999999999999" x14ac:dyDescent="0.35">
      <c r="A10" s="374">
        <v>5</v>
      </c>
      <c r="B10" s="2117" t="s">
        <v>284</v>
      </c>
      <c r="C10" s="2118"/>
      <c r="D10" s="321" t="s">
        <v>221</v>
      </c>
      <c r="E10" s="321">
        <f>SUM(E6:E9)</f>
        <v>67.247500000000002</v>
      </c>
      <c r="F10" s="446">
        <f>SUM(F6:F9)</f>
        <v>112.1391876</v>
      </c>
      <c r="G10" s="446">
        <f>SUM(G6:G9)</f>
        <v>56.607656587999998</v>
      </c>
      <c r="H10" s="306">
        <f>(G10-E10)/E10*100</f>
        <v>-15.82191666902116</v>
      </c>
      <c r="I10" s="322">
        <f>(G10-F10)/F10*100</f>
        <v>-49.520183087183348</v>
      </c>
      <c r="K10" s="12">
        <f>K9/100000</f>
        <v>4800</v>
      </c>
    </row>
    <row r="11" spans="1:17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7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6.702</v>
      </c>
      <c r="G12" s="447">
        <f>G42+G43+G44</f>
        <v>0.87855099999999997</v>
      </c>
      <c r="H12" s="310" t="s">
        <v>221</v>
      </c>
      <c r="I12" s="311">
        <f>(G12-F12)/F12*100</f>
        <v>-86.891211578633246</v>
      </c>
    </row>
    <row r="13" spans="1:17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M13" s="5">
        <v>0.02</v>
      </c>
      <c r="N13" s="5">
        <f>M13*10000000</f>
        <v>200000</v>
      </c>
      <c r="O13" s="5">
        <f>N13/100000</f>
        <v>2</v>
      </c>
    </row>
    <row r="14" spans="1:17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K14" s="383">
        <f>F4</f>
        <v>43831</v>
      </c>
      <c r="L14" s="383">
        <v>44197</v>
      </c>
    </row>
    <row r="15" spans="1:17" ht="15.4" x14ac:dyDescent="0.4">
      <c r="A15" s="2004"/>
      <c r="B15" s="2006" t="s">
        <v>16</v>
      </c>
      <c r="C15" s="2007"/>
      <c r="D15" s="331" t="s">
        <v>221</v>
      </c>
      <c r="E15" s="307">
        <v>0.02</v>
      </c>
      <c r="F15" s="264">
        <v>1.71</v>
      </c>
      <c r="G15" s="433">
        <v>5.1386088000000003E-2</v>
      </c>
      <c r="H15" s="314">
        <f>(G15-E15)/E15*100</f>
        <v>156.93044000000003</v>
      </c>
      <c r="I15" s="314">
        <f>(G15-F15)/F15*100</f>
        <v>-96.994965614035081</v>
      </c>
      <c r="J15" s="12">
        <f>K15/10000000</f>
        <v>0</v>
      </c>
      <c r="K15" s="41"/>
      <c r="L15" s="476">
        <v>513860.88</v>
      </c>
      <c r="M15" s="264">
        <f>L15/10000000</f>
        <v>5.1386088000000003E-2</v>
      </c>
      <c r="N15" s="5">
        <f>L15/100000</f>
        <v>5.1386088000000001</v>
      </c>
    </row>
    <row r="16" spans="1:17" ht="15.4" x14ac:dyDescent="0.4">
      <c r="A16" s="2004"/>
      <c r="B16" s="2071" t="s">
        <v>15</v>
      </c>
      <c r="C16" s="320" t="s">
        <v>166</v>
      </c>
      <c r="D16" s="2064" t="s">
        <v>221</v>
      </c>
      <c r="E16" s="2065">
        <v>48</v>
      </c>
      <c r="F16" s="134">
        <v>16.04</v>
      </c>
      <c r="G16" s="433">
        <v>2.4579400000000001E-2</v>
      </c>
      <c r="H16" s="2027">
        <f>((G16+G17)-E16)/E16*100</f>
        <v>-10.328885833333334</v>
      </c>
      <c r="I16" s="314">
        <f>(G16-F16)/F16*100</f>
        <v>-99.846761845386538</v>
      </c>
      <c r="J16" s="12">
        <f>K16/10000000</f>
        <v>0</v>
      </c>
      <c r="K16" s="41"/>
      <c r="L16" s="477">
        <f>245794</f>
        <v>245794</v>
      </c>
      <c r="M16" s="264">
        <f>L16/10000000</f>
        <v>2.4579400000000001E-2</v>
      </c>
      <c r="N16" s="41">
        <f>L16/100000</f>
        <v>2.4579399999999998</v>
      </c>
      <c r="O16" s="12">
        <v>48</v>
      </c>
      <c r="P16" s="12">
        <f>G16+G17</f>
        <v>43.042134799999999</v>
      </c>
      <c r="Q16" s="5">
        <f>(P16-O16)/O16*100</f>
        <v>-10.328885833333334</v>
      </c>
    </row>
    <row r="17" spans="1:21" ht="15.75" x14ac:dyDescent="0.45">
      <c r="A17" s="2005"/>
      <c r="B17" s="2071"/>
      <c r="C17" s="320" t="s">
        <v>228</v>
      </c>
      <c r="D17" s="2064"/>
      <c r="E17" s="2066"/>
      <c r="F17" s="475">
        <v>68.14</v>
      </c>
      <c r="G17" s="264">
        <v>43.017555399999999</v>
      </c>
      <c r="H17" s="2029"/>
      <c r="I17" s="314">
        <f>(G17-F17)/F17*100</f>
        <v>-36.868864983856767</v>
      </c>
      <c r="J17" s="12">
        <f>K17/10000000</f>
        <v>0</v>
      </c>
      <c r="K17" s="478"/>
      <c r="L17">
        <v>430175554</v>
      </c>
      <c r="M17" s="264">
        <f>L17/10000000</f>
        <v>43.017555399999999</v>
      </c>
      <c r="N17" s="41">
        <f>L17/100000</f>
        <v>4301.7555400000001</v>
      </c>
      <c r="P17">
        <v>605916594</v>
      </c>
    </row>
    <row r="18" spans="1:21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  <c r="L18" s="41">
        <f>SUM(L15:L17)</f>
        <v>430935208.88</v>
      </c>
    </row>
    <row r="19" spans="1:21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f>80115896/10000000</f>
        <v>8.0115896000000006</v>
      </c>
      <c r="G19" s="264">
        <f>64164917/10000000</f>
        <v>6.4164916999999999</v>
      </c>
      <c r="H19" s="316" t="s">
        <v>221</v>
      </c>
      <c r="I19" s="314">
        <f>(G19-F19)/F19*100</f>
        <v>-19.909880306400126</v>
      </c>
      <c r="L19"/>
    </row>
    <row r="20" spans="1:21" ht="15.4" x14ac:dyDescent="0.4">
      <c r="A20" s="2004"/>
      <c r="B20" s="2009"/>
      <c r="C20" s="2000" t="s">
        <v>232</v>
      </c>
      <c r="D20" s="2001"/>
      <c r="E20" s="2002"/>
      <c r="F20" s="264">
        <f>78322909/10000000</f>
        <v>7.8322909000000003</v>
      </c>
      <c r="G20" s="264">
        <f>9032505/10000000</f>
        <v>0.90325049999999996</v>
      </c>
      <c r="H20" s="316" t="s">
        <v>221</v>
      </c>
      <c r="I20" s="314">
        <f>(G20-F20)/F20*100</f>
        <v>-88.46760786170492</v>
      </c>
    </row>
    <row r="21" spans="1:21" ht="15.4" x14ac:dyDescent="0.4">
      <c r="A21" s="2004"/>
      <c r="B21" s="2009"/>
      <c r="C21" s="2000" t="s">
        <v>239</v>
      </c>
      <c r="D21" s="2001"/>
      <c r="E21" s="2002"/>
      <c r="F21" s="264">
        <f>10363280/10000000</f>
        <v>1.0363279999999999</v>
      </c>
      <c r="G21" s="264">
        <f>20437733/10000000</f>
        <v>2.0437732999999998</v>
      </c>
      <c r="H21" s="316" t="s">
        <v>221</v>
      </c>
      <c r="I21" s="314">
        <f>(G21-F21)/F21*100</f>
        <v>97.212976972541512</v>
      </c>
    </row>
    <row r="22" spans="1:21" ht="15.4" x14ac:dyDescent="0.4">
      <c r="A22" s="2004"/>
      <c r="B22" s="2009"/>
      <c r="C22" s="2000" t="s">
        <v>233</v>
      </c>
      <c r="D22" s="2001"/>
      <c r="E22" s="2002"/>
      <c r="F22" s="264">
        <f>15763963/10000000</f>
        <v>1.5763963000000001</v>
      </c>
      <c r="G22" s="264">
        <f>7910308/10000000</f>
        <v>0.79103080000000003</v>
      </c>
      <c r="H22" s="316" t="s">
        <v>221</v>
      </c>
      <c r="I22" s="314">
        <f>(G22-F22)/F22*100</f>
        <v>-49.820308509985715</v>
      </c>
    </row>
    <row r="23" spans="1:21" ht="15.4" x14ac:dyDescent="0.4">
      <c r="A23" s="2004"/>
      <c r="B23" s="2009"/>
      <c r="C23" s="2000" t="s">
        <v>234</v>
      </c>
      <c r="D23" s="2001"/>
      <c r="E23" s="2002"/>
      <c r="F23" s="264">
        <f>3723577/10000000</f>
        <v>0.37235770000000001</v>
      </c>
      <c r="G23" s="264">
        <f>0</f>
        <v>0</v>
      </c>
      <c r="H23" s="316" t="s">
        <v>221</v>
      </c>
      <c r="I23" s="314">
        <f>(G23-F23)/F23*100</f>
        <v>-100</v>
      </c>
    </row>
    <row r="24" spans="1:21" ht="15.4" x14ac:dyDescent="0.4">
      <c r="A24" s="2004"/>
      <c r="B24" s="2009"/>
      <c r="C24" s="2000" t="s">
        <v>235</v>
      </c>
      <c r="D24" s="2001"/>
      <c r="E24" s="2002"/>
      <c r="F24" s="264">
        <f>0</f>
        <v>0</v>
      </c>
      <c r="G24" s="264">
        <f>1012854/10000000</f>
        <v>0.1012854</v>
      </c>
      <c r="H24" s="316"/>
      <c r="I24" s="314">
        <v>0</v>
      </c>
      <c r="M24" s="5">
        <f>970545+185878</f>
        <v>1156423</v>
      </c>
    </row>
    <row r="25" spans="1:21" ht="15.4" x14ac:dyDescent="0.4">
      <c r="A25" s="2005"/>
      <c r="B25" s="2010"/>
      <c r="C25" s="2011" t="s">
        <v>236</v>
      </c>
      <c r="D25" s="2012"/>
      <c r="E25" s="2013"/>
      <c r="F25" s="264">
        <f>341208/10000000</f>
        <v>3.41208E-2</v>
      </c>
      <c r="G25" s="264">
        <f>510925/10000000</f>
        <v>5.1092499999999999E-2</v>
      </c>
      <c r="H25" s="316" t="s">
        <v>221</v>
      </c>
      <c r="I25" s="314">
        <v>0</v>
      </c>
      <c r="M25" s="5">
        <f>M24/10000000</f>
        <v>0.1156423</v>
      </c>
    </row>
    <row r="26" spans="1:21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21" ht="15.4" x14ac:dyDescent="0.4">
      <c r="A27" s="2015"/>
      <c r="B27" s="2006" t="s">
        <v>2</v>
      </c>
      <c r="C27" s="2007"/>
      <c r="D27" s="333">
        <v>0.7</v>
      </c>
      <c r="E27" s="307">
        <v>0.124</v>
      </c>
      <c r="F27" s="134">
        <v>1.6422334999999999</v>
      </c>
      <c r="G27" s="134">
        <f>991672/10000000</f>
        <v>9.9167199999999997E-2</v>
      </c>
      <c r="H27" s="314">
        <f>(G27-E27)/E27*100</f>
        <v>-20.02645161290323</v>
      </c>
      <c r="I27" s="314">
        <f t="shared" ref="I27:I33" si="0">(G27-F27)/F27*100</f>
        <v>-93.96144336356555</v>
      </c>
      <c r="K27" s="6" t="s">
        <v>126</v>
      </c>
      <c r="L27" s="6" t="s">
        <v>299</v>
      </c>
      <c r="N27" s="5" t="s">
        <v>343</v>
      </c>
      <c r="O27" s="5">
        <f>F27*10000000</f>
        <v>16422334.999999998</v>
      </c>
      <c r="P27" s="5">
        <f>G27*10000000</f>
        <v>991672</v>
      </c>
    </row>
    <row r="28" spans="1:21" ht="15.75" x14ac:dyDescent="0.45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v>1.892417</v>
      </c>
      <c r="G28" s="134">
        <f>13466939/10000000</f>
        <v>1.3466939</v>
      </c>
      <c r="H28" s="314" t="s">
        <v>221</v>
      </c>
      <c r="I28" s="314">
        <f t="shared" si="0"/>
        <v>-28.837359841937587</v>
      </c>
      <c r="J28" s="5" t="s">
        <v>388</v>
      </c>
      <c r="K28" s="6"/>
      <c r="L28">
        <f>1280+905+14085</f>
        <v>16270</v>
      </c>
      <c r="M28" s="41">
        <v>757017</v>
      </c>
      <c r="N28" s="12">
        <v>1.6422334999999999</v>
      </c>
      <c r="O28" s="11">
        <f>O27/100000</f>
        <v>164.22334999999998</v>
      </c>
      <c r="P28" s="11">
        <f>P27/100000</f>
        <v>9.9167199999999998</v>
      </c>
      <c r="Q28" s="5">
        <f>5743117/100000</f>
        <v>57.431170000000002</v>
      </c>
      <c r="R28" s="5">
        <f>139396/100000</f>
        <v>1.3939600000000001</v>
      </c>
    </row>
    <row r="29" spans="1:21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283">
        <v>8.8873300000000002E-2</v>
      </c>
      <c r="G29" s="283">
        <f>654746/10000000</f>
        <v>6.5474599999999994E-2</v>
      </c>
      <c r="H29" s="314" t="s">
        <v>221</v>
      </c>
      <c r="I29" s="314">
        <f t="shared" si="0"/>
        <v>-26.328154800148084</v>
      </c>
      <c r="L29" s="5">
        <f>L28/10000000</f>
        <v>1.627E-3</v>
      </c>
      <c r="N29" s="12">
        <v>1.892417</v>
      </c>
      <c r="O29" s="11"/>
    </row>
    <row r="30" spans="1:21" ht="15.75" x14ac:dyDescent="0.45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v>4.9486000000000002E-2</v>
      </c>
      <c r="G30" s="134">
        <v>0</v>
      </c>
      <c r="H30" s="316" t="s">
        <v>221</v>
      </c>
      <c r="I30" s="314">
        <f t="shared" si="0"/>
        <v>-100</v>
      </c>
      <c r="L30"/>
      <c r="N30" s="12">
        <v>8.8873300000000002E-2</v>
      </c>
      <c r="O30" s="11"/>
      <c r="S30" s="5">
        <v>7.29</v>
      </c>
      <c r="T30" s="5">
        <v>6.7</v>
      </c>
      <c r="U30" s="5">
        <f>S30-T30</f>
        <v>0.58999999999999986</v>
      </c>
    </row>
    <row r="31" spans="1:21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v>0.34</v>
      </c>
      <c r="G31" s="492">
        <v>0</v>
      </c>
      <c r="H31" s="316" t="s">
        <v>221</v>
      </c>
      <c r="I31" s="314">
        <f t="shared" si="0"/>
        <v>-100</v>
      </c>
      <c r="L31" s="319"/>
      <c r="N31" s="12">
        <v>4.9486000000000002E-2</v>
      </c>
    </row>
    <row r="32" spans="1:21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134">
        <f>K32/10000000</f>
        <v>2.7002706000000001</v>
      </c>
      <c r="G32" s="264">
        <v>1.4045855</v>
      </c>
      <c r="H32" s="316" t="s">
        <v>221</v>
      </c>
      <c r="I32" s="314">
        <f t="shared" si="0"/>
        <v>-47.983528021228686</v>
      </c>
      <c r="K32">
        <v>27002706</v>
      </c>
      <c r="L32">
        <v>14045855</v>
      </c>
      <c r="N32" s="12">
        <v>0.34</v>
      </c>
    </row>
    <row r="33" spans="1:18" x14ac:dyDescent="0.4">
      <c r="A33" s="403"/>
      <c r="B33" s="402" t="s">
        <v>266</v>
      </c>
      <c r="C33" s="409"/>
      <c r="D33" s="332"/>
      <c r="E33" s="308"/>
      <c r="F33" s="134">
        <v>0.02</v>
      </c>
      <c r="G33" s="493">
        <v>1.627E-3</v>
      </c>
      <c r="H33" s="316"/>
      <c r="I33" s="314">
        <f t="shared" si="0"/>
        <v>-91.864999999999995</v>
      </c>
      <c r="N33" s="12">
        <v>2.5502646000000002</v>
      </c>
    </row>
    <row r="34" spans="1:18" ht="15" x14ac:dyDescent="0.35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  <c r="N34" s="12">
        <f>SUM(N28:N33)</f>
        <v>6.5632744000000001</v>
      </c>
    </row>
    <row r="35" spans="1:18" ht="15.4" x14ac:dyDescent="0.4">
      <c r="A35" s="2020"/>
      <c r="B35" s="2006" t="s">
        <v>27</v>
      </c>
      <c r="C35" s="2007"/>
      <c r="D35" s="331">
        <v>2.4300000000000002</v>
      </c>
      <c r="E35" s="307">
        <v>0.20250000000000001</v>
      </c>
      <c r="F35" s="264">
        <f>3613469/10000000</f>
        <v>0.36134690000000003</v>
      </c>
      <c r="G35" s="283">
        <f>2627638/10000000</f>
        <v>0.26276379999999999</v>
      </c>
      <c r="H35" s="314">
        <f>(G35-E35)/E35*100</f>
        <v>29.759901234567888</v>
      </c>
      <c r="I35" s="314">
        <f>(G35-F35)/F35*100</f>
        <v>-27.282121418503948</v>
      </c>
      <c r="K35" s="432" t="s">
        <v>203</v>
      </c>
      <c r="L35" s="432" t="s">
        <v>275</v>
      </c>
      <c r="N35" s="491">
        <f>6.73-N34</f>
        <v>0.16672560000000036</v>
      </c>
      <c r="Q35" s="6" t="s">
        <v>126</v>
      </c>
    </row>
    <row r="36" spans="1:18" ht="15.4" x14ac:dyDescent="0.4">
      <c r="A36" s="2020"/>
      <c r="B36" s="2006" t="s">
        <v>28</v>
      </c>
      <c r="C36" s="2007"/>
      <c r="D36" s="333">
        <v>0.11</v>
      </c>
      <c r="E36" s="307">
        <v>8.9999999999999993E-3</v>
      </c>
      <c r="F36" s="264">
        <f>1152680/10000000</f>
        <v>0.115268</v>
      </c>
      <c r="G36" s="283">
        <f>133389/10000000</f>
        <v>1.3338900000000001E-2</v>
      </c>
      <c r="H36" s="314">
        <f>(G36-E36)/E36*100</f>
        <v>48.210000000000022</v>
      </c>
      <c r="I36" s="314">
        <f>(G36-F36)/F36*100</f>
        <v>-88.427924489016902</v>
      </c>
      <c r="K36" s="5" t="s">
        <v>126</v>
      </c>
      <c r="L36" s="5" t="s">
        <v>299</v>
      </c>
      <c r="Q36" s="172">
        <v>0.57431169999999998</v>
      </c>
      <c r="R36" s="5" t="s">
        <v>27</v>
      </c>
    </row>
    <row r="37" spans="1:18" ht="15.4" x14ac:dyDescent="0.4">
      <c r="A37" s="2020"/>
      <c r="B37" s="378" t="s">
        <v>224</v>
      </c>
      <c r="C37" s="379"/>
      <c r="D37" s="331">
        <v>0.19</v>
      </c>
      <c r="E37" s="406">
        <v>1.6E-2</v>
      </c>
      <c r="F37" s="433">
        <f>1662090/10000000</f>
        <v>0.166209</v>
      </c>
      <c r="G37" s="389">
        <f>35606/10000000</f>
        <v>3.5606000000000001E-3</v>
      </c>
      <c r="H37" s="314">
        <f>(G37-E37)/E37*100</f>
        <v>-77.746249999999989</v>
      </c>
      <c r="I37" s="314">
        <f>(G37-F37)/F37*100</f>
        <v>-97.857757401825424</v>
      </c>
      <c r="K37" s="6">
        <f>2702+731+844+40+8964+25+1117213+1990+6920+7826+250+224369+200+1938+8500+500+100+2009</f>
        <v>1385121</v>
      </c>
      <c r="L37" s="6">
        <f>212+480+7925+25000+36123+500+100+8618+95686+12140+93+3000+2404</f>
        <v>192281</v>
      </c>
      <c r="Q37" s="172">
        <v>0.1038307</v>
      </c>
      <c r="R37" s="5" t="s">
        <v>28</v>
      </c>
    </row>
    <row r="38" spans="1:18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v>0</v>
      </c>
      <c r="G38" s="134">
        <v>0</v>
      </c>
      <c r="H38" s="314" t="s">
        <v>221</v>
      </c>
      <c r="I38" s="314">
        <v>0</v>
      </c>
      <c r="J38" s="5">
        <f>K38/10000000</f>
        <v>1.385121E-8</v>
      </c>
      <c r="K38" s="30">
        <f>K37/10000000</f>
        <v>0.1385121</v>
      </c>
      <c r="L38" s="30">
        <f>L37/10000000</f>
        <v>1.9228100000000001E-2</v>
      </c>
      <c r="Q38" s="172">
        <v>1.3424E-2</v>
      </c>
      <c r="R38" s="5" t="s">
        <v>4</v>
      </c>
    </row>
    <row r="39" spans="1:18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492">
        <v>0</v>
      </c>
      <c r="G39" s="79">
        <v>0</v>
      </c>
      <c r="H39" s="314" t="s">
        <v>221</v>
      </c>
      <c r="I39" s="314">
        <v>0</v>
      </c>
      <c r="Q39" s="172">
        <v>0</v>
      </c>
      <c r="R39" s="5" t="s">
        <v>29</v>
      </c>
    </row>
    <row r="40" spans="1:18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134">
        <v>0.01</v>
      </c>
      <c r="G40" s="283">
        <v>0.01</v>
      </c>
      <c r="H40" s="314"/>
      <c r="I40" s="314">
        <f>(G40-F40)/F40*100</f>
        <v>0</v>
      </c>
      <c r="Q40" s="172">
        <v>0</v>
      </c>
      <c r="R40" s="5" t="s">
        <v>64</v>
      </c>
    </row>
    <row r="41" spans="1:18" ht="15" x14ac:dyDescent="0.35">
      <c r="A41" s="2020"/>
      <c r="B41" s="2021" t="s">
        <v>390</v>
      </c>
      <c r="C41" s="2022"/>
      <c r="D41" s="2022"/>
      <c r="E41" s="2022"/>
      <c r="F41" s="2022"/>
      <c r="G41" s="2022"/>
      <c r="H41" s="2022"/>
      <c r="I41" s="2023"/>
      <c r="K41" s="383">
        <v>43831</v>
      </c>
      <c r="L41" s="383">
        <v>44197</v>
      </c>
      <c r="M41" s="5" t="s">
        <v>350</v>
      </c>
      <c r="N41" s="5" t="s">
        <v>351</v>
      </c>
      <c r="Q41" s="172">
        <v>2.9382100000000001E-2</v>
      </c>
      <c r="R41" s="5" t="s">
        <v>3</v>
      </c>
    </row>
    <row r="42" spans="1:18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3.141</v>
      </c>
      <c r="G42" s="264">
        <f>L42/1000000</f>
        <v>0.116926</v>
      </c>
      <c r="H42" s="314" t="s">
        <v>221</v>
      </c>
      <c r="I42" s="314">
        <f>(G42-F42)/F42*100</f>
        <v>-96.277427570837318</v>
      </c>
      <c r="J42" s="12">
        <f>K42/1000000</f>
        <v>3.1346539999999998</v>
      </c>
      <c r="K42" s="5">
        <v>3134654</v>
      </c>
      <c r="L42" s="41">
        <v>116926</v>
      </c>
      <c r="M42" s="12">
        <f>L42/1000000</f>
        <v>0.116926</v>
      </c>
      <c r="N42" s="42">
        <f>L42/100000</f>
        <v>1.16926</v>
      </c>
      <c r="R42" s="5" t="s">
        <v>31</v>
      </c>
    </row>
    <row r="43" spans="1:18" ht="15.4" x14ac:dyDescent="0.4">
      <c r="A43" s="2020"/>
      <c r="B43" s="2069" t="s">
        <v>15</v>
      </c>
      <c r="C43" s="320" t="s">
        <v>166</v>
      </c>
      <c r="D43" s="2067"/>
      <c r="E43" s="2065"/>
      <c r="F43" s="134">
        <v>2.5099999999999998</v>
      </c>
      <c r="G43" s="264">
        <f>L43/1000000</f>
        <v>1.3610000000000001E-2</v>
      </c>
      <c r="H43" s="2027" t="s">
        <v>221</v>
      </c>
      <c r="I43" s="314">
        <f>(G43-F43)/F43*100</f>
        <v>-99.457768924302798</v>
      </c>
      <c r="J43" s="12">
        <f>K43/1000000</f>
        <v>2.5113099999999999</v>
      </c>
      <c r="K43" s="5">
        <v>2511310</v>
      </c>
      <c r="L43" s="41">
        <v>13610</v>
      </c>
      <c r="M43" s="12">
        <f>L43/1000000</f>
        <v>1.3610000000000001E-2</v>
      </c>
      <c r="N43" s="42">
        <f>L43/100000</f>
        <v>0.1361</v>
      </c>
    </row>
    <row r="44" spans="1:18" ht="15.4" x14ac:dyDescent="0.4">
      <c r="A44" s="2020"/>
      <c r="B44" s="2070"/>
      <c r="C44" s="320" t="s">
        <v>228</v>
      </c>
      <c r="D44" s="2068"/>
      <c r="E44" s="2066"/>
      <c r="F44" s="134">
        <v>1.0509999999999999</v>
      </c>
      <c r="G44" s="323">
        <f>L44/1000000</f>
        <v>0.74801499999999999</v>
      </c>
      <c r="H44" s="2029"/>
      <c r="I44" s="314">
        <f>(G44-F44)/F44*100</f>
        <v>-28.828258801141764</v>
      </c>
      <c r="J44" s="12">
        <f>K44/1000000</f>
        <v>1.0505679999999999</v>
      </c>
      <c r="K44" s="319">
        <v>1050568</v>
      </c>
      <c r="L44" s="319">
        <v>748015</v>
      </c>
      <c r="M44" s="12">
        <f>L44/1000000</f>
        <v>0.74801499999999999</v>
      </c>
      <c r="N44" s="42">
        <f>L44/100000</f>
        <v>7.4801500000000001</v>
      </c>
    </row>
    <row r="45" spans="1:18" ht="15" x14ac:dyDescent="0.35">
      <c r="A45" s="2020">
        <v>6</v>
      </c>
      <c r="B45" s="2021" t="s">
        <v>389</v>
      </c>
      <c r="C45" s="2022"/>
      <c r="D45" s="2022"/>
      <c r="E45" s="2022"/>
      <c r="F45" s="2022"/>
      <c r="G45" s="2022"/>
      <c r="H45" s="2022"/>
      <c r="I45" s="2023"/>
      <c r="L45" s="12"/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/>
      <c r="G46" s="78"/>
      <c r="H46" s="2027" t="s">
        <v>221</v>
      </c>
      <c r="I46" s="314" t="e">
        <f>(G46-F46)/F46*100</f>
        <v>#DIV/0!</v>
      </c>
      <c r="L46" s="5">
        <v>3.51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78"/>
      <c r="G47" s="78"/>
      <c r="H47" s="2028"/>
      <c r="I47" s="314" t="e">
        <f>(G47-F47)/F47*100</f>
        <v>#DIV/0!</v>
      </c>
      <c r="L47" s="5">
        <f>L46-0.88</f>
        <v>2.63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78"/>
      <c r="G48" s="78"/>
      <c r="H48" s="2029"/>
      <c r="I48" s="314" t="e">
        <f>(G48-F48)/F48*100</f>
        <v>#DIV/0!</v>
      </c>
      <c r="K48" s="319"/>
      <c r="L48" s="319">
        <v>748015</v>
      </c>
    </row>
    <row r="49" spans="2:17" s="5" customFormat="1" ht="14.25" x14ac:dyDescent="0.35">
      <c r="B49" s="300"/>
      <c r="D49" s="84"/>
      <c r="E49" s="35"/>
      <c r="F49" s="319"/>
      <c r="G49" s="319">
        <v>993759</v>
      </c>
      <c r="H49" s="11"/>
      <c r="I49" s="82"/>
    </row>
    <row r="50" spans="2:17" s="5" customFormat="1" ht="13.5" x14ac:dyDescent="0.35">
      <c r="B50" s="300"/>
      <c r="D50" s="84">
        <f t="shared" ref="D50:E54" si="1">F35*10000000</f>
        <v>3613469.0000000005</v>
      </c>
      <c r="E50" s="84">
        <f t="shared" si="1"/>
        <v>2627638</v>
      </c>
      <c r="F50" s="5">
        <f t="shared" ref="F50:G54" si="2">D50/100000</f>
        <v>36.134690000000006</v>
      </c>
      <c r="G50" s="5">
        <f t="shared" si="2"/>
        <v>26.27638</v>
      </c>
      <c r="H50" s="11"/>
      <c r="M50" s="5">
        <v>1900000</v>
      </c>
      <c r="N50" s="13">
        <f>M50/10000000</f>
        <v>0.19</v>
      </c>
      <c r="O50" s="5">
        <f>M50/100000</f>
        <v>19</v>
      </c>
      <c r="Q50" s="5">
        <f>35606/100000</f>
        <v>0.35605999999999999</v>
      </c>
    </row>
    <row r="51" spans="2:17" s="5" customFormat="1" thickBot="1" x14ac:dyDescent="0.45">
      <c r="B51" s="300"/>
      <c r="D51" s="84">
        <f t="shared" si="1"/>
        <v>1152680</v>
      </c>
      <c r="E51" s="84">
        <f t="shared" si="1"/>
        <v>133389</v>
      </c>
      <c r="F51" s="5">
        <f t="shared" si="2"/>
        <v>11.5268</v>
      </c>
      <c r="G51" s="5">
        <f t="shared" si="2"/>
        <v>1.33389</v>
      </c>
      <c r="H51" s="11"/>
      <c r="I51" s="497">
        <v>22.73</v>
      </c>
      <c r="J51" s="498">
        <v>27.98</v>
      </c>
      <c r="K51" s="499">
        <v>61.73</v>
      </c>
      <c r="L51" s="314">
        <f>(K51-I51)/I51*100</f>
        <v>171.57941047074351</v>
      </c>
      <c r="M51" s="314">
        <f>M50/12</f>
        <v>158333.33333333334</v>
      </c>
      <c r="N51" s="13">
        <f>M51/10000000</f>
        <v>1.5833333333333335E-2</v>
      </c>
      <c r="O51" s="42">
        <f>M51/100000</f>
        <v>1.5833333333333335</v>
      </c>
    </row>
    <row r="52" spans="2:17" s="5" customFormat="1" ht="13.5" x14ac:dyDescent="0.35">
      <c r="B52" s="300"/>
      <c r="D52" s="84">
        <f t="shared" si="1"/>
        <v>1662090</v>
      </c>
      <c r="E52" s="84">
        <f t="shared" si="1"/>
        <v>35606</v>
      </c>
      <c r="F52" s="5">
        <f t="shared" si="2"/>
        <v>16.620899999999999</v>
      </c>
      <c r="G52" s="5">
        <f t="shared" si="2"/>
        <v>0.35605999999999999</v>
      </c>
      <c r="H52" s="11"/>
      <c r="M52" s="5">
        <f>M51*10</f>
        <v>1583333.3333333335</v>
      </c>
      <c r="N52" s="13">
        <f>M52/10000000</f>
        <v>0.15833333333333335</v>
      </c>
      <c r="O52" s="12">
        <f>M52/100000</f>
        <v>15.833333333333336</v>
      </c>
    </row>
    <row r="53" spans="2:17" s="5" customFormat="1" ht="13.5" x14ac:dyDescent="0.35">
      <c r="B53" s="300"/>
      <c r="D53" s="84">
        <f t="shared" si="1"/>
        <v>0</v>
      </c>
      <c r="E53" s="84">
        <f t="shared" si="1"/>
        <v>0</v>
      </c>
      <c r="F53" s="495">
        <f t="shared" si="2"/>
        <v>0</v>
      </c>
      <c r="G53" s="495">
        <f t="shared" si="2"/>
        <v>0</v>
      </c>
      <c r="H53" s="11"/>
      <c r="I53" s="82"/>
      <c r="O53" s="5">
        <f>M53/100000</f>
        <v>0</v>
      </c>
    </row>
    <row r="54" spans="2:17" s="5" customFormat="1" ht="13.5" x14ac:dyDescent="0.35">
      <c r="C54" s="12"/>
      <c r="D54" s="84">
        <f t="shared" si="1"/>
        <v>0</v>
      </c>
      <c r="E54" s="84">
        <f t="shared" si="1"/>
        <v>0</v>
      </c>
      <c r="F54" s="495">
        <f t="shared" si="2"/>
        <v>0</v>
      </c>
      <c r="G54" s="495">
        <f t="shared" si="2"/>
        <v>0</v>
      </c>
      <c r="H54" s="11"/>
    </row>
    <row r="55" spans="2:17" s="5" customFormat="1" ht="13.5" x14ac:dyDescent="0.35">
      <c r="B55" s="300"/>
      <c r="D55" s="84"/>
      <c r="E55" s="84"/>
      <c r="F55" s="12"/>
      <c r="H55" s="11">
        <f>G55/100000</f>
        <v>0</v>
      </c>
      <c r="I55" s="82"/>
      <c r="M55" s="5">
        <v>1100000</v>
      </c>
      <c r="N55" s="13">
        <f>M55/10000000</f>
        <v>0.11</v>
      </c>
      <c r="O55" s="5">
        <f>M55/100000</f>
        <v>11</v>
      </c>
    </row>
    <row r="56" spans="2:17" s="5" customFormat="1" ht="13.5" x14ac:dyDescent="0.35">
      <c r="B56" s="300"/>
      <c r="D56" s="84"/>
      <c r="E56" s="84"/>
      <c r="F56" s="12"/>
      <c r="H56" s="11">
        <f>G56/100000</f>
        <v>0</v>
      </c>
      <c r="I56" s="82"/>
      <c r="M56" s="5">
        <f>M55/12</f>
        <v>91666.666666666672</v>
      </c>
      <c r="N56" s="13">
        <f>M56/10000000</f>
        <v>9.1666666666666667E-3</v>
      </c>
      <c r="O56" s="42">
        <f>M56/100000</f>
        <v>0.91666666666666674</v>
      </c>
    </row>
    <row r="57" spans="2:17" s="5" customFormat="1" ht="13.5" x14ac:dyDescent="0.35">
      <c r="B57" s="300"/>
      <c r="D57" s="323">
        <f t="shared" ref="D57:E59" si="3">F42</f>
        <v>3.141</v>
      </c>
      <c r="E57" s="323">
        <f t="shared" si="3"/>
        <v>0.116926</v>
      </c>
      <c r="F57" s="12">
        <f t="shared" ref="F57:G59" si="4">D57*1000000</f>
        <v>3141000</v>
      </c>
      <c r="G57" s="12">
        <f t="shared" si="4"/>
        <v>116926</v>
      </c>
      <c r="H57" s="11">
        <f t="shared" ref="H57:I59" si="5">F57/100000</f>
        <v>31.41</v>
      </c>
      <c r="I57" s="11">
        <f t="shared" si="5"/>
        <v>1.16926</v>
      </c>
      <c r="M57" s="5">
        <f>M56*10</f>
        <v>916666.66666666674</v>
      </c>
      <c r="N57" s="13">
        <f>M57/10000000</f>
        <v>9.1666666666666674E-2</v>
      </c>
      <c r="O57" s="12">
        <f>M57/100000</f>
        <v>9.1666666666666679</v>
      </c>
    </row>
    <row r="58" spans="2:17" s="5" customFormat="1" ht="13.5" x14ac:dyDescent="0.35">
      <c r="B58" s="300"/>
      <c r="D58" s="323">
        <f t="shared" si="3"/>
        <v>2.5099999999999998</v>
      </c>
      <c r="E58" s="323">
        <f t="shared" si="3"/>
        <v>1.3610000000000001E-2</v>
      </c>
      <c r="F58" s="12">
        <f t="shared" si="4"/>
        <v>2510000</v>
      </c>
      <c r="G58" s="12">
        <f t="shared" si="4"/>
        <v>13610</v>
      </c>
      <c r="H58" s="11">
        <f t="shared" si="5"/>
        <v>25.1</v>
      </c>
      <c r="I58" s="11">
        <f t="shared" si="5"/>
        <v>0.1361</v>
      </c>
    </row>
    <row r="59" spans="2:17" s="5" customFormat="1" ht="13.5" x14ac:dyDescent="0.35">
      <c r="B59" s="300"/>
      <c r="D59" s="323">
        <f t="shared" si="3"/>
        <v>1.0509999999999999</v>
      </c>
      <c r="E59" s="323">
        <f t="shared" si="3"/>
        <v>0.74801499999999999</v>
      </c>
      <c r="F59" s="12">
        <f t="shared" si="4"/>
        <v>1051000</v>
      </c>
      <c r="G59" s="12">
        <f t="shared" si="4"/>
        <v>748015</v>
      </c>
      <c r="H59" s="11">
        <f t="shared" si="5"/>
        <v>10.51</v>
      </c>
      <c r="I59" s="11">
        <f t="shared" si="5"/>
        <v>7.4801500000000001</v>
      </c>
      <c r="M59" s="5">
        <f>2.43*10000000</f>
        <v>24300000</v>
      </c>
    </row>
    <row r="60" spans="2:17" s="5" customFormat="1" ht="13.5" x14ac:dyDescent="0.35">
      <c r="B60" s="300"/>
      <c r="D60" s="84"/>
      <c r="E60" s="35"/>
      <c r="H60" s="11"/>
      <c r="I60" s="82"/>
      <c r="M60" s="41">
        <f>M59/100000</f>
        <v>243</v>
      </c>
    </row>
    <row r="61" spans="2:17" s="5" customFormat="1" ht="13.5" x14ac:dyDescent="0.35">
      <c r="B61" s="300"/>
      <c r="D61" s="84"/>
      <c r="E61" s="35"/>
      <c r="H61" s="11"/>
      <c r="I61" s="82"/>
      <c r="M61" s="5">
        <f>M60*100000</f>
        <v>24300000</v>
      </c>
      <c r="N61" s="13">
        <f>M61/10000000</f>
        <v>2.4300000000000002</v>
      </c>
      <c r="O61" s="5">
        <f>M61/100000</f>
        <v>243</v>
      </c>
    </row>
    <row r="62" spans="2:17" s="5" customFormat="1" ht="13.5" x14ac:dyDescent="0.35">
      <c r="B62" s="300"/>
      <c r="D62" s="84"/>
      <c r="E62" s="35"/>
      <c r="H62" s="11"/>
      <c r="I62" s="82"/>
      <c r="M62" s="5">
        <f>M61/12</f>
        <v>2025000</v>
      </c>
      <c r="N62" s="13">
        <f>M62/10000000</f>
        <v>0.20250000000000001</v>
      </c>
      <c r="O62" s="12">
        <f>M62/100000</f>
        <v>20.25</v>
      </c>
    </row>
    <row r="63" spans="2:17" s="5" customFormat="1" ht="13.5" x14ac:dyDescent="0.35">
      <c r="B63" s="300"/>
      <c r="D63" s="84"/>
      <c r="E63" s="35"/>
      <c r="H63" s="11"/>
      <c r="I63" s="82"/>
      <c r="M63" s="5">
        <f>M62*10</f>
        <v>20250000</v>
      </c>
      <c r="N63" s="13">
        <f>M63/10000000</f>
        <v>2.0249999999999999</v>
      </c>
      <c r="O63" s="12">
        <f>M63/100000</f>
        <v>202.5</v>
      </c>
    </row>
    <row r="64" spans="2:17" s="5" customFormat="1" ht="13.5" x14ac:dyDescent="0.35">
      <c r="H64" s="11">
        <f>60000/100000</f>
        <v>0.6</v>
      </c>
    </row>
    <row r="65" spans="14:14" s="5" customFormat="1" ht="13.5" x14ac:dyDescent="0.35">
      <c r="N65" s="13">
        <f>N62+N51+N56</f>
        <v>0.22750000000000001</v>
      </c>
    </row>
  </sheetData>
  <mergeCells count="64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75" bottom="0.75" header="0.3" footer="0.3"/>
  <pageSetup paperSize="9" scale="40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B6:AA41"/>
  <sheetViews>
    <sheetView workbookViewId="0">
      <selection activeCell="R12" sqref="R12:R13"/>
    </sheetView>
  </sheetViews>
  <sheetFormatPr defaultColWidth="9.1328125" defaultRowHeight="15.75" x14ac:dyDescent="0.5"/>
  <cols>
    <col min="1" max="1" width="9.1328125" style="155"/>
    <col min="2" max="2" width="26" style="155" customWidth="1"/>
    <col min="3" max="3" width="15.1328125" style="155" customWidth="1"/>
    <col min="4" max="4" width="17.3984375" style="155" customWidth="1"/>
    <col min="5" max="5" width="3.86328125" style="155" customWidth="1"/>
    <col min="6" max="12" width="0" style="155" hidden="1" customWidth="1"/>
    <col min="13" max="13" width="16.3984375" style="155" customWidth="1"/>
    <col min="14" max="14" width="10.86328125" style="155" customWidth="1"/>
    <col min="15" max="15" width="15.265625" style="155" customWidth="1"/>
    <col min="16" max="16" width="16.265625" style="155" customWidth="1"/>
    <col min="17" max="17" width="12.3984375" style="155" customWidth="1"/>
    <col min="18" max="18" width="17.59765625" style="155" customWidth="1"/>
    <col min="19" max="19" width="9.1328125" style="155"/>
    <col min="20" max="20" width="20.1328125" style="155" customWidth="1"/>
    <col min="21" max="21" width="11.59765625" style="155" bestFit="1" customWidth="1"/>
    <col min="22" max="16384" width="9.1328125" style="155"/>
  </cols>
  <sheetData>
    <row r="6" spans="2:27" x14ac:dyDescent="0.5">
      <c r="B6" s="155" t="s">
        <v>376</v>
      </c>
      <c r="D6" s="507" t="s">
        <v>374</v>
      </c>
      <c r="R6" s="507" t="s">
        <v>374</v>
      </c>
    </row>
    <row r="7" spans="2:27" ht="25.5" customHeight="1" x14ac:dyDescent="0.5">
      <c r="B7" s="2124" t="s">
        <v>127</v>
      </c>
      <c r="C7" s="2124" t="s">
        <v>373</v>
      </c>
      <c r="D7" s="2124"/>
      <c r="H7" s="155">
        <v>21</v>
      </c>
      <c r="I7" s="155">
        <v>621</v>
      </c>
      <c r="J7" s="155">
        <v>5420</v>
      </c>
      <c r="M7" s="2124" t="s">
        <v>379</v>
      </c>
      <c r="N7" s="2077" t="s">
        <v>378</v>
      </c>
      <c r="O7" s="2078"/>
      <c r="P7" s="2078"/>
      <c r="Q7" s="2078"/>
      <c r="R7" s="2079"/>
    </row>
    <row r="8" spans="2:27" ht="25.5" customHeight="1" x14ac:dyDescent="0.5">
      <c r="B8" s="2124"/>
      <c r="C8" s="61" t="s">
        <v>237</v>
      </c>
      <c r="D8" s="61" t="s">
        <v>372</v>
      </c>
      <c r="H8" s="155">
        <v>22</v>
      </c>
      <c r="I8" s="155">
        <v>614</v>
      </c>
      <c r="J8" s="155">
        <v>5495</v>
      </c>
      <c r="M8" s="2124"/>
      <c r="N8" s="61" t="s">
        <v>381</v>
      </c>
      <c r="O8" s="61" t="s">
        <v>382</v>
      </c>
      <c r="P8" s="61" t="s">
        <v>380</v>
      </c>
      <c r="Q8" s="61" t="s">
        <v>383</v>
      </c>
      <c r="R8" s="61" t="s">
        <v>384</v>
      </c>
      <c r="U8" s="155" t="s">
        <v>56</v>
      </c>
      <c r="V8" s="155">
        <v>58609</v>
      </c>
      <c r="W8" s="155">
        <v>240554.86</v>
      </c>
    </row>
    <row r="9" spans="2:27" ht="36" customHeight="1" x14ac:dyDescent="0.5">
      <c r="B9" s="501" t="s">
        <v>392</v>
      </c>
      <c r="C9" s="485">
        <v>39476</v>
      </c>
      <c r="D9" s="487">
        <v>164733.97</v>
      </c>
      <c r="H9" s="155">
        <v>23</v>
      </c>
      <c r="I9" s="486">
        <v>369</v>
      </c>
      <c r="J9" s="486">
        <v>3470</v>
      </c>
      <c r="M9" s="502">
        <v>44197</v>
      </c>
      <c r="N9" s="485">
        <v>270</v>
      </c>
      <c r="O9" s="485">
        <v>13500</v>
      </c>
      <c r="P9" s="485">
        <v>51</v>
      </c>
      <c r="Q9" s="485">
        <v>51</v>
      </c>
      <c r="R9" s="485">
        <f>O9+Q9</f>
        <v>13551</v>
      </c>
      <c r="U9" s="509">
        <v>44238</v>
      </c>
      <c r="V9" s="155">
        <v>461</v>
      </c>
      <c r="W9" s="155">
        <v>4183</v>
      </c>
    </row>
    <row r="10" spans="2:27" ht="25.5" customHeight="1" x14ac:dyDescent="0.5">
      <c r="B10" s="502">
        <v>44136</v>
      </c>
      <c r="C10" s="485">
        <v>31079</v>
      </c>
      <c r="D10" s="487">
        <v>154987.31</v>
      </c>
      <c r="H10" s="155">
        <v>24</v>
      </c>
      <c r="I10" s="486">
        <v>113</v>
      </c>
      <c r="J10" s="486">
        <v>2130</v>
      </c>
      <c r="M10" s="483" t="s">
        <v>63</v>
      </c>
      <c r="N10" s="61">
        <f>SUM(N9:N9)</f>
        <v>270</v>
      </c>
      <c r="O10" s="61">
        <f>SUM(O9:O9)</f>
        <v>13500</v>
      </c>
      <c r="P10" s="61">
        <f>SUM(P9:P9)</f>
        <v>51</v>
      </c>
      <c r="Q10" s="61">
        <f>SUM(Q9:Q9)</f>
        <v>51</v>
      </c>
      <c r="R10" s="61">
        <f>SUM(R9:R9)</f>
        <v>13551</v>
      </c>
      <c r="U10" s="509">
        <v>44239</v>
      </c>
      <c r="V10" s="155">
        <v>496</v>
      </c>
      <c r="W10" s="155">
        <v>4468</v>
      </c>
    </row>
    <row r="11" spans="2:27" ht="25.5" customHeight="1" x14ac:dyDescent="0.5">
      <c r="B11" s="502">
        <v>44166</v>
      </c>
      <c r="C11" s="485">
        <v>42096</v>
      </c>
      <c r="D11" s="487">
        <v>255839.87</v>
      </c>
      <c r="H11" s="155">
        <v>25</v>
      </c>
      <c r="I11" s="486">
        <v>743</v>
      </c>
      <c r="J11" s="486">
        <v>6890</v>
      </c>
      <c r="M11" s="2077" t="s">
        <v>385</v>
      </c>
      <c r="N11" s="2078"/>
      <c r="O11" s="2078"/>
      <c r="P11" s="2078"/>
      <c r="Q11" s="488"/>
      <c r="R11" s="490"/>
      <c r="T11" s="155" t="s">
        <v>323</v>
      </c>
      <c r="U11" s="509">
        <v>44240</v>
      </c>
      <c r="V11" s="155">
        <v>303</v>
      </c>
      <c r="W11" s="155">
        <v>2685</v>
      </c>
    </row>
    <row r="12" spans="2:27" ht="25.5" customHeight="1" x14ac:dyDescent="0.5">
      <c r="B12" s="502">
        <v>44197</v>
      </c>
      <c r="C12" s="485">
        <v>116926</v>
      </c>
      <c r="D12" s="487">
        <v>513860.88</v>
      </c>
      <c r="H12" s="155">
        <v>26</v>
      </c>
      <c r="I12" s="486">
        <v>223</v>
      </c>
      <c r="J12" s="486">
        <v>1865</v>
      </c>
      <c r="M12" s="2151" t="s">
        <v>417</v>
      </c>
      <c r="N12" s="2148">
        <v>92</v>
      </c>
      <c r="O12" s="2146" t="s">
        <v>401</v>
      </c>
      <c r="P12" s="2146" t="s">
        <v>402</v>
      </c>
      <c r="Q12" s="2152"/>
      <c r="R12" s="2152"/>
      <c r="U12" s="509">
        <v>44241</v>
      </c>
      <c r="V12" s="155">
        <v>89</v>
      </c>
      <c r="W12" s="155">
        <v>820</v>
      </c>
    </row>
    <row r="13" spans="2:27" ht="25.5" customHeight="1" x14ac:dyDescent="0.5">
      <c r="B13" s="502">
        <v>44228</v>
      </c>
      <c r="C13" s="485">
        <v>93121</v>
      </c>
      <c r="D13" s="487">
        <v>419746.45</v>
      </c>
      <c r="H13" s="155">
        <v>27</v>
      </c>
      <c r="I13" s="486">
        <v>816</v>
      </c>
      <c r="J13" s="486">
        <v>7330</v>
      </c>
      <c r="M13" s="2151"/>
      <c r="N13" s="2148"/>
      <c r="O13" s="2146"/>
      <c r="P13" s="2146"/>
      <c r="Q13" s="2153"/>
      <c r="R13" s="2153"/>
      <c r="U13" s="509">
        <v>44242</v>
      </c>
      <c r="V13" s="155">
        <v>595</v>
      </c>
      <c r="W13" s="155">
        <v>5323</v>
      </c>
    </row>
    <row r="14" spans="2:27" ht="25.5" customHeight="1" x14ac:dyDescent="0.5">
      <c r="B14" s="61" t="s">
        <v>431</v>
      </c>
      <c r="C14" s="61">
        <f>85423+4635</f>
        <v>90058</v>
      </c>
      <c r="D14" s="199">
        <f>337832+34971</f>
        <v>372803</v>
      </c>
      <c r="I14" s="155">
        <f>SUM(I7:I13)</f>
        <v>3499</v>
      </c>
      <c r="J14" s="155">
        <f>SUM(J7:J13)</f>
        <v>32600</v>
      </c>
      <c r="N14" s="489"/>
      <c r="U14" s="509">
        <v>44243</v>
      </c>
      <c r="V14" s="155">
        <v>599</v>
      </c>
      <c r="W14" s="155">
        <v>5383</v>
      </c>
    </row>
    <row r="15" spans="2:27" ht="48.75" customHeight="1" x14ac:dyDescent="0.5">
      <c r="B15" s="61" t="s">
        <v>63</v>
      </c>
      <c r="C15" s="61">
        <f>SUM(C9:C14)</f>
        <v>412756</v>
      </c>
      <c r="D15" s="199">
        <f>SUM(D9:D14)</f>
        <v>1881971.48</v>
      </c>
      <c r="M15" s="505" t="s">
        <v>379</v>
      </c>
      <c r="N15" s="505" t="s">
        <v>381</v>
      </c>
      <c r="O15" s="506" t="s">
        <v>394</v>
      </c>
      <c r="P15" s="506" t="s">
        <v>395</v>
      </c>
      <c r="Q15" s="505" t="s">
        <v>380</v>
      </c>
      <c r="R15" s="506" t="s">
        <v>393</v>
      </c>
      <c r="U15" s="509">
        <v>44244</v>
      </c>
      <c r="V15" s="155">
        <v>631</v>
      </c>
      <c r="W15" s="155">
        <v>7095</v>
      </c>
      <c r="Y15" s="155">
        <f>17+6</f>
        <v>23</v>
      </c>
      <c r="Z15" s="155">
        <f>Y15*4</f>
        <v>92</v>
      </c>
      <c r="AA15" s="155">
        <f>6501/Z15</f>
        <v>70.663043478260875</v>
      </c>
    </row>
    <row r="16" spans="2:27" ht="25.5" customHeight="1" x14ac:dyDescent="0.5">
      <c r="B16" s="504"/>
      <c r="C16" s="485"/>
      <c r="D16" s="487"/>
      <c r="M16" s="504">
        <v>44222</v>
      </c>
      <c r="N16" s="485">
        <v>28</v>
      </c>
      <c r="O16" s="485">
        <f t="shared" ref="O16:O23" si="0">N16*2</f>
        <v>56</v>
      </c>
      <c r="P16" s="485">
        <f>O16</f>
        <v>56</v>
      </c>
      <c r="Q16" s="485">
        <v>0</v>
      </c>
      <c r="R16" s="485">
        <f t="shared" ref="R16:R30" si="1">Q16+P16</f>
        <v>56</v>
      </c>
    </row>
    <row r="17" spans="2:25" ht="25.5" customHeight="1" x14ac:dyDescent="0.5">
      <c r="B17" s="504"/>
      <c r="C17" s="485"/>
      <c r="D17" s="487"/>
      <c r="M17" s="504">
        <v>44223</v>
      </c>
      <c r="N17" s="485">
        <v>68</v>
      </c>
      <c r="O17" s="485">
        <f t="shared" si="0"/>
        <v>136</v>
      </c>
      <c r="P17" s="485">
        <f>O17+P16</f>
        <v>192</v>
      </c>
      <c r="Q17" s="485">
        <v>13</v>
      </c>
      <c r="R17" s="485">
        <f t="shared" si="1"/>
        <v>205</v>
      </c>
    </row>
    <row r="18" spans="2:25" ht="25.5" customHeight="1" x14ac:dyDescent="0.5">
      <c r="B18" s="504"/>
      <c r="C18" s="485"/>
      <c r="D18" s="487"/>
      <c r="M18" s="504">
        <v>44224</v>
      </c>
      <c r="N18" s="485">
        <v>59</v>
      </c>
      <c r="O18" s="485">
        <f t="shared" si="0"/>
        <v>118</v>
      </c>
      <c r="P18" s="485">
        <f>P17+O18</f>
        <v>310</v>
      </c>
      <c r="Q18" s="485">
        <v>11</v>
      </c>
      <c r="R18" s="485">
        <f t="shared" si="1"/>
        <v>321</v>
      </c>
    </row>
    <row r="19" spans="2:25" ht="25.5" customHeight="1" x14ac:dyDescent="0.5">
      <c r="B19" s="504"/>
      <c r="C19" s="485"/>
      <c r="D19" s="487"/>
      <c r="M19" s="504">
        <v>44225</v>
      </c>
      <c r="N19" s="485">
        <v>58</v>
      </c>
      <c r="O19" s="485">
        <f t="shared" si="0"/>
        <v>116</v>
      </c>
      <c r="P19" s="485">
        <f>P18+O19</f>
        <v>426</v>
      </c>
      <c r="Q19" s="485">
        <v>13</v>
      </c>
      <c r="R19" s="485">
        <f t="shared" si="1"/>
        <v>439</v>
      </c>
    </row>
    <row r="20" spans="2:25" ht="25.5" customHeight="1" x14ac:dyDescent="0.5">
      <c r="B20" s="504"/>
      <c r="C20" s="485"/>
      <c r="D20" s="487"/>
      <c r="M20" s="504">
        <v>44226</v>
      </c>
      <c r="N20" s="485">
        <v>39</v>
      </c>
      <c r="O20" s="485">
        <f t="shared" si="0"/>
        <v>78</v>
      </c>
      <c r="P20" s="485">
        <f>P19+O20</f>
        <v>504</v>
      </c>
      <c r="Q20" s="485">
        <v>11</v>
      </c>
      <c r="R20" s="485">
        <f t="shared" si="1"/>
        <v>515</v>
      </c>
    </row>
    <row r="21" spans="2:25" ht="25.5" customHeight="1" x14ac:dyDescent="0.5">
      <c r="B21" s="504"/>
      <c r="C21" s="485"/>
      <c r="D21" s="487"/>
      <c r="M21" s="504">
        <v>44227</v>
      </c>
      <c r="N21" s="485">
        <v>18</v>
      </c>
      <c r="O21" s="485">
        <f t="shared" si="0"/>
        <v>36</v>
      </c>
      <c r="P21" s="485">
        <f>P20+O21</f>
        <v>540</v>
      </c>
      <c r="Q21" s="485">
        <v>3</v>
      </c>
      <c r="R21" s="485">
        <f t="shared" si="1"/>
        <v>543</v>
      </c>
    </row>
    <row r="22" spans="2:25" ht="25.5" customHeight="1" x14ac:dyDescent="0.5">
      <c r="B22" s="504"/>
      <c r="C22" s="485"/>
      <c r="D22" s="487"/>
      <c r="M22" s="511" t="s">
        <v>63</v>
      </c>
      <c r="N22" s="505">
        <f>SUM(N16:N21)</f>
        <v>270</v>
      </c>
      <c r="O22" s="505">
        <f t="shared" si="0"/>
        <v>540</v>
      </c>
      <c r="P22" s="505">
        <f>SUM(P16:P21)</f>
        <v>2028</v>
      </c>
      <c r="Q22" s="505">
        <f>SUM(Q16:Q21)</f>
        <v>51</v>
      </c>
      <c r="R22" s="505">
        <f t="shared" si="1"/>
        <v>2079</v>
      </c>
    </row>
    <row r="23" spans="2:25" ht="25.5" customHeight="1" x14ac:dyDescent="0.5">
      <c r="B23" s="61" t="s">
        <v>63</v>
      </c>
      <c r="C23" s="61">
        <f>SUM(C14:C22)</f>
        <v>502814</v>
      </c>
      <c r="D23" s="199">
        <f>SUM(D14:D22)</f>
        <v>2254774.48</v>
      </c>
      <c r="M23" s="157" t="s">
        <v>400</v>
      </c>
      <c r="N23" s="503">
        <v>104</v>
      </c>
      <c r="O23" s="485">
        <f t="shared" si="0"/>
        <v>208</v>
      </c>
      <c r="P23" s="485">
        <f>P22+O23</f>
        <v>2236</v>
      </c>
      <c r="Q23" s="503">
        <v>923</v>
      </c>
      <c r="R23" s="487">
        <f t="shared" si="1"/>
        <v>3159</v>
      </c>
    </row>
    <row r="24" spans="2:25" x14ac:dyDescent="0.5">
      <c r="B24" s="2077" t="s">
        <v>375</v>
      </c>
      <c r="C24" s="2078"/>
      <c r="D24" s="2078"/>
      <c r="M24" s="510">
        <v>44238</v>
      </c>
      <c r="N24" s="503">
        <v>0</v>
      </c>
      <c r="O24" s="485">
        <f t="shared" ref="O24:O30" si="2">N24*2</f>
        <v>0</v>
      </c>
      <c r="P24" s="485">
        <v>0</v>
      </c>
      <c r="Q24" s="503">
        <v>188</v>
      </c>
      <c r="R24" s="503">
        <f t="shared" si="1"/>
        <v>188</v>
      </c>
      <c r="U24" s="155">
        <f>18-12</f>
        <v>6</v>
      </c>
      <c r="V24" s="155">
        <f>U24*4</f>
        <v>24</v>
      </c>
    </row>
    <row r="25" spans="2:25" ht="31.5" x14ac:dyDescent="0.5">
      <c r="B25" s="485" t="s">
        <v>376</v>
      </c>
      <c r="C25" s="501" t="s">
        <v>403</v>
      </c>
      <c r="D25" s="485"/>
      <c r="M25" s="510">
        <v>44239</v>
      </c>
      <c r="N25" s="503">
        <v>0</v>
      </c>
      <c r="O25" s="485">
        <f t="shared" si="2"/>
        <v>0</v>
      </c>
      <c r="P25" s="485">
        <v>0</v>
      </c>
      <c r="Q25" s="503">
        <v>187</v>
      </c>
      <c r="R25" s="503">
        <f t="shared" si="1"/>
        <v>187</v>
      </c>
    </row>
    <row r="26" spans="2:25" ht="31.5" x14ac:dyDescent="0.5">
      <c r="B26" s="501" t="s">
        <v>392</v>
      </c>
      <c r="C26" s="485">
        <v>80</v>
      </c>
      <c r="D26" s="485"/>
      <c r="M26" s="510">
        <v>44240</v>
      </c>
      <c r="N26" s="503">
        <v>0</v>
      </c>
      <c r="O26" s="485">
        <f t="shared" si="2"/>
        <v>0</v>
      </c>
      <c r="P26" s="485">
        <v>0</v>
      </c>
      <c r="Q26" s="503">
        <v>156</v>
      </c>
      <c r="R26" s="503">
        <f t="shared" si="1"/>
        <v>156</v>
      </c>
    </row>
    <row r="27" spans="2:25" x14ac:dyDescent="0.5">
      <c r="B27" s="502">
        <v>44136</v>
      </c>
      <c r="C27" s="485">
        <f>30*4</f>
        <v>120</v>
      </c>
      <c r="D27" s="485"/>
      <c r="M27" s="510">
        <v>44241</v>
      </c>
      <c r="N27" s="503">
        <v>0</v>
      </c>
      <c r="O27" s="485">
        <f t="shared" si="2"/>
        <v>0</v>
      </c>
      <c r="P27" s="485">
        <v>0</v>
      </c>
      <c r="Q27" s="503">
        <v>40</v>
      </c>
      <c r="R27" s="503">
        <f t="shared" si="1"/>
        <v>40</v>
      </c>
    </row>
    <row r="28" spans="2:25" x14ac:dyDescent="0.5">
      <c r="B28" s="502">
        <v>44166</v>
      </c>
      <c r="C28" s="485">
        <f>31*4</f>
        <v>124</v>
      </c>
      <c r="D28" s="485"/>
      <c r="M28" s="510">
        <v>44242</v>
      </c>
      <c r="N28" s="503">
        <v>0</v>
      </c>
      <c r="O28" s="485">
        <f t="shared" si="2"/>
        <v>0</v>
      </c>
      <c r="P28" s="485">
        <v>0</v>
      </c>
      <c r="Q28" s="503">
        <v>211</v>
      </c>
      <c r="R28" s="503">
        <f t="shared" si="1"/>
        <v>211</v>
      </c>
      <c r="Y28" s="155">
        <f>31-11</f>
        <v>20</v>
      </c>
    </row>
    <row r="29" spans="2:25" x14ac:dyDescent="0.5">
      <c r="B29" s="502">
        <v>44197</v>
      </c>
      <c r="C29" s="485">
        <v>124</v>
      </c>
      <c r="D29" s="485"/>
      <c r="M29" s="510">
        <v>44243</v>
      </c>
      <c r="N29" s="503">
        <v>0</v>
      </c>
      <c r="O29" s="485">
        <f t="shared" si="2"/>
        <v>0</v>
      </c>
      <c r="P29" s="485">
        <v>0</v>
      </c>
      <c r="Q29" s="503">
        <v>254</v>
      </c>
      <c r="R29" s="503">
        <f t="shared" si="1"/>
        <v>254</v>
      </c>
      <c r="Y29" s="155">
        <f>Y28*4</f>
        <v>80</v>
      </c>
    </row>
    <row r="30" spans="2:25" x14ac:dyDescent="0.5">
      <c r="B30" s="502">
        <v>44228</v>
      </c>
      <c r="C30" s="485">
        <f>28*4</f>
        <v>112</v>
      </c>
      <c r="D30" s="485"/>
      <c r="M30" s="510">
        <v>44244</v>
      </c>
      <c r="N30" s="503">
        <v>0</v>
      </c>
      <c r="O30" s="485">
        <f t="shared" si="2"/>
        <v>0</v>
      </c>
      <c r="P30" s="485">
        <v>0</v>
      </c>
      <c r="Q30" s="503">
        <v>227</v>
      </c>
      <c r="R30" s="503">
        <f t="shared" si="1"/>
        <v>227</v>
      </c>
    </row>
    <row r="31" spans="2:25" x14ac:dyDescent="0.5">
      <c r="B31" s="502">
        <v>44256</v>
      </c>
      <c r="C31" s="485">
        <f>30*4</f>
        <v>120</v>
      </c>
      <c r="D31" s="485"/>
      <c r="M31" s="505" t="s">
        <v>63</v>
      </c>
      <c r="N31" s="505">
        <f>SUM(N22:N30)</f>
        <v>374</v>
      </c>
      <c r="O31" s="505">
        <f>SUM(O22:O30)</f>
        <v>748</v>
      </c>
      <c r="P31" s="505">
        <f>SUM(P22:P30)</f>
        <v>4264</v>
      </c>
      <c r="Q31" s="505">
        <f>SUM(Q22:Q30)</f>
        <v>2237</v>
      </c>
      <c r="R31" s="505">
        <f>SUM(R22:R30)</f>
        <v>6501</v>
      </c>
    </row>
    <row r="32" spans="2:25" x14ac:dyDescent="0.5">
      <c r="B32" s="61" t="s">
        <v>0</v>
      </c>
      <c r="C32" s="61">
        <f>SUM(C26:C31)</f>
        <v>680</v>
      </c>
      <c r="D32" s="61"/>
      <c r="U32" s="155">
        <f>7*4</f>
        <v>28</v>
      </c>
    </row>
    <row r="33" spans="2:4" x14ac:dyDescent="0.5">
      <c r="B33" s="514" t="s">
        <v>377</v>
      </c>
      <c r="C33" s="508">
        <f>C23/C32</f>
        <v>739.43235294117642</v>
      </c>
    </row>
    <row r="34" spans="2:4" x14ac:dyDescent="0.5">
      <c r="B34" s="489" t="s">
        <v>404</v>
      </c>
      <c r="C34" s="489"/>
      <c r="D34" s="512"/>
    </row>
    <row r="35" spans="2:4" x14ac:dyDescent="0.5">
      <c r="B35" s="513"/>
      <c r="C35" s="489"/>
      <c r="D35" s="489"/>
    </row>
    <row r="36" spans="2:4" x14ac:dyDescent="0.5">
      <c r="B36" s="513"/>
      <c r="C36" s="489"/>
      <c r="D36" s="489"/>
    </row>
    <row r="37" spans="2:4" x14ac:dyDescent="0.5">
      <c r="B37" s="513"/>
      <c r="C37" s="489"/>
      <c r="D37" s="489"/>
    </row>
    <row r="38" spans="2:4" x14ac:dyDescent="0.5">
      <c r="B38" s="513"/>
      <c r="C38" s="489"/>
      <c r="D38" s="489"/>
    </row>
    <row r="39" spans="2:4" x14ac:dyDescent="0.5">
      <c r="B39" s="513"/>
      <c r="C39" s="489"/>
      <c r="D39" s="489"/>
    </row>
    <row r="40" spans="2:4" x14ac:dyDescent="0.5">
      <c r="B40" s="513"/>
      <c r="C40" s="489"/>
      <c r="D40" s="489"/>
    </row>
    <row r="41" spans="2:4" x14ac:dyDescent="0.5">
      <c r="B41" s="513"/>
      <c r="C41" s="489"/>
      <c r="D41" s="489"/>
    </row>
  </sheetData>
  <mergeCells count="12">
    <mergeCell ref="B7:B8"/>
    <mergeCell ref="C7:D7"/>
    <mergeCell ref="B24:D24"/>
    <mergeCell ref="M7:M8"/>
    <mergeCell ref="N7:R7"/>
    <mergeCell ref="M12:M13"/>
    <mergeCell ref="N12:N13"/>
    <mergeCell ref="O12:O13"/>
    <mergeCell ref="P12:P13"/>
    <mergeCell ref="Q12:Q13"/>
    <mergeCell ref="R12:R13"/>
    <mergeCell ref="M11:P11"/>
  </mergeCells>
  <printOptions horizontalCentered="1"/>
  <pageMargins left="0.23622047244094491" right="0.15748031496062992" top="0.74803149606299213" bottom="0.74803149606299213" header="0.31496062992125984" footer="0.31496062992125984"/>
  <pageSetup paperSize="9" scale="120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Q64"/>
  <sheetViews>
    <sheetView topLeftCell="A23" workbookViewId="0">
      <selection activeCell="F42" sqref="F42:F44"/>
    </sheetView>
  </sheetViews>
  <sheetFormatPr defaultColWidth="9.1328125" defaultRowHeight="16.899999999999999" x14ac:dyDescent="0.35"/>
  <cols>
    <col min="1" max="1" width="4.86328125" style="376" customWidth="1"/>
    <col min="2" max="2" width="40.3984375" style="300" customWidth="1"/>
    <col min="3" max="3" width="6.73046875" style="5" customWidth="1"/>
    <col min="4" max="4" width="9.86328125" style="84" customWidth="1"/>
    <col min="5" max="5" width="12.59765625" style="35" customWidth="1"/>
    <col min="6" max="6" width="12.1328125" style="5" customWidth="1"/>
    <col min="7" max="7" width="14.3984375" style="5" customWidth="1"/>
    <col min="8" max="8" width="8.59765625" style="11" customWidth="1"/>
    <col min="9" max="9" width="10.265625" style="82" customWidth="1"/>
    <col min="10" max="10" width="9.1328125" style="5"/>
    <col min="11" max="11" width="11.265625" style="5" customWidth="1"/>
    <col min="12" max="12" width="13.1328125" style="5" customWidth="1"/>
    <col min="13" max="13" width="11.265625" style="5" customWidth="1"/>
    <col min="14" max="14" width="9.1328125" style="5"/>
    <col min="15" max="15" width="10.1328125" style="5" customWidth="1"/>
    <col min="16" max="16" width="9.1328125" style="5"/>
    <col min="17" max="17" width="10.1328125" style="5" customWidth="1"/>
    <col min="18" max="16384" width="9.1328125" style="5"/>
  </cols>
  <sheetData>
    <row r="1" spans="1:16" ht="17.649999999999999" x14ac:dyDescent="0.35">
      <c r="A1" s="2031" t="s">
        <v>398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thickBot="1" x14ac:dyDescent="0.5">
      <c r="A2" s="2119" t="s">
        <v>409</v>
      </c>
      <c r="B2" s="2120"/>
      <c r="C2" s="2120"/>
      <c r="D2" s="2120"/>
      <c r="E2" s="2120"/>
      <c r="F2" s="2120"/>
      <c r="G2" s="2120"/>
      <c r="H2" s="2120"/>
      <c r="I2" s="2121"/>
    </row>
    <row r="3" spans="1:1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6" s="35" customFormat="1" ht="30" x14ac:dyDescent="0.45">
      <c r="A4" s="2035"/>
      <c r="B4" s="2047"/>
      <c r="C4" s="2048"/>
      <c r="D4" s="366" t="s">
        <v>9</v>
      </c>
      <c r="E4" s="383" t="str">
        <f>G4</f>
        <v>Upto
 JAN-21</v>
      </c>
      <c r="F4" s="383" t="s">
        <v>397</v>
      </c>
      <c r="G4" s="383" t="s">
        <v>396</v>
      </c>
      <c r="H4" s="2041" t="s">
        <v>12</v>
      </c>
      <c r="I4" s="2041" t="s">
        <v>13</v>
      </c>
    </row>
    <row r="5" spans="1:16" ht="15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/>
    </row>
    <row r="6" spans="1:16" x14ac:dyDescent="0.35">
      <c r="A6" s="372">
        <v>1</v>
      </c>
      <c r="B6" s="2049" t="s">
        <v>279</v>
      </c>
      <c r="C6" s="2049"/>
      <c r="D6" s="304">
        <v>231.56</v>
      </c>
      <c r="E6" s="305">
        <v>138.02000000000001</v>
      </c>
      <c r="F6" s="306">
        <f>F15+F16+F17</f>
        <v>759.80375193199995</v>
      </c>
      <c r="G6" s="305">
        <f>'UPTO DEC-2020'!G6+'JAN-2021'!G6</f>
        <v>115.58875490300001</v>
      </c>
      <c r="H6" s="306">
        <f>(G6-E6)/E6*100</f>
        <v>-16.25217004564556</v>
      </c>
      <c r="I6" s="306">
        <f>(G6-F6)/F6*100</f>
        <v>-84.787024990455066</v>
      </c>
      <c r="K6" s="319"/>
      <c r="L6" s="319"/>
    </row>
    <row r="7" spans="1:16" x14ac:dyDescent="0.35">
      <c r="A7" s="373">
        <v>2</v>
      </c>
      <c r="B7" s="2050" t="s">
        <v>281</v>
      </c>
      <c r="C7" s="2051"/>
      <c r="D7" s="307">
        <v>177.3</v>
      </c>
      <c r="E7" s="307">
        <v>159.41</v>
      </c>
      <c r="F7" s="434">
        <f>'UPTO DEC-2020'!F7+'JAN-2021'!F7</f>
        <v>175.41308330000001</v>
      </c>
      <c r="G7" s="434">
        <f>'UPTO DEC-2020'!G7+'JAN-2021'!G7</f>
        <v>95.626924200000005</v>
      </c>
      <c r="H7" s="517">
        <f>(G7-E7)/E7*100</f>
        <v>-40.011966501474184</v>
      </c>
      <c r="I7" s="308">
        <f>(G7-F7)/F7*100</f>
        <v>-45.484725311820569</v>
      </c>
      <c r="M7" s="172"/>
    </row>
    <row r="8" spans="1:16" x14ac:dyDescent="0.35">
      <c r="A8" s="374">
        <v>3</v>
      </c>
      <c r="B8" s="2021" t="s">
        <v>282</v>
      </c>
      <c r="C8" s="2023"/>
      <c r="D8" s="364">
        <v>23.29</v>
      </c>
      <c r="E8" s="364">
        <v>19.690000000000001</v>
      </c>
      <c r="F8" s="306">
        <f>'UPTO DEC-2020'!F8+'JAN-2021'!F8</f>
        <v>71.083280399999992</v>
      </c>
      <c r="G8" s="305">
        <f>'UPTO DEC-2020'!G8+'JAN-2021'!G8</f>
        <v>15.011476500000001</v>
      </c>
      <c r="H8" s="306">
        <f>(G8-E8)/E8*100</f>
        <v>-23.760911630269174</v>
      </c>
      <c r="I8" s="365">
        <f>(G8-F8)/F8*100</f>
        <v>-78.881846173210661</v>
      </c>
    </row>
    <row r="9" spans="1:16" x14ac:dyDescent="0.35">
      <c r="A9" s="373">
        <v>4</v>
      </c>
      <c r="B9" s="2052" t="s">
        <v>283</v>
      </c>
      <c r="C9" s="2053"/>
      <c r="D9" s="307">
        <v>2.73</v>
      </c>
      <c r="E9" s="307">
        <f>E35+E36+E37</f>
        <v>2.2749999999999999</v>
      </c>
      <c r="F9" s="434">
        <f>F35+F36+F37+F39+F40</f>
        <v>8.2731273999999999</v>
      </c>
      <c r="G9" s="434">
        <f>G35+G36+G37+G39+G40</f>
        <v>1.0984429000000002</v>
      </c>
      <c r="H9" s="517">
        <f>(G9-E9)/E9*100</f>
        <v>-51.716795604395593</v>
      </c>
      <c r="I9" s="308">
        <f>(G9-F9)/F9*100</f>
        <v>-86.722760971866578</v>
      </c>
      <c r="O9" s="12"/>
      <c r="P9" s="12"/>
    </row>
    <row r="10" spans="1:16" ht="17.649999999999999" x14ac:dyDescent="0.35">
      <c r="A10" s="374">
        <v>5</v>
      </c>
      <c r="B10" s="2117" t="s">
        <v>284</v>
      </c>
      <c r="C10" s="2118"/>
      <c r="D10" s="446">
        <f>SUM(D6:D9)</f>
        <v>434.88000000000005</v>
      </c>
      <c r="E10" s="446">
        <f>SUM(E6:E9)</f>
        <v>319.39499999999998</v>
      </c>
      <c r="F10" s="494">
        <f>SUM(F6:F9)</f>
        <v>1014.5732430320001</v>
      </c>
      <c r="G10" s="446">
        <f>SUM(G6:G9)</f>
        <v>227.32559850300004</v>
      </c>
      <c r="H10" s="521">
        <f>(G10-E10)/E10*100</f>
        <v>-28.826187478514047</v>
      </c>
      <c r="I10" s="494">
        <f>(G10-F10)/F10*100</f>
        <v>-77.593968689372375</v>
      </c>
    </row>
    <row r="11" spans="1:16" ht="14.25" thickBot="1" x14ac:dyDescent="0.4">
      <c r="A11" s="2099"/>
      <c r="B11" s="2100"/>
      <c r="C11" s="2100"/>
      <c r="D11" s="2100"/>
      <c r="E11" s="2100"/>
      <c r="F11" s="2100"/>
      <c r="G11" s="2100"/>
      <c r="H11" s="2100"/>
      <c r="I11" s="2101"/>
    </row>
    <row r="12" spans="1:16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472" t="s">
        <v>221</v>
      </c>
      <c r="F12" s="447">
        <f>F42+F43+F44</f>
        <v>65.200999999999993</v>
      </c>
      <c r="G12" s="447">
        <f>G42+G43+G44</f>
        <v>2.1552389999999999</v>
      </c>
      <c r="H12" s="473" t="s">
        <v>221</v>
      </c>
      <c r="I12" s="311">
        <f>(G12-F12)/F12*100</f>
        <v>-96.694469409978367</v>
      </c>
    </row>
    <row r="13" spans="1:16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6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</row>
    <row r="15" spans="1:16" ht="15.4" x14ac:dyDescent="0.4">
      <c r="A15" s="2004"/>
      <c r="B15" s="2006" t="s">
        <v>16</v>
      </c>
      <c r="C15" s="2007"/>
      <c r="D15" s="331"/>
      <c r="E15" s="315">
        <v>0.08</v>
      </c>
      <c r="F15" s="264">
        <f>'UPTO SEP 2020'!F15+'OCT-2020'!F15+'NOV-20'!F15+'DEC-20'!F15+'JAN-2021'!F15</f>
        <v>16.897869931999999</v>
      </c>
      <c r="G15" s="264">
        <f>'UPTO SEP 2020'!G15+'OCT-2020'!G15+'NOV-20'!G15+'DEC-20'!G15+'JAN-2021'!G15</f>
        <v>0.11081370300000001</v>
      </c>
      <c r="H15" s="496">
        <f>(G15-E15)/E15*100</f>
        <v>38.517128750000012</v>
      </c>
      <c r="I15" s="314">
        <f>(G15-F15)/F15*100</f>
        <v>-99.344214960548655</v>
      </c>
      <c r="L15" s="12"/>
    </row>
    <row r="16" spans="1:16" ht="15.4" x14ac:dyDescent="0.4">
      <c r="A16" s="2004"/>
      <c r="B16" s="2069" t="s">
        <v>15</v>
      </c>
      <c r="C16" s="320" t="s">
        <v>166</v>
      </c>
      <c r="D16" s="2064"/>
      <c r="E16" s="2154">
        <v>137.94</v>
      </c>
      <c r="F16" s="264">
        <f>'UPTO SEP 2020'!F16+'OCT-2020'!F16+'NOV-20'!F16+'DEC-20'!F16+'JAN-2021'!F16</f>
        <v>162.31999999999996</v>
      </c>
      <c r="G16" s="264">
        <f>'UPTO SEP 2020'!G16+'OCT-2020'!G16+'NOV-20'!G16+'DEC-20'!G16+'JAN-2021'!G16</f>
        <v>13.939016200000001</v>
      </c>
      <c r="H16" s="2027">
        <f>((G16+G17)-E16)/E16*100</f>
        <v>-16.28393417427867</v>
      </c>
      <c r="I16" s="314">
        <f>(G16-F16)/F16*100</f>
        <v>-91.412631715130615</v>
      </c>
      <c r="L16" s="41"/>
      <c r="M16" s="12"/>
    </row>
    <row r="17" spans="1:13" ht="15.4" x14ac:dyDescent="0.4">
      <c r="A17" s="2005"/>
      <c r="B17" s="2070"/>
      <c r="C17" s="320" t="s">
        <v>228</v>
      </c>
      <c r="D17" s="2064"/>
      <c r="E17" s="2155"/>
      <c r="F17" s="264">
        <f>'UPTO SEP 2020'!F17+'OCT-2020'!F17+'NOV-20'!F17+'DEC-20'!F17+'JAN-2021'!F17</f>
        <v>580.58588199999997</v>
      </c>
      <c r="G17" s="264">
        <f>'UPTO SEP 2020'!G17+'OCT-2020'!G17+'NOV-20'!G17+'DEC-20'!G17+'JAN-2021'!G17</f>
        <v>101.53892500000001</v>
      </c>
      <c r="H17" s="2029"/>
      <c r="I17" s="314">
        <f>(G17-F17)/F17*100</f>
        <v>-82.510955200939577</v>
      </c>
      <c r="L17" s="41"/>
    </row>
    <row r="18" spans="1:13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13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f>'APRIL 2020'!F19+'MAY 2020'!F19+'JUNE-2020'!F19+'JULY-2020'!F19+'AUG-2020'!F19+'SEP-2020'!F19+'OCT-2020'!F19+'NOV-20'!F19+'DEC-20'!F19+'JAN-2021'!F19</f>
        <v>87.117069799999996</v>
      </c>
      <c r="G19" s="264">
        <f>'APRIL 2020'!G19+'MAY 2020'!G19+'JUNE-2020'!G19+'JULY-2020'!G19+'AUG-2020'!G19+'SEP-2020'!G19+'OCT-2020'!G19+'NOV-20'!G19+'DEC-20'!G19+'JAN-2021'!G19</f>
        <v>41.191848</v>
      </c>
      <c r="H19" s="316" t="s">
        <v>221</v>
      </c>
      <c r="I19" s="314">
        <f t="shared" ref="I19:I24" si="0">(G19-F19)/F19*100</f>
        <v>-52.716674132214671</v>
      </c>
      <c r="L19"/>
    </row>
    <row r="20" spans="1:13" ht="15.4" x14ac:dyDescent="0.4">
      <c r="A20" s="2004"/>
      <c r="B20" s="2009"/>
      <c r="C20" s="2000" t="s">
        <v>232</v>
      </c>
      <c r="D20" s="2001"/>
      <c r="E20" s="2002"/>
      <c r="F20" s="264">
        <v>65.37</v>
      </c>
      <c r="G20" s="264">
        <f>'APRIL 2020'!G20+'MAY 2020'!G20+'JUNE-2020'!G20+'JULY-2020'!G20+'AUG-2020'!G20+'SEP-2020'!G20+'OCT-2020'!G20+'NOV-20'!G20+'DEC-20'!G20+'JAN-2021'!G20</f>
        <v>31.3020441</v>
      </c>
      <c r="H20" s="316" t="s">
        <v>221</v>
      </c>
      <c r="I20" s="314">
        <f t="shared" si="0"/>
        <v>-52.11558191831115</v>
      </c>
    </row>
    <row r="21" spans="1:13" ht="15.4" x14ac:dyDescent="0.4">
      <c r="A21" s="2004"/>
      <c r="B21" s="2009"/>
      <c r="C21" s="2000" t="s">
        <v>239</v>
      </c>
      <c r="D21" s="2001"/>
      <c r="E21" s="2002"/>
      <c r="F21" s="264">
        <f>'APRIL 2020'!F21+'MAY 2020'!F21+'JUNE-2020'!F21+'JULY-2020'!F21+'AUG-2020'!F21+'SEP-2020'!F21+'OCT-2020'!F21+'NOV-20'!F21+'DEC-20'!F21+'JAN-2021'!F21</f>
        <v>7.4584909999999995</v>
      </c>
      <c r="G21" s="264">
        <f>'APRIL 2020'!G21+'MAY 2020'!G21+'JUNE-2020'!G21+'JULY-2020'!G21+'AUG-2020'!G21+'SEP-2020'!G21+'OCT-2020'!G21+'NOV-20'!G21+'DEC-20'!G21+'JAN-2021'!G21</f>
        <v>13.7857664</v>
      </c>
      <c r="H21" s="316" t="s">
        <v>221</v>
      </c>
      <c r="I21" s="314">
        <f t="shared" si="0"/>
        <v>84.833184085091744</v>
      </c>
    </row>
    <row r="22" spans="1:13" ht="15.4" x14ac:dyDescent="0.4">
      <c r="A22" s="2004"/>
      <c r="B22" s="2009"/>
      <c r="C22" s="2000" t="s">
        <v>233</v>
      </c>
      <c r="D22" s="2001"/>
      <c r="E22" s="2002"/>
      <c r="F22" s="264">
        <f>'APRIL 2020'!F22+'MAY 2020'!F22+'JUNE-2020'!F22+'JULY-2020'!F22+'AUG-2020'!F22+'SEP-2020'!F22+'OCT-2020'!F22+'NOV-20'!F22+'DEC-20'!F22+'JAN-2021'!F22</f>
        <v>12.2640501</v>
      </c>
      <c r="G22" s="264">
        <f>'APRIL 2020'!G22+'MAY 2020'!G22+'JUNE-2020'!G22+'JULY-2020'!G22+'AUG-2020'!G22+'SEP-2020'!G22+'OCT-2020'!G22+'NOV-20'!G22+'DEC-20'!G22+'JAN-2021'!G22</f>
        <v>8.8311847999999991</v>
      </c>
      <c r="H22" s="316" t="s">
        <v>221</v>
      </c>
      <c r="I22" s="314">
        <f t="shared" si="0"/>
        <v>-27.991285684653239</v>
      </c>
    </row>
    <row r="23" spans="1:13" ht="15.4" x14ac:dyDescent="0.4">
      <c r="A23" s="2004"/>
      <c r="B23" s="2009"/>
      <c r="C23" s="2000" t="s">
        <v>234</v>
      </c>
      <c r="D23" s="2001"/>
      <c r="E23" s="2002"/>
      <c r="F23" s="264">
        <f>'APRIL 2020'!F23+'MAY 2020'!F23+'JUNE-2020'!F23+'JULY-2020'!F23+'AUG-2020'!F23+'SEP-2020'!F23+'OCT-2020'!F23+'NOV-20'!F23+'DEC-20'!F23+'JAN-2021'!F23</f>
        <v>3.1166957999999996</v>
      </c>
      <c r="G23" s="264">
        <f>'APRIL 2020'!G23+'MAY 2020'!G23+'JUNE-2020'!G23+'JULY-2020'!G23+'AUG-2020'!G23+'SEP-2020'!G23+'OCT-2020'!G23+'NOV-20'!G23+'DEC-20'!G23+'JAN-2021'!G23</f>
        <v>0.08</v>
      </c>
      <c r="H23" s="316" t="s">
        <v>221</v>
      </c>
      <c r="I23" s="314">
        <f t="shared" si="0"/>
        <v>-97.43317907381271</v>
      </c>
    </row>
    <row r="24" spans="1:13" ht="15.4" x14ac:dyDescent="0.4">
      <c r="A24" s="2004"/>
      <c r="B24" s="2009"/>
      <c r="C24" s="2000" t="s">
        <v>235</v>
      </c>
      <c r="D24" s="2001"/>
      <c r="E24" s="2002"/>
      <c r="F24" s="264">
        <f>485874/10000000</f>
        <v>4.8587400000000003E-2</v>
      </c>
      <c r="G24" s="264">
        <f>'APRIL 2020'!G24+'MAY 2020'!G24+'JUNE-2020'!G24+'JULY-2020'!G24+'AUG-2020'!G24+'SEP-2020'!G24+'OCT-2020'!G24+'NOV-20'!G24+'DEC-20'!G24+'JAN-2021'!G24</f>
        <v>0.38797539999999997</v>
      </c>
      <c r="H24" s="316"/>
      <c r="I24" s="314">
        <f t="shared" si="0"/>
        <v>698.5103133734259</v>
      </c>
    </row>
    <row r="25" spans="1:13" ht="15.4" x14ac:dyDescent="0.4">
      <c r="A25" s="2005"/>
      <c r="B25" s="2010"/>
      <c r="C25" s="2011" t="s">
        <v>236</v>
      </c>
      <c r="D25" s="2012"/>
      <c r="E25" s="2013"/>
      <c r="F25" s="264">
        <f>'APRIL 2020'!F25+'MAY 2020'!F25+'JUNE-2020'!F25+'JULY-2020'!F25+'AUG-2020'!F25+'SEP-2020'!F25+'OCT-2020'!F25+'NOV-20'!F25+'DEC-20'!F25+'JAN-2021'!F25</f>
        <v>3.41208E-2</v>
      </c>
      <c r="G25" s="264">
        <f>'APRIL 2020'!G25+'MAY 2020'!G25+'JUNE-2020'!G25+'JULY-2020'!G25+'AUG-2020'!G25+'SEP-2020'!G25+'OCT-2020'!G25+'NOV-20'!G25+'DEC-20'!G25+'JAN-2021'!G25</f>
        <v>5.1092499999999999E-2</v>
      </c>
      <c r="H25" s="316" t="s">
        <v>221</v>
      </c>
      <c r="I25" s="314">
        <v>0</v>
      </c>
    </row>
    <row r="26" spans="1:13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13" ht="15.4" x14ac:dyDescent="0.4">
      <c r="A27" s="2015"/>
      <c r="B27" s="2006" t="s">
        <v>2</v>
      </c>
      <c r="C27" s="2007"/>
      <c r="D27" s="313">
        <v>0.7</v>
      </c>
      <c r="E27" s="315">
        <v>0.124</v>
      </c>
      <c r="F27" s="264">
        <f>'UPTO SEP 2020'!F27+'OCT-2020'!F27+'NOV-20'!F27+'DEC-20'!F27+'JAN-2021'!F27</f>
        <v>16.068341700000001</v>
      </c>
      <c r="G27" s="264">
        <f>'UPTO SEP 2020'!G27+'OCT-2020'!G27+'NOV-20'!G27+'DEC-20'!G27+'JAN-2021'!G27</f>
        <v>0.39282800000000001</v>
      </c>
      <c r="H27" s="496">
        <f>(G27-E27)/E27*100</f>
        <v>216.7967741935484</v>
      </c>
      <c r="I27" s="314">
        <f t="shared" ref="I27:I33" si="1">(G27-F27)/F27*100</f>
        <v>-97.555267324194389</v>
      </c>
      <c r="K27" s="5" t="s">
        <v>126</v>
      </c>
      <c r="L27" s="5" t="s">
        <v>299</v>
      </c>
      <c r="M27" s="5">
        <f>F27*10000000</f>
        <v>160683417</v>
      </c>
    </row>
    <row r="28" spans="1:13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264">
        <v>20.05</v>
      </c>
      <c r="G28" s="264">
        <f>'UPTO SEP 2020'!G28+'OCT-2020'!G28+'NOV-20'!G28+'DEC-20'!G28+'JAN-2021'!G28</f>
        <v>7.8275670999999996</v>
      </c>
      <c r="H28" s="314" t="s">
        <v>221</v>
      </c>
      <c r="I28" s="314">
        <f t="shared" si="1"/>
        <v>-60.959765087281802</v>
      </c>
      <c r="M28" s="5">
        <f>M27/100000</f>
        <v>1606.8341700000001</v>
      </c>
    </row>
    <row r="29" spans="1:13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264">
        <f>'UPTO SEP 2020'!F29+'OCT-2020'!F29+'NOV-20'!F29+'DEC-20'!F29+'JAN-2021'!F29</f>
        <v>1.2443416</v>
      </c>
      <c r="G29" s="264">
        <f>'UPTO SEP 2020'!G29+'OCT-2020'!G29+'NOV-20'!G29+'DEC-20'!G29+'JAN-2021'!G29</f>
        <v>0.18704809999999999</v>
      </c>
      <c r="H29" s="314" t="s">
        <v>221</v>
      </c>
      <c r="I29" s="314">
        <f t="shared" si="1"/>
        <v>-84.968106828542915</v>
      </c>
    </row>
    <row r="30" spans="1:13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264">
        <f>'UPTO SEP 2020'!F30+'OCT-2020'!F30+'NOV-20'!F30+'DEC-20'!F30+'JAN-2021'!F30</f>
        <v>1.7813429999999997</v>
      </c>
      <c r="G30" s="264">
        <f>'UPTO SEP 2020'!G30+'OCT-2020'!G30+'NOV-20'!G30+'DEC-20'!G30+'JAN-2021'!G30</f>
        <v>0</v>
      </c>
      <c r="H30" s="316" t="s">
        <v>221</v>
      </c>
      <c r="I30" s="314">
        <f t="shared" si="1"/>
        <v>-100</v>
      </c>
    </row>
    <row r="31" spans="1:13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264">
        <f>'UPTO SEP 2020'!F31+'OCT-2020'!F31+'NOV-20'!F31+'DEC-20'!F31+'JAN-2021'!F31</f>
        <v>2.5031265</v>
      </c>
      <c r="G31" s="264">
        <f>'UPTO SEP 2020'!G31+'OCT-2020'!G31+'NOV-20'!G31+'DEC-20'!G31+'JAN-2021'!G31</f>
        <v>0</v>
      </c>
      <c r="H31" s="316" t="s">
        <v>221</v>
      </c>
      <c r="I31" s="314">
        <f t="shared" si="1"/>
        <v>-100</v>
      </c>
    </row>
    <row r="32" spans="1:13" ht="15.4" x14ac:dyDescent="0.4">
      <c r="A32" s="2016"/>
      <c r="B32" s="2017" t="s">
        <v>241</v>
      </c>
      <c r="C32" s="2030"/>
      <c r="D32" s="332" t="s">
        <v>221</v>
      </c>
      <c r="E32" s="308" t="s">
        <v>221</v>
      </c>
      <c r="F32" s="264">
        <f>'UPTO SEP 2020'!F32+'OCT-2020'!F32+'NOV-20'!F32+'DEC-20'!F32+'JAN-2021'!F32</f>
        <v>28.045363200000001</v>
      </c>
      <c r="G32" s="264">
        <f>'UPTO SEP 2020'!G32+'OCT-2020'!G32+'NOV-20'!G32+'DEC-20'!G32+'JAN-2021'!G32</f>
        <v>6.5759277000000012</v>
      </c>
      <c r="H32" s="316" t="s">
        <v>221</v>
      </c>
      <c r="I32" s="314">
        <f t="shared" si="1"/>
        <v>-76.552531507240388</v>
      </c>
      <c r="K32" s="437">
        <v>8790711</v>
      </c>
    </row>
    <row r="33" spans="1:17" x14ac:dyDescent="0.4">
      <c r="A33" s="403"/>
      <c r="B33" s="402" t="s">
        <v>266</v>
      </c>
      <c r="C33" s="409"/>
      <c r="D33" s="332"/>
      <c r="E33" s="308"/>
      <c r="F33" s="264">
        <f>'UPTO SEP 2020'!F33+'OCT-2020'!F33+'NOV-20'!F33+'DEC-20'!F33+'JAN-2021'!F33</f>
        <v>1.3098425999999999</v>
      </c>
      <c r="G33" s="264">
        <f>'UPTO SEP 2020'!G33+'OCT-2020'!G33+'NOV-20'!G33+'DEC-20'!G33+'JAN-2021'!G33</f>
        <v>2.5016300000000002E-2</v>
      </c>
      <c r="H33" s="316"/>
      <c r="I33" s="314">
        <f t="shared" si="1"/>
        <v>-98.090129302558935</v>
      </c>
      <c r="K33" s="5">
        <f>1300+15+630+420+120+6330</f>
        <v>8815</v>
      </c>
    </row>
    <row r="34" spans="1:17" ht="15" x14ac:dyDescent="0.4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  <c r="M34" s="26"/>
    </row>
    <row r="35" spans="1:17" ht="15.4" x14ac:dyDescent="0.4">
      <c r="A35" s="2020"/>
      <c r="B35" s="2006" t="s">
        <v>27</v>
      </c>
      <c r="C35" s="2007"/>
      <c r="D35" s="331">
        <v>2.4300000000000002</v>
      </c>
      <c r="E35" s="265">
        <v>2.0249999999999999</v>
      </c>
      <c r="F35" s="264">
        <f>'UPTO SEP 2020'!F35+'OCT-2020'!F35+'NOV-20'!F35+'DEC-20'!F35+'JAN-2021'!F35</f>
        <v>4.8645128000000009</v>
      </c>
      <c r="G35" s="264">
        <f>'UPTO SEP 2020'!G35+'OCT-2020'!G35+'NOV-20'!G35+'DEC-20'!G35+'JAN-2021'!G35</f>
        <v>0.66978700000000002</v>
      </c>
      <c r="H35" s="314">
        <f>(G35-E35)/E35*100</f>
        <v>-66.924098765432106</v>
      </c>
      <c r="I35" s="314">
        <f>(G35-F35)/F35*100</f>
        <v>-86.231159675435535</v>
      </c>
      <c r="K35" s="432" t="s">
        <v>203</v>
      </c>
      <c r="L35" s="432" t="s">
        <v>275</v>
      </c>
    </row>
    <row r="36" spans="1:17" ht="15.4" x14ac:dyDescent="0.4">
      <c r="A36" s="2020"/>
      <c r="B36" s="2006" t="s">
        <v>28</v>
      </c>
      <c r="C36" s="2007"/>
      <c r="D36" s="331">
        <v>0.1135</v>
      </c>
      <c r="E36" s="265">
        <v>9.1999999999999998E-2</v>
      </c>
      <c r="F36" s="264">
        <v>1.954</v>
      </c>
      <c r="G36" s="264">
        <f>1221828/10000000</f>
        <v>0.12218279999999999</v>
      </c>
      <c r="H36" s="314">
        <f>(G36-E36)/E36*100</f>
        <v>32.807391304347824</v>
      </c>
      <c r="I36" s="314">
        <f>(G36-F36)/F36*100</f>
        <v>-93.747041965199585</v>
      </c>
      <c r="K36" s="5" t="s">
        <v>126</v>
      </c>
      <c r="L36" s="5" t="s">
        <v>299</v>
      </c>
    </row>
    <row r="37" spans="1:17" ht="15.4" x14ac:dyDescent="0.4">
      <c r="A37" s="2020"/>
      <c r="B37" s="378" t="s">
        <v>224</v>
      </c>
      <c r="C37" s="379"/>
      <c r="D37" s="331">
        <v>0.19</v>
      </c>
      <c r="E37" s="406">
        <v>0.158</v>
      </c>
      <c r="F37" s="264">
        <f>'UPTO SEP 2020'!F37+'OCT-2020'!F37+'NOV-20'!F37+'DEC-20'!F37+'JAN-2021'!F37</f>
        <v>1.2388614</v>
      </c>
      <c r="G37" s="264">
        <f>'UPTO SEP 2020'!G37+'OCT-2020'!G37+'NOV-20'!G37+'DEC-20'!G37+'JAN-2021'!G37</f>
        <v>0.13764409999999999</v>
      </c>
      <c r="H37" s="314">
        <f>(G37-E37)/E37*100</f>
        <v>-12.883481012658235</v>
      </c>
      <c r="I37" s="314">
        <f>(G37-F37)/F37*100</f>
        <v>-88.88946737706091</v>
      </c>
      <c r="K37" s="5">
        <f>3695+606+35+5749+46464+300+10194+144+159691+235+1730+67000</f>
        <v>295843</v>
      </c>
      <c r="L37" s="5">
        <f>25+365+225+6840+16000+6567+1744+440+70464+130+400+130293+200</f>
        <v>233693</v>
      </c>
    </row>
    <row r="38" spans="1:17" ht="15.4" hidden="1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f>'UPTO SEP 2020'!F38+'OCT-2020'!F38+'NOV-20'!F38+'DEC-20'!F38+'JAN-2021'!F38</f>
        <v>0</v>
      </c>
      <c r="G38" s="264">
        <f>'UPTO SEP 2020'!G38+'OCT-2020'!G38+'NOV-20'!G38+'DEC-20'!G38+'JAN-2021'!G38</f>
        <v>0</v>
      </c>
      <c r="H38" s="314" t="s">
        <v>221</v>
      </c>
      <c r="I38" s="314">
        <v>0</v>
      </c>
      <c r="K38" s="5">
        <f>K37/10000000</f>
        <v>2.9584300000000001E-2</v>
      </c>
      <c r="L38" s="5">
        <f>L37/10000000</f>
        <v>2.3369299999999999E-2</v>
      </c>
    </row>
    <row r="39" spans="1:17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264">
        <f>303365/10000000</f>
        <v>3.0336499999999999E-2</v>
      </c>
      <c r="G39" s="493">
        <f>10732/10000000</f>
        <v>1.0732000000000001E-3</v>
      </c>
      <c r="H39" s="314" t="s">
        <v>221</v>
      </c>
      <c r="I39" s="314">
        <f>(G39-F39)/F39*100</f>
        <v>-96.462347337365884</v>
      </c>
    </row>
    <row r="40" spans="1:17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264">
        <f>'UPTO SEP 2020'!F40+'OCT-2020'!F40+'NOV-20'!F40+'DEC-20'!F40+'JAN-2021'!F40</f>
        <v>0.18541669999999999</v>
      </c>
      <c r="G40" s="264">
        <f>'UPTO SEP 2020'!G40+'OCT-2020'!G40+'NOV-20'!G40+'DEC-20'!G40+'JAN-2021'!G40</f>
        <v>0.16775580000000001</v>
      </c>
      <c r="H40" s="314"/>
      <c r="I40" s="314">
        <f>(G40-F40)/F40*100</f>
        <v>-9.52497806292528</v>
      </c>
    </row>
    <row r="41" spans="1:17" ht="15" x14ac:dyDescent="0.35">
      <c r="A41" s="2020"/>
      <c r="B41" s="2021" t="s">
        <v>346</v>
      </c>
      <c r="C41" s="2022"/>
      <c r="D41" s="2022"/>
      <c r="E41" s="2022"/>
      <c r="F41" s="2022"/>
      <c r="G41" s="2022"/>
      <c r="H41" s="2022"/>
      <c r="I41" s="2023"/>
      <c r="P41" s="12"/>
      <c r="Q41" s="12"/>
    </row>
    <row r="42" spans="1:17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29.62</v>
      </c>
      <c r="G42" s="264">
        <f>'UPTO SEP 2020'!G42+'OCT-2020'!G42+'NOV-20'!G42+'DEC-20'!G42+'JAN-2021'!G42</f>
        <v>0.23277700000000001</v>
      </c>
      <c r="H42" s="314" t="s">
        <v>221</v>
      </c>
      <c r="I42" s="314">
        <f>(G42-F42)/F42*100</f>
        <v>-99.214122214719794</v>
      </c>
      <c r="K42" s="5">
        <f>G42*1000000</f>
        <v>232777</v>
      </c>
      <c r="L42" s="5">
        <f>K42/100000</f>
        <v>2.3277700000000001</v>
      </c>
      <c r="M42" s="5">
        <f>G42*1000000</f>
        <v>232777</v>
      </c>
      <c r="N42" s="12">
        <f>M42/100000</f>
        <v>2.3277700000000001</v>
      </c>
    </row>
    <row r="43" spans="1:17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264">
        <v>26.06</v>
      </c>
      <c r="G43" s="264">
        <f>'UPTO SEP 2020'!G43+'OCT-2020'!G43+'NOV-20'!G43+'DEC-20'!G43+'JAN-2021'!G43</f>
        <v>0.19925799999999999</v>
      </c>
      <c r="H43" s="2027" t="s">
        <v>221</v>
      </c>
      <c r="I43" s="314">
        <f>(G43-F43)/F43*100</f>
        <v>-99.235387567152728</v>
      </c>
      <c r="K43" s="5">
        <f>G43*1000000</f>
        <v>199258</v>
      </c>
      <c r="L43" s="5">
        <f>K43/100000</f>
        <v>1.99258</v>
      </c>
      <c r="M43" s="5">
        <f>G43*1000000</f>
        <v>199258</v>
      </c>
      <c r="N43" s="12">
        <f>M43/100000</f>
        <v>1.99258</v>
      </c>
    </row>
    <row r="44" spans="1:17" ht="15.4" x14ac:dyDescent="0.4">
      <c r="A44" s="2020"/>
      <c r="B44" s="2070"/>
      <c r="C44" s="320" t="s">
        <v>228</v>
      </c>
      <c r="D44" s="2068"/>
      <c r="E44" s="2066"/>
      <c r="F44" s="264">
        <v>9.5210000000000008</v>
      </c>
      <c r="G44" s="264">
        <f>'UPTO SEP 2020'!G44+'OCT-2020'!G44+'NOV-20'!G44+'DEC-20'!G44+'JAN-2021'!G44</f>
        <v>1.723204</v>
      </c>
      <c r="H44" s="2029"/>
      <c r="I44" s="314">
        <f>(G44-F44)/F44*100</f>
        <v>-81.901018800546169</v>
      </c>
      <c r="K44" s="5">
        <f>G44*1000000</f>
        <v>1723204</v>
      </c>
      <c r="L44" s="5">
        <f>K44/100000</f>
        <v>17.232040000000001</v>
      </c>
      <c r="M44" s="5">
        <f>G44*1000000</f>
        <v>1723204</v>
      </c>
      <c r="N44" s="12">
        <f>M44/100000</f>
        <v>17.232040000000001</v>
      </c>
    </row>
    <row r="45" spans="1:17" ht="15" x14ac:dyDescent="0.35">
      <c r="A45" s="2020">
        <v>6</v>
      </c>
      <c r="B45" s="2021" t="s">
        <v>399</v>
      </c>
      <c r="C45" s="2022"/>
      <c r="D45" s="2022"/>
      <c r="E45" s="2022"/>
      <c r="F45" s="2022"/>
      <c r="G45" s="2022"/>
      <c r="H45" s="2022"/>
      <c r="I45" s="2023"/>
      <c r="L45" s="5">
        <f>SUM(L43:L44)</f>
        <v>19.224620000000002</v>
      </c>
    </row>
    <row r="46" spans="1:17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>
        <v>230.6</v>
      </c>
      <c r="G46" s="78">
        <v>130.06</v>
      </c>
      <c r="H46" s="2027" t="s">
        <v>221</v>
      </c>
      <c r="I46" s="314">
        <f>(G46-F46)/F46*100</f>
        <v>-43.599306157849085</v>
      </c>
    </row>
    <row r="47" spans="1:17" ht="15.4" x14ac:dyDescent="0.4">
      <c r="A47" s="2020"/>
      <c r="B47" s="2006" t="s">
        <v>37</v>
      </c>
      <c r="C47" s="2007"/>
      <c r="D47" s="303" t="s">
        <v>221</v>
      </c>
      <c r="E47" s="2025"/>
      <c r="F47" s="78">
        <v>34.01</v>
      </c>
      <c r="G47" s="78">
        <v>31.68</v>
      </c>
      <c r="H47" s="2028"/>
      <c r="I47" s="314">
        <f>(G47-F47)/F47*100</f>
        <v>-6.8509261981770031</v>
      </c>
    </row>
    <row r="48" spans="1:17" ht="15.4" x14ac:dyDescent="0.4">
      <c r="A48" s="2020"/>
      <c r="B48" s="2006" t="s">
        <v>38</v>
      </c>
      <c r="C48" s="2007"/>
      <c r="D48" s="303" t="s">
        <v>221</v>
      </c>
      <c r="E48" s="2026"/>
      <c r="F48" s="78">
        <f>SUM(F46:F47)</f>
        <v>264.61</v>
      </c>
      <c r="G48" s="78">
        <f>SUM(G46:G47)</f>
        <v>161.74</v>
      </c>
      <c r="H48" s="2029"/>
      <c r="I48" s="314">
        <f>(G48-F48)/F48*100</f>
        <v>-38.876081780733912</v>
      </c>
    </row>
    <row r="50" spans="2:9" s="5" customFormat="1" ht="13.5" x14ac:dyDescent="0.35">
      <c r="B50" s="300"/>
      <c r="E50" s="428"/>
      <c r="G50" s="12"/>
      <c r="H50" s="11"/>
      <c r="I50" s="11"/>
    </row>
    <row r="51" spans="2:9" s="5" customFormat="1" ht="13.5" x14ac:dyDescent="0.35">
      <c r="B51" s="300"/>
      <c r="E51" s="428"/>
      <c r="G51" s="12"/>
      <c r="H51" s="11"/>
      <c r="I51" s="11"/>
    </row>
    <row r="52" spans="2:9" s="5" customFormat="1" ht="13.5" x14ac:dyDescent="0.35">
      <c r="B52" s="300"/>
      <c r="E52" s="428"/>
      <c r="G52" s="12"/>
      <c r="H52" s="11"/>
      <c r="I52" s="11"/>
    </row>
    <row r="53" spans="2:9" s="5" customFormat="1" ht="13.5" x14ac:dyDescent="0.35">
      <c r="B53" s="300"/>
      <c r="E53" s="35"/>
      <c r="H53" s="11"/>
      <c r="I53" s="11"/>
    </row>
    <row r="54" spans="2:9" s="5" customFormat="1" ht="13.5" x14ac:dyDescent="0.35">
      <c r="C54" s="12"/>
      <c r="D54" s="84"/>
      <c r="E54" s="428"/>
      <c r="F54" s="12"/>
      <c r="G54" s="12"/>
      <c r="H54" s="11"/>
      <c r="I54" s="11"/>
    </row>
    <row r="56" spans="2:9" s="5" customFormat="1" ht="15.4" x14ac:dyDescent="0.4">
      <c r="B56" s="300"/>
      <c r="D56" s="500"/>
      <c r="E56" s="314"/>
      <c r="F56" s="314"/>
      <c r="H56" s="11"/>
      <c r="I56" s="82"/>
    </row>
    <row r="57" spans="2:9" s="5" customFormat="1" ht="13.5" x14ac:dyDescent="0.35">
      <c r="B57" s="300"/>
      <c r="D57" s="84"/>
      <c r="E57" s="35"/>
      <c r="H57" s="11"/>
      <c r="I57" s="82"/>
    </row>
    <row r="58" spans="2:9" s="5" customFormat="1" ht="13.5" x14ac:dyDescent="0.35">
      <c r="B58" s="300"/>
      <c r="D58" s="84"/>
      <c r="E58" s="35"/>
      <c r="H58" s="11"/>
      <c r="I58" s="82"/>
    </row>
    <row r="59" spans="2:9" s="5" customFormat="1" ht="13.5" x14ac:dyDescent="0.35">
      <c r="B59" s="300"/>
      <c r="D59" s="84"/>
      <c r="E59" s="35"/>
      <c r="H59" s="11"/>
      <c r="I59" s="82"/>
    </row>
    <row r="60" spans="2:9" s="5" customFormat="1" ht="13.5" x14ac:dyDescent="0.35">
      <c r="B60" s="300"/>
      <c r="D60" s="84"/>
      <c r="E60" s="35"/>
      <c r="H60" s="11"/>
      <c r="I60" s="82"/>
    </row>
    <row r="64" spans="2:9" s="5" customFormat="1" ht="13.5" x14ac:dyDescent="0.35">
      <c r="H64" s="11"/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75" bottom="0.4" header="0.3" footer="0.3"/>
  <pageSetup paperSize="9" scale="57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N48"/>
  <sheetViews>
    <sheetView zoomScale="80" zoomScaleNormal="80" workbookViewId="0">
      <selection sqref="A1:XFD1048576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1" style="5" customWidth="1"/>
    <col min="4" max="4" width="9.265625" style="84" customWidth="1"/>
    <col min="5" max="5" width="10.1328125" style="35" customWidth="1"/>
    <col min="6" max="6" width="12.73046875" style="5" customWidth="1"/>
    <col min="7" max="7" width="14" style="5" customWidth="1"/>
    <col min="8" max="8" width="11.265625" style="11" customWidth="1"/>
    <col min="9" max="9" width="13.86328125" style="82" customWidth="1"/>
    <col min="10" max="10" width="9.1328125" style="5"/>
    <col min="11" max="11" width="12.3984375" style="5" bestFit="1" customWidth="1"/>
    <col min="12" max="12" width="10" style="5" customWidth="1"/>
    <col min="13" max="16384" width="9.1328125" style="5"/>
  </cols>
  <sheetData>
    <row r="1" spans="1:14" ht="23.2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14" s="301" customFormat="1" ht="26.25" customHeight="1" thickBot="1" x14ac:dyDescent="0.5">
      <c r="A2" s="2092" t="s">
        <v>455</v>
      </c>
      <c r="B2" s="2093"/>
      <c r="C2" s="2093"/>
      <c r="D2" s="2093"/>
      <c r="E2" s="2093"/>
      <c r="F2" s="2093"/>
      <c r="G2" s="2093"/>
      <c r="H2" s="2093"/>
      <c r="I2" s="2094"/>
    </row>
    <row r="3" spans="1:14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4" s="35" customFormat="1" ht="33.75" customHeight="1" x14ac:dyDescent="0.45">
      <c r="A4" s="2035"/>
      <c r="B4" s="2047"/>
      <c r="C4" s="2048"/>
      <c r="D4" s="421" t="s">
        <v>9</v>
      </c>
      <c r="E4" s="422">
        <f>G4</f>
        <v>44287</v>
      </c>
      <c r="F4" s="422">
        <v>43922</v>
      </c>
      <c r="G4" s="422">
        <v>44287</v>
      </c>
      <c r="H4" s="2111" t="s">
        <v>12</v>
      </c>
      <c r="I4" s="2111" t="s">
        <v>13</v>
      </c>
      <c r="N4" s="380"/>
    </row>
    <row r="5" spans="1:14" ht="20.25" hidden="1" customHeight="1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14" ht="30" customHeight="1" x14ac:dyDescent="0.35">
      <c r="A6" s="372">
        <v>1</v>
      </c>
      <c r="B6" s="2049" t="s">
        <v>290</v>
      </c>
      <c r="C6" s="2049"/>
      <c r="D6" s="304" t="s">
        <v>221</v>
      </c>
      <c r="E6" s="305">
        <f>'TARGET SHEET 2021-22'!D6</f>
        <v>68.25</v>
      </c>
      <c r="F6" s="305">
        <v>-14.077521600000001</v>
      </c>
      <c r="G6" s="305">
        <f>G15+G16+G17</f>
        <v>32.735836888999998</v>
      </c>
      <c r="H6" s="306">
        <f>(G6-E6)/E6*100</f>
        <v>-52.035403825641026</v>
      </c>
      <c r="I6" s="624">
        <v>332</v>
      </c>
    </row>
    <row r="7" spans="1:14" ht="26.25" customHeight="1" x14ac:dyDescent="0.35">
      <c r="A7" s="373">
        <v>2</v>
      </c>
      <c r="B7" s="2050" t="s">
        <v>291</v>
      </c>
      <c r="C7" s="2051"/>
      <c r="D7" s="307" t="s">
        <v>221</v>
      </c>
      <c r="E7" s="307">
        <f>'TARGET SHEET 2021-22'!E6</f>
        <v>11.57</v>
      </c>
      <c r="F7" s="307">
        <v>7.29</v>
      </c>
      <c r="G7" s="307">
        <v>19.54</v>
      </c>
      <c r="H7" s="308">
        <f>(G7-E7)/E7*100</f>
        <v>68.885047536732927</v>
      </c>
      <c r="I7" s="308">
        <f>(G7-F7)/F7*100</f>
        <v>168.03840877914953</v>
      </c>
    </row>
    <row r="8" spans="1:14" ht="32.25" customHeight="1" x14ac:dyDescent="0.35">
      <c r="A8" s="374">
        <v>3</v>
      </c>
      <c r="B8" s="2021" t="s">
        <v>292</v>
      </c>
      <c r="C8" s="2023"/>
      <c r="D8" s="364" t="s">
        <v>221</v>
      </c>
      <c r="E8" s="364">
        <f>'TARGET SHEET 2021-22'!F6</f>
        <v>5.0999999999999996</v>
      </c>
      <c r="F8" s="364">
        <v>0.33</v>
      </c>
      <c r="G8" s="364">
        <f>G27+G28+G29+G30+G31++G33+G32</f>
        <v>5.9256177999999995</v>
      </c>
      <c r="H8" s="306">
        <f>(G8-E8)/E8*100</f>
        <v>16.188584313725489</v>
      </c>
      <c r="I8" s="365">
        <f>(G8-F8)/F8*100</f>
        <v>1695.6417575757573</v>
      </c>
    </row>
    <row r="9" spans="1:14" ht="34.5" customHeight="1" x14ac:dyDescent="0.35">
      <c r="A9" s="373">
        <v>4</v>
      </c>
      <c r="B9" s="2052" t="s">
        <v>293</v>
      </c>
      <c r="C9" s="2053"/>
      <c r="D9" s="307" t="s">
        <v>221</v>
      </c>
      <c r="E9" s="307">
        <f>'TARGET SHEET 2021-22'!N6</f>
        <v>0.67873000000000006</v>
      </c>
      <c r="F9" s="307">
        <v>0</v>
      </c>
      <c r="G9" s="307">
        <f>G35+G36+G37+G38+G39+G40</f>
        <v>5.5518600000000001E-2</v>
      </c>
      <c r="H9" s="308">
        <f>(G9-E9)/E9*100</f>
        <v>-91.820223063663022</v>
      </c>
      <c r="I9" s="308">
        <v>0</v>
      </c>
    </row>
    <row r="10" spans="1:14" ht="28.5" customHeight="1" x14ac:dyDescent="0.35">
      <c r="A10" s="374">
        <v>5</v>
      </c>
      <c r="B10" s="2054" t="s">
        <v>294</v>
      </c>
      <c r="C10" s="2055"/>
      <c r="D10" s="321" t="s">
        <v>221</v>
      </c>
      <c r="E10" s="321">
        <f>SUM(E6:E9)</f>
        <v>85.598729999999989</v>
      </c>
      <c r="F10" s="321">
        <f>SUM(F6:F9)</f>
        <v>-6.4575216000000006</v>
      </c>
      <c r="G10" s="321">
        <f>SUM(G6:G9)</f>
        <v>58.256973288999994</v>
      </c>
      <c r="H10" s="306">
        <f>(G10-E10)/E10*100</f>
        <v>-31.941778471479658</v>
      </c>
      <c r="I10" s="365">
        <v>1020.9</v>
      </c>
    </row>
    <row r="11" spans="1:14" ht="14.2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4" ht="36.75" customHeight="1" thickTop="1" thickBot="1" x14ac:dyDescent="0.4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-0.21001600000000001</v>
      </c>
      <c r="G12" s="447">
        <f>G42+G43+G44</f>
        <v>0.55970399999999998</v>
      </c>
      <c r="H12" s="310" t="s">
        <v>221</v>
      </c>
      <c r="I12" s="365">
        <v>368.4</v>
      </c>
    </row>
    <row r="13" spans="1:14" ht="28.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4" ht="30.75" customHeight="1" x14ac:dyDescent="0.35">
      <c r="A14" s="2003">
        <v>1</v>
      </c>
      <c r="B14" s="2021" t="s">
        <v>425</v>
      </c>
      <c r="C14" s="2022"/>
      <c r="D14" s="2022"/>
      <c r="E14" s="2022"/>
      <c r="F14" s="2022"/>
      <c r="G14" s="2022"/>
      <c r="H14" s="2022"/>
      <c r="I14" s="2023"/>
    </row>
    <row r="15" spans="1:14" ht="15.4" x14ac:dyDescent="0.4">
      <c r="A15" s="2004"/>
      <c r="B15" s="2006" t="s">
        <v>16</v>
      </c>
      <c r="C15" s="2007"/>
      <c r="D15" s="331" t="s">
        <v>221</v>
      </c>
      <c r="E15" s="307">
        <f>'TARGET SHEET 2021-22'!B6</f>
        <v>0.16</v>
      </c>
      <c r="F15" s="315">
        <v>0</v>
      </c>
      <c r="G15" s="315">
        <f>'actual fig'!L44/10000000</f>
        <v>3.9327188999999999E-2</v>
      </c>
      <c r="H15" s="308">
        <f>(G15-E15)/E15*100</f>
        <v>-75.420506875000001</v>
      </c>
      <c r="I15" s="314">
        <v>0</v>
      </c>
    </row>
    <row r="16" spans="1:14" ht="15.4" x14ac:dyDescent="0.4">
      <c r="A16" s="2004"/>
      <c r="B16" s="2071" t="s">
        <v>15</v>
      </c>
      <c r="C16" s="320" t="s">
        <v>166</v>
      </c>
      <c r="D16" s="2064" t="s">
        <v>221</v>
      </c>
      <c r="E16" s="2065">
        <f>'TARGET SHEET 2021-22'!C6</f>
        <v>68.09</v>
      </c>
      <c r="F16" s="313">
        <v>0</v>
      </c>
      <c r="G16" s="313">
        <f>'actual fig'!M44/10000000</f>
        <v>3.6509699999999999E-2</v>
      </c>
      <c r="H16" s="2154">
        <f>M16</f>
        <v>-51.980452783081219</v>
      </c>
      <c r="I16" s="314">
        <v>0</v>
      </c>
      <c r="K16" s="12">
        <f>F16+F17</f>
        <v>-14.077521600000001</v>
      </c>
      <c r="L16" s="12">
        <f>G16+G17</f>
        <v>32.6965097</v>
      </c>
      <c r="M16" s="5">
        <f>(L16-E16)/E16*100</f>
        <v>-51.980452783081219</v>
      </c>
    </row>
    <row r="17" spans="1:9" ht="15.4" x14ac:dyDescent="0.4">
      <c r="A17" s="2005"/>
      <c r="B17" s="2071"/>
      <c r="C17" s="320" t="s">
        <v>228</v>
      </c>
      <c r="D17" s="2064"/>
      <c r="E17" s="2066"/>
      <c r="F17" s="313">
        <f>-140775216/10000000</f>
        <v>-14.077521600000001</v>
      </c>
      <c r="G17" s="313">
        <v>32.659999999999997</v>
      </c>
      <c r="H17" s="2155"/>
      <c r="I17" s="314">
        <v>332.1</v>
      </c>
    </row>
    <row r="18" spans="1:9" ht="27" customHeight="1" x14ac:dyDescent="0.35">
      <c r="A18" s="2003">
        <v>2</v>
      </c>
      <c r="B18" s="2021" t="s">
        <v>454</v>
      </c>
      <c r="C18" s="2022"/>
      <c r="D18" s="2022"/>
      <c r="E18" s="2022"/>
      <c r="F18" s="2022"/>
      <c r="G18" s="2022"/>
      <c r="H18" s="2022"/>
      <c r="I18" s="2023"/>
    </row>
    <row r="19" spans="1:9" ht="18.75" customHeight="1" x14ac:dyDescent="0.4">
      <c r="A19" s="2004"/>
      <c r="B19" s="2008" t="s">
        <v>230</v>
      </c>
      <c r="C19" s="2000" t="s">
        <v>231</v>
      </c>
      <c r="D19" s="2001"/>
      <c r="E19" s="2002"/>
      <c r="F19" s="315">
        <v>0.81</v>
      </c>
      <c r="G19" s="315">
        <f>152690810/10000000</f>
        <v>15.269081</v>
      </c>
      <c r="H19" s="316" t="s">
        <v>221</v>
      </c>
      <c r="I19" s="316">
        <f>(G19-F19)/F19*100</f>
        <v>1785.0717283950617</v>
      </c>
    </row>
    <row r="20" spans="1:9" ht="18.75" customHeight="1" x14ac:dyDescent="0.4">
      <c r="A20" s="2004"/>
      <c r="B20" s="2009"/>
      <c r="C20" s="2000" t="s">
        <v>232</v>
      </c>
      <c r="D20" s="2001"/>
      <c r="E20" s="2002"/>
      <c r="F20" s="315">
        <v>5.46</v>
      </c>
      <c r="G20" s="315">
        <f>8995169/10000000</f>
        <v>0.89951689999999995</v>
      </c>
      <c r="H20" s="316" t="s">
        <v>221</v>
      </c>
      <c r="I20" s="316">
        <f>(G20-F20)/F20*100</f>
        <v>-83.525331501831502</v>
      </c>
    </row>
    <row r="21" spans="1:9" ht="18.75" customHeight="1" x14ac:dyDescent="0.4">
      <c r="A21" s="2004"/>
      <c r="B21" s="2009"/>
      <c r="C21" s="2000" t="s">
        <v>239</v>
      </c>
      <c r="D21" s="2001"/>
      <c r="E21" s="2002"/>
      <c r="F21" s="315">
        <v>0</v>
      </c>
      <c r="G21" s="315">
        <f>22941428/10000000</f>
        <v>2.2941427999999999</v>
      </c>
      <c r="H21" s="316" t="s">
        <v>221</v>
      </c>
      <c r="I21" s="316" t="s">
        <v>221</v>
      </c>
    </row>
    <row r="22" spans="1:9" ht="18.75" customHeight="1" x14ac:dyDescent="0.4">
      <c r="A22" s="2004"/>
      <c r="B22" s="2009"/>
      <c r="C22" s="2000" t="s">
        <v>233</v>
      </c>
      <c r="D22" s="2001"/>
      <c r="E22" s="2002"/>
      <c r="F22" s="315">
        <v>0.95</v>
      </c>
      <c r="G22" s="315">
        <f>10153147/10000000</f>
        <v>1.0153147</v>
      </c>
      <c r="H22" s="316" t="s">
        <v>221</v>
      </c>
      <c r="I22" s="316">
        <f>(G22-F22)/F22*100</f>
        <v>6.8752315789473748</v>
      </c>
    </row>
    <row r="23" spans="1:9" ht="18.75" customHeight="1" x14ac:dyDescent="0.4">
      <c r="A23" s="2004"/>
      <c r="B23" s="2009"/>
      <c r="C23" s="2000" t="s">
        <v>234</v>
      </c>
      <c r="D23" s="2001"/>
      <c r="E23" s="2002"/>
      <c r="F23" s="315">
        <v>0.08</v>
      </c>
      <c r="G23" s="315">
        <f>0</f>
        <v>0</v>
      </c>
      <c r="H23" s="316" t="s">
        <v>221</v>
      </c>
      <c r="I23" s="316" t="s">
        <v>221</v>
      </c>
    </row>
    <row r="24" spans="1:9" ht="18.75" customHeight="1" x14ac:dyDescent="0.4">
      <c r="A24" s="2004"/>
      <c r="B24" s="2009"/>
      <c r="C24" s="2000" t="s">
        <v>235</v>
      </c>
      <c r="D24" s="2001"/>
      <c r="E24" s="2002"/>
      <c r="F24" s="315">
        <v>0</v>
      </c>
      <c r="G24" s="315">
        <f>380164/10000000</f>
        <v>3.8016399999999999E-2</v>
      </c>
      <c r="H24" s="316"/>
      <c r="I24" s="316">
        <v>0</v>
      </c>
    </row>
    <row r="25" spans="1:9" ht="27" customHeight="1" x14ac:dyDescent="0.35">
      <c r="A25" s="2005"/>
      <c r="B25" s="2010"/>
      <c r="C25" s="2159" t="s">
        <v>453</v>
      </c>
      <c r="D25" s="2160"/>
      <c r="E25" s="2161"/>
      <c r="F25" s="315">
        <v>0</v>
      </c>
      <c r="G25" s="315">
        <f>255462/10000000</f>
        <v>2.5546200000000002E-2</v>
      </c>
      <c r="H25" s="316" t="s">
        <v>221</v>
      </c>
      <c r="I25" s="316">
        <v>0</v>
      </c>
    </row>
    <row r="26" spans="1:9" ht="24.75" customHeight="1" x14ac:dyDescent="0.35">
      <c r="A26" s="2014">
        <v>3</v>
      </c>
      <c r="B26" s="2021" t="s">
        <v>427</v>
      </c>
      <c r="C26" s="2022"/>
      <c r="D26" s="2022"/>
      <c r="E26" s="2022"/>
      <c r="F26" s="2022"/>
      <c r="G26" s="2022"/>
      <c r="H26" s="2022"/>
      <c r="I26" s="2023"/>
    </row>
    <row r="27" spans="1:9" ht="15.4" x14ac:dyDescent="0.4">
      <c r="A27" s="2015"/>
      <c r="B27" s="2006" t="s">
        <v>2</v>
      </c>
      <c r="C27" s="2007"/>
      <c r="D27" s="603" t="s">
        <v>221</v>
      </c>
      <c r="E27" s="315">
        <v>0.5</v>
      </c>
      <c r="F27" s="313">
        <v>0</v>
      </c>
      <c r="G27" s="313">
        <v>0.2564168</v>
      </c>
      <c r="H27" s="314" t="s">
        <v>221</v>
      </c>
      <c r="I27" s="314" t="s">
        <v>221</v>
      </c>
    </row>
    <row r="28" spans="1:9" ht="15.4" x14ac:dyDescent="0.4">
      <c r="A28" s="2015"/>
      <c r="B28" s="2006" t="s">
        <v>23</v>
      </c>
      <c r="C28" s="2007"/>
      <c r="D28" s="603" t="s">
        <v>221</v>
      </c>
      <c r="E28" s="315">
        <f>'TARGET SHEET 2021-22'!B34</f>
        <v>2</v>
      </c>
      <c r="F28" s="381">
        <f>108214/10000000</f>
        <v>1.08214E-2</v>
      </c>
      <c r="G28" s="313">
        <v>1.9245622</v>
      </c>
      <c r="H28" s="308">
        <f>(G28-E28)/E28*100</f>
        <v>-3.77189</v>
      </c>
      <c r="I28" s="314">
        <f>(G28-F28)/F28*100</f>
        <v>17684.780157835401</v>
      </c>
    </row>
    <row r="29" spans="1:9" ht="15.4" x14ac:dyDescent="0.4">
      <c r="A29" s="2015"/>
      <c r="B29" s="2006" t="s">
        <v>1</v>
      </c>
      <c r="C29" s="2007"/>
      <c r="D29" s="603" t="s">
        <v>221</v>
      </c>
      <c r="E29" s="315">
        <f>'TARGET SHEET 2021-22'!C34</f>
        <v>0.3</v>
      </c>
      <c r="F29" s="313">
        <v>0</v>
      </c>
      <c r="G29" s="313">
        <v>0.1092967</v>
      </c>
      <c r="H29" s="308">
        <f>(G29-E29)/E29*100</f>
        <v>-63.567766666666671</v>
      </c>
      <c r="I29" s="314" t="s">
        <v>221</v>
      </c>
    </row>
    <row r="30" spans="1:9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3">
        <v>0</v>
      </c>
      <c r="G30" s="381">
        <v>1.7135999999999998E-2</v>
      </c>
      <c r="H30" s="316" t="s">
        <v>221</v>
      </c>
      <c r="I30" s="314" t="s">
        <v>221</v>
      </c>
    </row>
    <row r="31" spans="1:9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v>0</v>
      </c>
      <c r="G31" s="404">
        <v>1.3701E-2</v>
      </c>
      <c r="H31" s="316" t="s">
        <v>221</v>
      </c>
      <c r="I31" s="314" t="s">
        <v>221</v>
      </c>
    </row>
    <row r="32" spans="1:9" ht="15.4" x14ac:dyDescent="0.4">
      <c r="A32" s="2016"/>
      <c r="B32" s="2017" t="s">
        <v>241</v>
      </c>
      <c r="C32" s="2030"/>
      <c r="D32" s="540" t="s">
        <v>221</v>
      </c>
      <c r="E32" s="316" t="s">
        <v>221</v>
      </c>
      <c r="F32" s="315">
        <v>0.32</v>
      </c>
      <c r="G32" s="315">
        <v>3.5720133999999999</v>
      </c>
      <c r="H32" s="316" t="s">
        <v>221</v>
      </c>
      <c r="I32" s="314">
        <f>(G32-F32)/F32*100</f>
        <v>1016.2541875000001</v>
      </c>
    </row>
    <row r="33" spans="1:14" x14ac:dyDescent="0.4">
      <c r="A33" s="403"/>
      <c r="B33" s="2006" t="s">
        <v>260</v>
      </c>
      <c r="C33" s="2019"/>
      <c r="D33" s="540" t="s">
        <v>221</v>
      </c>
      <c r="E33" s="316" t="s">
        <v>221</v>
      </c>
      <c r="F33" s="134">
        <v>0</v>
      </c>
      <c r="G33" s="404">
        <f>'actual fig'!Z44/10000000</f>
        <v>3.2491699999999998E-2</v>
      </c>
      <c r="H33" s="413"/>
      <c r="I33" s="314" t="s">
        <v>221</v>
      </c>
    </row>
    <row r="34" spans="1:14" ht="15" x14ac:dyDescent="0.35">
      <c r="A34" s="2020">
        <v>4</v>
      </c>
      <c r="B34" s="2021" t="s">
        <v>428</v>
      </c>
      <c r="C34" s="2022"/>
      <c r="D34" s="2022"/>
      <c r="E34" s="2022"/>
      <c r="F34" s="2022"/>
      <c r="G34" s="2022"/>
      <c r="H34" s="2022"/>
      <c r="I34" s="2023"/>
    </row>
    <row r="35" spans="1:14" ht="15.4" x14ac:dyDescent="0.4">
      <c r="A35" s="2020"/>
      <c r="B35" s="2006" t="s">
        <v>27</v>
      </c>
      <c r="C35" s="2007"/>
      <c r="D35" s="331">
        <v>4.05</v>
      </c>
      <c r="E35" s="406">
        <f>'TARGET SHEET 2021-22'!J6</f>
        <v>0.33700000000000002</v>
      </c>
      <c r="F35" s="313">
        <v>0</v>
      </c>
      <c r="G35" s="313">
        <v>0.03</v>
      </c>
      <c r="H35" s="314">
        <f>(G35-E35)/E35*100</f>
        <v>-91.097922848664709</v>
      </c>
      <c r="I35" s="314" t="s">
        <v>221</v>
      </c>
    </row>
    <row r="36" spans="1:14" ht="15.4" x14ac:dyDescent="0.4">
      <c r="A36" s="2020"/>
      <c r="B36" s="2006" t="s">
        <v>28</v>
      </c>
      <c r="C36" s="2007"/>
      <c r="D36" s="333">
        <v>2.56</v>
      </c>
      <c r="E36" s="307">
        <f>'TARGET SHEET 2021-22'!K6</f>
        <v>0.21340000000000001</v>
      </c>
      <c r="F36" s="313">
        <v>1.575E-2</v>
      </c>
      <c r="G36" s="313">
        <v>0</v>
      </c>
      <c r="H36" s="314">
        <f>(G36-E36)/E36*100</f>
        <v>-100</v>
      </c>
      <c r="I36" s="314" t="s">
        <v>221</v>
      </c>
    </row>
    <row r="37" spans="1:14" ht="15.4" x14ac:dyDescent="0.4">
      <c r="A37" s="2020"/>
      <c r="B37" s="378" t="s">
        <v>224</v>
      </c>
      <c r="C37" s="379"/>
      <c r="D37" s="603">
        <v>1.54</v>
      </c>
      <c r="E37" s="315">
        <f>'TARGET SHEET 2021-22'!L6</f>
        <v>0.12833</v>
      </c>
      <c r="F37" s="313">
        <v>0</v>
      </c>
      <c r="G37" s="405">
        <v>0</v>
      </c>
      <c r="H37" s="314">
        <f>(G37-E37)/E37*100</f>
        <v>-100</v>
      </c>
      <c r="I37" s="314" t="s">
        <v>221</v>
      </c>
    </row>
    <row r="38" spans="1:14" ht="15.4" x14ac:dyDescent="0.4">
      <c r="A38" s="2020"/>
      <c r="B38" s="2006" t="s">
        <v>64</v>
      </c>
      <c r="C38" s="2007"/>
      <c r="D38" s="540" t="s">
        <v>221</v>
      </c>
      <c r="E38" s="315" t="s">
        <v>221</v>
      </c>
      <c r="F38" s="313">
        <v>0</v>
      </c>
      <c r="G38" s="313">
        <v>0</v>
      </c>
      <c r="H38" s="314" t="s">
        <v>221</v>
      </c>
      <c r="I38" s="314" t="s">
        <v>221</v>
      </c>
    </row>
    <row r="39" spans="1:14" ht="15.4" x14ac:dyDescent="0.4">
      <c r="A39" s="2020"/>
      <c r="B39" s="2006" t="s">
        <v>4</v>
      </c>
      <c r="C39" s="2007"/>
      <c r="D39" s="540" t="s">
        <v>221</v>
      </c>
      <c r="E39" s="315" t="s">
        <v>221</v>
      </c>
      <c r="F39" s="313">
        <v>0</v>
      </c>
      <c r="G39" s="313">
        <v>0</v>
      </c>
      <c r="H39" s="314" t="s">
        <v>221</v>
      </c>
      <c r="I39" s="314" t="s">
        <v>221</v>
      </c>
      <c r="M39" s="5">
        <f>395993</f>
        <v>395993</v>
      </c>
      <c r="N39" s="5">
        <f>M39-M40-400-1361</f>
        <v>255186</v>
      </c>
    </row>
    <row r="40" spans="1:14" x14ac:dyDescent="0.4">
      <c r="A40" s="373"/>
      <c r="B40" s="2006" t="s">
        <v>259</v>
      </c>
      <c r="C40" s="2019"/>
      <c r="D40" s="540" t="s">
        <v>221</v>
      </c>
      <c r="E40" s="315" t="s">
        <v>221</v>
      </c>
      <c r="F40" s="392">
        <v>0</v>
      </c>
      <c r="G40" s="392">
        <v>2.5518599999999999E-2</v>
      </c>
      <c r="H40" s="407" t="s">
        <v>221</v>
      </c>
      <c r="I40" s="408" t="s">
        <v>221</v>
      </c>
      <c r="M40" s="5">
        <f>139046</f>
        <v>139046</v>
      </c>
    </row>
    <row r="41" spans="1:14" ht="15" x14ac:dyDescent="0.35">
      <c r="A41" s="2020"/>
      <c r="B41" s="2021" t="s">
        <v>419</v>
      </c>
      <c r="C41" s="2022"/>
      <c r="D41" s="2022"/>
      <c r="E41" s="2022"/>
      <c r="F41" s="2022"/>
      <c r="G41" s="2022"/>
      <c r="H41" s="2022"/>
      <c r="I41" s="2023"/>
    </row>
    <row r="42" spans="1:14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v>0</v>
      </c>
      <c r="G42" s="315">
        <f>'actual fig'!L60/1000000</f>
        <v>9.6051999999999998E-2</v>
      </c>
      <c r="H42" s="314" t="s">
        <v>221</v>
      </c>
      <c r="I42" s="314" t="s">
        <v>221</v>
      </c>
    </row>
    <row r="43" spans="1:14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3">
        <v>0</v>
      </c>
      <c r="G43" s="313">
        <f>'actual fig'!M60/1000000</f>
        <v>3.4433999999999999E-2</v>
      </c>
      <c r="H43" s="2027" t="s">
        <v>221</v>
      </c>
      <c r="I43" s="314" t="s">
        <v>221</v>
      </c>
    </row>
    <row r="44" spans="1:14" ht="15.4" x14ac:dyDescent="0.4">
      <c r="A44" s="2020"/>
      <c r="B44" s="2070"/>
      <c r="C44" s="320" t="s">
        <v>228</v>
      </c>
      <c r="D44" s="2163"/>
      <c r="E44" s="2155"/>
      <c r="F44" s="313">
        <v>-0.21001600000000001</v>
      </c>
      <c r="G44" s="313">
        <f>'actual fig'!N60/1000000</f>
        <v>0.42921799999999999</v>
      </c>
      <c r="H44" s="2029"/>
      <c r="I44" s="314">
        <v>304.39999999999998</v>
      </c>
    </row>
    <row r="45" spans="1:14" ht="15" x14ac:dyDescent="0.35">
      <c r="A45" s="2020">
        <v>6</v>
      </c>
      <c r="B45" s="2021" t="s">
        <v>458</v>
      </c>
      <c r="C45" s="2022"/>
      <c r="D45" s="2022"/>
      <c r="E45" s="2022"/>
      <c r="F45" s="2022"/>
      <c r="G45" s="2022"/>
      <c r="H45" s="2022"/>
      <c r="I45" s="2023"/>
    </row>
    <row r="46" spans="1:14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1.72</v>
      </c>
      <c r="G46" s="313">
        <f>0.75</f>
        <v>0.75</v>
      </c>
      <c r="H46" s="2027" t="s">
        <v>221</v>
      </c>
      <c r="I46" s="314">
        <f>(G46-F46)/F46*100</f>
        <v>-56.395348837209305</v>
      </c>
    </row>
    <row r="47" spans="1:14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0.28999999999999998</v>
      </c>
      <c r="G47" s="313">
        <v>0.31</v>
      </c>
      <c r="H47" s="2028"/>
      <c r="I47" s="314">
        <f>(G47-F47)/F47*100</f>
        <v>6.8965517241379377</v>
      </c>
    </row>
    <row r="48" spans="1:14" ht="15.4" x14ac:dyDescent="0.4">
      <c r="A48" s="2020"/>
      <c r="B48" s="2006" t="s">
        <v>38</v>
      </c>
      <c r="C48" s="2007"/>
      <c r="D48" s="303" t="s">
        <v>221</v>
      </c>
      <c r="E48" s="2026"/>
      <c r="F48" s="313">
        <v>2.0099999999999998</v>
      </c>
      <c r="G48" s="313">
        <f>SUM(G46:G47)</f>
        <v>1.06</v>
      </c>
      <c r="H48" s="2029"/>
      <c r="I48" s="314">
        <f>(G48-F48)/F48*100</f>
        <v>-47.263681592039788</v>
      </c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B33:C33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75" bottom="0.46" header="0.3" footer="0.3"/>
  <pageSetup paperSize="9" scale="57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Q52"/>
  <sheetViews>
    <sheetView topLeftCell="A14" workbookViewId="0">
      <selection activeCell="G19" sqref="G19:G25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1" style="5" customWidth="1"/>
    <col min="4" max="4" width="9.265625" style="84" customWidth="1"/>
    <col min="5" max="5" width="10.1328125" style="35" customWidth="1"/>
    <col min="6" max="6" width="12.73046875" style="5" customWidth="1"/>
    <col min="7" max="7" width="14" style="5" customWidth="1"/>
    <col min="8" max="8" width="11.265625" style="11" customWidth="1"/>
    <col min="9" max="9" width="13.86328125" style="82" customWidth="1"/>
    <col min="10" max="10" width="9.1328125" style="5"/>
    <col min="11" max="11" width="12.3984375" style="5" bestFit="1" customWidth="1"/>
    <col min="12" max="12" width="10" style="5" customWidth="1"/>
    <col min="13" max="13" width="10.1328125" style="5" bestFit="1" customWidth="1"/>
    <col min="14" max="16384" width="9.1328125" style="5"/>
  </cols>
  <sheetData>
    <row r="1" spans="1:14" ht="17.649999999999999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14" s="301" customFormat="1" ht="17.25" thickBot="1" x14ac:dyDescent="0.5">
      <c r="A2" s="2092" t="s">
        <v>460</v>
      </c>
      <c r="B2" s="2093"/>
      <c r="C2" s="2093"/>
      <c r="D2" s="2093"/>
      <c r="E2" s="2093"/>
      <c r="F2" s="2093"/>
      <c r="G2" s="2093"/>
      <c r="H2" s="2093"/>
      <c r="I2" s="2094"/>
    </row>
    <row r="3" spans="1:14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4" s="35" customFormat="1" ht="33.75" customHeight="1" x14ac:dyDescent="0.45">
      <c r="A4" s="2035"/>
      <c r="B4" s="2047"/>
      <c r="C4" s="2048"/>
      <c r="D4" s="421" t="s">
        <v>9</v>
      </c>
      <c r="E4" s="422">
        <f>G4</f>
        <v>44317</v>
      </c>
      <c r="F4" s="422">
        <v>43952</v>
      </c>
      <c r="G4" s="422">
        <v>44317</v>
      </c>
      <c r="H4" s="2111" t="s">
        <v>12</v>
      </c>
      <c r="I4" s="2111" t="s">
        <v>13</v>
      </c>
      <c r="N4" s="380"/>
    </row>
    <row r="5" spans="1:14" ht="20.25" hidden="1" customHeight="1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14" ht="30" customHeight="1" x14ac:dyDescent="0.35">
      <c r="A6" s="372">
        <v>1</v>
      </c>
      <c r="B6" s="2049" t="s">
        <v>290</v>
      </c>
      <c r="C6" s="2049"/>
      <c r="D6" s="304" t="s">
        <v>221</v>
      </c>
      <c r="E6" s="305">
        <f>'TARGET SHEET 2021-22'!D7</f>
        <v>75.610000000000014</v>
      </c>
      <c r="F6" s="305">
        <v>-7.921200000000006E-2</v>
      </c>
      <c r="G6" s="305">
        <f>G15+G16+G17</f>
        <v>15.507410168</v>
      </c>
      <c r="H6" s="306">
        <f>(G6-E6)/E6*100</f>
        <v>-79.490265615659311</v>
      </c>
      <c r="I6" s="634">
        <v>19677</v>
      </c>
      <c r="K6" s="5">
        <f>F6*10000000</f>
        <v>-792120.00000000058</v>
      </c>
    </row>
    <row r="7" spans="1:14" ht="26.25" customHeight="1" x14ac:dyDescent="0.35">
      <c r="A7" s="373">
        <v>2</v>
      </c>
      <c r="B7" s="2050" t="s">
        <v>291</v>
      </c>
      <c r="C7" s="2051"/>
      <c r="D7" s="307" t="s">
        <v>221</v>
      </c>
      <c r="E7" s="307">
        <f>'TARGET SHEET 2021-22'!E7</f>
        <v>12.42</v>
      </c>
      <c r="F7" s="307">
        <v>9.7200000000000006</v>
      </c>
      <c r="G7" s="307">
        <f>G19+G20+G21+G22+G23+G24+G25</f>
        <v>20.642501600000003</v>
      </c>
      <c r="H7" s="308">
        <f>(G7-E7)/E7*100</f>
        <v>66.203716586151401</v>
      </c>
      <c r="I7" s="308">
        <f>(G7-F7)/F7*100</f>
        <v>112.37141563786011</v>
      </c>
      <c r="K7" s="5">
        <f>K6/100000</f>
        <v>-7.921200000000006</v>
      </c>
    </row>
    <row r="8" spans="1:14" ht="32.25" customHeight="1" x14ac:dyDescent="0.35">
      <c r="A8" s="374">
        <v>3</v>
      </c>
      <c r="B8" s="2021" t="s">
        <v>292</v>
      </c>
      <c r="C8" s="2023"/>
      <c r="D8" s="364" t="s">
        <v>221</v>
      </c>
      <c r="E8" s="364">
        <f>'TARGET SHEET 2021-22'!F7</f>
        <v>8.61</v>
      </c>
      <c r="F8" s="364">
        <v>0.22</v>
      </c>
      <c r="G8" s="364">
        <f>G27++G28+G29+G30+G31+G32+G33</f>
        <v>3.6509244000000005</v>
      </c>
      <c r="H8" s="306">
        <f>(G8-E8)/E8*100</f>
        <v>-57.596696864111486</v>
      </c>
      <c r="I8" s="365">
        <f>(G8-F8)/F8*100</f>
        <v>1559.5110909090911</v>
      </c>
    </row>
    <row r="9" spans="1:14" ht="34.5" customHeight="1" x14ac:dyDescent="0.35">
      <c r="A9" s="373">
        <v>4</v>
      </c>
      <c r="B9" s="2052" t="s">
        <v>293</v>
      </c>
      <c r="C9" s="2053"/>
      <c r="D9" s="307" t="s">
        <v>221</v>
      </c>
      <c r="E9" s="307">
        <f>'TARGET SHEET 2021-22'!N7</f>
        <v>0.67873000000000006</v>
      </c>
      <c r="F9" s="307">
        <v>0</v>
      </c>
      <c r="G9" s="307">
        <f>G35+G36+G37+G38+G39+G40</f>
        <v>0.1819694</v>
      </c>
      <c r="H9" s="308">
        <f>(G9-E9)/E9*100</f>
        <v>-73.189721980758179</v>
      </c>
      <c r="I9" s="308">
        <v>0</v>
      </c>
    </row>
    <row r="10" spans="1:14" ht="28.5" customHeight="1" x14ac:dyDescent="0.35">
      <c r="A10" s="374">
        <v>5</v>
      </c>
      <c r="B10" s="2054" t="s">
        <v>294</v>
      </c>
      <c r="C10" s="2055"/>
      <c r="D10" s="321" t="s">
        <v>221</v>
      </c>
      <c r="E10" s="321">
        <f>SUM(E6:E9)</f>
        <v>97.318730000000016</v>
      </c>
      <c r="F10" s="321">
        <f>SUM(F6:F9)</f>
        <v>9.8607880000000012</v>
      </c>
      <c r="G10" s="321">
        <f>SUM(G6:G9)</f>
        <v>39.982805568000003</v>
      </c>
      <c r="H10" s="306">
        <f>(G10-E10)/E10*100</f>
        <v>-58.915611036025652</v>
      </c>
      <c r="I10" s="365">
        <v>1020.9</v>
      </c>
    </row>
    <row r="11" spans="1:14" ht="14.2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4" ht="18.399999999999999" thickTop="1" thickBot="1" x14ac:dyDescent="0.4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639">
        <f>F42+F43+F44</f>
        <v>-1.8717000000000011E-2</v>
      </c>
      <c r="G12" s="447">
        <f>G42+G43+G44</f>
        <v>0.38459200000000004</v>
      </c>
      <c r="H12" s="310" t="s">
        <v>221</v>
      </c>
      <c r="I12" s="308">
        <f>(G12-F12)/F12*100</f>
        <v>-2154.7737351071205</v>
      </c>
    </row>
    <row r="13" spans="1:14" ht="28.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4" ht="30.75" customHeight="1" x14ac:dyDescent="0.35">
      <c r="A14" s="2003">
        <v>1</v>
      </c>
      <c r="B14" s="2021" t="s">
        <v>425</v>
      </c>
      <c r="C14" s="2022"/>
      <c r="D14" s="2022"/>
      <c r="E14" s="2022"/>
      <c r="F14" s="2022"/>
      <c r="G14" s="2022"/>
      <c r="H14" s="2022"/>
      <c r="I14" s="2023"/>
    </row>
    <row r="15" spans="1:14" ht="15.4" x14ac:dyDescent="0.4">
      <c r="A15" s="2004"/>
      <c r="B15" s="2006" t="s">
        <v>16</v>
      </c>
      <c r="C15" s="2007"/>
      <c r="D15" s="331" t="s">
        <v>221</v>
      </c>
      <c r="E15" s="307">
        <f>'TARGET SHEET 2021-22'!B7</f>
        <v>0.18</v>
      </c>
      <c r="F15" s="315">
        <v>0</v>
      </c>
      <c r="G15" s="315">
        <f>'actual fig'!L45/10000000</f>
        <v>3.6307567999999998E-2</v>
      </c>
      <c r="H15" s="308">
        <f>(G15-E15)/E15*100</f>
        <v>-79.829128888888874</v>
      </c>
      <c r="I15" s="314">
        <v>0</v>
      </c>
    </row>
    <row r="16" spans="1:14" ht="15.4" x14ac:dyDescent="0.4">
      <c r="A16" s="2004"/>
      <c r="B16" s="2071" t="s">
        <v>15</v>
      </c>
      <c r="C16" s="320" t="s">
        <v>166</v>
      </c>
      <c r="D16" s="2064" t="s">
        <v>221</v>
      </c>
      <c r="E16" s="2065">
        <f>'TARGET SHEET 2021-22'!C7</f>
        <v>75.430000000000007</v>
      </c>
      <c r="F16" s="313">
        <v>13.78</v>
      </c>
      <c r="G16" s="313">
        <f>'actual fig'!M45/10000000</f>
        <v>2.4538000000000001E-2</v>
      </c>
      <c r="H16" s="2154">
        <f>M16</f>
        <v>-79.489456979981441</v>
      </c>
      <c r="I16" s="314">
        <v>0</v>
      </c>
      <c r="K16" s="12">
        <f>F16+F17</f>
        <v>-8.0000000000000071E-2</v>
      </c>
      <c r="L16" s="12">
        <f>G16+G17</f>
        <v>15.4711026</v>
      </c>
      <c r="M16" s="5">
        <f>(L16-E16)/E16*100</f>
        <v>-79.489456979981441</v>
      </c>
    </row>
    <row r="17" spans="1:17" ht="15.4" x14ac:dyDescent="0.4">
      <c r="A17" s="2005"/>
      <c r="B17" s="2071"/>
      <c r="C17" s="320" t="s">
        <v>228</v>
      </c>
      <c r="D17" s="2064"/>
      <c r="E17" s="2066"/>
      <c r="F17" s="313">
        <v>-13.86</v>
      </c>
      <c r="G17" s="313">
        <f>'actual fig'!N45/10000000</f>
        <v>15.4465646</v>
      </c>
      <c r="H17" s="2155"/>
      <c r="I17" s="314">
        <v>332.1</v>
      </c>
    </row>
    <row r="18" spans="1:17" ht="15" x14ac:dyDescent="0.35">
      <c r="A18" s="2003">
        <v>2</v>
      </c>
      <c r="B18" s="2021" t="s">
        <v>454</v>
      </c>
      <c r="C18" s="2022"/>
      <c r="D18" s="2022"/>
      <c r="E18" s="2022"/>
      <c r="F18" s="2022"/>
      <c r="G18" s="2022"/>
      <c r="H18" s="2022"/>
      <c r="I18" s="2023"/>
    </row>
    <row r="19" spans="1:17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v>1.1399999999999999</v>
      </c>
      <c r="G19" s="315">
        <f>174540393/10000000</f>
        <v>17.454039300000002</v>
      </c>
      <c r="H19" s="316" t="s">
        <v>221</v>
      </c>
      <c r="I19" s="316">
        <f>(G19-F19)/F19*100</f>
        <v>1431.0560789473686</v>
      </c>
    </row>
    <row r="20" spans="1:17" ht="15.4" x14ac:dyDescent="0.4">
      <c r="A20" s="2004"/>
      <c r="B20" s="2009"/>
      <c r="C20" s="2000" t="s">
        <v>232</v>
      </c>
      <c r="D20" s="2001"/>
      <c r="E20" s="2002"/>
      <c r="F20" s="315">
        <v>7.51</v>
      </c>
      <c r="G20" s="315">
        <f>2287253/10000000</f>
        <v>0.22872529999999999</v>
      </c>
      <c r="H20" s="316" t="s">
        <v>221</v>
      </c>
      <c r="I20" s="316">
        <f>(G20-F20)/F20*100</f>
        <v>-96.954390146471368</v>
      </c>
    </row>
    <row r="21" spans="1:17" ht="15.4" x14ac:dyDescent="0.4">
      <c r="A21" s="2004"/>
      <c r="B21" s="2009"/>
      <c r="C21" s="2000" t="s">
        <v>239</v>
      </c>
      <c r="D21" s="2001"/>
      <c r="E21" s="2002"/>
      <c r="F21" s="315">
        <v>0</v>
      </c>
      <c r="G21" s="315">
        <f>19590269/10000000</f>
        <v>1.9590269</v>
      </c>
      <c r="H21" s="316" t="s">
        <v>221</v>
      </c>
      <c r="I21" s="316" t="s">
        <v>221</v>
      </c>
    </row>
    <row r="22" spans="1:17" ht="15.4" x14ac:dyDescent="0.4">
      <c r="A22" s="2004"/>
      <c r="B22" s="2009"/>
      <c r="C22" s="2000" t="s">
        <v>233</v>
      </c>
      <c r="D22" s="2001"/>
      <c r="E22" s="2002"/>
      <c r="F22" s="315">
        <v>1.07</v>
      </c>
      <c r="G22" s="315">
        <f>7833973/10000000</f>
        <v>0.78339729999999996</v>
      </c>
      <c r="H22" s="316" t="s">
        <v>221</v>
      </c>
      <c r="I22" s="316">
        <f>(G22-F22)/F22*100</f>
        <v>-26.78529906542057</v>
      </c>
    </row>
    <row r="23" spans="1:17" ht="15.4" x14ac:dyDescent="0.4">
      <c r="A23" s="2004"/>
      <c r="B23" s="2009"/>
      <c r="C23" s="2000" t="s">
        <v>234</v>
      </c>
      <c r="D23" s="2001"/>
      <c r="E23" s="2002"/>
      <c r="F23" s="315">
        <v>0</v>
      </c>
      <c r="G23" s="315">
        <v>0</v>
      </c>
      <c r="H23" s="316" t="s">
        <v>221</v>
      </c>
      <c r="I23" s="316" t="s">
        <v>221</v>
      </c>
    </row>
    <row r="24" spans="1:17" ht="15.4" x14ac:dyDescent="0.4">
      <c r="A24" s="2004"/>
      <c r="B24" s="2009"/>
      <c r="C24" s="2000" t="s">
        <v>466</v>
      </c>
      <c r="D24" s="2001"/>
      <c r="E24" s="2002"/>
      <c r="F24" s="315">
        <v>0</v>
      </c>
      <c r="G24" s="315">
        <f>1991029/10000000</f>
        <v>0.1991029</v>
      </c>
      <c r="H24" s="316"/>
      <c r="I24" s="316">
        <v>0</v>
      </c>
    </row>
    <row r="25" spans="1:17" ht="15.4" x14ac:dyDescent="0.35">
      <c r="A25" s="2005"/>
      <c r="B25" s="2010"/>
      <c r="C25" s="2159"/>
      <c r="D25" s="2160"/>
      <c r="E25" s="2161"/>
      <c r="F25" s="315">
        <v>0</v>
      </c>
      <c r="G25" s="315">
        <f>182099/10000000</f>
        <v>1.8209900000000001E-2</v>
      </c>
      <c r="H25" s="316" t="s">
        <v>221</v>
      </c>
      <c r="I25" s="316">
        <v>0</v>
      </c>
    </row>
    <row r="26" spans="1:17" ht="15" x14ac:dyDescent="0.35">
      <c r="A26" s="2014">
        <v>3</v>
      </c>
      <c r="B26" s="2021" t="s">
        <v>427</v>
      </c>
      <c r="C26" s="2022"/>
      <c r="D26" s="2022"/>
      <c r="E26" s="2022"/>
      <c r="F26" s="2022"/>
      <c r="G26" s="2022"/>
      <c r="H26" s="2022"/>
      <c r="I26" s="2023"/>
      <c r="M26" s="5" t="s">
        <v>371</v>
      </c>
      <c r="P26" s="172" t="s">
        <v>277</v>
      </c>
      <c r="Q26" s="172"/>
    </row>
    <row r="27" spans="1:17" ht="15.4" x14ac:dyDescent="0.4">
      <c r="A27" s="2015"/>
      <c r="B27" s="2006" t="s">
        <v>2</v>
      </c>
      <c r="C27" s="2007"/>
      <c r="D27" s="603" t="s">
        <v>221</v>
      </c>
      <c r="E27" s="315">
        <v>0.5</v>
      </c>
      <c r="F27" s="314">
        <v>0</v>
      </c>
      <c r="G27" s="313">
        <f>'actual fig'!U45/10000000</f>
        <v>0.17418420000000001</v>
      </c>
      <c r="H27" s="314" t="s">
        <v>221</v>
      </c>
      <c r="I27" s="314" t="s">
        <v>221</v>
      </c>
      <c r="M27" s="632">
        <v>44317</v>
      </c>
      <c r="P27" s="172">
        <v>4043</v>
      </c>
      <c r="Q27" s="172">
        <v>1523740</v>
      </c>
    </row>
    <row r="28" spans="1:17" ht="15.4" x14ac:dyDescent="0.4">
      <c r="A28" s="2015"/>
      <c r="B28" s="2006" t="s">
        <v>23</v>
      </c>
      <c r="C28" s="2007"/>
      <c r="D28" s="603" t="s">
        <v>221</v>
      </c>
      <c r="E28" s="315">
        <f>'TARGET SHEET 2021-22'!B35</f>
        <v>2.5</v>
      </c>
      <c r="F28" s="381">
        <v>6.9214300000000006E-2</v>
      </c>
      <c r="G28" s="638">
        <f>'actual fig'!V45/10000000</f>
        <v>1.2964384</v>
      </c>
      <c r="H28" s="308">
        <f>(G28-E28)/E28*100</f>
        <v>-48.142464000000004</v>
      </c>
      <c r="I28" s="314">
        <f>(G28-F28)/F28*100</f>
        <v>1773.0788290858968</v>
      </c>
      <c r="M28" s="5">
        <v>29199921</v>
      </c>
    </row>
    <row r="29" spans="1:17" ht="15.4" x14ac:dyDescent="0.4">
      <c r="A29" s="2015"/>
      <c r="B29" s="2006" t="s">
        <v>1</v>
      </c>
      <c r="C29" s="2007"/>
      <c r="D29" s="603" t="s">
        <v>221</v>
      </c>
      <c r="E29" s="315">
        <f>'TARGET SHEET 2021-22'!C35</f>
        <v>0.3</v>
      </c>
      <c r="F29" s="313">
        <v>5.0000000000000004E-6</v>
      </c>
      <c r="G29" s="638">
        <f>'actual fig'!W45/10000000</f>
        <v>5.2158999999999997E-2</v>
      </c>
      <c r="H29" s="308">
        <f>(G29-E29)/E29*100</f>
        <v>-82.61366666666666</v>
      </c>
      <c r="I29" s="314" t="s">
        <v>221</v>
      </c>
    </row>
    <row r="30" spans="1:17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3">
        <v>0</v>
      </c>
      <c r="G30" s="381">
        <f>102700/10000000</f>
        <v>1.027E-2</v>
      </c>
      <c r="H30" s="316" t="s">
        <v>221</v>
      </c>
      <c r="I30" s="314" t="s">
        <v>221</v>
      </c>
    </row>
    <row r="31" spans="1:17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v>0</v>
      </c>
      <c r="G31" s="415">
        <f>'actual fig'!X45/10000000</f>
        <v>1.6766E-2</v>
      </c>
      <c r="H31" s="316" t="s">
        <v>221</v>
      </c>
      <c r="I31" s="314" t="s">
        <v>221</v>
      </c>
    </row>
    <row r="32" spans="1:17" ht="15.4" x14ac:dyDescent="0.4">
      <c r="A32" s="2016"/>
      <c r="B32" s="2017" t="s">
        <v>241</v>
      </c>
      <c r="C32" s="2030"/>
      <c r="D32" s="540" t="s">
        <v>221</v>
      </c>
      <c r="E32" s="316" t="s">
        <v>221</v>
      </c>
      <c r="F32" s="315">
        <v>0.1480244</v>
      </c>
      <c r="G32" s="315">
        <f>'actual fig'!T45/10000000</f>
        <v>2.0836104</v>
      </c>
      <c r="H32" s="316" t="s">
        <v>221</v>
      </c>
      <c r="I32" s="314">
        <f>(G32-F32)/F32*100</f>
        <v>1307.6127989709805</v>
      </c>
    </row>
    <row r="33" spans="1:15" x14ac:dyDescent="0.4">
      <c r="A33" s="403"/>
      <c r="B33" s="2006" t="s">
        <v>260</v>
      </c>
      <c r="C33" s="2019"/>
      <c r="D33" s="540" t="s">
        <v>221</v>
      </c>
      <c r="E33" s="316" t="s">
        <v>221</v>
      </c>
      <c r="F33" s="134">
        <v>1.4999999999999999E-4</v>
      </c>
      <c r="G33" s="404">
        <f>'actual fig'!Z45/10000000</f>
        <v>1.7496399999999999E-2</v>
      </c>
      <c r="H33" s="413"/>
      <c r="I33" s="314" t="s">
        <v>221</v>
      </c>
    </row>
    <row r="34" spans="1:15" ht="15" x14ac:dyDescent="0.35">
      <c r="A34" s="2020">
        <v>4</v>
      </c>
      <c r="B34" s="2021" t="s">
        <v>428</v>
      </c>
      <c r="C34" s="2022"/>
      <c r="D34" s="2022"/>
      <c r="E34" s="2022"/>
      <c r="F34" s="2022"/>
      <c r="G34" s="2022"/>
      <c r="H34" s="2022"/>
      <c r="I34" s="2023"/>
      <c r="M34" s="5" t="s">
        <v>203</v>
      </c>
    </row>
    <row r="35" spans="1:15" ht="15.4" x14ac:dyDescent="0.4">
      <c r="A35" s="2020"/>
      <c r="B35" s="2006" t="s">
        <v>27</v>
      </c>
      <c r="C35" s="2007"/>
      <c r="D35" s="331">
        <v>4.05</v>
      </c>
      <c r="E35" s="406">
        <f>'TARGET SHEET 2021-22'!J7</f>
        <v>0.33700000000000002</v>
      </c>
      <c r="F35" s="313">
        <v>0</v>
      </c>
      <c r="G35" s="313">
        <f>'actual fig'!T61/10000000</f>
        <v>0.1479828</v>
      </c>
      <c r="H35" s="308">
        <f>(G35-E35)/E35*100</f>
        <v>-56.088189910979239</v>
      </c>
      <c r="I35" s="314" t="s">
        <v>221</v>
      </c>
      <c r="N35" s="632">
        <v>44317</v>
      </c>
    </row>
    <row r="36" spans="1:15" ht="15.4" x14ac:dyDescent="0.4">
      <c r="A36" s="2020"/>
      <c r="B36" s="2006" t="s">
        <v>28</v>
      </c>
      <c r="C36" s="2007"/>
      <c r="D36" s="333">
        <v>2.56</v>
      </c>
      <c r="E36" s="307">
        <f>'TARGET SHEET 2021-22'!K7</f>
        <v>0.21340000000000001</v>
      </c>
      <c r="F36" s="313">
        <v>0</v>
      </c>
      <c r="G36" s="313">
        <v>0</v>
      </c>
      <c r="H36" s="308">
        <f>(G36-E36)/E36*100</f>
        <v>-100</v>
      </c>
      <c r="I36" s="314" t="s">
        <v>221</v>
      </c>
      <c r="N36" s="5">
        <v>1035455</v>
      </c>
      <c r="O36" s="172">
        <f>N36-N37</f>
        <v>339866</v>
      </c>
    </row>
    <row r="37" spans="1:15" ht="15.4" x14ac:dyDescent="0.4">
      <c r="A37" s="2020"/>
      <c r="B37" s="378" t="s">
        <v>224</v>
      </c>
      <c r="C37" s="379"/>
      <c r="D37" s="603" t="s">
        <v>221</v>
      </c>
      <c r="E37" s="315">
        <f>'TARGET SHEET 2021-22'!L7</f>
        <v>0.12833</v>
      </c>
      <c r="F37" s="313">
        <v>0</v>
      </c>
      <c r="G37" s="314">
        <v>0</v>
      </c>
      <c r="H37" s="314" t="s">
        <v>221</v>
      </c>
      <c r="I37" s="314" t="s">
        <v>221</v>
      </c>
      <c r="N37" s="5">
        <f>694624+565+400</f>
        <v>695589</v>
      </c>
    </row>
    <row r="38" spans="1:15" ht="15.4" x14ac:dyDescent="0.4">
      <c r="A38" s="2020"/>
      <c r="B38" s="2006" t="s">
        <v>64</v>
      </c>
      <c r="C38" s="2007"/>
      <c r="D38" s="540" t="s">
        <v>221</v>
      </c>
      <c r="E38" s="315" t="s">
        <v>221</v>
      </c>
      <c r="F38" s="313">
        <v>0</v>
      </c>
      <c r="G38" s="314">
        <v>0</v>
      </c>
      <c r="H38" s="314" t="s">
        <v>221</v>
      </c>
      <c r="I38" s="314" t="s">
        <v>221</v>
      </c>
    </row>
    <row r="39" spans="1:15" ht="15.4" x14ac:dyDescent="0.4">
      <c r="A39" s="2020"/>
      <c r="B39" s="2006" t="s">
        <v>4</v>
      </c>
      <c r="C39" s="2007"/>
      <c r="D39" s="540" t="s">
        <v>221</v>
      </c>
      <c r="E39" s="315" t="s">
        <v>221</v>
      </c>
      <c r="F39" s="313">
        <v>0</v>
      </c>
      <c r="G39" s="314">
        <v>0</v>
      </c>
      <c r="H39" s="314" t="s">
        <v>221</v>
      </c>
      <c r="I39" s="314" t="s">
        <v>221</v>
      </c>
    </row>
    <row r="40" spans="1:15" x14ac:dyDescent="0.4">
      <c r="A40" s="373"/>
      <c r="B40" s="2006" t="s">
        <v>259</v>
      </c>
      <c r="C40" s="2019"/>
      <c r="D40" s="540" t="s">
        <v>221</v>
      </c>
      <c r="E40" s="315" t="s">
        <v>221</v>
      </c>
      <c r="F40" s="313">
        <v>5.6525000000000004E-3</v>
      </c>
      <c r="G40" s="313">
        <f>O36/10000000</f>
        <v>3.3986599999999999E-2</v>
      </c>
      <c r="H40" s="407" t="s">
        <v>221</v>
      </c>
      <c r="I40" s="314" t="s">
        <v>221</v>
      </c>
    </row>
    <row r="41" spans="1:15" ht="15" x14ac:dyDescent="0.35">
      <c r="A41" s="2020"/>
      <c r="B41" s="2021" t="s">
        <v>419</v>
      </c>
      <c r="C41" s="2022"/>
      <c r="D41" s="2022"/>
      <c r="E41" s="2022"/>
      <c r="F41" s="2022"/>
      <c r="G41" s="2022"/>
      <c r="H41" s="2022"/>
      <c r="I41" s="2023"/>
    </row>
    <row r="42" spans="1:15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v>0</v>
      </c>
      <c r="G42" s="315">
        <f>'actual fig'!L61/1000000</f>
        <v>8.8845999999999994E-2</v>
      </c>
      <c r="H42" s="314" t="s">
        <v>221</v>
      </c>
      <c r="I42" s="314" t="s">
        <v>221</v>
      </c>
    </row>
    <row r="43" spans="1:15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3">
        <v>0.18118999999999999</v>
      </c>
      <c r="G43" s="313">
        <f>'actual fig'!M61/1000000</f>
        <v>2.2467999999999998E-2</v>
      </c>
      <c r="H43" s="2027" t="s">
        <v>221</v>
      </c>
      <c r="I43" s="314">
        <f>(G43-F43)/F43*100</f>
        <v>-87.599757160991231</v>
      </c>
    </row>
    <row r="44" spans="1:15" ht="15.4" x14ac:dyDescent="0.4">
      <c r="A44" s="2020"/>
      <c r="B44" s="2070"/>
      <c r="C44" s="320" t="s">
        <v>228</v>
      </c>
      <c r="D44" s="2163"/>
      <c r="E44" s="2155"/>
      <c r="F44" s="313">
        <v>-0.199907</v>
      </c>
      <c r="G44" s="313">
        <f>'actual fig'!N61/1000000</f>
        <v>0.27327800000000002</v>
      </c>
      <c r="H44" s="2029"/>
      <c r="I44" s="314">
        <v>304.39999999999998</v>
      </c>
    </row>
    <row r="45" spans="1:15" ht="15" x14ac:dyDescent="0.35">
      <c r="A45" s="2020">
        <v>6</v>
      </c>
      <c r="B45" s="2021" t="s">
        <v>461</v>
      </c>
      <c r="C45" s="2022"/>
      <c r="D45" s="2022"/>
      <c r="E45" s="2022"/>
      <c r="F45" s="2022"/>
      <c r="G45" s="2022"/>
      <c r="H45" s="2022"/>
      <c r="I45" s="2023"/>
    </row>
    <row r="46" spans="1:15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/>
      <c r="G46" s="313"/>
      <c r="H46" s="2027" t="s">
        <v>221</v>
      </c>
      <c r="I46" s="314" t="e">
        <f>(G46-F46)/F46*100</f>
        <v>#DIV/0!</v>
      </c>
    </row>
    <row r="47" spans="1:15" ht="15.4" x14ac:dyDescent="0.4">
      <c r="A47" s="2020"/>
      <c r="B47" s="2006" t="s">
        <v>37</v>
      </c>
      <c r="C47" s="2007"/>
      <c r="D47" s="303" t="s">
        <v>221</v>
      </c>
      <c r="E47" s="2025"/>
      <c r="F47" s="313"/>
      <c r="G47" s="313"/>
      <c r="H47" s="2028"/>
      <c r="I47" s="314" t="e">
        <f>(G47-F47)/F47*100</f>
        <v>#DIV/0!</v>
      </c>
    </row>
    <row r="48" spans="1:15" ht="15.4" x14ac:dyDescent="0.4">
      <c r="A48" s="2020"/>
      <c r="B48" s="2006" t="s">
        <v>38</v>
      </c>
      <c r="C48" s="2007"/>
      <c r="D48" s="303" t="s">
        <v>221</v>
      </c>
      <c r="E48" s="2026"/>
      <c r="F48" s="313"/>
      <c r="G48" s="313"/>
      <c r="H48" s="2029"/>
      <c r="I48" s="314" t="e">
        <f>(G48-F48)/F48*100</f>
        <v>#DIV/0!</v>
      </c>
    </row>
    <row r="50" spans="6:6" s="5" customFormat="1" ht="13.5" x14ac:dyDescent="0.35">
      <c r="F50" s="12">
        <f>F43+F44</f>
        <v>-1.8717000000000011E-2</v>
      </c>
    </row>
    <row r="51" spans="6:6" s="5" customFormat="1" ht="13.5" x14ac:dyDescent="0.35">
      <c r="F51" s="12">
        <f>F50*1000000</f>
        <v>-18717.000000000011</v>
      </c>
    </row>
    <row r="52" spans="6:6" s="5" customFormat="1" ht="13.5" x14ac:dyDescent="0.35">
      <c r="F52" s="12">
        <f>F51/100000</f>
        <v>-0.18717000000000011</v>
      </c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B33:C33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75" bottom="0.75" header="0.3" footer="0.3"/>
  <pageSetup paperSize="9" scale="4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C00000"/>
    <pageSetUpPr fitToPage="1"/>
  </sheetPr>
  <dimension ref="A1:R53"/>
  <sheetViews>
    <sheetView topLeftCell="B18" workbookViewId="0">
      <selection activeCell="G27" sqref="G27:G33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1" style="5" customWidth="1"/>
    <col min="4" max="4" width="9.265625" style="84" customWidth="1"/>
    <col min="5" max="5" width="10.1328125" style="35" customWidth="1"/>
    <col min="6" max="6" width="12.73046875" style="5" customWidth="1"/>
    <col min="7" max="7" width="14" style="5" customWidth="1"/>
    <col min="8" max="8" width="11.265625" style="11" customWidth="1"/>
    <col min="9" max="9" width="13.86328125" style="82" customWidth="1"/>
    <col min="10" max="10" width="9.1328125" style="5"/>
    <col min="11" max="11" width="12.3984375" style="5" bestFit="1" customWidth="1"/>
    <col min="12" max="12" width="10" style="5" customWidth="1"/>
    <col min="13" max="17" width="9.1328125" style="5"/>
    <col min="18" max="18" width="9.1328125" style="12"/>
    <col min="19" max="16384" width="9.1328125" style="5"/>
  </cols>
  <sheetData>
    <row r="1" spans="1:18" ht="23.2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18" s="301" customFormat="1" ht="26.25" customHeight="1" thickBot="1" x14ac:dyDescent="0.5">
      <c r="A2" s="2092" t="s">
        <v>463</v>
      </c>
      <c r="B2" s="2093"/>
      <c r="C2" s="2093"/>
      <c r="D2" s="2093"/>
      <c r="E2" s="2093"/>
      <c r="F2" s="2093"/>
      <c r="G2" s="2093"/>
      <c r="H2" s="2093"/>
      <c r="I2" s="2094"/>
      <c r="R2" s="522"/>
    </row>
    <row r="3" spans="1:18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8" s="35" customFormat="1" ht="33.75" customHeight="1" x14ac:dyDescent="0.45">
      <c r="A4" s="2035"/>
      <c r="B4" s="2047"/>
      <c r="C4" s="2048"/>
      <c r="D4" s="421" t="s">
        <v>9</v>
      </c>
      <c r="E4" s="422" t="str">
        <f>G4</f>
        <v>UpTo 
MAY-21</v>
      </c>
      <c r="F4" s="422" t="s">
        <v>464</v>
      </c>
      <c r="G4" s="422" t="s">
        <v>465</v>
      </c>
      <c r="H4" s="2111" t="s">
        <v>12</v>
      </c>
      <c r="I4" s="2111" t="s">
        <v>13</v>
      </c>
      <c r="N4" s="380"/>
      <c r="R4" s="428"/>
    </row>
    <row r="5" spans="1:18" ht="20.25" hidden="1" customHeight="1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18" ht="30" customHeight="1" x14ac:dyDescent="0.35">
      <c r="A6" s="372">
        <v>1</v>
      </c>
      <c r="B6" s="2049" t="s">
        <v>290</v>
      </c>
      <c r="C6" s="2049"/>
      <c r="D6" s="304" t="s">
        <v>221</v>
      </c>
      <c r="E6" s="305">
        <f>'APRIL-21'!E6+'MAY-21'!E6</f>
        <v>143.86000000000001</v>
      </c>
      <c r="F6" s="305">
        <f>'APRIL-21'!F6+'MAY-21'!F6</f>
        <v>-14.156733600000001</v>
      </c>
      <c r="G6" s="305">
        <f>G15+G16+G17</f>
        <v>48.243247056999998</v>
      </c>
      <c r="H6" s="306">
        <f>(G6-E6)/E6*100</f>
        <v>-66.465141764910342</v>
      </c>
      <c r="I6" s="308">
        <v>441</v>
      </c>
      <c r="K6" s="12"/>
      <c r="M6" s="5">
        <v>48.243247056999998</v>
      </c>
      <c r="R6" s="12">
        <v>48.243247056999998</v>
      </c>
    </row>
    <row r="7" spans="1:18" ht="26.25" customHeight="1" x14ac:dyDescent="0.35">
      <c r="A7" s="373">
        <v>2</v>
      </c>
      <c r="B7" s="2050" t="s">
        <v>291</v>
      </c>
      <c r="C7" s="2051"/>
      <c r="D7" s="307" t="s">
        <v>221</v>
      </c>
      <c r="E7" s="305">
        <f>'APRIL-21'!E7+'MAY-21'!E7</f>
        <v>23.990000000000002</v>
      </c>
      <c r="F7" s="434">
        <f>F19+F20+F21+F22+F23+F24+F25</f>
        <v>17.019999999999996</v>
      </c>
      <c r="G7" s="434">
        <f>G19+G20+G21+G22+G23+G24+G25</f>
        <v>40.184119600000017</v>
      </c>
      <c r="H7" s="308">
        <f>(G7-E7)/E7*100</f>
        <v>67.503624843684932</v>
      </c>
      <c r="I7" s="308">
        <f>(G7-F7)/F7*100</f>
        <v>136.09941010575807</v>
      </c>
      <c r="K7" s="12"/>
      <c r="M7" s="5">
        <v>40.184119600000017</v>
      </c>
      <c r="R7" s="12">
        <v>40.184119600000017</v>
      </c>
    </row>
    <row r="8" spans="1:18" ht="32.25" customHeight="1" x14ac:dyDescent="0.35">
      <c r="A8" s="374">
        <v>3</v>
      </c>
      <c r="B8" s="2021" t="s">
        <v>292</v>
      </c>
      <c r="C8" s="2023"/>
      <c r="D8" s="364" t="s">
        <v>221</v>
      </c>
      <c r="E8" s="305">
        <f>'APRIL-21'!E8+'MAY-21'!E8</f>
        <v>13.709999999999999</v>
      </c>
      <c r="F8" s="305">
        <f>'APRIL-21'!F8+'MAY-21'!F8</f>
        <v>0.55000000000000004</v>
      </c>
      <c r="G8" s="305">
        <f>G27+G28+G29+G30+G31+G32+G33</f>
        <v>9.5765422000000004</v>
      </c>
      <c r="H8" s="306">
        <f>(G8-E8)/E8*100</f>
        <v>-30.149218088986135</v>
      </c>
      <c r="I8" s="308">
        <f>(G8-F8)/F8*100</f>
        <v>1641.1894909090909</v>
      </c>
      <c r="K8" s="12"/>
      <c r="M8" s="5">
        <v>9.5765422000000004</v>
      </c>
      <c r="R8" s="12">
        <v>9.5765422000000004</v>
      </c>
    </row>
    <row r="9" spans="1:18" ht="34.5" customHeight="1" x14ac:dyDescent="0.35">
      <c r="A9" s="373">
        <v>4</v>
      </c>
      <c r="B9" s="2052" t="s">
        <v>293</v>
      </c>
      <c r="C9" s="2053"/>
      <c r="D9" s="307" t="s">
        <v>221</v>
      </c>
      <c r="E9" s="305">
        <f>'APRIL-21'!E9+'MAY-21'!E9</f>
        <v>1.3574600000000001</v>
      </c>
      <c r="F9" s="517">
        <f>F35+F36+F37+F38+F39+F40</f>
        <v>2.1402500000000001E-2</v>
      </c>
      <c r="G9" s="434">
        <f>G35+G36+G37+G38+G39+G40</f>
        <v>0.23748799999999998</v>
      </c>
      <c r="H9" s="308">
        <f>(G9-E9)/E9*100</f>
        <v>-82.504972522210608</v>
      </c>
      <c r="I9" s="308">
        <v>0</v>
      </c>
      <c r="K9" s="12"/>
      <c r="M9" s="5">
        <v>0.23748799999999998</v>
      </c>
      <c r="R9" s="12">
        <v>0.23748799999999998</v>
      </c>
    </row>
    <row r="10" spans="1:18" ht="28.5" customHeight="1" x14ac:dyDescent="0.35">
      <c r="A10" s="635">
        <v>5</v>
      </c>
      <c r="B10" s="2164" t="s">
        <v>294</v>
      </c>
      <c r="C10" s="2165"/>
      <c r="D10" s="445" t="s">
        <v>221</v>
      </c>
      <c r="E10" s="445">
        <f>SUM(E6:E9)</f>
        <v>182.91746000000003</v>
      </c>
      <c r="F10" s="636">
        <f>SUM(F6:F9)</f>
        <v>3.4346688999999953</v>
      </c>
      <c r="G10" s="636">
        <f>SUM(G6:G9)</f>
        <v>98.241396857000026</v>
      </c>
      <c r="H10" s="306">
        <f>(G10-E10)/E10*100</f>
        <v>-46.291952196908923</v>
      </c>
      <c r="I10" s="637">
        <f>(G10-F10)/F10*100</f>
        <v>2760.2872567134541</v>
      </c>
      <c r="M10" s="5">
        <v>98.241396857000026</v>
      </c>
      <c r="R10" s="12">
        <v>98.241396857000026</v>
      </c>
    </row>
    <row r="11" spans="1:18" ht="14.2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8" ht="36.75" customHeight="1" thickTop="1" thickBot="1" x14ac:dyDescent="0.4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-0.22873300000000005</v>
      </c>
      <c r="G12" s="447">
        <f>G42+G43+G44</f>
        <v>0.94429600000000002</v>
      </c>
      <c r="H12" s="310" t="s">
        <v>221</v>
      </c>
      <c r="I12" s="637">
        <f>(G12-F12)/F12*100</f>
        <v>-512.83767536822404</v>
      </c>
      <c r="M12" s="447">
        <v>0.94429600000000002</v>
      </c>
      <c r="R12" s="447">
        <v>0.94429600000000002</v>
      </c>
    </row>
    <row r="13" spans="1:18" ht="28.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8" ht="19.5" customHeight="1" x14ac:dyDescent="0.35">
      <c r="A14" s="2003">
        <v>1</v>
      </c>
      <c r="B14" s="2021" t="s">
        <v>298</v>
      </c>
      <c r="C14" s="2022"/>
      <c r="D14" s="2022"/>
      <c r="E14" s="2022"/>
      <c r="F14" s="2022"/>
      <c r="G14" s="2022"/>
      <c r="H14" s="2022"/>
      <c r="I14" s="2023"/>
    </row>
    <row r="15" spans="1:18" ht="15.4" x14ac:dyDescent="0.4">
      <c r="A15" s="2004"/>
      <c r="B15" s="2006" t="s">
        <v>16</v>
      </c>
      <c r="C15" s="2007"/>
      <c r="D15" s="331" t="s">
        <v>221</v>
      </c>
      <c r="E15" s="316">
        <f>'APRIL-21'!E15+'MAY-21'!E15</f>
        <v>0.33999999999999997</v>
      </c>
      <c r="F15" s="316">
        <f>'APRIL-21'!F15+'MAY-21'!F15</f>
        <v>0</v>
      </c>
      <c r="G15" s="315">
        <f>'APRIL-21'!G15+'MAY-21'!G15</f>
        <v>7.5634756999999997E-2</v>
      </c>
      <c r="H15" s="308">
        <f>(G15-E15)/E15*100</f>
        <v>-77.754483235294117</v>
      </c>
      <c r="I15" s="314">
        <v>0</v>
      </c>
    </row>
    <row r="16" spans="1:18" ht="15.4" x14ac:dyDescent="0.4">
      <c r="A16" s="2004"/>
      <c r="B16" s="2071" t="s">
        <v>15</v>
      </c>
      <c r="C16" s="320" t="s">
        <v>166</v>
      </c>
      <c r="D16" s="2064" t="s">
        <v>221</v>
      </c>
      <c r="E16" s="2065">
        <f>'APRIL-21'!E16:E17+'MAY-21'!E16:E17</f>
        <v>143.52000000000001</v>
      </c>
      <c r="F16" s="315">
        <f>'APRIL-21'!F16+'MAY-21'!F16</f>
        <v>13.78</v>
      </c>
      <c r="G16" s="315">
        <f>'APRIL-21'!G16+'MAY-21'!G16</f>
        <v>6.1047699999999996E-2</v>
      </c>
      <c r="H16" s="2027">
        <f>M16</f>
        <v>-66.438397226867338</v>
      </c>
      <c r="I16" s="314">
        <f>(G16-F16)/F16*100</f>
        <v>-99.556983309143689</v>
      </c>
      <c r="J16" s="12"/>
      <c r="K16" s="12">
        <f>F16+F17</f>
        <v>-14.157521600000001</v>
      </c>
      <c r="L16" s="12">
        <f>G16+G17</f>
        <v>48.167612300000002</v>
      </c>
      <c r="M16" s="5">
        <f>(L16-E16)/E16*100</f>
        <v>-66.438397226867338</v>
      </c>
    </row>
    <row r="17" spans="1:18" ht="15.4" x14ac:dyDescent="0.4">
      <c r="A17" s="2005"/>
      <c r="B17" s="2071"/>
      <c r="C17" s="320" t="s">
        <v>228</v>
      </c>
      <c r="D17" s="2064"/>
      <c r="E17" s="2066"/>
      <c r="F17" s="315">
        <f>'APRIL-21'!F17+'MAY-21'!F17</f>
        <v>-27.9375216</v>
      </c>
      <c r="G17" s="315">
        <f>'APRIL-21'!G17+'MAY-21'!G17</f>
        <v>48.106564599999999</v>
      </c>
      <c r="H17" s="2029"/>
      <c r="I17" s="314">
        <v>332.1</v>
      </c>
    </row>
    <row r="18" spans="1:18" ht="17.25" customHeight="1" x14ac:dyDescent="0.35">
      <c r="A18" s="2003">
        <v>2</v>
      </c>
      <c r="B18" s="2021" t="s">
        <v>467</v>
      </c>
      <c r="C18" s="2022"/>
      <c r="D18" s="2022"/>
      <c r="E18" s="2022"/>
      <c r="F18" s="2022"/>
      <c r="G18" s="2022"/>
      <c r="H18" s="2022"/>
      <c r="I18" s="2023"/>
    </row>
    <row r="19" spans="1:18" ht="21.75" customHeight="1" x14ac:dyDescent="0.4">
      <c r="A19" s="2004"/>
      <c r="B19" s="2008" t="s">
        <v>230</v>
      </c>
      <c r="C19" s="2000" t="s">
        <v>231</v>
      </c>
      <c r="D19" s="2001"/>
      <c r="E19" s="2002"/>
      <c r="F19" s="315">
        <f>'APRIL-21'!F19+'MAY-21'!F19</f>
        <v>1.95</v>
      </c>
      <c r="G19" s="315">
        <f>'APRIL-21'!G19+'MAY-21'!G19</f>
        <v>32.723120300000005</v>
      </c>
      <c r="H19" s="316" t="s">
        <v>221</v>
      </c>
      <c r="I19" s="316">
        <f>(G19-F19)/F19*100</f>
        <v>1578.1087333333337</v>
      </c>
      <c r="R19" s="12">
        <v>32.723120300000005</v>
      </c>
    </row>
    <row r="20" spans="1:18" ht="15.4" x14ac:dyDescent="0.4">
      <c r="A20" s="2004"/>
      <c r="B20" s="2009"/>
      <c r="C20" s="2000" t="s">
        <v>232</v>
      </c>
      <c r="D20" s="2001"/>
      <c r="E20" s="2002"/>
      <c r="F20" s="315">
        <f>'APRIL-21'!F20+'MAY-21'!F20</f>
        <v>12.969999999999999</v>
      </c>
      <c r="G20" s="315">
        <f>'APRIL-21'!G20+'MAY-21'!G20</f>
        <v>1.1282421999999999</v>
      </c>
      <c r="H20" s="316" t="s">
        <v>221</v>
      </c>
      <c r="I20" s="316">
        <f>(G20-F20)/F20*100</f>
        <v>-91.301139552814192</v>
      </c>
      <c r="R20" s="12">
        <v>1.1282421999999999</v>
      </c>
    </row>
    <row r="21" spans="1:18" ht="15.4" x14ac:dyDescent="0.4">
      <c r="A21" s="2004"/>
      <c r="B21" s="2009"/>
      <c r="C21" s="2000" t="s">
        <v>239</v>
      </c>
      <c r="D21" s="2001"/>
      <c r="E21" s="2002"/>
      <c r="F21" s="315">
        <f>'APRIL-21'!F21+'MAY-21'!F21</f>
        <v>0</v>
      </c>
      <c r="G21" s="315">
        <f>'APRIL-21'!G21+'MAY-21'!G21</f>
        <v>4.2531696999999999</v>
      </c>
      <c r="H21" s="316" t="s">
        <v>221</v>
      </c>
      <c r="I21" s="316" t="s">
        <v>221</v>
      </c>
      <c r="R21" s="12">
        <v>4.2531696999999999</v>
      </c>
    </row>
    <row r="22" spans="1:18" ht="15.4" x14ac:dyDescent="0.4">
      <c r="A22" s="2004"/>
      <c r="B22" s="2009"/>
      <c r="C22" s="2000" t="s">
        <v>233</v>
      </c>
      <c r="D22" s="2001"/>
      <c r="E22" s="2002"/>
      <c r="F22" s="315">
        <f>'APRIL-21'!F22+'MAY-21'!F22</f>
        <v>2.02</v>
      </c>
      <c r="G22" s="315">
        <f>'APRIL-21'!G22+'MAY-21'!G22</f>
        <v>1.7987120000000001</v>
      </c>
      <c r="H22" s="316" t="s">
        <v>221</v>
      </c>
      <c r="I22" s="316">
        <f>(G22-F22)/F22*100</f>
        <v>-10.954851485148511</v>
      </c>
      <c r="R22" s="12">
        <v>1.7987120000000001</v>
      </c>
    </row>
    <row r="23" spans="1:18" ht="15.4" x14ac:dyDescent="0.4">
      <c r="A23" s="2004"/>
      <c r="B23" s="2009"/>
      <c r="C23" s="2000" t="s">
        <v>234</v>
      </c>
      <c r="D23" s="2001"/>
      <c r="E23" s="2002"/>
      <c r="F23" s="315">
        <f>'APRIL-21'!F23+'MAY-21'!F23</f>
        <v>0.08</v>
      </c>
      <c r="G23" s="315">
        <f>'APRIL-21'!G23+'MAY-21'!G23</f>
        <v>0</v>
      </c>
      <c r="H23" s="316" t="s">
        <v>221</v>
      </c>
      <c r="I23" s="316" t="s">
        <v>221</v>
      </c>
      <c r="R23" s="12">
        <v>0</v>
      </c>
    </row>
    <row r="24" spans="1:18" ht="15.4" x14ac:dyDescent="0.4">
      <c r="A24" s="2004"/>
      <c r="B24" s="2009"/>
      <c r="C24" s="2000" t="s">
        <v>235</v>
      </c>
      <c r="D24" s="2001"/>
      <c r="E24" s="2002"/>
      <c r="F24" s="316">
        <f>'APRIL-21'!F24+'MAY-21'!F24</f>
        <v>0</v>
      </c>
      <c r="G24" s="315">
        <f>'APRIL-21'!G24+'MAY-21'!G24</f>
        <v>0.23711930000000001</v>
      </c>
      <c r="H24" s="316"/>
      <c r="I24" s="316">
        <v>0</v>
      </c>
      <c r="R24" s="12">
        <v>0.23711930000000001</v>
      </c>
    </row>
    <row r="25" spans="1:18" ht="15.4" x14ac:dyDescent="0.35">
      <c r="A25" s="2005"/>
      <c r="B25" s="2010"/>
      <c r="C25" s="2159" t="s">
        <v>453</v>
      </c>
      <c r="D25" s="2160"/>
      <c r="E25" s="2161"/>
      <c r="F25" s="316">
        <f>'APRIL-21'!F25+'MAY-21'!F25</f>
        <v>0</v>
      </c>
      <c r="G25" s="315">
        <f>'APRIL-21'!G25+'MAY-21'!G25</f>
        <v>4.3756100000000006E-2</v>
      </c>
      <c r="H25" s="316" t="s">
        <v>221</v>
      </c>
      <c r="I25" s="316">
        <v>0</v>
      </c>
      <c r="R25" s="12">
        <v>4.3756100000000006E-2</v>
      </c>
    </row>
    <row r="26" spans="1:18" ht="15" x14ac:dyDescent="0.35">
      <c r="A26" s="2014">
        <v>3</v>
      </c>
      <c r="B26" s="2021" t="s">
        <v>296</v>
      </c>
      <c r="C26" s="2022"/>
      <c r="D26" s="2022"/>
      <c r="E26" s="2022"/>
      <c r="F26" s="2022"/>
      <c r="G26" s="2022"/>
      <c r="H26" s="2022"/>
      <c r="I26" s="2023"/>
    </row>
    <row r="27" spans="1:18" ht="15.4" x14ac:dyDescent="0.4">
      <c r="A27" s="2015"/>
      <c r="B27" s="2006" t="s">
        <v>2</v>
      </c>
      <c r="C27" s="2007"/>
      <c r="D27" s="603" t="s">
        <v>221</v>
      </c>
      <c r="E27" s="315" t="s">
        <v>221</v>
      </c>
      <c r="F27" s="316">
        <f>'APRIL-21'!F27+'MAY-21'!F27</f>
        <v>0</v>
      </c>
      <c r="G27" s="315">
        <f>'APRIL-21'!G27+'MAY-21'!G27</f>
        <v>0.43060100000000001</v>
      </c>
      <c r="H27" s="314" t="s">
        <v>221</v>
      </c>
      <c r="I27" s="314" t="s">
        <v>221</v>
      </c>
      <c r="R27" s="12">
        <v>0.43060100000000001</v>
      </c>
    </row>
    <row r="28" spans="1:18" ht="15.4" x14ac:dyDescent="0.4">
      <c r="A28" s="2015"/>
      <c r="B28" s="2006" t="s">
        <v>23</v>
      </c>
      <c r="C28" s="2007"/>
      <c r="D28" s="603" t="s">
        <v>221</v>
      </c>
      <c r="E28" s="315">
        <f>'APRIL-21'!E28+'MAY-21'!E28</f>
        <v>4.5</v>
      </c>
      <c r="F28" s="315">
        <f>'APRIL-21'!F28+'MAY-21'!F28</f>
        <v>8.0035700000000001E-2</v>
      </c>
      <c r="G28" s="315">
        <f>'APRIL-21'!G28+'MAY-21'!G28</f>
        <v>3.2210006</v>
      </c>
      <c r="H28" s="308">
        <f>(G28-E28)/E28*100</f>
        <v>-28.422208888888889</v>
      </c>
      <c r="I28" s="314">
        <f>(G28-F28)/F28*100</f>
        <v>3924.4548370289758</v>
      </c>
      <c r="R28" s="12">
        <v>3.2210006</v>
      </c>
    </row>
    <row r="29" spans="1:18" ht="15.4" x14ac:dyDescent="0.4">
      <c r="A29" s="2015"/>
      <c r="B29" s="2006" t="s">
        <v>1</v>
      </c>
      <c r="C29" s="2007"/>
      <c r="D29" s="603" t="s">
        <v>221</v>
      </c>
      <c r="E29" s="315">
        <f>'APRIL-21'!E29+'MAY-21'!E29</f>
        <v>0.6</v>
      </c>
      <c r="F29" s="315">
        <f>'APRIL-21'!F29+'MAY-21'!F29</f>
        <v>5.0000000000000004E-6</v>
      </c>
      <c r="G29" s="315">
        <f>'APRIL-21'!G29+'MAY-21'!G29</f>
        <v>0.16145569999999998</v>
      </c>
      <c r="H29" s="308">
        <f>(G29-E29)/E29*100</f>
        <v>-73.090716666666665</v>
      </c>
      <c r="I29" s="314" t="s">
        <v>221</v>
      </c>
      <c r="R29" s="12">
        <v>0.16145569999999998</v>
      </c>
    </row>
    <row r="30" spans="1:18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5">
        <f>'APRIL-21'!F30+'MAY-21'!F30</f>
        <v>0</v>
      </c>
      <c r="G30" s="315">
        <f>'APRIL-21'!G30+'MAY-21'!G30</f>
        <v>2.7406E-2</v>
      </c>
      <c r="H30" s="316" t="s">
        <v>221</v>
      </c>
      <c r="I30" s="314" t="s">
        <v>221</v>
      </c>
      <c r="R30" s="12">
        <v>2.7406E-2</v>
      </c>
    </row>
    <row r="31" spans="1:18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f>'APRIL-21'!F31+'MAY-21'!F31</f>
        <v>0</v>
      </c>
      <c r="G31" s="315">
        <f>'APRIL-21'!G31+'MAY-21'!G31</f>
        <v>3.0467000000000001E-2</v>
      </c>
      <c r="H31" s="316" t="s">
        <v>221</v>
      </c>
      <c r="I31" s="314" t="s">
        <v>221</v>
      </c>
      <c r="R31" s="12">
        <v>3.0467000000000001E-2</v>
      </c>
    </row>
    <row r="32" spans="1:18" ht="15.4" x14ac:dyDescent="0.4">
      <c r="A32" s="2016"/>
      <c r="B32" s="2017" t="s">
        <v>241</v>
      </c>
      <c r="C32" s="2030"/>
      <c r="D32" s="540" t="s">
        <v>221</v>
      </c>
      <c r="E32" s="316" t="s">
        <v>221</v>
      </c>
      <c r="F32" s="315">
        <f>'APRIL-21'!F32+'MAY-21'!F32</f>
        <v>0.46802440000000001</v>
      </c>
      <c r="G32" s="315">
        <f>'APRIL-21'!G32+'MAY-21'!G32</f>
        <v>5.6556237999999999</v>
      </c>
      <c r="H32" s="316" t="s">
        <v>221</v>
      </c>
      <c r="I32" s="314">
        <f>(G32-F32)/F32*100</f>
        <v>1108.4036216915185</v>
      </c>
      <c r="R32" s="12">
        <v>5.6556237999999999</v>
      </c>
    </row>
    <row r="33" spans="1:18" x14ac:dyDescent="0.4">
      <c r="A33" s="403"/>
      <c r="B33" s="2006" t="s">
        <v>260</v>
      </c>
      <c r="C33" s="2019"/>
      <c r="D33" s="540" t="s">
        <v>221</v>
      </c>
      <c r="E33" s="316" t="s">
        <v>221</v>
      </c>
      <c r="F33" s="315">
        <f>'APRIL-21'!F33+'MAY-21'!F33</f>
        <v>1.4999999999999999E-4</v>
      </c>
      <c r="G33" s="315">
        <f>'APRIL-21'!G33+'MAY-21'!G33</f>
        <v>4.9988099999999994E-2</v>
      </c>
      <c r="H33" s="413"/>
      <c r="I33" s="314" t="s">
        <v>221</v>
      </c>
      <c r="R33" s="12">
        <v>4.9988099999999994E-2</v>
      </c>
    </row>
    <row r="34" spans="1:18" ht="15" x14ac:dyDescent="0.35">
      <c r="A34" s="2020">
        <v>4</v>
      </c>
      <c r="B34" s="2021" t="s">
        <v>295</v>
      </c>
      <c r="C34" s="2022"/>
      <c r="D34" s="2022"/>
      <c r="E34" s="2022"/>
      <c r="F34" s="2022"/>
      <c r="G34" s="2022"/>
      <c r="H34" s="2022"/>
      <c r="I34" s="2023"/>
    </row>
    <row r="35" spans="1:18" ht="15.4" x14ac:dyDescent="0.4">
      <c r="A35" s="2020"/>
      <c r="B35" s="2006" t="s">
        <v>27</v>
      </c>
      <c r="C35" s="2007"/>
      <c r="D35" s="331">
        <v>4.05</v>
      </c>
      <c r="E35" s="315">
        <f>'APRIL-21'!E35+'MAY-21'!E35</f>
        <v>0.67400000000000004</v>
      </c>
      <c r="F35" s="316">
        <f>'APRIL-21'!F35+'MAY-21'!F35</f>
        <v>0</v>
      </c>
      <c r="G35" s="315">
        <f>'APRIL-21'!G35+'MAY-21'!G35</f>
        <v>0.1779828</v>
      </c>
      <c r="H35" s="314">
        <f>(G35-E35)/E35*100</f>
        <v>-73.593056379821959</v>
      </c>
      <c r="I35" s="314">
        <v>0</v>
      </c>
      <c r="K35" s="5">
        <f>4.05*10000000</f>
        <v>40500000</v>
      </c>
    </row>
    <row r="36" spans="1:18" ht="15.4" x14ac:dyDescent="0.4">
      <c r="A36" s="2020"/>
      <c r="B36" s="2006" t="s">
        <v>28</v>
      </c>
      <c r="C36" s="2007"/>
      <c r="D36" s="333">
        <v>2.56</v>
      </c>
      <c r="E36" s="315">
        <f>'APRIL-21'!E36+'MAY-21'!E36</f>
        <v>0.42680000000000001</v>
      </c>
      <c r="F36" s="316">
        <f>'APRIL-21'!F36+'MAY-21'!F36</f>
        <v>1.575E-2</v>
      </c>
      <c r="G36" s="315">
        <f>'APRIL-21'!G36+'MAY-21'!G36</f>
        <v>0</v>
      </c>
      <c r="H36" s="314" t="s">
        <v>221</v>
      </c>
      <c r="I36" s="314">
        <v>0</v>
      </c>
      <c r="K36" s="5">
        <f>K35/100000</f>
        <v>405</v>
      </c>
    </row>
    <row r="37" spans="1:18" ht="15.4" x14ac:dyDescent="0.4">
      <c r="A37" s="2020"/>
      <c r="B37" s="378" t="s">
        <v>224</v>
      </c>
      <c r="C37" s="379"/>
      <c r="D37" s="603" t="s">
        <v>221</v>
      </c>
      <c r="E37" s="315">
        <f>'APRIL-21'!E37+'MAY-21'!E37</f>
        <v>0.25666</v>
      </c>
      <c r="F37" s="316">
        <f>'APRIL-21'!F37+'MAY-21'!F37</f>
        <v>0</v>
      </c>
      <c r="G37" s="315">
        <f>'APRIL-21'!G37+'MAY-21'!G37</f>
        <v>0</v>
      </c>
      <c r="H37" s="314" t="s">
        <v>221</v>
      </c>
      <c r="I37" s="314">
        <v>0</v>
      </c>
      <c r="K37" s="5">
        <v>101.2</v>
      </c>
      <c r="L37" s="5">
        <v>65.7</v>
      </c>
      <c r="M37" s="5">
        <f>(L37-K37)/K37*100</f>
        <v>-35.079051383399204</v>
      </c>
    </row>
    <row r="38" spans="1:18" ht="15.4" x14ac:dyDescent="0.4">
      <c r="A38" s="2020"/>
      <c r="B38" s="2006" t="s">
        <v>64</v>
      </c>
      <c r="C38" s="2007"/>
      <c r="D38" s="540" t="s">
        <v>221</v>
      </c>
      <c r="E38" s="315" t="s">
        <v>221</v>
      </c>
      <c r="F38" s="316">
        <f>'APRIL-21'!F38+'MAY-21'!F38</f>
        <v>0</v>
      </c>
      <c r="G38" s="315">
        <f>'APRIL-21'!G38+'MAY-21'!G38</f>
        <v>0</v>
      </c>
      <c r="H38" s="314" t="s">
        <v>221</v>
      </c>
      <c r="I38" s="314">
        <v>0</v>
      </c>
      <c r="K38" s="5">
        <f>K37*3</f>
        <v>303.60000000000002</v>
      </c>
    </row>
    <row r="39" spans="1:18" ht="15.4" x14ac:dyDescent="0.4">
      <c r="A39" s="2020"/>
      <c r="B39" s="2006" t="s">
        <v>4</v>
      </c>
      <c r="C39" s="2007"/>
      <c r="D39" s="540" t="s">
        <v>221</v>
      </c>
      <c r="E39" s="315" t="s">
        <v>221</v>
      </c>
      <c r="F39" s="316">
        <f>'APRIL-21'!F39+'MAY-21'!F39</f>
        <v>0</v>
      </c>
      <c r="G39" s="315">
        <f>'APRIL-21'!G39+'MAY-21'!G39</f>
        <v>0</v>
      </c>
      <c r="H39" s="314" t="s">
        <v>221</v>
      </c>
      <c r="I39" s="314">
        <v>0</v>
      </c>
    </row>
    <row r="40" spans="1:18" x14ac:dyDescent="0.4">
      <c r="A40" s="373"/>
      <c r="B40" s="2006" t="s">
        <v>259</v>
      </c>
      <c r="C40" s="2019"/>
      <c r="D40" s="540" t="s">
        <v>221</v>
      </c>
      <c r="E40" s="315" t="s">
        <v>221</v>
      </c>
      <c r="F40" s="316">
        <f>'APRIL-21'!F40+'MAY-21'!F40</f>
        <v>5.6525000000000004E-3</v>
      </c>
      <c r="G40" s="315">
        <f>'APRIL-21'!G40+'MAY-21'!G40</f>
        <v>5.9505199999999994E-2</v>
      </c>
      <c r="H40" s="407" t="s">
        <v>221</v>
      </c>
      <c r="I40" s="408">
        <v>0</v>
      </c>
    </row>
    <row r="41" spans="1:18" ht="15" x14ac:dyDescent="0.35">
      <c r="A41" s="2020"/>
      <c r="B41" s="2021" t="s">
        <v>419</v>
      </c>
      <c r="C41" s="2022"/>
      <c r="D41" s="2022"/>
      <c r="E41" s="2022"/>
      <c r="F41" s="2022"/>
      <c r="G41" s="2022"/>
      <c r="H41" s="2022"/>
      <c r="I41" s="2023"/>
    </row>
    <row r="42" spans="1:18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f>'APRIL-21'!F42+'MAY-21'!F42</f>
        <v>0</v>
      </c>
      <c r="G42" s="315">
        <f>'APRIL-21'!G42+'MAY-21'!G42</f>
        <v>0.18489800000000001</v>
      </c>
      <c r="H42" s="314" t="s">
        <v>221</v>
      </c>
      <c r="I42" s="314" t="s">
        <v>221</v>
      </c>
      <c r="R42" s="12">
        <v>0.18489800000000001</v>
      </c>
    </row>
    <row r="43" spans="1:18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5">
        <f>'APRIL-21'!F43+'MAY-21'!F43</f>
        <v>0.18118999999999999</v>
      </c>
      <c r="G43" s="315">
        <f>'APRIL-21'!G43+'MAY-21'!G43</f>
        <v>5.6901999999999994E-2</v>
      </c>
      <c r="H43" s="2027" t="s">
        <v>221</v>
      </c>
      <c r="I43" s="314">
        <f>(G43-F43)/F43*100</f>
        <v>-68.595397096970032</v>
      </c>
      <c r="R43" s="12">
        <v>5.6901999999999994E-2</v>
      </c>
    </row>
    <row r="44" spans="1:18" ht="15.4" x14ac:dyDescent="0.4">
      <c r="A44" s="2020"/>
      <c r="B44" s="2070"/>
      <c r="C44" s="320" t="s">
        <v>228</v>
      </c>
      <c r="D44" s="2163"/>
      <c r="E44" s="2155"/>
      <c r="F44" s="315">
        <f>'APRIL-21'!F44+'MAY-21'!F44</f>
        <v>-0.40992300000000004</v>
      </c>
      <c r="G44" s="315">
        <f>'APRIL-21'!G44+'MAY-21'!G44</f>
        <v>0.70249600000000001</v>
      </c>
      <c r="H44" s="2029"/>
      <c r="I44" s="314">
        <v>338</v>
      </c>
      <c r="R44" s="12">
        <v>0.70249600000000001</v>
      </c>
    </row>
    <row r="45" spans="1:18" ht="15" x14ac:dyDescent="0.35">
      <c r="A45" s="2020">
        <v>6</v>
      </c>
      <c r="B45" s="2021" t="s">
        <v>461</v>
      </c>
      <c r="C45" s="2022"/>
      <c r="D45" s="2022"/>
      <c r="E45" s="2022"/>
      <c r="F45" s="2022"/>
      <c r="G45" s="2022"/>
      <c r="H45" s="2022"/>
      <c r="I45" s="2023"/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0.29799999999999999</v>
      </c>
      <c r="G46" s="313">
        <v>0.309</v>
      </c>
      <c r="H46" s="2027" t="s">
        <v>221</v>
      </c>
      <c r="I46" s="314">
        <f>(G46-F46)/F46*100</f>
        <v>3.6912751677852387</v>
      </c>
      <c r="R46" s="12">
        <v>0.309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1.9279999999999999</v>
      </c>
      <c r="G47" s="313">
        <v>1.24</v>
      </c>
      <c r="H47" s="2028"/>
      <c r="I47" s="314">
        <f>(G47-F47)/F47*100</f>
        <v>-35.684647302904565</v>
      </c>
      <c r="R47" s="12">
        <v>1.24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313">
        <v>2.0099999999999998</v>
      </c>
      <c r="G48" s="313">
        <f>SUM(G46:G47)</f>
        <v>1.5489999999999999</v>
      </c>
      <c r="H48" s="2029"/>
      <c r="I48" s="314">
        <f>(G48-F48)/F48*100</f>
        <v>-22.935323383084572</v>
      </c>
      <c r="R48" s="12">
        <v>1.5489999999999999</v>
      </c>
    </row>
    <row r="50" spans="6:18" s="5" customFormat="1" ht="13.5" x14ac:dyDescent="0.35">
      <c r="F50" s="5">
        <f>F42*1000000</f>
        <v>0</v>
      </c>
      <c r="G50" s="5">
        <f>G42*1000000</f>
        <v>184898</v>
      </c>
      <c r="H50" s="11">
        <f>G50/100000</f>
        <v>1.8489800000000001</v>
      </c>
      <c r="R50" s="12"/>
    </row>
    <row r="51" spans="6:18" s="5" customFormat="1" ht="13.5" x14ac:dyDescent="0.35">
      <c r="F51" s="12">
        <f>F43+F44</f>
        <v>-0.22873300000000005</v>
      </c>
      <c r="G51" s="12">
        <f>G43+G44</f>
        <v>0.75939800000000002</v>
      </c>
      <c r="H51" s="11"/>
      <c r="R51" s="12"/>
    </row>
    <row r="52" spans="6:18" s="5" customFormat="1" ht="13.5" x14ac:dyDescent="0.35">
      <c r="F52" s="5">
        <f>F51*1000000</f>
        <v>-228733.00000000006</v>
      </c>
      <c r="G52" s="5">
        <f>G51*1000000</f>
        <v>759398</v>
      </c>
      <c r="H52" s="11"/>
      <c r="R52" s="12"/>
    </row>
    <row r="53" spans="6:18" s="5" customFormat="1" ht="13.5" x14ac:dyDescent="0.35">
      <c r="F53" s="5">
        <f>F52/100000</f>
        <v>-2.2873300000000008</v>
      </c>
      <c r="G53" s="5">
        <v>9.39</v>
      </c>
      <c r="H53" s="11">
        <f>(G53-F53)/F53*100</f>
        <v>-510.52231204067613</v>
      </c>
      <c r="R53" s="12"/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B33:C33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75" bottom="0.32" header="0.3" footer="0.3"/>
  <pageSetup paperSize="9" scale="47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S52"/>
  <sheetViews>
    <sheetView topLeftCell="A13" workbookViewId="0">
      <selection activeCell="G35" sqref="G35:G40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1" style="5" customWidth="1"/>
    <col min="4" max="4" width="9.265625" style="84" customWidth="1"/>
    <col min="5" max="5" width="10.1328125" style="35" customWidth="1"/>
    <col min="6" max="6" width="12.73046875" style="5" customWidth="1"/>
    <col min="7" max="7" width="14" style="5" customWidth="1"/>
    <col min="8" max="8" width="11.265625" style="11" customWidth="1"/>
    <col min="9" max="9" width="13.86328125" style="82" customWidth="1"/>
    <col min="10" max="10" width="9.1328125" style="5"/>
    <col min="11" max="11" width="12.3984375" style="5" bestFit="1" customWidth="1"/>
    <col min="12" max="12" width="10" style="5" customWidth="1"/>
    <col min="13" max="13" width="10.1328125" style="5" bestFit="1" customWidth="1"/>
    <col min="14" max="18" width="9.1328125" style="5"/>
    <col min="19" max="19" width="9.1328125" style="13"/>
    <col min="20" max="16384" width="9.1328125" style="5"/>
  </cols>
  <sheetData>
    <row r="1" spans="1:19" ht="17.649999999999999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19" s="301" customFormat="1" ht="17.25" thickBot="1" x14ac:dyDescent="0.5">
      <c r="A2" s="2092" t="s">
        <v>483</v>
      </c>
      <c r="B2" s="2093"/>
      <c r="C2" s="2093"/>
      <c r="D2" s="2093"/>
      <c r="E2" s="2093"/>
      <c r="F2" s="2093"/>
      <c r="G2" s="2093"/>
      <c r="H2" s="2093"/>
      <c r="I2" s="2094"/>
      <c r="S2" s="1126"/>
    </row>
    <row r="3" spans="1:19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9" s="35" customFormat="1" x14ac:dyDescent="0.45">
      <c r="A4" s="2035"/>
      <c r="B4" s="2047"/>
      <c r="C4" s="2048"/>
      <c r="D4" s="421" t="s">
        <v>9</v>
      </c>
      <c r="E4" s="422">
        <f>G4</f>
        <v>44348</v>
      </c>
      <c r="F4" s="422">
        <v>43983</v>
      </c>
      <c r="G4" s="422">
        <v>44348</v>
      </c>
      <c r="H4" s="2111" t="s">
        <v>12</v>
      </c>
      <c r="I4" s="2111" t="s">
        <v>13</v>
      </c>
      <c r="N4" s="380"/>
      <c r="S4" s="479"/>
    </row>
    <row r="5" spans="1:19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19" x14ac:dyDescent="0.35">
      <c r="A6" s="372">
        <v>1</v>
      </c>
      <c r="B6" s="2049" t="s">
        <v>290</v>
      </c>
      <c r="C6" s="2049"/>
      <c r="D6" s="304" t="s">
        <v>221</v>
      </c>
      <c r="E6" s="305">
        <f>'TARGET SHEET 2021-22'!D9</f>
        <v>72.12</v>
      </c>
      <c r="F6" s="305">
        <f>F15+F16+F17</f>
        <v>-2.7462149999999999</v>
      </c>
      <c r="G6" s="305">
        <f>G15+G16+G17</f>
        <v>30.518793200000001</v>
      </c>
      <c r="H6" s="306">
        <f>(G6-E6)/E6*100</f>
        <v>-57.683315030504708</v>
      </c>
      <c r="I6" s="308">
        <v>1211.4000000000001</v>
      </c>
    </row>
    <row r="7" spans="1:19" x14ac:dyDescent="0.35">
      <c r="A7" s="373">
        <v>2</v>
      </c>
      <c r="B7" s="2050" t="s">
        <v>291</v>
      </c>
      <c r="C7" s="2051"/>
      <c r="D7" s="307" t="s">
        <v>221</v>
      </c>
      <c r="E7" s="307">
        <f>'TARGET SHEET 2021-22'!E9</f>
        <v>11.88</v>
      </c>
      <c r="F7" s="307">
        <f>F19+F20+F21+F22+F23+F24+F25</f>
        <v>14.874978700000002</v>
      </c>
      <c r="G7" s="307">
        <f>G19+G20+G21+G22+G23+G24+G25</f>
        <v>13.885429799999999</v>
      </c>
      <c r="H7" s="308">
        <f>(G7-E7)/E7*100</f>
        <v>16.880722222222204</v>
      </c>
      <c r="I7" s="308">
        <f>(G7-F7)/F7*100</f>
        <v>-6.6524391056775265</v>
      </c>
    </row>
    <row r="8" spans="1:19" x14ac:dyDescent="0.35">
      <c r="A8" s="374">
        <v>3</v>
      </c>
      <c r="B8" s="2021" t="s">
        <v>292</v>
      </c>
      <c r="C8" s="2023"/>
      <c r="D8" s="364" t="s">
        <v>221</v>
      </c>
      <c r="E8" s="364">
        <f>'TARGET SHEET 2021-22'!F9</f>
        <v>3.22</v>
      </c>
      <c r="F8" s="364">
        <f>F27+F28+F29+F30+F31+F32+F33</f>
        <v>0.92667319999999997</v>
      </c>
      <c r="G8" s="364">
        <f>G27+G28+G29+G30+G31+G32+G33</f>
        <v>3.547342</v>
      </c>
      <c r="H8" s="306">
        <f>(G8-E8)/E8*100</f>
        <v>10.165900621118006</v>
      </c>
      <c r="I8" s="365">
        <f>(G8-F8)/F8*100</f>
        <v>282.80399174164097</v>
      </c>
    </row>
    <row r="9" spans="1:19" x14ac:dyDescent="0.35">
      <c r="A9" s="373">
        <v>4</v>
      </c>
      <c r="B9" s="2052" t="s">
        <v>293</v>
      </c>
      <c r="C9" s="2053"/>
      <c r="D9" s="307" t="s">
        <v>221</v>
      </c>
      <c r="E9" s="307">
        <f>'TARGET SHEET 2021-22'!N9</f>
        <v>0.67873000000000006</v>
      </c>
      <c r="F9" s="307">
        <f>F35+F36+F37+F38+F39+F40</f>
        <v>4.6251299999999995E-2</v>
      </c>
      <c r="G9" s="307">
        <f>G35+G36+G37+G38+G39+G40</f>
        <v>0.57127220000000001</v>
      </c>
      <c r="H9" s="308">
        <f>(G9-E9)/E9*100</f>
        <v>-15.832186583766747</v>
      </c>
      <c r="I9" s="365">
        <f>(G9-F9)/F9*100</f>
        <v>1135.148417449888</v>
      </c>
    </row>
    <row r="10" spans="1:19" ht="17.649999999999999" x14ac:dyDescent="0.35">
      <c r="A10" s="374">
        <v>5</v>
      </c>
      <c r="B10" s="2054" t="s">
        <v>294</v>
      </c>
      <c r="C10" s="2055"/>
      <c r="D10" s="321" t="s">
        <v>221</v>
      </c>
      <c r="E10" s="321">
        <f>SUM(E6:E9)</f>
        <v>87.89873</v>
      </c>
      <c r="F10" s="321">
        <f>SUM(F6:F9)</f>
        <v>13.101688200000002</v>
      </c>
      <c r="G10" s="321">
        <f>SUM(G6:G9)</f>
        <v>48.522837200000005</v>
      </c>
      <c r="H10" s="306">
        <f>(G10-E10)/E10*100</f>
        <v>-44.796884778653798</v>
      </c>
      <c r="I10" s="365">
        <v>1020.9</v>
      </c>
    </row>
    <row r="11" spans="1:19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9" ht="18.399999999999999" thickTop="1" thickBot="1" x14ac:dyDescent="0.4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639">
        <f>F42+F43+F44</f>
        <v>-7.7810000000000004E-2</v>
      </c>
      <c r="G12" s="447">
        <f>G42+G43+G44</f>
        <v>0.69028900000000004</v>
      </c>
      <c r="H12" s="310" t="s">
        <v>221</v>
      </c>
      <c r="I12" s="308">
        <f>(G12-F12)/F12*100</f>
        <v>-987.14689628582448</v>
      </c>
    </row>
    <row r="13" spans="1:19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9" ht="15" x14ac:dyDescent="0.35">
      <c r="A14" s="2003">
        <v>1</v>
      </c>
      <c r="B14" s="2021" t="s">
        <v>425</v>
      </c>
      <c r="C14" s="2022"/>
      <c r="D14" s="2022"/>
      <c r="E14" s="2022"/>
      <c r="F14" s="2022"/>
      <c r="G14" s="2022"/>
      <c r="H14" s="2022"/>
      <c r="I14" s="2023"/>
    </row>
    <row r="15" spans="1:19" ht="15.4" x14ac:dyDescent="0.4">
      <c r="A15" s="2004"/>
      <c r="B15" s="2006" t="s">
        <v>16</v>
      </c>
      <c r="C15" s="2007"/>
      <c r="D15" s="331" t="s">
        <v>221</v>
      </c>
      <c r="E15" s="307">
        <f>'TARGET SHEET 2021-22'!B9</f>
        <v>0.17</v>
      </c>
      <c r="F15" s="315">
        <v>0</v>
      </c>
      <c r="G15" s="315">
        <f>'actual fig'!L46/10000000</f>
        <v>5.7094699999999998E-2</v>
      </c>
      <c r="H15" s="308">
        <f>(G15-E15)/E15*100</f>
        <v>-66.414882352941191</v>
      </c>
      <c r="I15" s="308" t="s">
        <v>221</v>
      </c>
      <c r="S15" s="13">
        <v>5.7094699999999998E-2</v>
      </c>
    </row>
    <row r="16" spans="1:19" ht="15.4" x14ac:dyDescent="0.4">
      <c r="A16" s="2004"/>
      <c r="B16" s="2071" t="s">
        <v>15</v>
      </c>
      <c r="C16" s="320" t="s">
        <v>166</v>
      </c>
      <c r="D16" s="2064" t="s">
        <v>221</v>
      </c>
      <c r="E16" s="2166">
        <f>'TARGET SHEET 2021-22'!C9</f>
        <v>71.95</v>
      </c>
      <c r="F16" s="315">
        <v>9.3784999999999993E-2</v>
      </c>
      <c r="G16" s="315">
        <f>'actual fig'!M46/10000000</f>
        <v>4.4491200000000002E-2</v>
      </c>
      <c r="H16" s="2027">
        <f>M16</f>
        <v>-57.662684503127181</v>
      </c>
      <c r="I16" s="308">
        <f>(G16-F16)/F16*100</f>
        <v>-52.560430772511587</v>
      </c>
      <c r="K16" s="12">
        <f>F16+F17</f>
        <v>-2.7462149999999999</v>
      </c>
      <c r="L16" s="12">
        <f>G16+G17</f>
        <v>30.461698500000001</v>
      </c>
      <c r="M16" s="5">
        <f>(L16-E16)/E16*100</f>
        <v>-57.662684503127181</v>
      </c>
      <c r="S16" s="13">
        <v>4.4491200000000002E-2</v>
      </c>
    </row>
    <row r="17" spans="1:19" ht="15.4" x14ac:dyDescent="0.4">
      <c r="A17" s="2005"/>
      <c r="B17" s="2071"/>
      <c r="C17" s="320" t="s">
        <v>228</v>
      </c>
      <c r="D17" s="2064"/>
      <c r="E17" s="2166"/>
      <c r="F17" s="661">
        <v>-2.84</v>
      </c>
      <c r="G17" s="661">
        <f>'actual fig'!N46/10000000</f>
        <v>30.417207300000001</v>
      </c>
      <c r="H17" s="2029"/>
      <c r="I17" s="308">
        <v>1171</v>
      </c>
      <c r="S17" s="13">
        <v>30.417207300000001</v>
      </c>
    </row>
    <row r="18" spans="1:19" ht="15" x14ac:dyDescent="0.35">
      <c r="A18" s="2003">
        <v>2</v>
      </c>
      <c r="B18" s="2021" t="s">
        <v>454</v>
      </c>
      <c r="C18" s="2022"/>
      <c r="D18" s="2022"/>
      <c r="E18" s="2022"/>
      <c r="F18" s="2022"/>
      <c r="G18" s="2022"/>
      <c r="H18" s="2022"/>
      <c r="I18" s="2023"/>
    </row>
    <row r="19" spans="1:19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f>89060783/10000000</f>
        <v>8.9060783000000008</v>
      </c>
      <c r="G19" s="315">
        <f>104968218/10000000</f>
        <v>10.496821799999999</v>
      </c>
      <c r="H19" s="316" t="s">
        <v>221</v>
      </c>
      <c r="I19" s="316">
        <f>(G19-F19)/F19*100</f>
        <v>17.861323990380797</v>
      </c>
      <c r="S19" s="13">
        <v>10.496821799999999</v>
      </c>
    </row>
    <row r="20" spans="1:19" ht="15.4" x14ac:dyDescent="0.4">
      <c r="A20" s="2004"/>
      <c r="B20" s="2009"/>
      <c r="C20" s="2000" t="s">
        <v>232</v>
      </c>
      <c r="D20" s="2001"/>
      <c r="E20" s="2002"/>
      <c r="F20" s="315">
        <f>44358243/10000000</f>
        <v>4.4358243000000002</v>
      </c>
      <c r="G20" s="315">
        <f>1790758/10000000</f>
        <v>0.17907580000000001</v>
      </c>
      <c r="H20" s="316" t="s">
        <v>221</v>
      </c>
      <c r="I20" s="316">
        <f>(G20-F20)/F20*100</f>
        <v>-95.962964538518818</v>
      </c>
      <c r="S20" s="13">
        <v>0.17907580000000001</v>
      </c>
    </row>
    <row r="21" spans="1:19" ht="15.4" x14ac:dyDescent="0.4">
      <c r="A21" s="2004"/>
      <c r="B21" s="2009"/>
      <c r="C21" s="2000" t="s">
        <v>239</v>
      </c>
      <c r="D21" s="2001"/>
      <c r="E21" s="2002"/>
      <c r="F21" s="315">
        <f>6450236/10000000</f>
        <v>0.64502360000000003</v>
      </c>
      <c r="G21" s="315">
        <f>23103766/10000000</f>
        <v>2.3103766000000001</v>
      </c>
      <c r="H21" s="316" t="s">
        <v>221</v>
      </c>
      <c r="I21" s="316" t="s">
        <v>221</v>
      </c>
      <c r="S21" s="13">
        <v>2.3103766000000001</v>
      </c>
    </row>
    <row r="22" spans="1:19" ht="15.4" x14ac:dyDescent="0.4">
      <c r="A22" s="2004"/>
      <c r="B22" s="2009"/>
      <c r="C22" s="2000" t="s">
        <v>233</v>
      </c>
      <c r="D22" s="2001"/>
      <c r="E22" s="2002"/>
      <c r="F22" s="315">
        <f>8880525/10000000</f>
        <v>0.88805250000000002</v>
      </c>
      <c r="G22" s="315">
        <f>8991556/10000000</f>
        <v>0.89915560000000005</v>
      </c>
      <c r="H22" s="316" t="s">
        <v>221</v>
      </c>
      <c r="I22" s="316">
        <f>(G22-F22)/F22*100</f>
        <v>1.2502751808029404</v>
      </c>
      <c r="S22" s="13">
        <v>0.89915560000000005</v>
      </c>
    </row>
    <row r="23" spans="1:19" ht="15.4" x14ac:dyDescent="0.4">
      <c r="A23" s="2004"/>
      <c r="B23" s="2009"/>
      <c r="C23" s="2000" t="s">
        <v>234</v>
      </c>
      <c r="D23" s="2001"/>
      <c r="E23" s="2002"/>
      <c r="F23" s="315">
        <v>0</v>
      </c>
      <c r="G23" s="315">
        <v>0</v>
      </c>
      <c r="H23" s="316" t="s">
        <v>221</v>
      </c>
      <c r="I23" s="316" t="s">
        <v>221</v>
      </c>
      <c r="S23" s="13">
        <v>0</v>
      </c>
    </row>
    <row r="24" spans="1:19" ht="15.4" x14ac:dyDescent="0.4">
      <c r="A24" s="2004"/>
      <c r="B24" s="2009"/>
      <c r="C24" s="2000" t="s">
        <v>466</v>
      </c>
      <c r="D24" s="2001"/>
      <c r="E24" s="2002"/>
      <c r="F24" s="315">
        <v>0</v>
      </c>
      <c r="G24" s="315">
        <v>0</v>
      </c>
      <c r="H24" s="316"/>
      <c r="I24" s="316">
        <v>0</v>
      </c>
      <c r="S24" s="13">
        <v>0</v>
      </c>
    </row>
    <row r="25" spans="1:19" ht="15.4" x14ac:dyDescent="0.35">
      <c r="A25" s="2005"/>
      <c r="B25" s="2010"/>
      <c r="C25" s="2159" t="s">
        <v>453</v>
      </c>
      <c r="D25" s="2160"/>
      <c r="E25" s="2161"/>
      <c r="F25" s="315">
        <v>0</v>
      </c>
      <c r="G25" s="315">
        <v>0</v>
      </c>
      <c r="H25" s="316" t="s">
        <v>221</v>
      </c>
      <c r="I25" s="316">
        <v>0</v>
      </c>
      <c r="S25" s="13">
        <v>0</v>
      </c>
    </row>
    <row r="26" spans="1:19" ht="15" x14ac:dyDescent="0.35">
      <c r="A26" s="2014">
        <v>3</v>
      </c>
      <c r="B26" s="2021" t="s">
        <v>427</v>
      </c>
      <c r="C26" s="2022"/>
      <c r="D26" s="2022"/>
      <c r="E26" s="2022"/>
      <c r="F26" s="2022"/>
      <c r="G26" s="2022"/>
      <c r="H26" s="2022"/>
      <c r="I26" s="2023"/>
      <c r="M26" s="5" t="s">
        <v>371</v>
      </c>
      <c r="P26" s="172" t="s">
        <v>277</v>
      </c>
      <c r="Q26" s="172"/>
    </row>
    <row r="27" spans="1:19" ht="15.4" x14ac:dyDescent="0.4">
      <c r="A27" s="2015"/>
      <c r="B27" s="2006" t="s">
        <v>2</v>
      </c>
      <c r="C27" s="2007"/>
      <c r="D27" s="603" t="s">
        <v>221</v>
      </c>
      <c r="E27" s="315">
        <v>0.5</v>
      </c>
      <c r="F27" s="314">
        <v>0</v>
      </c>
      <c r="G27" s="313">
        <f>'actual fig'!U46/10000000</f>
        <v>0.2937554</v>
      </c>
      <c r="H27" s="314" t="s">
        <v>221</v>
      </c>
      <c r="I27" s="314" t="s">
        <v>221</v>
      </c>
      <c r="M27" s="632">
        <v>44317</v>
      </c>
      <c r="P27" s="172"/>
      <c r="Q27" s="172"/>
      <c r="S27" s="13">
        <v>0.2937554</v>
      </c>
    </row>
    <row r="28" spans="1:19" ht="15.4" x14ac:dyDescent="0.4">
      <c r="A28" s="2015"/>
      <c r="B28" s="2006" t="s">
        <v>23</v>
      </c>
      <c r="C28" s="2007"/>
      <c r="D28" s="603" t="s">
        <v>221</v>
      </c>
      <c r="E28" s="315">
        <f>'TARGET SHEET 2021-22'!B37</f>
        <v>2</v>
      </c>
      <c r="F28" s="381">
        <v>0.4593991</v>
      </c>
      <c r="G28" s="313">
        <f>'actual fig'!V46/10000000</f>
        <v>1.9458335</v>
      </c>
      <c r="H28" s="308">
        <f>(G28-E28)/E28*100</f>
        <v>-2.7083250000000003</v>
      </c>
      <c r="I28" s="314">
        <f>(G28-F28)/F28*100</f>
        <v>323.56058163805722</v>
      </c>
      <c r="S28" s="13">
        <v>1.9458335</v>
      </c>
    </row>
    <row r="29" spans="1:19" ht="15.4" x14ac:dyDescent="0.4">
      <c r="A29" s="2015"/>
      <c r="B29" s="2006" t="s">
        <v>1</v>
      </c>
      <c r="C29" s="2007"/>
      <c r="D29" s="603" t="s">
        <v>221</v>
      </c>
      <c r="E29" s="315">
        <f>'TARGET SHEET 2021-22'!C37</f>
        <v>0.3</v>
      </c>
      <c r="F29" s="313">
        <v>2.9223999999999999E-3</v>
      </c>
      <c r="G29" s="313">
        <f>'actual fig'!W46/10000000</f>
        <v>8.2169300000000001E-2</v>
      </c>
      <c r="H29" s="308">
        <f>(G29-E29)/E29*100</f>
        <v>-72.610233333333326</v>
      </c>
      <c r="I29" s="314" t="s">
        <v>221</v>
      </c>
      <c r="S29" s="13">
        <v>8.2169300000000001E-2</v>
      </c>
    </row>
    <row r="30" spans="1:19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3">
        <v>0</v>
      </c>
      <c r="G30" s="381">
        <f>'actual fig'!Y46/10000000</f>
        <v>2.5499999999999998E-2</v>
      </c>
      <c r="H30" s="316" t="s">
        <v>221</v>
      </c>
      <c r="I30" s="314" t="s">
        <v>221</v>
      </c>
      <c r="S30" s="13">
        <v>2.5499999999999998E-2</v>
      </c>
    </row>
    <row r="31" spans="1:19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v>0</v>
      </c>
      <c r="G31" s="404">
        <f>'actual fig'!X46/10000000</f>
        <v>0</v>
      </c>
      <c r="H31" s="316" t="s">
        <v>221</v>
      </c>
      <c r="I31" s="314" t="s">
        <v>221</v>
      </c>
      <c r="S31" s="13">
        <v>0</v>
      </c>
    </row>
    <row r="32" spans="1:19" ht="15.4" x14ac:dyDescent="0.4">
      <c r="A32" s="2016"/>
      <c r="B32" s="2017" t="s">
        <v>241</v>
      </c>
      <c r="C32" s="2030"/>
      <c r="D32" s="540" t="s">
        <v>221</v>
      </c>
      <c r="E32" s="316" t="s">
        <v>221</v>
      </c>
      <c r="F32" s="315">
        <v>0.46435169999999998</v>
      </c>
      <c r="G32" s="315">
        <f>'actual fig'!T46/10000000</f>
        <v>1.1633777999999999</v>
      </c>
      <c r="H32" s="316" t="s">
        <v>221</v>
      </c>
      <c r="I32" s="314">
        <f>(G32-F32)/F32*100</f>
        <v>150.53807275821322</v>
      </c>
      <c r="S32" s="13">
        <v>1.1633777999999999</v>
      </c>
    </row>
    <row r="33" spans="1:19" x14ac:dyDescent="0.4">
      <c r="A33" s="403"/>
      <c r="B33" s="2006" t="s">
        <v>260</v>
      </c>
      <c r="C33" s="2019"/>
      <c r="D33" s="540" t="s">
        <v>221</v>
      </c>
      <c r="E33" s="316" t="s">
        <v>221</v>
      </c>
      <c r="F33" s="134">
        <v>0</v>
      </c>
      <c r="G33" s="404">
        <f>'actual fig'!Z46/10000000</f>
        <v>3.6706000000000003E-2</v>
      </c>
      <c r="H33" s="413"/>
      <c r="I33" s="314" t="s">
        <v>221</v>
      </c>
      <c r="S33" s="13">
        <v>3.6706000000000003E-2</v>
      </c>
    </row>
    <row r="34" spans="1:19" ht="15" x14ac:dyDescent="0.35">
      <c r="A34" s="2020">
        <v>4</v>
      </c>
      <c r="B34" s="2021" t="s">
        <v>428</v>
      </c>
      <c r="C34" s="2022"/>
      <c r="D34" s="2022"/>
      <c r="E34" s="2022"/>
      <c r="F34" s="2022"/>
      <c r="G34" s="2022"/>
      <c r="H34" s="2022"/>
      <c r="I34" s="2023"/>
      <c r="M34" s="5" t="s">
        <v>203</v>
      </c>
    </row>
    <row r="35" spans="1:19" ht="15.4" x14ac:dyDescent="0.4">
      <c r="A35" s="2020"/>
      <c r="B35" s="2006" t="s">
        <v>27</v>
      </c>
      <c r="C35" s="2007"/>
      <c r="D35" s="331">
        <v>4.05</v>
      </c>
      <c r="E35" s="406">
        <f>'TARGET SHEET 2021-22'!J9</f>
        <v>0.33700000000000002</v>
      </c>
      <c r="F35" s="405">
        <f>60000/10000000</f>
        <v>6.0000000000000001E-3</v>
      </c>
      <c r="G35" s="313">
        <f>'actual fig'!T62/10000000</f>
        <v>0.48096559999999999</v>
      </c>
      <c r="H35" s="314">
        <f>(G35-E35)/E35*100</f>
        <v>42.719762611275954</v>
      </c>
      <c r="I35" s="314">
        <f>(G35-F35)/F35*100</f>
        <v>7916.0933333333332</v>
      </c>
      <c r="N35" s="632">
        <v>44317</v>
      </c>
      <c r="S35" s="13">
        <v>0.48096559999999999</v>
      </c>
    </row>
    <row r="36" spans="1:19" ht="15.4" x14ac:dyDescent="0.4">
      <c r="A36" s="2020"/>
      <c r="B36" s="2006" t="s">
        <v>28</v>
      </c>
      <c r="C36" s="2007"/>
      <c r="D36" s="333">
        <v>2.56</v>
      </c>
      <c r="E36" s="307">
        <f>'TARGET SHEET 2021-22'!K9</f>
        <v>0.21340000000000001</v>
      </c>
      <c r="F36" s="313">
        <v>0</v>
      </c>
      <c r="G36" s="313">
        <f>'actual fig'!U62/10000000</f>
        <v>2.5377899999999998E-2</v>
      </c>
      <c r="H36" s="314">
        <f>(G36-E36)/E36*100</f>
        <v>-88.107825679475155</v>
      </c>
      <c r="I36" s="314" t="e">
        <f>(G36-F36)/F36*100</f>
        <v>#DIV/0!</v>
      </c>
      <c r="O36" s="172"/>
      <c r="S36" s="13">
        <v>2.5377899999999998E-2</v>
      </c>
    </row>
    <row r="37" spans="1:19" ht="15.4" x14ac:dyDescent="0.4">
      <c r="A37" s="2020"/>
      <c r="B37" s="378" t="s">
        <v>224</v>
      </c>
      <c r="C37" s="379"/>
      <c r="D37" s="603" t="s">
        <v>221</v>
      </c>
      <c r="E37" s="315">
        <f>'TARGET SHEET 2021-22'!L9</f>
        <v>0.12833</v>
      </c>
      <c r="F37" s="313">
        <f>272711/10000000</f>
        <v>2.72711E-2</v>
      </c>
      <c r="G37" s="314">
        <f>'actual fig'!V62/10000000</f>
        <v>5.1777000000000004E-3</v>
      </c>
      <c r="H37" s="314" t="s">
        <v>221</v>
      </c>
      <c r="I37" s="314" t="s">
        <v>221</v>
      </c>
      <c r="S37" s="13">
        <v>5.1777000000000004E-3</v>
      </c>
    </row>
    <row r="38" spans="1:19" ht="15.4" x14ac:dyDescent="0.4">
      <c r="A38" s="2020"/>
      <c r="B38" s="2006" t="s">
        <v>64</v>
      </c>
      <c r="C38" s="2007"/>
      <c r="D38" s="540" t="s">
        <v>221</v>
      </c>
      <c r="E38" s="315" t="s">
        <v>221</v>
      </c>
      <c r="F38" s="313">
        <v>0</v>
      </c>
      <c r="G38" s="314">
        <v>0</v>
      </c>
      <c r="H38" s="314" t="s">
        <v>221</v>
      </c>
      <c r="I38" s="314" t="s">
        <v>221</v>
      </c>
      <c r="S38" s="13">
        <v>0</v>
      </c>
    </row>
    <row r="39" spans="1:19" ht="15.4" x14ac:dyDescent="0.4">
      <c r="A39" s="2020"/>
      <c r="B39" s="2006" t="s">
        <v>4</v>
      </c>
      <c r="C39" s="2007"/>
      <c r="D39" s="540" t="s">
        <v>221</v>
      </c>
      <c r="E39" s="315" t="s">
        <v>221</v>
      </c>
      <c r="F39" s="313">
        <v>0</v>
      </c>
      <c r="G39" s="314">
        <f>'actual fig'!W62/10000000</f>
        <v>3.9713100000000001E-2</v>
      </c>
      <c r="H39" s="314" t="s">
        <v>221</v>
      </c>
      <c r="I39" s="314" t="s">
        <v>221</v>
      </c>
      <c r="S39" s="13">
        <v>3.9713100000000001E-2</v>
      </c>
    </row>
    <row r="40" spans="1:19" x14ac:dyDescent="0.4">
      <c r="A40" s="373"/>
      <c r="B40" s="2006" t="s">
        <v>259</v>
      </c>
      <c r="C40" s="2019"/>
      <c r="D40" s="540" t="s">
        <v>221</v>
      </c>
      <c r="E40" s="315" t="s">
        <v>221</v>
      </c>
      <c r="F40" s="313">
        <f>129802/10000000</f>
        <v>1.2980200000000001E-2</v>
      </c>
      <c r="G40" s="313">
        <f>'actual fig'!X62/10000000</f>
        <v>2.0037900000000001E-2</v>
      </c>
      <c r="H40" s="407" t="s">
        <v>221</v>
      </c>
      <c r="I40" s="314" t="s">
        <v>221</v>
      </c>
      <c r="S40" s="13">
        <v>2.0037900000000001E-2</v>
      </c>
    </row>
    <row r="41" spans="1:19" ht="15" x14ac:dyDescent="0.35">
      <c r="A41" s="2020"/>
      <c r="B41" s="2021" t="s">
        <v>419</v>
      </c>
      <c r="C41" s="2022"/>
      <c r="D41" s="2022"/>
      <c r="E41" s="2022"/>
      <c r="F41" s="2022"/>
      <c r="G41" s="2022"/>
      <c r="H41" s="2022"/>
      <c r="I41" s="2023"/>
    </row>
    <row r="42" spans="1:19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v>0</v>
      </c>
      <c r="G42" s="315">
        <f>'actual fig'!L62/1000000</f>
        <v>0.135772</v>
      </c>
      <c r="H42" s="314" t="s">
        <v>221</v>
      </c>
      <c r="I42" s="314" t="s">
        <v>221</v>
      </c>
      <c r="L42" s="590"/>
      <c r="S42" s="13">
        <v>0.135772</v>
      </c>
    </row>
    <row r="43" spans="1:19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3">
        <v>1.168E-3</v>
      </c>
      <c r="G43" s="313">
        <f>'actual fig'!M62/1000000</f>
        <v>5.0237999999999998E-2</v>
      </c>
      <c r="H43" s="2027" t="s">
        <v>221</v>
      </c>
      <c r="I43" s="314">
        <f>(G43-F43)/F43*100</f>
        <v>4201.1986301369861</v>
      </c>
      <c r="S43" s="13">
        <v>5.0237999999999998E-2</v>
      </c>
    </row>
    <row r="44" spans="1:19" ht="15.4" x14ac:dyDescent="0.4">
      <c r="A44" s="2020"/>
      <c r="B44" s="2070"/>
      <c r="C44" s="320" t="s">
        <v>228</v>
      </c>
      <c r="D44" s="2163"/>
      <c r="E44" s="2155"/>
      <c r="F44" s="313">
        <v>-7.8978000000000007E-2</v>
      </c>
      <c r="G44" s="313">
        <f>'actual fig'!N62/1000000</f>
        <v>0.50427900000000003</v>
      </c>
      <c r="H44" s="2029"/>
      <c r="I44" s="314">
        <v>738.5</v>
      </c>
      <c r="S44" s="13">
        <v>0.50427900000000003</v>
      </c>
    </row>
    <row r="45" spans="1:19" ht="15" x14ac:dyDescent="0.35">
      <c r="A45" s="2020">
        <v>6</v>
      </c>
      <c r="B45" s="2021" t="s">
        <v>461</v>
      </c>
      <c r="C45" s="2022"/>
      <c r="D45" s="2022"/>
      <c r="E45" s="2022"/>
      <c r="F45" s="2022"/>
      <c r="G45" s="2022"/>
      <c r="H45" s="2022"/>
      <c r="I45" s="2023"/>
    </row>
    <row r="46" spans="1:19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/>
      <c r="G46" s="313"/>
      <c r="H46" s="2027" t="s">
        <v>221</v>
      </c>
      <c r="I46" s="314" t="e">
        <f>(G46-F46)/F46*100</f>
        <v>#DIV/0!</v>
      </c>
    </row>
    <row r="47" spans="1:19" ht="15.4" x14ac:dyDescent="0.4">
      <c r="A47" s="2020"/>
      <c r="B47" s="2006" t="s">
        <v>37</v>
      </c>
      <c r="C47" s="2007"/>
      <c r="D47" s="303" t="s">
        <v>221</v>
      </c>
      <c r="E47" s="2025"/>
      <c r="F47" s="313"/>
      <c r="G47" s="313"/>
      <c r="H47" s="2028"/>
      <c r="I47" s="314" t="e">
        <f>(G47-F47)/F47*100</f>
        <v>#DIV/0!</v>
      </c>
    </row>
    <row r="48" spans="1:19" ht="15.4" x14ac:dyDescent="0.4">
      <c r="A48" s="2020"/>
      <c r="B48" s="2006" t="s">
        <v>38</v>
      </c>
      <c r="C48" s="2007"/>
      <c r="D48" s="303" t="s">
        <v>221</v>
      </c>
      <c r="E48" s="2026"/>
      <c r="F48" s="313"/>
      <c r="G48" s="313"/>
      <c r="H48" s="2029"/>
      <c r="I48" s="314" t="e">
        <f>(G48-F48)/F48*100</f>
        <v>#DIV/0!</v>
      </c>
    </row>
    <row r="50" spans="6:19" s="5" customFormat="1" ht="13.5" x14ac:dyDescent="0.35">
      <c r="F50" s="12"/>
      <c r="S50" s="13"/>
    </row>
    <row r="51" spans="6:19" s="5" customFormat="1" ht="13.5" x14ac:dyDescent="0.35">
      <c r="F51" s="12"/>
      <c r="S51" s="13"/>
    </row>
    <row r="52" spans="6:19" s="5" customFormat="1" ht="13.5" x14ac:dyDescent="0.35">
      <c r="F52" s="12"/>
      <c r="S52" s="13"/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B33:C33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17" right="0.2" top="0.39" bottom="0.75" header="0.3" footer="0.3"/>
  <pageSetup paperSize="9" scale="44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  <pageSetUpPr fitToPage="1"/>
  </sheetPr>
  <dimension ref="A1:Q53"/>
  <sheetViews>
    <sheetView workbookViewId="0">
      <selection activeCell="Q15" sqref="Q15:Q48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1" style="5" customWidth="1"/>
    <col min="4" max="4" width="11.3984375" style="84" bestFit="1" customWidth="1"/>
    <col min="5" max="5" width="11.3984375" style="35" customWidth="1"/>
    <col min="6" max="6" width="12.73046875" style="5" customWidth="1"/>
    <col min="7" max="7" width="14" style="5" customWidth="1"/>
    <col min="8" max="8" width="11.265625" style="11" customWidth="1"/>
    <col min="9" max="9" width="13.86328125" style="82" customWidth="1"/>
    <col min="10" max="10" width="9.1328125" style="5"/>
    <col min="11" max="11" width="12.3984375" style="5" bestFit="1" customWidth="1"/>
    <col min="12" max="12" width="10" style="5" customWidth="1"/>
    <col min="13" max="16384" width="9.1328125" style="5"/>
  </cols>
  <sheetData>
    <row r="1" spans="1:17" ht="23.2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17" s="301" customFormat="1" ht="26.25" customHeight="1" thickBot="1" x14ac:dyDescent="0.5">
      <c r="A2" s="2092" t="s">
        <v>497</v>
      </c>
      <c r="B2" s="2093"/>
      <c r="C2" s="2093"/>
      <c r="D2" s="2093"/>
      <c r="E2" s="2093"/>
      <c r="F2" s="2093"/>
      <c r="G2" s="2093"/>
      <c r="H2" s="2093"/>
      <c r="I2" s="2094"/>
    </row>
    <row r="3" spans="1:17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7" s="35" customFormat="1" ht="33.75" customHeight="1" x14ac:dyDescent="0.45">
      <c r="A4" s="2035"/>
      <c r="B4" s="2047"/>
      <c r="C4" s="2048"/>
      <c r="D4" s="421" t="s">
        <v>9</v>
      </c>
      <c r="E4" s="422" t="str">
        <f>G4</f>
        <v>UpTo 
JUNE-21</v>
      </c>
      <c r="F4" s="422" t="s">
        <v>484</v>
      </c>
      <c r="G4" s="422" t="s">
        <v>485</v>
      </c>
      <c r="H4" s="2111" t="s">
        <v>12</v>
      </c>
      <c r="I4" s="2111" t="s">
        <v>13</v>
      </c>
      <c r="N4" s="380"/>
    </row>
    <row r="5" spans="1:17" ht="20.25" hidden="1" customHeight="1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17" ht="30" customHeight="1" x14ac:dyDescent="0.35">
      <c r="A6" s="372">
        <v>1</v>
      </c>
      <c r="B6" s="2049" t="s">
        <v>290</v>
      </c>
      <c r="C6" s="2049"/>
      <c r="D6" s="304">
        <f>'TARGET SHEET 2021-22'!D28</f>
        <v>810.69999999999993</v>
      </c>
      <c r="E6" s="305">
        <f>'UPTO MAY-2021'!E6+'JUNE-21'!E6</f>
        <v>215.98000000000002</v>
      </c>
      <c r="F6" s="305">
        <v>-16.940000000000001</v>
      </c>
      <c r="G6" s="305">
        <f>'APRIL-21'!G6+'MAY-21'!G6+'JUNE-21'!G6</f>
        <v>78.762040256999995</v>
      </c>
      <c r="H6" s="306">
        <f>(G6-E6)/E6*100</f>
        <v>-63.532715873229009</v>
      </c>
      <c r="I6" s="308">
        <v>564.9</v>
      </c>
      <c r="K6" s="12"/>
    </row>
    <row r="7" spans="1:17" ht="26.25" customHeight="1" x14ac:dyDescent="0.35">
      <c r="A7" s="373">
        <v>2</v>
      </c>
      <c r="B7" s="2050" t="s">
        <v>291</v>
      </c>
      <c r="C7" s="2051"/>
      <c r="D7" s="307">
        <f>'TARGET SHEET 2021-22'!E28</f>
        <v>132.88999999999999</v>
      </c>
      <c r="E7" s="305">
        <f>'UPTO MAY-2021'!E7+'JUNE-21'!E7</f>
        <v>35.870000000000005</v>
      </c>
      <c r="F7" s="307">
        <f>'APRIL-21'!F7+'MAY-21'!F7+'JUNE-21'!F7</f>
        <v>31.884978700000005</v>
      </c>
      <c r="G7" s="307">
        <f>'APRIL-21'!G7+'MAY-21'!G7+'JUNE-21'!G7</f>
        <v>54.067931399999999</v>
      </c>
      <c r="H7" s="308">
        <f>(G7-E7)/E7*100</f>
        <v>50.733011987733455</v>
      </c>
      <c r="I7" s="308">
        <f>(G7-F7)/F7*100</f>
        <v>69.571797142207245</v>
      </c>
      <c r="K7" s="12"/>
    </row>
    <row r="8" spans="1:17" ht="32.25" customHeight="1" x14ac:dyDescent="0.35">
      <c r="A8" s="374">
        <v>3</v>
      </c>
      <c r="B8" s="2021" t="s">
        <v>292</v>
      </c>
      <c r="C8" s="2023"/>
      <c r="D8" s="364">
        <f>'TARGET SHEET 2021-22'!F28</f>
        <v>63.210000000000008</v>
      </c>
      <c r="E8" s="305">
        <f>'UPTO MAY-2021'!E8+'JUNE-21'!E8</f>
        <v>16.93</v>
      </c>
      <c r="F8" s="305">
        <f>'APRIL-21'!F8+'MAY-21'!F8+'JUNE-21'!F8</f>
        <v>1.4766732</v>
      </c>
      <c r="G8" s="305">
        <f>'APRIL-21'!G8+'MAY-21'!G8+'JUNE-21'!G8</f>
        <v>13.123884200000001</v>
      </c>
      <c r="H8" s="306">
        <f>(G8-E8)/E8*100</f>
        <v>-22.481487300649729</v>
      </c>
      <c r="I8" s="308">
        <f>(G8-F8)/F8*100</f>
        <v>788.74669087242864</v>
      </c>
      <c r="K8" s="12"/>
    </row>
    <row r="9" spans="1:17" ht="34.5" customHeight="1" x14ac:dyDescent="0.35">
      <c r="A9" s="373">
        <v>4</v>
      </c>
      <c r="B9" s="2052" t="s">
        <v>293</v>
      </c>
      <c r="C9" s="2053"/>
      <c r="D9" s="307">
        <f>'TARGET SHEET 2021-22'!N28</f>
        <v>8.1447600000000016</v>
      </c>
      <c r="E9" s="305">
        <f>'UPTO MAY-2021'!E9+'JUNE-21'!E9</f>
        <v>2.0361900000000004</v>
      </c>
      <c r="F9" s="307">
        <f>'APRIL-21'!F9+'MAY-21'!F9+'JUNE-21'!F9</f>
        <v>4.6251299999999995E-2</v>
      </c>
      <c r="G9" s="307">
        <f>'APRIL-21'!G9+'MAY-21'!G9+'JUNE-21'!G9</f>
        <v>0.80876020000000004</v>
      </c>
      <c r="H9" s="308">
        <f>(G9-E9)/E9*100</f>
        <v>-60.280710542729324</v>
      </c>
      <c r="I9" s="308">
        <f>(G9-F9)/F9*100</f>
        <v>1648.6215522590719</v>
      </c>
      <c r="K9" s="12"/>
    </row>
    <row r="10" spans="1:17" ht="28.5" customHeight="1" x14ac:dyDescent="0.35">
      <c r="A10" s="374">
        <v>5</v>
      </c>
      <c r="B10" s="2054" t="s">
        <v>294</v>
      </c>
      <c r="C10" s="2055"/>
      <c r="D10" s="699">
        <f>SUM(D6:D9)</f>
        <v>1014.94476</v>
      </c>
      <c r="E10" s="699">
        <f>SUM(E6:E9)</f>
        <v>270.81619000000001</v>
      </c>
      <c r="F10" s="699">
        <f>SUM(F6:F9)</f>
        <v>16.467903200000006</v>
      </c>
      <c r="G10" s="699">
        <f>SUM(G6:G9)</f>
        <v>146.76261605699997</v>
      </c>
      <c r="H10" s="306">
        <f>(G10-E10)/E10*100</f>
        <v>-45.807296064168106</v>
      </c>
      <c r="I10" s="308">
        <f>(G10-F10)/F10*100</f>
        <v>791.20402442613295</v>
      </c>
    </row>
    <row r="11" spans="1:17" ht="14.2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7" ht="18.399999999999999" thickTop="1" thickBot="1" x14ac:dyDescent="0.4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-0.30654300000000001</v>
      </c>
      <c r="G12" s="700">
        <f>G42+G43+G44</f>
        <v>1.634585</v>
      </c>
      <c r="H12" s="420" t="s">
        <v>221</v>
      </c>
      <c r="I12" s="420">
        <v>512.79999999999995</v>
      </c>
    </row>
    <row r="13" spans="1:17" ht="16.5" customHeight="1" thickTop="1" x14ac:dyDescent="0.35">
      <c r="B13" s="2167" t="s">
        <v>229</v>
      </c>
      <c r="C13" s="2168"/>
      <c r="D13" s="2168"/>
      <c r="E13" s="2168"/>
      <c r="F13" s="2168"/>
      <c r="G13" s="2168"/>
      <c r="H13" s="2168"/>
      <c r="I13" s="2169"/>
    </row>
    <row r="14" spans="1:17" ht="19.5" customHeight="1" x14ac:dyDescent="0.35">
      <c r="A14" s="2003">
        <v>1</v>
      </c>
      <c r="B14" s="2021" t="s">
        <v>298</v>
      </c>
      <c r="C14" s="2022"/>
      <c r="D14" s="2022"/>
      <c r="E14" s="2022"/>
      <c r="F14" s="2022"/>
      <c r="G14" s="2022"/>
      <c r="H14" s="2022"/>
      <c r="I14" s="2023"/>
    </row>
    <row r="15" spans="1:17" ht="15.4" x14ac:dyDescent="0.4">
      <c r="A15" s="2004"/>
      <c r="B15" s="2006" t="s">
        <v>16</v>
      </c>
      <c r="C15" s="2007"/>
      <c r="D15" s="331" t="s">
        <v>221</v>
      </c>
      <c r="E15" s="315">
        <f>'APRIL-21'!E15+'MAY-21'!E15+'JUNE-21'!E15</f>
        <v>0.51</v>
      </c>
      <c r="F15" s="316">
        <f>'APRIL-21'!F15+'MAY-21'!F15+'JUNE-21'!F15</f>
        <v>0</v>
      </c>
      <c r="G15" s="315">
        <f>'APRIL-21'!G15+'MAY-21'!G15+'JUNE-21'!G15</f>
        <v>0.132729457</v>
      </c>
      <c r="H15" s="316">
        <f>(G15-E15)/E15*100</f>
        <v>-73.974616274509813</v>
      </c>
      <c r="I15" s="314">
        <v>0</v>
      </c>
      <c r="Q15" s="315">
        <v>0.132729457</v>
      </c>
    </row>
    <row r="16" spans="1:17" ht="15.4" x14ac:dyDescent="0.4">
      <c r="A16" s="2004"/>
      <c r="B16" s="2071" t="s">
        <v>15</v>
      </c>
      <c r="C16" s="320" t="s">
        <v>166</v>
      </c>
      <c r="D16" s="2064" t="s">
        <v>221</v>
      </c>
      <c r="E16" s="2154">
        <f>'UPTO MAY-2021'!E16:E17+'JUNE-21'!E16:E17</f>
        <v>215.47000000000003</v>
      </c>
      <c r="F16" s="316">
        <f>'APRIL-21'!F16+'MAY-21'!F16+'JUNE-21'!F16</f>
        <v>13.873785</v>
      </c>
      <c r="G16" s="315">
        <f>'APRIL-21'!G16+'MAY-21'!G16+'JUNE-21'!G16</f>
        <v>0.10553889999999999</v>
      </c>
      <c r="H16" s="2027">
        <v>-63.44734765860678</v>
      </c>
      <c r="I16" s="314">
        <f>(G16-F16)/F16*100</f>
        <v>-99.239292665988401</v>
      </c>
      <c r="J16" s="12"/>
      <c r="K16" s="12">
        <v>-16.940000000000001</v>
      </c>
      <c r="L16" s="12">
        <v>78.760000000000005</v>
      </c>
      <c r="M16" s="5">
        <f>(L16-E16)/E16*100</f>
        <v>-63.44734765860678</v>
      </c>
      <c r="Q16" s="315">
        <v>0.10553889999999999</v>
      </c>
    </row>
    <row r="17" spans="1:17" ht="15.4" x14ac:dyDescent="0.4">
      <c r="A17" s="2005"/>
      <c r="B17" s="2071"/>
      <c r="C17" s="320" t="s">
        <v>228</v>
      </c>
      <c r="D17" s="2064"/>
      <c r="E17" s="2155"/>
      <c r="F17" s="316">
        <f>'APRIL-21'!F17+'MAY-21'!F17+'JUNE-21'!F17</f>
        <v>-30.7775216</v>
      </c>
      <c r="G17" s="316">
        <f>'APRIL-21'!G17+'MAY-21'!G17+'JUNE-21'!G17</f>
        <v>78.5237719</v>
      </c>
      <c r="H17" s="2029"/>
      <c r="I17" s="314">
        <v>355.1</v>
      </c>
      <c r="Q17" s="315">
        <v>78.5237719</v>
      </c>
    </row>
    <row r="18" spans="1:17" ht="15" x14ac:dyDescent="0.35">
      <c r="A18" s="2003">
        <v>2</v>
      </c>
      <c r="B18" s="2021" t="s">
        <v>467</v>
      </c>
      <c r="C18" s="2022"/>
      <c r="D18" s="2022"/>
      <c r="E18" s="2022"/>
      <c r="F18" s="2022"/>
      <c r="G18" s="2022"/>
      <c r="H18" s="2022"/>
      <c r="I18" s="2023"/>
      <c r="Q18" s="323"/>
    </row>
    <row r="19" spans="1:17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f>'APRIL-21'!F19+'MAY-21'!F19+'JUNE-21'!F19</f>
        <v>10.8560783</v>
      </c>
      <c r="G19" s="315">
        <f>'APRIL-21'!G19+'MAY-21'!G19+'JUNE-21'!G19</f>
        <v>43.219942100000004</v>
      </c>
      <c r="H19" s="316" t="s">
        <v>221</v>
      </c>
      <c r="I19" s="316">
        <f>(G19-F19)/F19*100</f>
        <v>298.11745001876051</v>
      </c>
      <c r="Q19" s="323">
        <v>43.219942100000004</v>
      </c>
    </row>
    <row r="20" spans="1:17" ht="15.4" x14ac:dyDescent="0.4">
      <c r="A20" s="2004"/>
      <c r="B20" s="2009"/>
      <c r="C20" s="2000" t="s">
        <v>232</v>
      </c>
      <c r="D20" s="2001"/>
      <c r="E20" s="2002"/>
      <c r="F20" s="315">
        <f>'APRIL-21'!F20+'MAY-21'!F20+'JUNE-21'!F20</f>
        <v>17.405824299999999</v>
      </c>
      <c r="G20" s="315">
        <f>'APRIL-21'!G20+'MAY-21'!G20+'JUNE-21'!G20</f>
        <v>1.307318</v>
      </c>
      <c r="H20" s="316" t="s">
        <v>221</v>
      </c>
      <c r="I20" s="316">
        <f>(G20-F20)/F20*100</f>
        <v>-92.489192252733474</v>
      </c>
      <c r="Q20" s="323">
        <v>1.307318</v>
      </c>
    </row>
    <row r="21" spans="1:17" ht="15.4" x14ac:dyDescent="0.4">
      <c r="A21" s="2004"/>
      <c r="B21" s="2009"/>
      <c r="C21" s="2000" t="s">
        <v>239</v>
      </c>
      <c r="D21" s="2001"/>
      <c r="E21" s="2002"/>
      <c r="F21" s="315">
        <f>'APRIL-21'!F21+'MAY-21'!F21+'JUNE-21'!F21</f>
        <v>0.64502360000000003</v>
      </c>
      <c r="G21" s="315">
        <f>'APRIL-21'!G21+'MAY-21'!G21+'JUNE-21'!G21</f>
        <v>6.5635463000000005</v>
      </c>
      <c r="H21" s="316" t="s">
        <v>221</v>
      </c>
      <c r="I21" s="316">
        <f>(G21-F21)/F21*100</f>
        <v>917.56684561619136</v>
      </c>
      <c r="Q21" s="323">
        <v>6.5635463000000005</v>
      </c>
    </row>
    <row r="22" spans="1:17" ht="15.4" x14ac:dyDescent="0.4">
      <c r="A22" s="2004"/>
      <c r="B22" s="2009"/>
      <c r="C22" s="2000" t="s">
        <v>233</v>
      </c>
      <c r="D22" s="2001"/>
      <c r="E22" s="2002"/>
      <c r="F22" s="315">
        <f>'APRIL-21'!F22+'MAY-21'!F22+'JUNE-21'!F22</f>
        <v>2.9080525000000002</v>
      </c>
      <c r="G22" s="315">
        <f>'APRIL-21'!G22+'MAY-21'!G22+'JUNE-21'!G22</f>
        <v>2.6978676000000004</v>
      </c>
      <c r="H22" s="316" t="s">
        <v>221</v>
      </c>
      <c r="I22" s="316">
        <f>(G22-F22)/F22*100</f>
        <v>-7.2276858825622918</v>
      </c>
      <c r="Q22" s="323">
        <v>2.6978676000000004</v>
      </c>
    </row>
    <row r="23" spans="1:17" ht="15.4" x14ac:dyDescent="0.4">
      <c r="A23" s="2004"/>
      <c r="B23" s="2009"/>
      <c r="C23" s="2000" t="s">
        <v>234</v>
      </c>
      <c r="D23" s="2001"/>
      <c r="E23" s="2002"/>
      <c r="F23" s="315">
        <f>'APRIL-21'!F23+'MAY-21'!F23+'JUNE-21'!F23</f>
        <v>0.08</v>
      </c>
      <c r="G23" s="315">
        <f>'APRIL-21'!G23+'MAY-21'!G23+'JUNE-21'!G23</f>
        <v>0</v>
      </c>
      <c r="H23" s="316" t="s">
        <v>221</v>
      </c>
      <c r="I23" s="316" t="s">
        <v>221</v>
      </c>
      <c r="Q23" s="323">
        <v>0</v>
      </c>
    </row>
    <row r="24" spans="1:17" ht="15.4" x14ac:dyDescent="0.4">
      <c r="A24" s="2004"/>
      <c r="B24" s="2009"/>
      <c r="C24" s="2000" t="s">
        <v>235</v>
      </c>
      <c r="D24" s="2001"/>
      <c r="E24" s="2002"/>
      <c r="F24" s="315">
        <f>'APRIL-21'!F24+'MAY-21'!F24+'JUNE-21'!F24</f>
        <v>0</v>
      </c>
      <c r="G24" s="315">
        <f>'APRIL-21'!G24+'MAY-21'!G24+'JUNE-21'!G24</f>
        <v>0.23711930000000001</v>
      </c>
      <c r="H24" s="316"/>
      <c r="I24" s="316" t="s">
        <v>221</v>
      </c>
      <c r="Q24" s="323">
        <v>0.23711930000000001</v>
      </c>
    </row>
    <row r="25" spans="1:17" ht="15.4" x14ac:dyDescent="0.35">
      <c r="A25" s="2005"/>
      <c r="B25" s="2010"/>
      <c r="C25" s="2159" t="s">
        <v>453</v>
      </c>
      <c r="D25" s="2160"/>
      <c r="E25" s="2161"/>
      <c r="F25" s="315">
        <f>'APRIL-21'!F25+'MAY-21'!F25+'JUNE-21'!F25</f>
        <v>0</v>
      </c>
      <c r="G25" s="315">
        <f>'APRIL-21'!G25+'MAY-21'!G25+'JUNE-21'!G25</f>
        <v>4.3756100000000006E-2</v>
      </c>
      <c r="H25" s="316" t="s">
        <v>221</v>
      </c>
      <c r="I25" s="316" t="s">
        <v>221</v>
      </c>
      <c r="Q25" s="323">
        <v>4.3756100000000006E-2</v>
      </c>
    </row>
    <row r="26" spans="1:17" ht="15" x14ac:dyDescent="0.35">
      <c r="A26" s="2014">
        <v>3</v>
      </c>
      <c r="B26" s="2021" t="s">
        <v>296</v>
      </c>
      <c r="C26" s="2022"/>
      <c r="D26" s="2022"/>
      <c r="E26" s="2022"/>
      <c r="F26" s="2022"/>
      <c r="G26" s="2022"/>
      <c r="H26" s="2022"/>
      <c r="I26" s="2023"/>
      <c r="Q26" s="323"/>
    </row>
    <row r="27" spans="1:17" ht="15.4" x14ac:dyDescent="0.4">
      <c r="A27" s="2015"/>
      <c r="B27" s="2006" t="s">
        <v>2</v>
      </c>
      <c r="C27" s="2007"/>
      <c r="D27" s="603" t="s">
        <v>221</v>
      </c>
      <c r="E27" s="315" t="s">
        <v>221</v>
      </c>
      <c r="F27" s="315">
        <f>'APRIL-21'!F27+'MAY-21'!F27+'JUNE-21'!F27</f>
        <v>0</v>
      </c>
      <c r="G27" s="315">
        <f>'APRIL-21'!G27+'MAY-21'!G27+'JUNE-21'!G27</f>
        <v>0.72435640000000001</v>
      </c>
      <c r="H27" s="314" t="s">
        <v>221</v>
      </c>
      <c r="I27" s="314" t="s">
        <v>221</v>
      </c>
      <c r="Q27" s="323">
        <v>0.72435640000000001</v>
      </c>
    </row>
    <row r="28" spans="1:17" ht="15.4" x14ac:dyDescent="0.4">
      <c r="A28" s="2015"/>
      <c r="B28" s="2006" t="s">
        <v>23</v>
      </c>
      <c r="C28" s="2007"/>
      <c r="D28" s="603">
        <f>'TARGET SHEET 2021-22'!B56</f>
        <v>28.5</v>
      </c>
      <c r="E28" s="315">
        <f>'APRIL-21'!E28+'MAY-21'!E28+'JUNE-21'!E28</f>
        <v>6.5</v>
      </c>
      <c r="F28" s="315">
        <f>'APRIL-21'!F28+'MAY-21'!F28+'JUNE-21'!F28</f>
        <v>0.53943479999999999</v>
      </c>
      <c r="G28" s="315">
        <f>'APRIL-21'!G28+'MAY-21'!G28+'JUNE-21'!G28</f>
        <v>5.1668341</v>
      </c>
      <c r="H28" s="316">
        <f>(G28-E28)/E28*100</f>
        <v>-20.510244615384615</v>
      </c>
      <c r="I28" s="314">
        <f>(G28-F28)/F28*100</f>
        <v>857.82365171842832</v>
      </c>
      <c r="Q28" s="323">
        <v>5.1668341</v>
      </c>
    </row>
    <row r="29" spans="1:17" ht="15.4" x14ac:dyDescent="0.4">
      <c r="A29" s="2015"/>
      <c r="B29" s="2006" t="s">
        <v>1</v>
      </c>
      <c r="C29" s="2007"/>
      <c r="D29" s="313">
        <f>'TARGET SHEET 2021-22'!C56</f>
        <v>3.7399999999999998</v>
      </c>
      <c r="E29" s="315">
        <f>'APRIL-21'!E29+'MAY-21'!E29+'JUNE-21'!E29</f>
        <v>0.89999999999999991</v>
      </c>
      <c r="F29" s="315">
        <f>'APRIL-21'!F29+'MAY-21'!F29+'JUNE-21'!F29</f>
        <v>2.9273999999999997E-3</v>
      </c>
      <c r="G29" s="315">
        <f>'APRIL-21'!G29+'MAY-21'!G29+'JUNE-21'!G29</f>
        <v>0.24362499999999998</v>
      </c>
      <c r="H29" s="316">
        <f>(G29-E29)/E29*100</f>
        <v>-72.930555555555557</v>
      </c>
      <c r="I29" s="314">
        <f>(G29-F29)/F29*100</f>
        <v>8222.2313315570136</v>
      </c>
      <c r="Q29" s="323">
        <v>0.24362499999999998</v>
      </c>
    </row>
    <row r="30" spans="1:17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5">
        <f>'APRIL-21'!F30+'MAY-21'!F30+'JUNE-21'!F30</f>
        <v>0</v>
      </c>
      <c r="G30" s="315">
        <f>'APRIL-21'!G30+'MAY-21'!G30+'JUNE-21'!G30</f>
        <v>5.2905999999999995E-2</v>
      </c>
      <c r="H30" s="316" t="s">
        <v>221</v>
      </c>
      <c r="I30" s="314" t="s">
        <v>221</v>
      </c>
      <c r="Q30" s="323">
        <v>5.2905999999999995E-2</v>
      </c>
    </row>
    <row r="31" spans="1:17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f>'APRIL-21'!F31+'MAY-21'!F31+'JUNE-21'!F31</f>
        <v>0</v>
      </c>
      <c r="G31" s="315">
        <f>'APRIL-21'!G31+'MAY-21'!G31+'JUNE-21'!G31</f>
        <v>3.0467000000000001E-2</v>
      </c>
      <c r="H31" s="316" t="s">
        <v>221</v>
      </c>
      <c r="I31" s="314" t="s">
        <v>221</v>
      </c>
      <c r="Q31" s="323">
        <v>3.0467000000000001E-2</v>
      </c>
    </row>
    <row r="32" spans="1:17" ht="15.4" x14ac:dyDescent="0.4">
      <c r="A32" s="2016"/>
      <c r="B32" s="2017" t="s">
        <v>241</v>
      </c>
      <c r="C32" s="2030"/>
      <c r="D32" s="540" t="s">
        <v>221</v>
      </c>
      <c r="E32" s="316" t="s">
        <v>221</v>
      </c>
      <c r="F32" s="315">
        <f>'APRIL-21'!F32+'MAY-21'!F32+'JUNE-21'!F32</f>
        <v>0.93237609999999993</v>
      </c>
      <c r="G32" s="315">
        <f>'APRIL-21'!G32+'MAY-21'!G32+'JUNE-21'!G32</f>
        <v>6.8190016</v>
      </c>
      <c r="H32" s="316" t="s">
        <v>221</v>
      </c>
      <c r="I32" s="314">
        <f>(G32-F32)/F32*100</f>
        <v>631.35739965878588</v>
      </c>
      <c r="Q32" s="323">
        <v>6.8190016</v>
      </c>
    </row>
    <row r="33" spans="1:17" x14ac:dyDescent="0.4">
      <c r="A33" s="403"/>
      <c r="B33" s="2006" t="s">
        <v>260</v>
      </c>
      <c r="C33" s="2019"/>
      <c r="D33" s="540" t="s">
        <v>221</v>
      </c>
      <c r="E33" s="316" t="s">
        <v>221</v>
      </c>
      <c r="F33" s="426">
        <f>'APRIL-21'!F33+'MAY-21'!F33+'JUNE-21'!F33</f>
        <v>1.4999999999999999E-4</v>
      </c>
      <c r="G33" s="315">
        <f>'APRIL-21'!G33+'MAY-21'!G33+'JUNE-21'!G33</f>
        <v>8.6694099999999996E-2</v>
      </c>
      <c r="H33" s="413"/>
      <c r="I33" s="314">
        <f>(G33-F33)/F33*100</f>
        <v>57696.066666666673</v>
      </c>
      <c r="Q33" s="323">
        <v>8.6694099999999996E-2</v>
      </c>
    </row>
    <row r="34" spans="1:17" ht="15" x14ac:dyDescent="0.35">
      <c r="A34" s="2020">
        <v>4</v>
      </c>
      <c r="B34" s="2021" t="s">
        <v>295</v>
      </c>
      <c r="C34" s="2022"/>
      <c r="D34" s="2022"/>
      <c r="E34" s="2022"/>
      <c r="F34" s="2022"/>
      <c r="G34" s="2022"/>
      <c r="H34" s="2022"/>
      <c r="I34" s="2023"/>
      <c r="Q34" s="323"/>
    </row>
    <row r="35" spans="1:17" ht="15.4" x14ac:dyDescent="0.4">
      <c r="A35" s="2020"/>
      <c r="B35" s="2006" t="s">
        <v>27</v>
      </c>
      <c r="C35" s="2007"/>
      <c r="D35" s="603">
        <v>4.05</v>
      </c>
      <c r="E35" s="404">
        <f>'APRIL-21'!E35+'MAY-21'!E35+'JUNE-21'!E35</f>
        <v>1.0110000000000001</v>
      </c>
      <c r="F35" s="404">
        <f>'APRIL-21'!F35+'MAY-21'!F35+'JUNE-21'!F35</f>
        <v>6.0000000000000001E-3</v>
      </c>
      <c r="G35" s="315">
        <f>'APRIL-21'!G35+'MAY-21'!G35+'JUNE-21'!G35</f>
        <v>0.65894839999999999</v>
      </c>
      <c r="H35" s="314">
        <f>(G35-E35)/E35*100</f>
        <v>-34.822116716122657</v>
      </c>
      <c r="I35" s="314">
        <f>(G35-F35)/F35*100</f>
        <v>10882.473333333333</v>
      </c>
      <c r="Q35" s="323">
        <v>0.65894839999999999</v>
      </c>
    </row>
    <row r="36" spans="1:17" ht="15.4" x14ac:dyDescent="0.4">
      <c r="A36" s="2020"/>
      <c r="B36" s="2006" t="s">
        <v>28</v>
      </c>
      <c r="C36" s="2007"/>
      <c r="D36" s="313">
        <v>2.56</v>
      </c>
      <c r="E36" s="404">
        <f>'APRIL-21'!E36+'MAY-21'!E36+'JUNE-21'!E36</f>
        <v>0.64019999999999999</v>
      </c>
      <c r="F36" s="404">
        <f>'APRIL-21'!F36+'MAY-21'!F36+'JUNE-21'!F36</f>
        <v>1.575E-2</v>
      </c>
      <c r="G36" s="315">
        <f>'APRIL-21'!G36+'MAY-21'!G36+'JUNE-21'!G36</f>
        <v>2.5377899999999998E-2</v>
      </c>
      <c r="H36" s="314">
        <f>(G36-E36)/E36*100</f>
        <v>-96.035941893158395</v>
      </c>
      <c r="I36" s="314">
        <f>(G36-F36)/F36*100</f>
        <v>61.129523809523803</v>
      </c>
      <c r="Q36" s="323">
        <v>2.5377899999999998E-2</v>
      </c>
    </row>
    <row r="37" spans="1:17" ht="15.4" x14ac:dyDescent="0.4">
      <c r="A37" s="2020"/>
      <c r="B37" s="378" t="s">
        <v>224</v>
      </c>
      <c r="C37" s="379"/>
      <c r="D37" s="603" t="s">
        <v>221</v>
      </c>
      <c r="E37" s="404">
        <f>'APRIL-21'!E37+'MAY-21'!E37+'JUNE-21'!E37</f>
        <v>0.38499</v>
      </c>
      <c r="F37" s="404">
        <f>'APRIL-21'!F37+'MAY-21'!F37+'JUNE-21'!F37</f>
        <v>2.72711E-2</v>
      </c>
      <c r="G37" s="404">
        <f>'APRIL-21'!G37+'MAY-21'!G37+'JUNE-21'!G37</f>
        <v>5.1777000000000004E-3</v>
      </c>
      <c r="H37" s="314">
        <f>(G37-E37)/E37*100</f>
        <v>-98.655107924881165</v>
      </c>
      <c r="I37" s="314">
        <f>(G37-F37)/F37*100</f>
        <v>-81.013967166707616</v>
      </c>
      <c r="Q37" s="323">
        <v>5.1777000000000004E-3</v>
      </c>
    </row>
    <row r="38" spans="1:17" ht="15.4" x14ac:dyDescent="0.4">
      <c r="A38" s="2020"/>
      <c r="B38" s="2006" t="s">
        <v>64</v>
      </c>
      <c r="C38" s="2007"/>
      <c r="D38" s="540" t="s">
        <v>221</v>
      </c>
      <c r="E38" s="315" t="s">
        <v>221</v>
      </c>
      <c r="F38" s="316">
        <f>'APRIL-21'!F38+'MAY-21'!F38+'JUNE-21'!F38</f>
        <v>0</v>
      </c>
      <c r="G38" s="315">
        <f>'APRIL-21'!G38+'MAY-21'!G38+'JUNE-21'!G38</f>
        <v>0</v>
      </c>
      <c r="H38" s="314" t="s">
        <v>221</v>
      </c>
      <c r="I38" s="314" t="s">
        <v>221</v>
      </c>
      <c r="K38" s="12"/>
      <c r="Q38" s="323">
        <v>0</v>
      </c>
    </row>
    <row r="39" spans="1:17" ht="15.4" x14ac:dyDescent="0.4">
      <c r="A39" s="2020"/>
      <c r="B39" s="2006" t="s">
        <v>4</v>
      </c>
      <c r="C39" s="2007"/>
      <c r="D39" s="540" t="s">
        <v>221</v>
      </c>
      <c r="E39" s="315" t="s">
        <v>221</v>
      </c>
      <c r="F39" s="316">
        <f>'APRIL-21'!F39+'MAY-21'!F39+'JUNE-21'!F39</f>
        <v>0</v>
      </c>
      <c r="G39" s="315">
        <f>'APRIL-21'!G39+'MAY-21'!G39+'JUNE-21'!G39</f>
        <v>3.9713100000000001E-2</v>
      </c>
      <c r="H39" s="314" t="s">
        <v>221</v>
      </c>
      <c r="I39" s="314" t="s">
        <v>221</v>
      </c>
      <c r="Q39" s="323">
        <v>3.9713100000000001E-2</v>
      </c>
    </row>
    <row r="40" spans="1:17" x14ac:dyDescent="0.4">
      <c r="A40" s="373"/>
      <c r="B40" s="2006" t="s">
        <v>259</v>
      </c>
      <c r="C40" s="2019"/>
      <c r="D40" s="540" t="s">
        <v>221</v>
      </c>
      <c r="E40" s="315" t="s">
        <v>221</v>
      </c>
      <c r="F40" s="404">
        <f>'APRIL-21'!F40+'MAY-21'!F40+'JUNE-21'!F40</f>
        <v>1.8632700000000002E-2</v>
      </c>
      <c r="G40" s="315">
        <f>'APRIL-21'!G40+'MAY-21'!G40+'JUNE-21'!G40</f>
        <v>7.9543099999999992E-2</v>
      </c>
      <c r="H40" s="407" t="s">
        <v>221</v>
      </c>
      <c r="I40" s="314">
        <f>(G40-F40)/F40*100</f>
        <v>326.9005565484336</v>
      </c>
      <c r="Q40" s="323">
        <v>7.9543099999999992E-2</v>
      </c>
    </row>
    <row r="41" spans="1:17" ht="15" x14ac:dyDescent="0.35">
      <c r="A41" s="2020"/>
      <c r="B41" s="2021" t="s">
        <v>419</v>
      </c>
      <c r="C41" s="2022"/>
      <c r="D41" s="2022"/>
      <c r="E41" s="2022"/>
      <c r="F41" s="2022"/>
      <c r="G41" s="2022"/>
      <c r="H41" s="2022"/>
      <c r="I41" s="2023"/>
      <c r="Q41" s="323"/>
    </row>
    <row r="42" spans="1:17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6">
        <f>'APRIL-21'!F42+'MAY-21'!F42+'JUNE-21'!F42</f>
        <v>0</v>
      </c>
      <c r="G42" s="315">
        <f>'APRIL-21'!G42+'MAY-21'!G42+'JUNE-21'!G42</f>
        <v>0.32067000000000001</v>
      </c>
      <c r="H42" s="314" t="s">
        <v>221</v>
      </c>
      <c r="I42" s="314" t="s">
        <v>221</v>
      </c>
      <c r="Q42" s="315">
        <v>0.32067000000000001</v>
      </c>
    </row>
    <row r="43" spans="1:17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6">
        <f>'APRIL-21'!F43+'MAY-21'!F43+'JUNE-21'!F43</f>
        <v>0.18235799999999999</v>
      </c>
      <c r="G43" s="315">
        <f>'APRIL-21'!G43+'MAY-21'!G43+'JUNE-21'!G43</f>
        <v>0.10713999999999999</v>
      </c>
      <c r="H43" s="2027" t="s">
        <v>221</v>
      </c>
      <c r="I43" s="314">
        <f>(G43-F43)/F43*100</f>
        <v>-41.24743636144288</v>
      </c>
      <c r="Q43" s="315">
        <v>0.10713999999999999</v>
      </c>
    </row>
    <row r="44" spans="1:17" ht="15.4" x14ac:dyDescent="0.4">
      <c r="A44" s="2020"/>
      <c r="B44" s="2070"/>
      <c r="C44" s="320" t="s">
        <v>228</v>
      </c>
      <c r="D44" s="2163"/>
      <c r="E44" s="2155"/>
      <c r="F44" s="316">
        <f>'APRIL-21'!F44+'MAY-21'!F44+'JUNE-21'!F44</f>
        <v>-0.48890100000000003</v>
      </c>
      <c r="G44" s="315">
        <f>'APRIL-21'!G44+'MAY-21'!G44+'JUNE-21'!G44</f>
        <v>1.2067749999999999</v>
      </c>
      <c r="H44" s="2029"/>
      <c r="I44" s="314">
        <f>(G44-F44)/F44*100</f>
        <v>-346.83422615212487</v>
      </c>
      <c r="Q44" s="315">
        <v>1.2067749999999999</v>
      </c>
    </row>
    <row r="45" spans="1:17" ht="15" x14ac:dyDescent="0.35">
      <c r="A45" s="2020">
        <v>6</v>
      </c>
      <c r="B45" s="2021" t="s">
        <v>486</v>
      </c>
      <c r="C45" s="2022"/>
      <c r="D45" s="2022"/>
      <c r="E45" s="2022"/>
      <c r="F45" s="2022"/>
      <c r="G45" s="2022"/>
      <c r="H45" s="2022"/>
      <c r="I45" s="2023"/>
    </row>
    <row r="46" spans="1:17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266.13</v>
      </c>
      <c r="G46" s="313">
        <v>140.85</v>
      </c>
      <c r="H46" s="2027" t="s">
        <v>221</v>
      </c>
      <c r="I46" s="314">
        <f>(G46-F46)/F46*100</f>
        <v>-47.074737910043964</v>
      </c>
      <c r="Q46" s="5">
        <v>140.85</v>
      </c>
    </row>
    <row r="47" spans="1:17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29.75</v>
      </c>
      <c r="G47" s="313">
        <v>30.94</v>
      </c>
      <c r="H47" s="2028"/>
      <c r="I47" s="314">
        <f>(G47-F47)/F47*100</f>
        <v>4.0000000000000044</v>
      </c>
      <c r="Q47" s="5">
        <v>30.94</v>
      </c>
    </row>
    <row r="48" spans="1:17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295.88</v>
      </c>
      <c r="G48" s="313">
        <f>SUM(G46:G47)</f>
        <v>171.79</v>
      </c>
      <c r="H48" s="2029"/>
      <c r="I48" s="314">
        <f>(G48-F48)/F48*100</f>
        <v>-41.939299716101125</v>
      </c>
      <c r="Q48" s="5">
        <v>171.79</v>
      </c>
    </row>
    <row r="50" spans="6:8" s="5" customFormat="1" ht="13.5" x14ac:dyDescent="0.35">
      <c r="F50" s="5">
        <f>F42*1000000</f>
        <v>0</v>
      </c>
      <c r="G50" s="5">
        <f>G42*1000000</f>
        <v>320670</v>
      </c>
      <c r="H50" s="11">
        <f>G50/100000</f>
        <v>3.2067000000000001</v>
      </c>
    </row>
    <row r="51" spans="6:8" s="5" customFormat="1" ht="13.5" x14ac:dyDescent="0.35">
      <c r="F51" s="12">
        <f>F43+F44</f>
        <v>-0.30654300000000001</v>
      </c>
      <c r="G51" s="12">
        <f>G43+G44</f>
        <v>1.3139149999999999</v>
      </c>
      <c r="H51" s="11"/>
    </row>
    <row r="52" spans="6:8" s="5" customFormat="1" ht="13.5" x14ac:dyDescent="0.35">
      <c r="F52" s="5">
        <f>F51*1000000</f>
        <v>-306543</v>
      </c>
      <c r="G52" s="5">
        <f>G51*1000000</f>
        <v>1313915</v>
      </c>
      <c r="H52" s="11"/>
    </row>
    <row r="53" spans="6:8" s="5" customFormat="1" ht="13.5" x14ac:dyDescent="0.35">
      <c r="F53" s="5">
        <f>F52/100000</f>
        <v>-3.0654300000000001</v>
      </c>
      <c r="G53" s="5">
        <v>9.39</v>
      </c>
      <c r="H53" s="11">
        <f>(G53-F53)/F53*100</f>
        <v>-406.31917871228501</v>
      </c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B33:C33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27" bottom="0.75" header="0.3" footer="0.3"/>
  <pageSetup paperSize="9" scale="48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BA27"/>
  <sheetViews>
    <sheetView zoomScale="110" zoomScaleNormal="110" workbookViewId="0">
      <selection activeCell="G26" sqref="G26"/>
    </sheetView>
  </sheetViews>
  <sheetFormatPr defaultColWidth="9.1328125" defaultRowHeight="15.75" customHeight="1" x14ac:dyDescent="0.4"/>
  <cols>
    <col min="1" max="1" width="16" style="725" bestFit="1" customWidth="1"/>
    <col min="2" max="4" width="13" style="725" customWidth="1"/>
    <col min="5" max="5" width="11.3984375" style="725" customWidth="1"/>
    <col min="6" max="6" width="12.86328125" style="725" customWidth="1"/>
    <col min="7" max="7" width="12.1328125" style="725" customWidth="1"/>
    <col min="8" max="8" width="0" style="725" hidden="1" customWidth="1"/>
    <col min="9" max="9" width="10.59765625" style="725" hidden="1" customWidth="1"/>
    <col min="10" max="10" width="11.265625" style="725" hidden="1" customWidth="1"/>
    <col min="11" max="15" width="9.1328125" style="725"/>
    <col min="16" max="17" width="12.86328125" style="725" bestFit="1" customWidth="1"/>
    <col min="18" max="23" width="9.1328125" style="725"/>
    <col min="24" max="24" width="9.59765625" style="725" customWidth="1"/>
    <col min="25" max="25" width="8.1328125" style="725" customWidth="1"/>
    <col min="26" max="26" width="28.3984375" style="725" customWidth="1"/>
    <col min="27" max="27" width="15.265625" style="725" customWidth="1"/>
    <col min="28" max="28" width="16.265625" style="725" customWidth="1"/>
    <col min="29" max="29" width="15.73046875" style="725" customWidth="1"/>
    <col min="30" max="30" width="25" style="725" customWidth="1"/>
    <col min="31" max="31" width="22.1328125" style="725" customWidth="1"/>
    <col min="32" max="32" width="26.73046875" style="725" customWidth="1"/>
    <col min="33" max="34" width="15.1328125" style="725" customWidth="1"/>
    <col min="35" max="35" width="9.1328125" style="725"/>
    <col min="36" max="36" width="13.3984375" style="725" customWidth="1"/>
    <col min="37" max="38" width="9.1328125" style="725"/>
    <col min="39" max="39" width="13.3984375" style="725" customWidth="1"/>
    <col min="40" max="40" width="31.265625" style="725" customWidth="1"/>
    <col min="41" max="46" width="13.3984375" style="725" customWidth="1"/>
    <col min="47" max="16384" width="9.1328125" style="725"/>
  </cols>
  <sheetData>
    <row r="1" spans="1:53" ht="15.75" customHeight="1" x14ac:dyDescent="0.4">
      <c r="P1" s="725" t="s">
        <v>165</v>
      </c>
      <c r="T1" s="725" t="s">
        <v>164</v>
      </c>
    </row>
    <row r="2" spans="1:53" ht="15.75" customHeight="1" x14ac:dyDescent="0.4">
      <c r="A2" s="2179">
        <v>0</v>
      </c>
      <c r="B2" s="2179"/>
      <c r="C2" s="2179"/>
      <c r="D2" s="2179"/>
      <c r="E2" s="2178"/>
      <c r="F2" s="2178"/>
      <c r="G2" s="2178"/>
      <c r="P2" s="725" t="s">
        <v>94</v>
      </c>
      <c r="Q2" s="725" t="s">
        <v>502</v>
      </c>
      <c r="T2" s="725" t="s">
        <v>94</v>
      </c>
      <c r="U2" s="725" t="s">
        <v>502</v>
      </c>
    </row>
    <row r="3" spans="1:53" ht="15.75" customHeight="1" x14ac:dyDescent="0.4">
      <c r="A3" s="2182" t="s">
        <v>127</v>
      </c>
      <c r="B3" s="2182" t="s">
        <v>503</v>
      </c>
      <c r="C3" s="2182"/>
      <c r="D3" s="2182"/>
      <c r="E3" s="2182" t="s">
        <v>498</v>
      </c>
      <c r="F3" s="2182"/>
      <c r="G3" s="2182"/>
      <c r="H3" s="2180" t="s">
        <v>499</v>
      </c>
      <c r="I3" s="2181"/>
      <c r="J3" s="2181"/>
      <c r="K3" s="2181" t="s">
        <v>494</v>
      </c>
      <c r="L3" s="2181"/>
      <c r="M3" s="2181"/>
      <c r="O3" s="725" t="s">
        <v>500</v>
      </c>
      <c r="P3" s="725">
        <v>324369</v>
      </c>
      <c r="Q3" s="725">
        <v>252170</v>
      </c>
      <c r="T3" s="725">
        <v>82424</v>
      </c>
      <c r="U3" s="725">
        <v>29332</v>
      </c>
      <c r="AF3" s="725" t="s">
        <v>321</v>
      </c>
    </row>
    <row r="4" spans="1:53" ht="15.75" customHeight="1" x14ac:dyDescent="0.4">
      <c r="A4" s="2182"/>
      <c r="B4" s="752" t="s">
        <v>94</v>
      </c>
      <c r="C4" s="752" t="s">
        <v>97</v>
      </c>
      <c r="D4" s="752" t="s">
        <v>63</v>
      </c>
      <c r="E4" s="752" t="s">
        <v>94</v>
      </c>
      <c r="F4" s="752" t="s">
        <v>97</v>
      </c>
      <c r="G4" s="752" t="s">
        <v>63</v>
      </c>
      <c r="H4" s="757" t="s">
        <v>94</v>
      </c>
      <c r="I4" s="752" t="s">
        <v>97</v>
      </c>
      <c r="J4" s="752" t="s">
        <v>63</v>
      </c>
      <c r="K4" s="752" t="s">
        <v>94</v>
      </c>
      <c r="L4" s="752" t="s">
        <v>97</v>
      </c>
      <c r="M4" s="752" t="s">
        <v>63</v>
      </c>
      <c r="O4" s="725" t="s">
        <v>501</v>
      </c>
      <c r="P4" s="725">
        <v>78825</v>
      </c>
      <c r="Q4" s="725">
        <v>116910</v>
      </c>
      <c r="T4" s="725">
        <v>17058</v>
      </c>
      <c r="U4" s="725">
        <v>9665</v>
      </c>
      <c r="Y4" s="726" t="s">
        <v>253</v>
      </c>
      <c r="Z4" s="726" t="s">
        <v>72</v>
      </c>
      <c r="AA4" s="727" t="s">
        <v>254</v>
      </c>
      <c r="AB4" s="727" t="s">
        <v>319</v>
      </c>
      <c r="AC4" s="727" t="s">
        <v>255</v>
      </c>
      <c r="AD4" s="727" t="s">
        <v>326</v>
      </c>
      <c r="AE4" s="727" t="s">
        <v>322</v>
      </c>
      <c r="AF4" s="727" t="s">
        <v>324</v>
      </c>
      <c r="AG4" s="728"/>
      <c r="AH4" s="728"/>
      <c r="AJ4" s="729" t="s">
        <v>258</v>
      </c>
      <c r="AM4" s="730"/>
      <c r="AN4" s="2175" t="s">
        <v>328</v>
      </c>
      <c r="AO4" s="2176" t="s">
        <v>329</v>
      </c>
      <c r="AP4" s="2176"/>
      <c r="AQ4" s="2177" t="s">
        <v>330</v>
      </c>
      <c r="AR4" s="2177"/>
      <c r="AS4" s="2177" t="s">
        <v>9</v>
      </c>
      <c r="AT4" s="2177"/>
    </row>
    <row r="5" spans="1:53" ht="15.75" customHeight="1" x14ac:dyDescent="0.4">
      <c r="A5" s="736" t="s">
        <v>131</v>
      </c>
      <c r="B5" s="736">
        <v>0.16</v>
      </c>
      <c r="C5" s="736">
        <v>68.09</v>
      </c>
      <c r="D5" s="736">
        <f>SUM(B5:C5)</f>
        <v>68.25</v>
      </c>
      <c r="E5" s="731">
        <f>'actual fig'!L44/10000000</f>
        <v>3.9327188999999999E-2</v>
      </c>
      <c r="F5" s="731">
        <f>('actual fig'!M44+'actual fig'!N44)/10000000</f>
        <v>32.692743999999998</v>
      </c>
      <c r="G5" s="731">
        <f>SUM(E5:F5)</f>
        <v>32.732071188999996</v>
      </c>
      <c r="H5" s="758">
        <f t="shared" ref="H5:J11" si="0">E5-B5</f>
        <v>-0.120672811</v>
      </c>
      <c r="I5" s="731">
        <f t="shared" si="0"/>
        <v>-35.397256000000006</v>
      </c>
      <c r="J5" s="731">
        <f t="shared" si="0"/>
        <v>-35.517928811000004</v>
      </c>
      <c r="O5" s="725">
        <v>21</v>
      </c>
      <c r="P5" s="725">
        <v>4595</v>
      </c>
      <c r="Q5" s="725">
        <v>11230</v>
      </c>
      <c r="T5" s="725">
        <v>768</v>
      </c>
      <c r="U5" s="725">
        <v>727</v>
      </c>
      <c r="Y5" s="732">
        <v>1</v>
      </c>
      <c r="Z5" s="733" t="s">
        <v>278</v>
      </c>
      <c r="AA5" s="732">
        <v>933.03</v>
      </c>
      <c r="AB5" s="734">
        <f>AA5/AA9*100</f>
        <v>72.779983511534567</v>
      </c>
      <c r="AC5" s="732">
        <v>873.14</v>
      </c>
      <c r="AD5" s="734">
        <f>(AD9*72.78)/100</f>
        <v>1047.3260339999999</v>
      </c>
      <c r="AE5" s="732">
        <v>25.09</v>
      </c>
      <c r="AF5" s="732">
        <v>123.54</v>
      </c>
      <c r="AG5" s="728"/>
      <c r="AH5" s="728">
        <f>19.69*5</f>
        <v>98.45</v>
      </c>
      <c r="AJ5" s="732">
        <v>231.79</v>
      </c>
      <c r="AM5" s="730"/>
      <c r="AN5" s="2175"/>
      <c r="AO5" s="735" t="s">
        <v>77</v>
      </c>
      <c r="AP5" s="735" t="s">
        <v>249</v>
      </c>
      <c r="AQ5" s="735" t="s">
        <v>77</v>
      </c>
      <c r="AR5" s="735" t="s">
        <v>249</v>
      </c>
      <c r="AS5" s="730" t="s">
        <v>77</v>
      </c>
      <c r="AT5" s="730" t="s">
        <v>249</v>
      </c>
    </row>
    <row r="6" spans="1:53" ht="15.75" customHeight="1" x14ac:dyDescent="0.4">
      <c r="A6" s="736" t="s">
        <v>132</v>
      </c>
      <c r="B6" s="736">
        <v>0.18</v>
      </c>
      <c r="C6" s="736">
        <v>75.430000000000007</v>
      </c>
      <c r="D6" s="736">
        <f>SUM(B6:C6)</f>
        <v>75.610000000000014</v>
      </c>
      <c r="E6" s="731">
        <f>'actual fig'!L45/10000000</f>
        <v>3.6307567999999998E-2</v>
      </c>
      <c r="F6" s="731">
        <f>('actual fig'!M45+'actual fig'!N45)/10000000</f>
        <v>15.4711026</v>
      </c>
      <c r="G6" s="731">
        <f>SUM(E6:F6)</f>
        <v>15.507410168</v>
      </c>
      <c r="H6" s="758">
        <f t="shared" si="0"/>
        <v>-0.14369243199999998</v>
      </c>
      <c r="I6" s="731">
        <f t="shared" si="0"/>
        <v>-59.958897400000005</v>
      </c>
      <c r="J6" s="731">
        <f t="shared" si="0"/>
        <v>-60.102589832000014</v>
      </c>
      <c r="O6" s="725">
        <v>22</v>
      </c>
      <c r="P6" s="725">
        <v>8925</v>
      </c>
      <c r="Q6" s="725">
        <v>7085</v>
      </c>
      <c r="T6" s="725">
        <v>1986</v>
      </c>
      <c r="U6" s="725">
        <v>713</v>
      </c>
      <c r="Y6" s="732">
        <v>2</v>
      </c>
      <c r="Z6" s="737" t="s">
        <v>256</v>
      </c>
      <c r="AA6" s="732">
        <v>118.09</v>
      </c>
      <c r="AB6" s="734">
        <f>AA6/AA9*100</f>
        <v>9.2114811451690919</v>
      </c>
      <c r="AC6" s="732">
        <v>85.99</v>
      </c>
      <c r="AD6" s="734">
        <f>(AD9*AB6)/100</f>
        <v>132.55597712332678</v>
      </c>
      <c r="AE6" s="734">
        <v>6.7</v>
      </c>
      <c r="AF6" s="732">
        <v>15.5</v>
      </c>
      <c r="AG6" s="728"/>
      <c r="AH6" s="728"/>
      <c r="AJ6" s="732">
        <v>261.94</v>
      </c>
      <c r="AM6" s="738" t="s">
        <v>331</v>
      </c>
      <c r="AN6" s="739" t="s">
        <v>290</v>
      </c>
      <c r="AO6" s="739">
        <v>518.34</v>
      </c>
      <c r="AP6" s="739">
        <v>25.09</v>
      </c>
      <c r="AQ6" s="739">
        <v>354.8</v>
      </c>
      <c r="AR6" s="739">
        <v>92.52</v>
      </c>
      <c r="AS6" s="738">
        <f t="shared" ref="AS6:AT9" si="1">AO6+AQ6</f>
        <v>873.1400000000001</v>
      </c>
      <c r="AT6" s="738">
        <f t="shared" si="1"/>
        <v>117.61</v>
      </c>
      <c r="AW6" s="725">
        <v>10.25</v>
      </c>
      <c r="AX6" s="725">
        <f>AW6*5</f>
        <v>51.25</v>
      </c>
      <c r="AZ6" s="725">
        <v>117.61</v>
      </c>
      <c r="BA6" s="725">
        <f>AZ6-AP6</f>
        <v>92.52</v>
      </c>
    </row>
    <row r="7" spans="1:53" ht="15.75" customHeight="1" x14ac:dyDescent="0.4">
      <c r="A7" s="740" t="s">
        <v>204</v>
      </c>
      <c r="B7" s="740">
        <f>SUM(B5:B6)</f>
        <v>0.33999999999999997</v>
      </c>
      <c r="C7" s="740">
        <f>SUM(C5:C6)</f>
        <v>143.52000000000001</v>
      </c>
      <c r="D7" s="753">
        <f>SUM(B7:C7)</f>
        <v>143.86000000000001</v>
      </c>
      <c r="E7" s="741">
        <f>SUM(E5:E6)</f>
        <v>7.5634756999999997E-2</v>
      </c>
      <c r="F7" s="741">
        <f>SUM(F5:F6)</f>
        <v>48.163846599999999</v>
      </c>
      <c r="G7" s="742">
        <f>SUM(E7:F7)</f>
        <v>48.239481357000003</v>
      </c>
      <c r="H7" s="759">
        <f t="shared" si="0"/>
        <v>-0.26436524299999997</v>
      </c>
      <c r="I7" s="754">
        <f t="shared" si="0"/>
        <v>-95.356153400000011</v>
      </c>
      <c r="J7" s="754">
        <f t="shared" si="0"/>
        <v>-95.620518643000011</v>
      </c>
      <c r="O7" s="725">
        <v>23</v>
      </c>
      <c r="P7" s="725">
        <v>8514</v>
      </c>
      <c r="Q7" s="725">
        <v>8945</v>
      </c>
      <c r="T7" s="725">
        <v>1585</v>
      </c>
      <c r="U7" s="725">
        <v>837</v>
      </c>
      <c r="Y7" s="732">
        <v>3</v>
      </c>
      <c r="Z7" s="733" t="s">
        <v>320</v>
      </c>
      <c r="AA7" s="732">
        <v>215.49</v>
      </c>
      <c r="AB7" s="734">
        <f>AA7/AA9*100</f>
        <v>16.809061495236577</v>
      </c>
      <c r="AC7" s="732">
        <v>194.95</v>
      </c>
      <c r="AD7" s="734">
        <f>(AD9*AB7)/100</f>
        <v>241.88743763490288</v>
      </c>
      <c r="AE7" s="732">
        <v>63.37</v>
      </c>
      <c r="AF7" s="732">
        <v>114.65</v>
      </c>
      <c r="AG7" s="728"/>
      <c r="AH7" s="728"/>
      <c r="AJ7" s="732">
        <v>28.79</v>
      </c>
      <c r="AM7" s="738" t="s">
        <v>332</v>
      </c>
      <c r="AN7" s="738" t="s">
        <v>340</v>
      </c>
      <c r="AO7" s="739">
        <v>49.99</v>
      </c>
      <c r="AP7" s="739">
        <v>6.7</v>
      </c>
      <c r="AQ7" s="739">
        <v>36</v>
      </c>
      <c r="AR7" s="739">
        <v>7.15</v>
      </c>
      <c r="AS7" s="738">
        <f t="shared" si="1"/>
        <v>85.990000000000009</v>
      </c>
      <c r="AT7" s="738">
        <f t="shared" si="1"/>
        <v>13.850000000000001</v>
      </c>
    </row>
    <row r="8" spans="1:53" ht="15.75" customHeight="1" x14ac:dyDescent="0.4">
      <c r="A8" s="736" t="s">
        <v>133</v>
      </c>
      <c r="B8" s="736">
        <v>0.17</v>
      </c>
      <c r="C8" s="736">
        <v>71.95</v>
      </c>
      <c r="D8" s="736">
        <f>SUM(B8:C8)</f>
        <v>72.12</v>
      </c>
      <c r="E8" s="731">
        <f>'actual fig'!L46/10000000</f>
        <v>5.7094699999999998E-2</v>
      </c>
      <c r="F8" s="731">
        <f>('actual fig'!M46+'actual fig'!N46)/10000000</f>
        <v>30.461698500000001</v>
      </c>
      <c r="G8" s="731">
        <f>SUM(E8:F8)</f>
        <v>30.518793200000001</v>
      </c>
      <c r="H8" s="758">
        <f t="shared" si="0"/>
        <v>-0.11290530000000001</v>
      </c>
      <c r="I8" s="731">
        <f t="shared" si="0"/>
        <v>-41.488301500000006</v>
      </c>
      <c r="J8" s="731">
        <f t="shared" si="0"/>
        <v>-41.6012068</v>
      </c>
      <c r="O8" s="725">
        <v>24</v>
      </c>
      <c r="P8" s="725">
        <v>5201</v>
      </c>
      <c r="Q8" s="725">
        <v>6995</v>
      </c>
      <c r="T8" s="725">
        <v>931</v>
      </c>
      <c r="U8" s="725">
        <v>357</v>
      </c>
      <c r="Y8" s="732">
        <v>4</v>
      </c>
      <c r="Z8" s="733" t="s">
        <v>203</v>
      </c>
      <c r="AA8" s="734">
        <v>15.377099999999999</v>
      </c>
      <c r="AB8" s="734">
        <f>AA8/AA9*100</f>
        <v>1.1994738480597817</v>
      </c>
      <c r="AC8" s="732">
        <v>9.7100000000000009</v>
      </c>
      <c r="AD8" s="734">
        <f>(AD9*AB8)/100</f>
        <v>17.260788515734678</v>
      </c>
      <c r="AE8" s="732">
        <v>0.38</v>
      </c>
      <c r="AF8" s="732">
        <v>2</v>
      </c>
      <c r="AG8" s="728"/>
      <c r="AH8" s="728"/>
      <c r="AJ8" s="732">
        <v>58.48</v>
      </c>
      <c r="AM8" s="738" t="s">
        <v>333</v>
      </c>
      <c r="AN8" s="739" t="s">
        <v>334</v>
      </c>
      <c r="AO8" s="739">
        <v>113.73</v>
      </c>
      <c r="AP8" s="739">
        <v>63.37</v>
      </c>
      <c r="AQ8" s="739">
        <v>81.22</v>
      </c>
      <c r="AR8" s="739">
        <v>51.28</v>
      </c>
      <c r="AS8" s="738">
        <f t="shared" si="1"/>
        <v>194.95</v>
      </c>
      <c r="AT8" s="738">
        <f t="shared" si="1"/>
        <v>114.65</v>
      </c>
    </row>
    <row r="9" spans="1:53" ht="15.75" customHeight="1" x14ac:dyDescent="0.4">
      <c r="A9" s="740" t="s">
        <v>205</v>
      </c>
      <c r="B9" s="740">
        <f t="shared" ref="B9:G9" si="2">SUM(B7:B8)</f>
        <v>0.51</v>
      </c>
      <c r="C9" s="740">
        <f t="shared" si="2"/>
        <v>215.47000000000003</v>
      </c>
      <c r="D9" s="740">
        <f t="shared" si="2"/>
        <v>215.98000000000002</v>
      </c>
      <c r="E9" s="741">
        <f t="shared" si="2"/>
        <v>0.132729457</v>
      </c>
      <c r="F9" s="741">
        <f t="shared" si="2"/>
        <v>78.625545099999997</v>
      </c>
      <c r="G9" s="741">
        <f t="shared" si="2"/>
        <v>78.758274557000007</v>
      </c>
      <c r="H9" s="759">
        <f t="shared" si="0"/>
        <v>-0.37727054300000001</v>
      </c>
      <c r="I9" s="754">
        <f t="shared" si="0"/>
        <v>-136.84445490000002</v>
      </c>
      <c r="J9" s="754">
        <f t="shared" si="0"/>
        <v>-137.22172544300003</v>
      </c>
      <c r="K9" s="725">
        <f>(H9/B9)*100</f>
        <v>-73.974616274509813</v>
      </c>
      <c r="L9" s="725">
        <f>(I9/C9)*100</f>
        <v>-63.509748410451571</v>
      </c>
      <c r="M9" s="725">
        <f>(J9/D9)*100</f>
        <v>-63.534459414297629</v>
      </c>
      <c r="O9" s="725">
        <v>25</v>
      </c>
      <c r="P9" s="725">
        <v>1714</v>
      </c>
      <c r="Q9" s="725">
        <v>2490</v>
      </c>
      <c r="T9" s="725">
        <v>272</v>
      </c>
      <c r="U9" s="725">
        <v>180</v>
      </c>
      <c r="Y9" s="2173" t="s">
        <v>63</v>
      </c>
      <c r="Z9" s="2174"/>
      <c r="AA9" s="743">
        <f>SUM(AA5:AA8)</f>
        <v>1281.9870999999998</v>
      </c>
      <c r="AB9" s="743">
        <f>SUM(AB5:AB8)</f>
        <v>100.00000000000001</v>
      </c>
      <c r="AC9" s="744">
        <f>SUM(AC5:AC8)</f>
        <v>1163.79</v>
      </c>
      <c r="AD9" s="745">
        <v>1439.03</v>
      </c>
      <c r="AE9" s="744">
        <f>SUM(AE5:AE8)</f>
        <v>95.539999999999992</v>
      </c>
      <c r="AF9" s="744">
        <f>SUM(AF5:AF8)</f>
        <v>255.69000000000003</v>
      </c>
      <c r="AM9" s="738" t="s">
        <v>335</v>
      </c>
      <c r="AN9" s="739" t="s">
        <v>336</v>
      </c>
      <c r="AO9" s="739">
        <v>5.93</v>
      </c>
      <c r="AP9" s="739">
        <v>0.38</v>
      </c>
      <c r="AQ9" s="739">
        <v>3.78</v>
      </c>
      <c r="AR9" s="739">
        <v>2.38</v>
      </c>
      <c r="AS9" s="738">
        <f t="shared" si="1"/>
        <v>9.7099999999999991</v>
      </c>
      <c r="AT9" s="738">
        <f t="shared" si="1"/>
        <v>2.76</v>
      </c>
    </row>
    <row r="10" spans="1:53" ht="15.75" customHeight="1" x14ac:dyDescent="0.4">
      <c r="A10" s="736" t="s">
        <v>51</v>
      </c>
      <c r="B10" s="736">
        <v>0.17</v>
      </c>
      <c r="C10" s="736">
        <v>71.290000000000006</v>
      </c>
      <c r="D10" s="736">
        <f>SUM(B10:C10)</f>
        <v>71.460000000000008</v>
      </c>
      <c r="E10" s="731">
        <f>P13/10000000</f>
        <v>5.0555230000000007E-2</v>
      </c>
      <c r="F10" s="731">
        <f>P15/10000000</f>
        <v>39.433813499999999</v>
      </c>
      <c r="G10" s="731">
        <f>SUM(E10:F10)</f>
        <v>39.48436873</v>
      </c>
      <c r="H10" s="758">
        <f t="shared" si="0"/>
        <v>-0.11944477000000001</v>
      </c>
      <c r="I10" s="731">
        <f t="shared" si="0"/>
        <v>-31.856186500000007</v>
      </c>
      <c r="J10" s="750">
        <f t="shared" si="0"/>
        <v>-31.975631270000008</v>
      </c>
      <c r="O10" s="725">
        <v>26</v>
      </c>
      <c r="P10" s="725">
        <v>14376</v>
      </c>
      <c r="Q10" s="725">
        <v>8080</v>
      </c>
      <c r="T10" s="725">
        <v>2646</v>
      </c>
      <c r="U10" s="725">
        <v>1129</v>
      </c>
      <c r="Y10" s="746">
        <v>5</v>
      </c>
      <c r="Z10" s="747" t="s">
        <v>257</v>
      </c>
      <c r="AA10" s="748">
        <v>794</v>
      </c>
      <c r="AB10" s="748"/>
      <c r="AC10" s="746">
        <v>772.66</v>
      </c>
      <c r="AD10" s="746">
        <v>817.5</v>
      </c>
      <c r="AE10" s="746">
        <v>2.9</v>
      </c>
      <c r="AF10" s="746">
        <v>20.2</v>
      </c>
      <c r="AI10" s="725" t="s">
        <v>323</v>
      </c>
      <c r="AM10" s="2171" t="s">
        <v>63</v>
      </c>
      <c r="AN10" s="2171"/>
      <c r="AO10" s="739">
        <v>687.99</v>
      </c>
      <c r="AP10" s="739">
        <v>95.54</v>
      </c>
      <c r="AQ10" s="739">
        <v>475.79</v>
      </c>
      <c r="AR10" s="739">
        <v>159.91</v>
      </c>
      <c r="AS10" s="738">
        <f>SUM(AS6:AS9)</f>
        <v>1163.7900000000002</v>
      </c>
      <c r="AT10" s="738">
        <f>SUM(AT6:AT9)</f>
        <v>248.87</v>
      </c>
    </row>
    <row r="11" spans="1:53" ht="15.75" customHeight="1" x14ac:dyDescent="0.4">
      <c r="A11" s="740" t="s">
        <v>207</v>
      </c>
      <c r="B11" s="740">
        <f t="shared" ref="B11:G11" si="3">SUM(B9:B10)</f>
        <v>0.68</v>
      </c>
      <c r="C11" s="740">
        <f t="shared" si="3"/>
        <v>286.76000000000005</v>
      </c>
      <c r="D11" s="740">
        <f t="shared" si="3"/>
        <v>287.44000000000005</v>
      </c>
      <c r="E11" s="756">
        <f t="shared" si="3"/>
        <v>0.183284687</v>
      </c>
      <c r="F11" s="756">
        <f t="shared" si="3"/>
        <v>118.0593586</v>
      </c>
      <c r="G11" s="756">
        <f t="shared" si="3"/>
        <v>118.24264328700001</v>
      </c>
      <c r="H11" s="759">
        <f t="shared" si="0"/>
        <v>-0.49671531300000005</v>
      </c>
      <c r="I11" s="754">
        <f t="shared" si="0"/>
        <v>-168.70064140000005</v>
      </c>
      <c r="J11" s="754">
        <f t="shared" si="0"/>
        <v>-169.19735671300003</v>
      </c>
      <c r="K11" s="760">
        <f>(H11/B11)*100</f>
        <v>-73.046369558823528</v>
      </c>
      <c r="L11" s="760">
        <f>(I11/C11)*100</f>
        <v>-58.829907030269226</v>
      </c>
      <c r="M11" s="760">
        <f>(I11/287.44)*100</f>
        <v>-58.690732465905946</v>
      </c>
      <c r="O11" s="725">
        <v>27</v>
      </c>
      <c r="P11" s="725">
        <v>13074</v>
      </c>
      <c r="Q11" s="725">
        <v>9775</v>
      </c>
      <c r="T11" s="725">
        <v>4114</v>
      </c>
      <c r="U11" s="725">
        <v>1214</v>
      </c>
      <c r="AM11" s="2171" t="s">
        <v>337</v>
      </c>
      <c r="AN11" s="739" t="s">
        <v>338</v>
      </c>
      <c r="AO11" s="2170">
        <v>447.7</v>
      </c>
      <c r="AP11" s="2170">
        <v>2.9</v>
      </c>
      <c r="AQ11" s="2170">
        <v>325</v>
      </c>
      <c r="AR11" s="2170">
        <v>15.1</v>
      </c>
      <c r="AS11" s="2171">
        <v>772.7</v>
      </c>
      <c r="AT11" s="2172">
        <v>18</v>
      </c>
    </row>
    <row r="12" spans="1:53" ht="15.75" customHeight="1" x14ac:dyDescent="0.4">
      <c r="A12" s="736" t="s">
        <v>134</v>
      </c>
      <c r="B12" s="736">
        <v>0.14000000000000001</v>
      </c>
      <c r="C12" s="736">
        <v>62.13</v>
      </c>
      <c r="D12" s="736">
        <f>SUM(B12:C12)</f>
        <v>62.27</v>
      </c>
      <c r="E12" s="731">
        <v>5.0555230000000007E-2</v>
      </c>
      <c r="F12" s="731">
        <v>39.433813499999999</v>
      </c>
      <c r="G12" s="731">
        <v>39.48436873</v>
      </c>
      <c r="P12" s="725">
        <f>SUM(P3:P11)</f>
        <v>459593</v>
      </c>
      <c r="Q12" s="725">
        <f>SUM(Q3:Q11)</f>
        <v>423680</v>
      </c>
      <c r="T12" s="725">
        <f>SUM(T3:T11)</f>
        <v>111784</v>
      </c>
      <c r="U12" s="725">
        <f>SUM(U3:U11)</f>
        <v>44154</v>
      </c>
      <c r="AM12" s="2171"/>
      <c r="AN12" s="739" t="s">
        <v>339</v>
      </c>
      <c r="AO12" s="2170"/>
      <c r="AP12" s="2170"/>
      <c r="AQ12" s="2170"/>
      <c r="AR12" s="2170"/>
      <c r="AS12" s="2171"/>
      <c r="AT12" s="2172"/>
    </row>
    <row r="13" spans="1:53" ht="15.75" customHeight="1" x14ac:dyDescent="0.4">
      <c r="A13" s="740" t="s">
        <v>208</v>
      </c>
      <c r="B13" s="740">
        <f t="shared" ref="B13:G13" si="4">SUM(B11:B12)</f>
        <v>0.82000000000000006</v>
      </c>
      <c r="C13" s="740">
        <f t="shared" si="4"/>
        <v>348.89000000000004</v>
      </c>
      <c r="D13" s="740">
        <f t="shared" si="4"/>
        <v>349.71000000000004</v>
      </c>
      <c r="E13" s="741">
        <f t="shared" si="4"/>
        <v>0.23383991700000001</v>
      </c>
      <c r="F13" s="741">
        <f t="shared" si="4"/>
        <v>157.49317209999998</v>
      </c>
      <c r="G13" s="741">
        <f t="shared" si="4"/>
        <v>157.72701201699999</v>
      </c>
      <c r="P13" s="725">
        <f>P12*1.1</f>
        <v>505552.30000000005</v>
      </c>
      <c r="Q13" s="725">
        <f>Q12*1.1</f>
        <v>466048.00000000006</v>
      </c>
      <c r="AA13" s="749">
        <v>817.5</v>
      </c>
      <c r="AW13" s="725">
        <f>3</f>
        <v>3</v>
      </c>
      <c r="AX13" s="725">
        <v>15.1</v>
      </c>
      <c r="AY13" s="750">
        <f>AX13+AP11</f>
        <v>18</v>
      </c>
    </row>
    <row r="14" spans="1:53" ht="15.75" customHeight="1" x14ac:dyDescent="0.45">
      <c r="A14" s="736" t="s">
        <v>135</v>
      </c>
      <c r="B14" s="736">
        <v>0.16</v>
      </c>
      <c r="C14" s="736">
        <v>66.77</v>
      </c>
      <c r="D14" s="736">
        <f>SUM(B14:C14)</f>
        <v>66.929999999999993</v>
      </c>
      <c r="E14" s="731">
        <v>5.0555230000000007E-2</v>
      </c>
      <c r="F14" s="731">
        <v>39.433813499999999</v>
      </c>
      <c r="G14" s="731">
        <v>39.48436873</v>
      </c>
      <c r="P14" s="755">
        <v>393872087</v>
      </c>
      <c r="AA14" s="725">
        <f>(AA13-AA10)/AA10*100</f>
        <v>2.9596977329974812</v>
      </c>
      <c r="AD14" s="725">
        <f>37.74+44.01</f>
        <v>81.75</v>
      </c>
      <c r="AE14" s="725">
        <f>23.72+993.4</f>
        <v>1017.12</v>
      </c>
    </row>
    <row r="15" spans="1:53" ht="15.75" customHeight="1" x14ac:dyDescent="0.4">
      <c r="A15" s="740" t="s">
        <v>209</v>
      </c>
      <c r="B15" s="740">
        <f t="shared" ref="B15:G15" si="5">SUM(B13:B14)</f>
        <v>0.98000000000000009</v>
      </c>
      <c r="C15" s="740">
        <f t="shared" si="5"/>
        <v>415.66</v>
      </c>
      <c r="D15" s="740">
        <f t="shared" si="5"/>
        <v>416.64000000000004</v>
      </c>
      <c r="E15" s="740">
        <f t="shared" si="5"/>
        <v>0.28439514700000001</v>
      </c>
      <c r="F15" s="740">
        <f t="shared" si="5"/>
        <v>196.92698559999997</v>
      </c>
      <c r="G15" s="740">
        <f t="shared" si="5"/>
        <v>197.21138074699999</v>
      </c>
      <c r="P15" s="725">
        <f>P14+Q13</f>
        <v>394338135</v>
      </c>
    </row>
    <row r="16" spans="1:53" ht="15.75" customHeight="1" x14ac:dyDescent="0.4">
      <c r="A16" s="736" t="s">
        <v>136</v>
      </c>
      <c r="B16" s="736">
        <v>0.12</v>
      </c>
      <c r="C16" s="736">
        <v>52.5</v>
      </c>
      <c r="D16" s="736">
        <f>SUM(B16:C16)</f>
        <v>52.62</v>
      </c>
      <c r="E16" s="731">
        <v>5.0555230000000007E-2</v>
      </c>
      <c r="F16" s="731">
        <v>39.433813499999999</v>
      </c>
      <c r="G16" s="731">
        <v>39.48436873</v>
      </c>
    </row>
    <row r="17" spans="1:36" ht="15.75" customHeight="1" x14ac:dyDescent="0.4">
      <c r="A17" s="740" t="s">
        <v>210</v>
      </c>
      <c r="B17" s="740">
        <f t="shared" ref="B17:G17" si="6">SUM(B15:B16)</f>
        <v>1.1000000000000001</v>
      </c>
      <c r="C17" s="740">
        <f t="shared" si="6"/>
        <v>468.16</v>
      </c>
      <c r="D17" s="740">
        <f t="shared" si="6"/>
        <v>469.26000000000005</v>
      </c>
      <c r="E17" s="740">
        <f t="shared" si="6"/>
        <v>0.33495037700000002</v>
      </c>
      <c r="F17" s="740">
        <f t="shared" si="6"/>
        <v>236.36079909999995</v>
      </c>
      <c r="G17" s="740">
        <f t="shared" si="6"/>
        <v>236.69574947699999</v>
      </c>
    </row>
    <row r="18" spans="1:36" ht="15.75" customHeight="1" x14ac:dyDescent="0.4">
      <c r="A18" s="736" t="s">
        <v>137</v>
      </c>
      <c r="B18" s="736">
        <v>0.14000000000000001</v>
      </c>
      <c r="C18" s="736">
        <v>58.73</v>
      </c>
      <c r="D18" s="736">
        <f>SUM(B18:C18)</f>
        <v>58.87</v>
      </c>
      <c r="E18" s="731">
        <v>5.0555230000000007E-2</v>
      </c>
      <c r="F18" s="731">
        <v>39.433813499999999</v>
      </c>
      <c r="G18" s="731">
        <v>39.48436873</v>
      </c>
      <c r="AJ18" s="725">
        <f>2250*12</f>
        <v>27000</v>
      </c>
    </row>
    <row r="19" spans="1:36" ht="15.75" customHeight="1" x14ac:dyDescent="0.4">
      <c r="A19" s="740" t="s">
        <v>211</v>
      </c>
      <c r="B19" s="740">
        <f t="shared" ref="B19:G19" si="7">SUM(B17:B18)</f>
        <v>1.2400000000000002</v>
      </c>
      <c r="C19" s="740">
        <f t="shared" si="7"/>
        <v>526.89</v>
      </c>
      <c r="D19" s="740">
        <f t="shared" si="7"/>
        <v>528.13</v>
      </c>
      <c r="E19" s="740">
        <f t="shared" si="7"/>
        <v>0.38550560700000003</v>
      </c>
      <c r="F19" s="740">
        <f t="shared" si="7"/>
        <v>275.79461259999994</v>
      </c>
      <c r="G19" s="740">
        <f t="shared" si="7"/>
        <v>276.18011820699996</v>
      </c>
    </row>
    <row r="20" spans="1:36" ht="15.75" customHeight="1" x14ac:dyDescent="0.4">
      <c r="A20" s="736" t="s">
        <v>138</v>
      </c>
      <c r="B20" s="736">
        <v>0.14000000000000001</v>
      </c>
      <c r="C20" s="751">
        <v>58.26</v>
      </c>
      <c r="D20" s="736">
        <f>SUM(B20:C20)</f>
        <v>58.4</v>
      </c>
      <c r="E20" s="731">
        <v>5.0555230000000007E-2</v>
      </c>
      <c r="F20" s="731">
        <v>39.433813499999999</v>
      </c>
      <c r="G20" s="731">
        <v>39.48436873</v>
      </c>
    </row>
    <row r="21" spans="1:36" ht="15.75" customHeight="1" x14ac:dyDescent="0.4">
      <c r="A21" s="740" t="s">
        <v>212</v>
      </c>
      <c r="B21" s="740">
        <f t="shared" ref="B21:G21" si="8">SUM(B19:B20)</f>
        <v>1.3800000000000003</v>
      </c>
      <c r="C21" s="740">
        <f t="shared" si="8"/>
        <v>585.15</v>
      </c>
      <c r="D21" s="740">
        <f t="shared" si="8"/>
        <v>586.53</v>
      </c>
      <c r="E21" s="740">
        <f t="shared" si="8"/>
        <v>0.43606083700000003</v>
      </c>
      <c r="F21" s="740">
        <f t="shared" si="8"/>
        <v>315.22842609999992</v>
      </c>
      <c r="G21" s="740">
        <f t="shared" si="8"/>
        <v>315.66448693699999</v>
      </c>
      <c r="V21" s="725">
        <v>6.8190016</v>
      </c>
    </row>
    <row r="22" spans="1:36" ht="15.75" customHeight="1" x14ac:dyDescent="0.4">
      <c r="A22" s="736" t="s">
        <v>139</v>
      </c>
      <c r="B22" s="736">
        <v>0.23</v>
      </c>
      <c r="C22" s="751">
        <v>96.82</v>
      </c>
      <c r="D22" s="736">
        <f>SUM(B22:C22)</f>
        <v>97.05</v>
      </c>
      <c r="E22" s="731">
        <v>5.0555230000000007E-2</v>
      </c>
      <c r="F22" s="731">
        <v>39.433813499999999</v>
      </c>
      <c r="G22" s="731">
        <v>39.48436873</v>
      </c>
      <c r="V22" s="725">
        <v>1.37</v>
      </c>
    </row>
    <row r="23" spans="1:36" ht="15.75" customHeight="1" x14ac:dyDescent="0.4">
      <c r="A23" s="740" t="s">
        <v>206</v>
      </c>
      <c r="B23" s="740">
        <f t="shared" ref="B23:G23" si="9">SUM(B21:B22)</f>
        <v>1.6100000000000003</v>
      </c>
      <c r="C23" s="740">
        <f t="shared" si="9"/>
        <v>681.97</v>
      </c>
      <c r="D23" s="740">
        <f t="shared" si="9"/>
        <v>683.57999999999993</v>
      </c>
      <c r="E23" s="740">
        <f t="shared" si="9"/>
        <v>0.48661606700000004</v>
      </c>
      <c r="F23" s="740">
        <f t="shared" si="9"/>
        <v>354.66223959999991</v>
      </c>
      <c r="G23" s="740">
        <f t="shared" si="9"/>
        <v>355.14885566700002</v>
      </c>
      <c r="V23" s="725">
        <f>SUM(V21:V22)</f>
        <v>8.189001600000001</v>
      </c>
    </row>
    <row r="24" spans="1:36" ht="15.75" customHeight="1" x14ac:dyDescent="0.4">
      <c r="A24" s="736" t="s">
        <v>140</v>
      </c>
      <c r="B24" s="736">
        <v>0.23</v>
      </c>
      <c r="C24" s="751">
        <v>90.74</v>
      </c>
      <c r="D24" s="736">
        <f>SUM(B24:C24)</f>
        <v>90.97</v>
      </c>
      <c r="E24" s="731">
        <v>5.0555230000000007E-2</v>
      </c>
      <c r="F24" s="731">
        <v>39.433813499999999</v>
      </c>
      <c r="G24" s="731">
        <v>39.48436873</v>
      </c>
    </row>
    <row r="25" spans="1:36" ht="15.75" customHeight="1" x14ac:dyDescent="0.4">
      <c r="A25" s="740" t="s">
        <v>215</v>
      </c>
      <c r="B25" s="741">
        <f t="shared" ref="B25:G25" si="10">SUM(B23:B24)</f>
        <v>1.8400000000000003</v>
      </c>
      <c r="C25" s="740">
        <f t="shared" si="10"/>
        <v>772.71</v>
      </c>
      <c r="D25" s="740">
        <f t="shared" si="10"/>
        <v>774.55</v>
      </c>
      <c r="E25" s="740">
        <f t="shared" si="10"/>
        <v>0.53717129699999999</v>
      </c>
      <c r="F25" s="740">
        <f t="shared" si="10"/>
        <v>394.09605309999989</v>
      </c>
      <c r="G25" s="740">
        <f t="shared" si="10"/>
        <v>394.63322439700005</v>
      </c>
    </row>
    <row r="26" spans="1:36" ht="15.75" customHeight="1" x14ac:dyDescent="0.4">
      <c r="A26" s="736" t="s">
        <v>141</v>
      </c>
      <c r="B26" s="736">
        <v>0.08</v>
      </c>
      <c r="C26" s="751">
        <v>36.07</v>
      </c>
      <c r="D26" s="736">
        <f>SUM(B26:C26)</f>
        <v>36.15</v>
      </c>
      <c r="E26" s="731">
        <v>5.0555230000000007E-2</v>
      </c>
      <c r="F26" s="731">
        <v>39.433813499999999</v>
      </c>
      <c r="G26" s="731">
        <v>39.48436873</v>
      </c>
    </row>
    <row r="27" spans="1:36" ht="15.75" customHeight="1" x14ac:dyDescent="0.4">
      <c r="A27" s="740" t="s">
        <v>240</v>
      </c>
      <c r="B27" s="740">
        <f t="shared" ref="B27:G27" si="11">SUM(B25:B26)</f>
        <v>1.9200000000000004</v>
      </c>
      <c r="C27" s="740">
        <f t="shared" si="11"/>
        <v>808.78000000000009</v>
      </c>
      <c r="D27" s="741">
        <f t="shared" si="11"/>
        <v>810.69999999999993</v>
      </c>
      <c r="E27" s="741">
        <f t="shared" si="11"/>
        <v>0.58772652700000005</v>
      </c>
      <c r="F27" s="741">
        <f t="shared" si="11"/>
        <v>433.52986659999988</v>
      </c>
      <c r="G27" s="741">
        <f t="shared" si="11"/>
        <v>434.11759312700008</v>
      </c>
      <c r="H27" s="750"/>
      <c r="I27" s="750"/>
      <c r="J27" s="750"/>
      <c r="K27" s="761">
        <f>(E27-B27)/B27*100</f>
        <v>-69.389243385416663</v>
      </c>
      <c r="L27" s="761">
        <f>(F27-C27)/C27*100</f>
        <v>-46.397058952990946</v>
      </c>
      <c r="M27" s="761">
        <f>(G27-D27)/D27*100</f>
        <v>-46.451511887627959</v>
      </c>
    </row>
  </sheetData>
  <mergeCells count="20">
    <mergeCell ref="E2:G2"/>
    <mergeCell ref="A2:D2"/>
    <mergeCell ref="H3:J3"/>
    <mergeCell ref="K3:M3"/>
    <mergeCell ref="A3:A4"/>
    <mergeCell ref="B3:D3"/>
    <mergeCell ref="E3:G3"/>
    <mergeCell ref="Y9:Z9"/>
    <mergeCell ref="AN4:AN5"/>
    <mergeCell ref="AO4:AP4"/>
    <mergeCell ref="AQ4:AR4"/>
    <mergeCell ref="AS4:AT4"/>
    <mergeCell ref="AR11:AR12"/>
    <mergeCell ref="AS11:AS12"/>
    <mergeCell ref="AT11:AT12"/>
    <mergeCell ref="AM10:AN10"/>
    <mergeCell ref="AM11:AM12"/>
    <mergeCell ref="AO11:AO12"/>
    <mergeCell ref="AP11:AP12"/>
    <mergeCell ref="AQ11:AQ12"/>
  </mergeCells>
  <pageMargins left="0.7" right="0.7" top="0.75" bottom="0.75" header="0.3" footer="0.3"/>
  <pageSetup paperSize="9" scale="2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N59"/>
  <sheetViews>
    <sheetView zoomScale="90" zoomScaleNormal="90" workbookViewId="0">
      <selection activeCell="P9" sqref="P9"/>
    </sheetView>
  </sheetViews>
  <sheetFormatPr defaultColWidth="9.1328125" defaultRowHeight="16.899999999999999" x14ac:dyDescent="0.35"/>
  <cols>
    <col min="1" max="1" width="5.86328125" style="376" customWidth="1"/>
    <col min="2" max="2" width="36.3984375" style="300" bestFit="1" customWidth="1"/>
    <col min="3" max="3" width="6" style="5" bestFit="1" customWidth="1"/>
    <col min="4" max="4" width="11.3984375" style="84" bestFit="1" customWidth="1"/>
    <col min="5" max="5" width="11.3984375" style="35" customWidth="1"/>
    <col min="6" max="6" width="12.73046875" style="5" customWidth="1"/>
    <col min="7" max="7" width="14" style="5" customWidth="1"/>
    <col min="8" max="8" width="9.265625" style="11" bestFit="1" customWidth="1"/>
    <col min="9" max="9" width="9.73046875" style="82" bestFit="1" customWidth="1"/>
    <col min="10" max="10" width="9.1328125" style="5"/>
    <col min="11" max="11" width="12.3984375" style="5" bestFit="1" customWidth="1"/>
    <col min="12" max="12" width="10" style="5" customWidth="1"/>
    <col min="13" max="13" width="9.1328125" style="5"/>
    <col min="14" max="14" width="9.59765625" style="5" bestFit="1" customWidth="1"/>
    <col min="15" max="16384" width="9.1328125" style="5"/>
  </cols>
  <sheetData>
    <row r="1" spans="1:14" ht="17.649999999999999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14" s="301" customFormat="1" ht="26.25" customHeight="1" thickBot="1" x14ac:dyDescent="0.5">
      <c r="A2" s="2092" t="s">
        <v>528</v>
      </c>
      <c r="B2" s="2093"/>
      <c r="C2" s="2093"/>
      <c r="D2" s="2093"/>
      <c r="E2" s="2093"/>
      <c r="F2" s="2093"/>
      <c r="G2" s="2093"/>
      <c r="H2" s="2093"/>
      <c r="I2" s="2094"/>
    </row>
    <row r="3" spans="1:14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4" s="35" customFormat="1" ht="30" x14ac:dyDescent="0.45">
      <c r="A4" s="2035"/>
      <c r="B4" s="2047"/>
      <c r="C4" s="2048"/>
      <c r="D4" s="366" t="s">
        <v>9</v>
      </c>
      <c r="E4" s="383" t="str">
        <f>G4</f>
        <v>UpTo 
JULY-21</v>
      </c>
      <c r="F4" s="383" t="s">
        <v>522</v>
      </c>
      <c r="G4" s="383" t="s">
        <v>523</v>
      </c>
      <c r="H4" s="2111" t="s">
        <v>12</v>
      </c>
      <c r="I4" s="2183" t="s">
        <v>13</v>
      </c>
      <c r="N4" s="380"/>
    </row>
    <row r="5" spans="1:14" ht="20.25" hidden="1" customHeight="1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2112"/>
      <c r="I5" s="2184"/>
    </row>
    <row r="6" spans="1:14" ht="30" customHeight="1" x14ac:dyDescent="0.35">
      <c r="A6" s="372">
        <v>1</v>
      </c>
      <c r="B6" s="2049" t="s">
        <v>290</v>
      </c>
      <c r="C6" s="2049"/>
      <c r="D6" s="304">
        <f>'TARGET SHEET 2021-22'!D28</f>
        <v>810.69999999999993</v>
      </c>
      <c r="E6" s="305">
        <f>'UPTO MAY-2021'!E6+'JUNE-21'!E6+'JULY-2021'!E6</f>
        <v>287.44000000000005</v>
      </c>
      <c r="F6" s="773">
        <f>F15+F16+F17</f>
        <v>-11.576214999999999</v>
      </c>
      <c r="G6" s="773">
        <f>'UPTO MAY-2021'!G6+'JUNE-21'!G6+'JULY-2021'!G6</f>
        <v>123.985919857</v>
      </c>
      <c r="H6" s="306">
        <f>(G6-E6)/E6*100</f>
        <v>-56.865460667617597</v>
      </c>
      <c r="I6" s="774">
        <v>1207.9000000000001</v>
      </c>
      <c r="K6" s="12"/>
    </row>
    <row r="7" spans="1:14" ht="26.25" customHeight="1" x14ac:dyDescent="0.35">
      <c r="A7" s="373">
        <v>2</v>
      </c>
      <c r="B7" s="2050" t="s">
        <v>291</v>
      </c>
      <c r="C7" s="2051"/>
      <c r="D7" s="307">
        <f>'TARGET SHEET 2021-22'!E28</f>
        <v>132.88999999999999</v>
      </c>
      <c r="E7" s="307">
        <f>'UPTO MAY-2021'!E7+'JUNE-21'!E7+'JULY-2021'!E7</f>
        <v>45.500000000000007</v>
      </c>
      <c r="F7" s="315">
        <f>'UPTO MAY-2021'!F7+'JUNE-21'!F7+'JULY-2021'!F7</f>
        <v>37.589978699999996</v>
      </c>
      <c r="G7" s="315">
        <f>'UPTO MAY-2021'!G7+'JUNE-21'!G7+'JULY-2021'!G7</f>
        <v>68.51829140000001</v>
      </c>
      <c r="H7" s="308">
        <f>(G7-E7)/E7*100</f>
        <v>50.589651428571422</v>
      </c>
      <c r="I7" s="316">
        <f>(G7-F7)/F7*100</f>
        <v>82.278079875581355</v>
      </c>
      <c r="K7" s="12"/>
    </row>
    <row r="8" spans="1:14" ht="32.25" customHeight="1" x14ac:dyDescent="0.35">
      <c r="A8" s="374">
        <v>3</v>
      </c>
      <c r="B8" s="2021" t="s">
        <v>292</v>
      </c>
      <c r="C8" s="2023"/>
      <c r="D8" s="364">
        <f>'TARGET SHEET 2021-22'!F28</f>
        <v>63.210000000000008</v>
      </c>
      <c r="E8" s="305">
        <f>'UPTO MAY-2021'!E8+'JUNE-21'!E8+'JULY-2021'!E8</f>
        <v>21.05</v>
      </c>
      <c r="F8" s="773">
        <f>'UPTO MAY-2021'!F8+'JUNE-21'!F8+'JULY-2021'!F8</f>
        <v>2.3898904999999999</v>
      </c>
      <c r="G8" s="773">
        <f>'UPTO MAY-2021'!G8+'JUNE-21'!G8+'JULY-2021'!G8</f>
        <v>17.937638800000002</v>
      </c>
      <c r="H8" s="306">
        <f>(G8-E8)/E8*100</f>
        <v>-14.785563895486931</v>
      </c>
      <c r="I8" s="774">
        <f>(G8-F8)/F8*100</f>
        <v>650.56320781224088</v>
      </c>
      <c r="K8" s="12"/>
    </row>
    <row r="9" spans="1:14" ht="34.5" customHeight="1" x14ac:dyDescent="0.35">
      <c r="A9" s="373">
        <v>4</v>
      </c>
      <c r="B9" s="2052" t="s">
        <v>293</v>
      </c>
      <c r="C9" s="2053"/>
      <c r="D9" s="307">
        <f>'TARGET SHEET 2021-22'!N28</f>
        <v>8.1447600000000016</v>
      </c>
      <c r="E9" s="307">
        <f>'UPTO MAY-2021'!E9+'JUNE-21'!E9+'JULY-2021'!E9</f>
        <v>2.7149200000000002</v>
      </c>
      <c r="F9" s="315">
        <f>F35+F36+F37+F38+F39+F40</f>
        <v>0.14446439999999999</v>
      </c>
      <c r="G9" s="315">
        <f>G35+G36+G37+G38+G39+G40</f>
        <v>1.0110083000000001</v>
      </c>
      <c r="H9" s="308">
        <f>(G9-E9)/E9*100</f>
        <v>-62.761027949258178</v>
      </c>
      <c r="I9" s="316">
        <f>(G9-F9)/F9*100</f>
        <v>599.832138575317</v>
      </c>
      <c r="K9" s="12"/>
    </row>
    <row r="10" spans="1:14" ht="28.5" customHeight="1" x14ac:dyDescent="0.35">
      <c r="A10" s="374">
        <v>5</v>
      </c>
      <c r="B10" s="2054" t="s">
        <v>294</v>
      </c>
      <c r="C10" s="2055"/>
      <c r="D10" s="305">
        <f>SUM(D6:D9)</f>
        <v>1014.94476</v>
      </c>
      <c r="E10" s="305">
        <f>SUM(E6:E9)</f>
        <v>356.70492000000007</v>
      </c>
      <c r="F10" s="305">
        <f>SUM(F6:F9)</f>
        <v>28.548118599999999</v>
      </c>
      <c r="G10" s="305">
        <f>SUM(G6:G9)</f>
        <v>211.452858357</v>
      </c>
      <c r="H10" s="306">
        <f>(G10-E10)/E10*100</f>
        <v>-40.720509726358706</v>
      </c>
      <c r="I10" s="306">
        <f>(G10-F10)/F10*100</f>
        <v>640.68929487003038</v>
      </c>
    </row>
    <row r="11" spans="1:14" ht="14.2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4" ht="30.75" customHeight="1" x14ac:dyDescent="0.35">
      <c r="A12" s="373">
        <v>6.3</v>
      </c>
      <c r="B12" s="2159" t="s">
        <v>420</v>
      </c>
      <c r="C12" s="2161"/>
      <c r="D12" s="332" t="s">
        <v>221</v>
      </c>
      <c r="E12" s="307" t="s">
        <v>221</v>
      </c>
      <c r="F12" s="305">
        <f>F42+F43+F44</f>
        <v>-0.25764200000000004</v>
      </c>
      <c r="G12" s="305">
        <f>G42+G43+G44</f>
        <v>2.6228349999999998</v>
      </c>
      <c r="H12" s="308" t="s">
        <v>221</v>
      </c>
      <c r="I12" s="306">
        <v>1118</v>
      </c>
    </row>
    <row r="13" spans="1:14" ht="16.5" customHeight="1" x14ac:dyDescent="0.35">
      <c r="B13" s="2167" t="s">
        <v>229</v>
      </c>
      <c r="C13" s="2168"/>
      <c r="D13" s="2168"/>
      <c r="E13" s="2168"/>
      <c r="F13" s="2168"/>
      <c r="G13" s="2168"/>
      <c r="H13" s="2168"/>
      <c r="I13" s="2169"/>
    </row>
    <row r="14" spans="1:14" ht="19.5" customHeight="1" x14ac:dyDescent="0.35">
      <c r="A14" s="2003">
        <v>1</v>
      </c>
      <c r="B14" s="2021" t="s">
        <v>298</v>
      </c>
      <c r="C14" s="2022"/>
      <c r="D14" s="2022"/>
      <c r="E14" s="2022"/>
      <c r="F14" s="2022"/>
      <c r="G14" s="2022"/>
      <c r="H14" s="2022"/>
      <c r="I14" s="2023"/>
    </row>
    <row r="15" spans="1:14" ht="15.4" x14ac:dyDescent="0.4">
      <c r="A15" s="2004"/>
      <c r="B15" s="2006" t="s">
        <v>16</v>
      </c>
      <c r="C15" s="2007"/>
      <c r="D15" s="331" t="s">
        <v>221</v>
      </c>
      <c r="E15" s="315">
        <f>'APRIL-21'!E15+'MAY-21'!E15+'JUNE-21'!E15+'JULY-2021'!E15</f>
        <v>0.68</v>
      </c>
      <c r="F15" s="315">
        <f>'APRIL-21'!F15+'MAY-21'!F15+'JUNE-21'!F15+'JULY-2021'!F15</f>
        <v>0</v>
      </c>
      <c r="G15" s="315">
        <f>'APRIL-21'!G15+'MAY-21'!G15+'JUNE-21'!G15+'JULY-2021'!G15</f>
        <v>0.19839005700000001</v>
      </c>
      <c r="H15" s="316">
        <f>(G15-E15)/E15*100</f>
        <v>-70.824991617647058</v>
      </c>
      <c r="I15" s="316" t="s">
        <v>221</v>
      </c>
    </row>
    <row r="16" spans="1:14" ht="15.4" x14ac:dyDescent="0.4">
      <c r="A16" s="2004"/>
      <c r="B16" s="2071" t="s">
        <v>15</v>
      </c>
      <c r="C16" s="320" t="s">
        <v>166</v>
      </c>
      <c r="D16" s="2064" t="s">
        <v>221</v>
      </c>
      <c r="E16" s="2154">
        <f>'TARGET SHEET 2021-22'!C12</f>
        <v>286.76000000000005</v>
      </c>
      <c r="F16" s="315">
        <f>'APRIL-21'!F16+'MAY-21'!F16+'JUNE-21'!F16+'JULY-2021'!F16</f>
        <v>13.873785</v>
      </c>
      <c r="G16" s="315">
        <f>'APRIL-21'!G16+'MAY-21'!G16+'JUNE-21'!G16+'JULY-2021'!G16</f>
        <v>0.15637589999999998</v>
      </c>
      <c r="H16" s="2027">
        <v>-56.8</v>
      </c>
      <c r="I16" s="316">
        <f>(G16-F16)/F16*100</f>
        <v>-98.872867786260201</v>
      </c>
      <c r="J16" s="12"/>
      <c r="K16" s="12"/>
      <c r="L16" s="12">
        <f>(F16+F17)</f>
        <v>-11.576214999999999</v>
      </c>
      <c r="M16" s="12">
        <f>(G16+G17)</f>
        <v>123.7875298</v>
      </c>
      <c r="N16" s="5">
        <f>(M16-E16)/E16*100</f>
        <v>-56.832358139210491</v>
      </c>
    </row>
    <row r="17" spans="1:9" ht="15.4" x14ac:dyDescent="0.4">
      <c r="A17" s="2005"/>
      <c r="B17" s="2071"/>
      <c r="C17" s="320" t="s">
        <v>228</v>
      </c>
      <c r="D17" s="2064"/>
      <c r="E17" s="2155"/>
      <c r="F17" s="315">
        <v>-25.45</v>
      </c>
      <c r="G17" s="315">
        <f>'APRIL-21'!G17+'MAY-21'!G17+'JUNE-21'!G17+'JULY-2021'!G17</f>
        <v>123.6311539</v>
      </c>
      <c r="H17" s="2029"/>
      <c r="I17" s="316">
        <v>593.20000000000005</v>
      </c>
    </row>
    <row r="18" spans="1:9" ht="15" x14ac:dyDescent="0.35">
      <c r="A18" s="2003">
        <v>2</v>
      </c>
      <c r="B18" s="2021" t="s">
        <v>467</v>
      </c>
      <c r="C18" s="2022"/>
      <c r="D18" s="2022"/>
      <c r="E18" s="2022"/>
      <c r="F18" s="2022"/>
      <c r="G18" s="2022"/>
      <c r="H18" s="2022"/>
      <c r="I18" s="2023"/>
    </row>
    <row r="19" spans="1:9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f>'APRIL-21'!F19+'MAY-21'!F19+'JUNE-21'!F19+'JULY-2021'!F19</f>
        <v>12.1860783</v>
      </c>
      <c r="G19" s="315">
        <f>'APRIL-21'!G19+'MAY-21'!G19+'JUNE-21'!G19+'JULY-2021'!G19</f>
        <v>53.4370598</v>
      </c>
      <c r="H19" s="316" t="s">
        <v>221</v>
      </c>
      <c r="I19" s="316">
        <f t="shared" ref="I19:I48" si="0">(G19-F19)/F19*100</f>
        <v>338.50907966018895</v>
      </c>
    </row>
    <row r="20" spans="1:9" ht="15.4" x14ac:dyDescent="0.4">
      <c r="A20" s="2004"/>
      <c r="B20" s="2009"/>
      <c r="C20" s="2000" t="s">
        <v>232</v>
      </c>
      <c r="D20" s="2001"/>
      <c r="E20" s="2002"/>
      <c r="F20" s="315">
        <f>'APRIL-21'!F20+'MAY-21'!F20+'JUNE-21'!F20+'JULY-2021'!F20</f>
        <v>19.765824299999998</v>
      </c>
      <c r="G20" s="315">
        <f>'APRIL-21'!G20+'MAY-21'!G20+'JUNE-21'!G20+'JULY-2021'!G20</f>
        <v>1.307318</v>
      </c>
      <c r="H20" s="316" t="s">
        <v>221</v>
      </c>
      <c r="I20" s="316">
        <f t="shared" si="0"/>
        <v>-93.385967718027331</v>
      </c>
    </row>
    <row r="21" spans="1:9" ht="15.4" x14ac:dyDescent="0.4">
      <c r="A21" s="2004"/>
      <c r="B21" s="2009"/>
      <c r="C21" s="2000" t="s">
        <v>239</v>
      </c>
      <c r="D21" s="2001"/>
      <c r="E21" s="2002"/>
      <c r="F21" s="315">
        <f>'APRIL-21'!F21+'MAY-21'!F21+'JUNE-21'!F21+'JULY-2021'!F21</f>
        <v>1.3300236000000001</v>
      </c>
      <c r="G21" s="315">
        <f>'APRIL-21'!G21+'MAY-21'!G21+'JUNE-21'!G21+'JULY-2021'!G21</f>
        <v>9.9258373000000013</v>
      </c>
      <c r="H21" s="316" t="s">
        <v>221</v>
      </c>
      <c r="I21" s="316">
        <f t="shared" si="0"/>
        <v>646.29031394630897</v>
      </c>
    </row>
    <row r="22" spans="1:9" ht="15.4" x14ac:dyDescent="0.4">
      <c r="A22" s="2004"/>
      <c r="B22" s="2009"/>
      <c r="C22" s="2000" t="s">
        <v>233</v>
      </c>
      <c r="D22" s="2001"/>
      <c r="E22" s="2002"/>
      <c r="F22" s="315">
        <f>'APRIL-21'!F22+'MAY-21'!F22+'JUNE-21'!F22+'JULY-2021'!F22</f>
        <v>4.2280525000000004</v>
      </c>
      <c r="G22" s="315">
        <f>'APRIL-21'!G22+'MAY-21'!G22+'JUNE-21'!G22+'JULY-2021'!G22</f>
        <v>3.5416547000000005</v>
      </c>
      <c r="H22" s="316" t="s">
        <v>221</v>
      </c>
      <c r="I22" s="316">
        <f t="shared" si="0"/>
        <v>-16.234372681039318</v>
      </c>
    </row>
    <row r="23" spans="1:9" ht="15.4" x14ac:dyDescent="0.4">
      <c r="A23" s="2004"/>
      <c r="B23" s="2009"/>
      <c r="C23" s="2000" t="s">
        <v>234</v>
      </c>
      <c r="D23" s="2001"/>
      <c r="E23" s="2002"/>
      <c r="F23" s="315">
        <f>'APRIL-21'!F23+'MAY-21'!F23+'JUNE-21'!F23+'JULY-2021'!F23</f>
        <v>0.08</v>
      </c>
      <c r="G23" s="315">
        <f>'APRIL-21'!G23+'MAY-21'!G23+'JUNE-21'!G23+'JULY-2021'!G23</f>
        <v>0</v>
      </c>
      <c r="H23" s="316" t="s">
        <v>221</v>
      </c>
      <c r="I23" s="316">
        <f t="shared" si="0"/>
        <v>-100</v>
      </c>
    </row>
    <row r="24" spans="1:9" ht="15.4" x14ac:dyDescent="0.4">
      <c r="A24" s="2004"/>
      <c r="B24" s="2009"/>
      <c r="C24" s="2000" t="s">
        <v>235</v>
      </c>
      <c r="D24" s="2001"/>
      <c r="E24" s="2002"/>
      <c r="F24" s="315">
        <f>'APRIL-21'!F24+'MAY-21'!F24+'JUNE-21'!F24+'JULY-2021'!F24</f>
        <v>0</v>
      </c>
      <c r="G24" s="315">
        <f>'APRIL-21'!G24+'MAY-21'!G24+'JUNE-21'!G24+'JULY-2021'!G24</f>
        <v>0.23711930000000001</v>
      </c>
      <c r="H24" s="316"/>
      <c r="I24" s="316" t="s">
        <v>221</v>
      </c>
    </row>
    <row r="25" spans="1:9" ht="15.4" x14ac:dyDescent="0.35">
      <c r="A25" s="2005"/>
      <c r="B25" s="2010"/>
      <c r="C25" s="2159" t="s">
        <v>453</v>
      </c>
      <c r="D25" s="2160"/>
      <c r="E25" s="2161"/>
      <c r="F25" s="315">
        <f>'APRIL-21'!F25+'MAY-21'!F25+'JUNE-21'!F25+'JULY-2021'!F25</f>
        <v>0</v>
      </c>
      <c r="G25" s="315">
        <f>'APRIL-21'!G25+'MAY-21'!G25+'JUNE-21'!G25+'JULY-2021'!G25</f>
        <v>6.9302300000000011E-2</v>
      </c>
      <c r="H25" s="316" t="s">
        <v>221</v>
      </c>
      <c r="I25" s="316" t="s">
        <v>221</v>
      </c>
    </row>
    <row r="26" spans="1:9" ht="15" x14ac:dyDescent="0.35">
      <c r="A26" s="2014">
        <v>3</v>
      </c>
      <c r="B26" s="2021" t="s">
        <v>296</v>
      </c>
      <c r="C26" s="2022"/>
      <c r="D26" s="2022"/>
      <c r="E26" s="2022"/>
      <c r="F26" s="2022"/>
      <c r="G26" s="2022"/>
      <c r="H26" s="2022"/>
      <c r="I26" s="2023"/>
    </row>
    <row r="27" spans="1:9" ht="15.4" x14ac:dyDescent="0.4">
      <c r="A27" s="2015"/>
      <c r="B27" s="2006" t="s">
        <v>2</v>
      </c>
      <c r="C27" s="2007"/>
      <c r="D27" s="314">
        <v>6</v>
      </c>
      <c r="E27" s="315">
        <f>'APRIL-21'!E27+'MAY-21'!E27+'JUNE-21'!E27+'JULY-2021'!E27</f>
        <v>2</v>
      </c>
      <c r="F27" s="315">
        <f>'APRIL-21'!F27+'MAY-21'!F27+'JUNE-21'!F27+'JULY-2021'!F27</f>
        <v>0</v>
      </c>
      <c r="G27" s="315">
        <f>'APRIL-21'!G27+'MAY-21'!G27+'JUNE-21'!G27+'JULY-2021'!G27</f>
        <v>1.1096170000000001</v>
      </c>
      <c r="H27" s="316">
        <f>(G27-E27)/E27*100</f>
        <v>-44.519149999999996</v>
      </c>
      <c r="I27" s="316" t="s">
        <v>221</v>
      </c>
    </row>
    <row r="28" spans="1:9" ht="15.4" x14ac:dyDescent="0.4">
      <c r="A28" s="2015"/>
      <c r="B28" s="2006" t="s">
        <v>23</v>
      </c>
      <c r="C28" s="2007"/>
      <c r="D28" s="603">
        <f>'TARGET SHEET 2021-22'!B56</f>
        <v>28.5</v>
      </c>
      <c r="E28" s="315">
        <f>'APRIL-21'!E28+'MAY-21'!E28+'JUNE-21'!E28+'JULY-2021'!E28</f>
        <v>8</v>
      </c>
      <c r="F28" s="315">
        <f>'APRIL-21'!F28+'MAY-21'!F28+'JUNE-21'!F28+'JULY-2021'!F28</f>
        <v>1.0587759999999999</v>
      </c>
      <c r="G28" s="315">
        <f>'APRIL-21'!G28+'MAY-21'!G28+'JUNE-21'!G28+'JULY-2021'!G28</f>
        <v>7.1898678</v>
      </c>
      <c r="H28" s="316">
        <f>(G28-E28)/E28*100</f>
        <v>-10.126652499999999</v>
      </c>
      <c r="I28" s="316">
        <f t="shared" si="0"/>
        <v>579.07355285726169</v>
      </c>
    </row>
    <row r="29" spans="1:9" ht="15.4" x14ac:dyDescent="0.4">
      <c r="A29" s="2015"/>
      <c r="B29" s="2006" t="s">
        <v>1</v>
      </c>
      <c r="C29" s="2007"/>
      <c r="D29" s="313">
        <f>'TARGET SHEET 2021-22'!C56</f>
        <v>3.7399999999999998</v>
      </c>
      <c r="E29" s="315">
        <f>'APRIL-21'!E29+'MAY-21'!E29+'JUNE-21'!E29+'JULY-2021'!E29</f>
        <v>1.1499999999999999</v>
      </c>
      <c r="F29" s="315">
        <f>'APRIL-21'!F29+'MAY-21'!F29+'JUNE-21'!F29+'JULY-2021'!F29</f>
        <v>5.9544999999999997E-3</v>
      </c>
      <c r="G29" s="315">
        <f>'APRIL-21'!G29+'MAY-21'!G29+'JUNE-21'!G29+'JULY-2021'!G29</f>
        <v>0.36056250000000001</v>
      </c>
      <c r="H29" s="316">
        <f>(G29-E29)/E29*100</f>
        <v>-68.646739130434781</v>
      </c>
      <c r="I29" s="316">
        <f t="shared" si="0"/>
        <v>5955.2943152237813</v>
      </c>
    </row>
    <row r="30" spans="1:9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5">
        <f>'APRIL-21'!F30+'MAY-21'!F30+'JUNE-21'!F30+'JULY-2021'!F30</f>
        <v>0</v>
      </c>
      <c r="G30" s="315">
        <f>'APRIL-21'!G30+'MAY-21'!G30+'JUNE-21'!G30+'JULY-2021'!G30</f>
        <v>6.7908999999999997E-2</v>
      </c>
      <c r="H30" s="316" t="s">
        <v>221</v>
      </c>
      <c r="I30" s="316" t="s">
        <v>221</v>
      </c>
    </row>
    <row r="31" spans="1:9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f>'APRIL-21'!F31+'MAY-21'!F31+'JUNE-21'!F31+'JULY-2021'!F31</f>
        <v>0</v>
      </c>
      <c r="G31" s="315">
        <f>'APRIL-21'!G31+'MAY-21'!G31+'JUNE-21'!G31+'JULY-2021'!G31</f>
        <v>0.68822640000000002</v>
      </c>
      <c r="H31" s="316" t="s">
        <v>221</v>
      </c>
      <c r="I31" s="316" t="s">
        <v>221</v>
      </c>
    </row>
    <row r="32" spans="1:9" ht="15.4" x14ac:dyDescent="0.4">
      <c r="A32" s="2016"/>
      <c r="B32" s="2017" t="s">
        <v>241</v>
      </c>
      <c r="C32" s="2030"/>
      <c r="D32" s="540" t="s">
        <v>221</v>
      </c>
      <c r="E32" s="316" t="s">
        <v>221</v>
      </c>
      <c r="F32" s="315">
        <f>'APRIL-21'!F32+'MAY-21'!F32+'JUNE-21'!F32+'JULY-2021'!F32</f>
        <v>1.3228761</v>
      </c>
      <c r="G32" s="315">
        <f>'APRIL-21'!G32+'MAY-21'!G32+'JUNE-21'!G32+'JULY-2021'!G32</f>
        <v>8.3930916999999994</v>
      </c>
      <c r="H32" s="316" t="s">
        <v>221</v>
      </c>
      <c r="I32" s="316">
        <f t="shared" si="0"/>
        <v>534.4578830927552</v>
      </c>
    </row>
    <row r="33" spans="1:14" x14ac:dyDescent="0.4">
      <c r="A33" s="403"/>
      <c r="B33" s="2006" t="s">
        <v>260</v>
      </c>
      <c r="C33" s="2019"/>
      <c r="D33" s="540" t="s">
        <v>221</v>
      </c>
      <c r="E33" s="316" t="s">
        <v>221</v>
      </c>
      <c r="F33" s="315">
        <f>'APRIL-21'!F33+'MAY-21'!F33+'JUNE-21'!F33+'JULY-2021'!F33</f>
        <v>4.9899999999999999E-4</v>
      </c>
      <c r="G33" s="315">
        <f>'APRIL-21'!G33+'MAY-21'!G33+'JUNE-21'!G33+'JULY-2021'!G33</f>
        <v>0.12836439999999999</v>
      </c>
      <c r="H33" s="413"/>
      <c r="I33" s="316">
        <f t="shared" si="0"/>
        <v>25624.328657314629</v>
      </c>
    </row>
    <row r="34" spans="1:14" ht="15" x14ac:dyDescent="0.35">
      <c r="A34" s="2020">
        <v>4</v>
      </c>
      <c r="B34" s="2021" t="s">
        <v>295</v>
      </c>
      <c r="C34" s="2022"/>
      <c r="D34" s="2022"/>
      <c r="E34" s="2022"/>
      <c r="F34" s="2022"/>
      <c r="G34" s="2022"/>
      <c r="H34" s="2022"/>
      <c r="I34" s="2023"/>
    </row>
    <row r="35" spans="1:14" ht="15.4" x14ac:dyDescent="0.4">
      <c r="A35" s="2020"/>
      <c r="B35" s="2006" t="s">
        <v>27</v>
      </c>
      <c r="C35" s="2007"/>
      <c r="D35" s="603">
        <v>4.05</v>
      </c>
      <c r="E35" s="315">
        <f>'APRIL-21'!E35+'MAY-21'!E35+'JUNE-21'!E35+'JULY-2021'!E35</f>
        <v>1.3480000000000001</v>
      </c>
      <c r="F35" s="315">
        <f>'APRIL-21'!F35+'MAY-21'!F35+'JUNE-21'!F35+'JULY-2021'!F35</f>
        <v>7.85E-2</v>
      </c>
      <c r="G35" s="315">
        <f>'APRIL-21'!G35+'MAY-21'!G35+'JUNE-21'!G35+'JULY-2021'!G35</f>
        <v>0.76617880000000005</v>
      </c>
      <c r="H35" s="314">
        <f>(G35-E35)/E35*100</f>
        <v>-43.161810089020769</v>
      </c>
      <c r="I35" s="316">
        <f t="shared" si="0"/>
        <v>876.02394904458606</v>
      </c>
    </row>
    <row r="36" spans="1:14" ht="15.4" x14ac:dyDescent="0.4">
      <c r="A36" s="2020"/>
      <c r="B36" s="2006" t="s">
        <v>28</v>
      </c>
      <c r="C36" s="2007"/>
      <c r="D36" s="313">
        <v>2.56</v>
      </c>
      <c r="E36" s="315">
        <f>'APRIL-21'!E36+'MAY-21'!E36+'JUNE-21'!E36+'JULY-2021'!E36</f>
        <v>0.85360000000000003</v>
      </c>
      <c r="F36" s="404">
        <f>'APRIL-21'!F36+'MAY-21'!F36+'JUNE-21'!F36+'JULY-2021'!F36</f>
        <v>1.575E-2</v>
      </c>
      <c r="G36" s="404">
        <f>'APRIL-21'!G36+'MAY-21'!G36+'JUNE-21'!G36+'JULY-2021'!G36</f>
        <v>8.7867000000000001E-2</v>
      </c>
      <c r="H36" s="314">
        <f>(G36-E36)/E36*100</f>
        <v>-89.706302717900655</v>
      </c>
      <c r="I36" s="316">
        <f t="shared" si="0"/>
        <v>457.8857142857143</v>
      </c>
    </row>
    <row r="37" spans="1:14" ht="15.4" x14ac:dyDescent="0.4">
      <c r="A37" s="2020"/>
      <c r="B37" s="378" t="s">
        <v>224</v>
      </c>
      <c r="C37" s="379"/>
      <c r="D37" s="603" t="s">
        <v>221</v>
      </c>
      <c r="E37" s="315">
        <f>'APRIL-21'!E37+'MAY-21'!E37+'JUNE-21'!E37+'JULY-2021'!E37</f>
        <v>0.51332</v>
      </c>
      <c r="F37" s="315">
        <f>'APRIL-21'!F37+'MAY-21'!F37+'JUNE-21'!F37+'JULY-2021'!F37</f>
        <v>2.72711E-2</v>
      </c>
      <c r="G37" s="315">
        <f>'APRIL-21'!G37+'MAY-21'!G37+'JUNE-21'!G37+'JULY-2021'!G37</f>
        <v>5.6829000000000003E-3</v>
      </c>
      <c r="H37" s="314">
        <f>(G37-E37)/E37*100</f>
        <v>-98.892912802929928</v>
      </c>
      <c r="I37" s="316">
        <f t="shared" si="0"/>
        <v>-79.161456633579135</v>
      </c>
    </row>
    <row r="38" spans="1:14" ht="15.4" x14ac:dyDescent="0.4">
      <c r="A38" s="2020"/>
      <c r="B38" s="2006" t="s">
        <v>64</v>
      </c>
      <c r="C38" s="2007"/>
      <c r="D38" s="540" t="s">
        <v>221</v>
      </c>
      <c r="E38" s="315" t="s">
        <v>221</v>
      </c>
      <c r="F38" s="315">
        <f>'APRIL-21'!F38+'MAY-21'!F38+'JUNE-21'!F38+'JULY-2021'!F38</f>
        <v>0</v>
      </c>
      <c r="G38" s="315">
        <f>'APRIL-21'!G38+'MAY-21'!G38+'JUNE-21'!G38+'JULY-2021'!G38</f>
        <v>0</v>
      </c>
      <c r="H38" s="314" t="s">
        <v>221</v>
      </c>
      <c r="I38" s="316" t="s">
        <v>221</v>
      </c>
      <c r="K38" s="12"/>
    </row>
    <row r="39" spans="1:14" ht="15.4" x14ac:dyDescent="0.4">
      <c r="A39" s="2020"/>
      <c r="B39" s="2006" t="s">
        <v>4</v>
      </c>
      <c r="C39" s="2007"/>
      <c r="D39" s="540" t="s">
        <v>221</v>
      </c>
      <c r="E39" s="315" t="s">
        <v>221</v>
      </c>
      <c r="F39" s="315">
        <f>'APRIL-21'!F39+'MAY-21'!F39+'JUNE-21'!F39+'JULY-2021'!F39</f>
        <v>0</v>
      </c>
      <c r="G39" s="315">
        <f>'APRIL-21'!G39+'MAY-21'!G39+'JUNE-21'!G39+'JULY-2021'!G39</f>
        <v>3.9713100000000001E-2</v>
      </c>
      <c r="H39" s="314" t="s">
        <v>221</v>
      </c>
      <c r="I39" s="316" t="s">
        <v>221</v>
      </c>
    </row>
    <row r="40" spans="1:14" x14ac:dyDescent="0.4">
      <c r="A40" s="373"/>
      <c r="B40" s="2006" t="s">
        <v>259</v>
      </c>
      <c r="C40" s="2019"/>
      <c r="D40" s="540" t="s">
        <v>221</v>
      </c>
      <c r="E40" s="315" t="s">
        <v>221</v>
      </c>
      <c r="F40" s="315">
        <f>'APRIL-21'!F40+'MAY-21'!F40+'JUNE-21'!F40+'JULY-2021'!F40</f>
        <v>2.2943300000000003E-2</v>
      </c>
      <c r="G40" s="315">
        <f>'APRIL-21'!G40+'MAY-21'!G40+'JUNE-21'!G40+'JULY-2021'!G40</f>
        <v>0.11156649999999999</v>
      </c>
      <c r="H40" s="407" t="s">
        <v>221</v>
      </c>
      <c r="I40" s="316">
        <f t="shared" si="0"/>
        <v>386.27050162792614</v>
      </c>
    </row>
    <row r="41" spans="1:14" ht="15" x14ac:dyDescent="0.35">
      <c r="A41" s="2020"/>
      <c r="B41" s="2021" t="s">
        <v>346</v>
      </c>
      <c r="C41" s="2022"/>
      <c r="D41" s="2022"/>
      <c r="E41" s="2022"/>
      <c r="F41" s="2022"/>
      <c r="G41" s="2022"/>
      <c r="H41" s="2022"/>
      <c r="I41" s="2023"/>
    </row>
    <row r="42" spans="1:14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f>'APRIL-21'!F42+'MAY-21'!F42+'JUNE-21'!F42+'JULY-2021'!F42</f>
        <v>0</v>
      </c>
      <c r="G42" s="315">
        <f>'APRIL-21'!G42+'MAY-21'!G42+'JUNE-21'!G42+'JULY-2021'!G42</f>
        <v>0.48138700000000001</v>
      </c>
      <c r="H42" s="314" t="s">
        <v>221</v>
      </c>
      <c r="I42" s="316" t="s">
        <v>221</v>
      </c>
    </row>
    <row r="43" spans="1:14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5">
        <f>'APRIL-21'!F43+'MAY-21'!F43+'JUNE-21'!F43+'JULY-2021'!F43</f>
        <v>0.18235799999999999</v>
      </c>
      <c r="G43" s="315">
        <f>'APRIL-21'!G43+'MAY-21'!G43+'JUNE-21'!G43+'JULY-2021'!G43</f>
        <v>0.16163299999999997</v>
      </c>
      <c r="H43" s="2027" t="s">
        <v>221</v>
      </c>
      <c r="I43" s="316">
        <f t="shared" si="0"/>
        <v>-11.365007293346068</v>
      </c>
      <c r="L43" s="12">
        <v>-2.58</v>
      </c>
      <c r="M43" s="12">
        <v>26.22</v>
      </c>
      <c r="N43" s="5">
        <f>(M43-L43)/L43*100</f>
        <v>-1116.2790697674418</v>
      </c>
    </row>
    <row r="44" spans="1:14" ht="15.4" x14ac:dyDescent="0.4">
      <c r="A44" s="2020"/>
      <c r="B44" s="2070"/>
      <c r="C44" s="320" t="s">
        <v>228</v>
      </c>
      <c r="D44" s="2163"/>
      <c r="E44" s="2155"/>
      <c r="F44" s="315">
        <v>-0.44</v>
      </c>
      <c r="G44" s="315">
        <f>'APRIL-21'!G44+'MAY-21'!G44+'JUNE-21'!G44+'JULY-2021'!G44</f>
        <v>1.9798149999999999</v>
      </c>
      <c r="H44" s="2029"/>
      <c r="I44" s="316">
        <v>550</v>
      </c>
    </row>
    <row r="45" spans="1:14" ht="15" x14ac:dyDescent="0.35">
      <c r="A45" s="2020">
        <v>6</v>
      </c>
      <c r="B45" s="2021" t="s">
        <v>486</v>
      </c>
      <c r="C45" s="2022"/>
      <c r="D45" s="2022"/>
      <c r="E45" s="2022"/>
      <c r="F45" s="2022"/>
      <c r="G45" s="2022"/>
      <c r="H45" s="2022"/>
      <c r="I45" s="2023"/>
    </row>
    <row r="46" spans="1:14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283.56</v>
      </c>
      <c r="G46" s="313">
        <v>220.63</v>
      </c>
      <c r="H46" s="2027" t="s">
        <v>221</v>
      </c>
      <c r="I46" s="316">
        <f t="shared" si="0"/>
        <v>-22.192833968119626</v>
      </c>
    </row>
    <row r="47" spans="1:14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29.68</v>
      </c>
      <c r="G47" s="313">
        <v>30.9</v>
      </c>
      <c r="H47" s="2028"/>
      <c r="I47" s="316">
        <f t="shared" si="0"/>
        <v>4.1105121293800497</v>
      </c>
    </row>
    <row r="48" spans="1:14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313.24</v>
      </c>
      <c r="G48" s="313">
        <f>SUM(G46:G47)</f>
        <v>251.53</v>
      </c>
      <c r="H48" s="2029"/>
      <c r="I48" s="316">
        <f t="shared" si="0"/>
        <v>-19.700549099731838</v>
      </c>
    </row>
    <row r="50" spans="6:9" s="5" customFormat="1" ht="15.4" x14ac:dyDescent="0.4">
      <c r="F50" s="12"/>
      <c r="G50" s="12"/>
      <c r="H50" s="314"/>
      <c r="I50" s="316"/>
    </row>
    <row r="51" spans="6:9" s="5" customFormat="1" ht="13.5" x14ac:dyDescent="0.35">
      <c r="F51" s="12"/>
      <c r="G51" s="12"/>
      <c r="H51" s="11"/>
    </row>
    <row r="52" spans="6:9" s="5" customFormat="1" ht="13.5" x14ac:dyDescent="0.35">
      <c r="F52" s="5">
        <f t="shared" ref="F52:G54" si="1">F42*1000000</f>
        <v>0</v>
      </c>
      <c r="G52" s="5">
        <f t="shared" si="1"/>
        <v>481387</v>
      </c>
      <c r="H52" s="11"/>
    </row>
    <row r="53" spans="6:9" s="5" customFormat="1" ht="13.5" x14ac:dyDescent="0.35">
      <c r="F53" s="5">
        <f t="shared" si="1"/>
        <v>182358</v>
      </c>
      <c r="G53" s="5">
        <f t="shared" si="1"/>
        <v>161632.99999999997</v>
      </c>
      <c r="H53" s="11"/>
    </row>
    <row r="54" spans="6:9" s="5" customFormat="1" ht="13.5" x14ac:dyDescent="0.35">
      <c r="F54" s="5">
        <f t="shared" si="1"/>
        <v>-440000</v>
      </c>
      <c r="G54" s="5">
        <f t="shared" si="1"/>
        <v>1979814.9999999998</v>
      </c>
      <c r="H54" s="11"/>
      <c r="I54" s="82"/>
    </row>
    <row r="57" spans="6:9" s="5" customFormat="1" ht="13.5" x14ac:dyDescent="0.35">
      <c r="F57" s="12">
        <f t="shared" ref="F57:G59" si="2">F52/100000</f>
        <v>0</v>
      </c>
      <c r="G57" s="12">
        <f t="shared" si="2"/>
        <v>4.8138699999999996</v>
      </c>
      <c r="H57" s="11"/>
      <c r="I57" s="82"/>
    </row>
    <row r="58" spans="6:9" s="5" customFormat="1" ht="13.5" x14ac:dyDescent="0.35">
      <c r="F58" s="12">
        <f t="shared" si="2"/>
        <v>1.82358</v>
      </c>
      <c r="G58" s="12">
        <f t="shared" si="2"/>
        <v>1.6163299999999996</v>
      </c>
      <c r="H58" s="11"/>
      <c r="I58" s="82"/>
    </row>
    <row r="59" spans="6:9" s="5" customFormat="1" ht="13.5" x14ac:dyDescent="0.35">
      <c r="F59" s="12">
        <f t="shared" si="2"/>
        <v>-4.4000000000000004</v>
      </c>
      <c r="G59" s="12">
        <f t="shared" si="2"/>
        <v>19.798149999999996</v>
      </c>
      <c r="H59" s="11"/>
      <c r="I59" s="82"/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B33:C33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31" bottom="0.31" header="0.3" footer="0.3"/>
  <pageSetup paperSize="9" scale="5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C1:Y56"/>
  <sheetViews>
    <sheetView workbookViewId="0">
      <selection activeCell="G59" sqref="G59:G60"/>
    </sheetView>
  </sheetViews>
  <sheetFormatPr defaultRowHeight="14.25" x14ac:dyDescent="0.45"/>
  <cols>
    <col min="3" max="3" width="14.86328125" style="786" bestFit="1" customWidth="1"/>
    <col min="4" max="4" width="10.86328125" customWidth="1"/>
    <col min="5" max="5" width="14" customWidth="1"/>
    <col min="6" max="6" width="12.59765625" customWidth="1"/>
    <col min="7" max="7" width="13.3984375" customWidth="1"/>
    <col min="8" max="8" width="14.73046875" customWidth="1"/>
    <col min="9" max="9" width="12.3984375" style="807" customWidth="1"/>
    <col min="11" max="11" width="11.59765625" bestFit="1" customWidth="1"/>
    <col min="13" max="17" width="12.265625" customWidth="1"/>
    <col min="20" max="25" width="11.73046875" customWidth="1"/>
  </cols>
  <sheetData>
    <row r="1" spans="3:25" ht="14.65" thickBot="1" x14ac:dyDescent="0.5"/>
    <row r="2" spans="3:25" ht="14.65" thickBot="1" x14ac:dyDescent="0.5">
      <c r="D2" s="2197" t="s">
        <v>372</v>
      </c>
      <c r="E2" s="2197"/>
      <c r="F2" s="786"/>
      <c r="M2" s="797"/>
      <c r="N2" s="2198" t="s">
        <v>237</v>
      </c>
      <c r="O2" s="2189"/>
      <c r="P2" s="2189"/>
      <c r="Q2" s="2189"/>
      <c r="R2" s="2189"/>
      <c r="S2" s="2189"/>
      <c r="T2" s="2189" t="s">
        <v>372</v>
      </c>
      <c r="U2" s="2189"/>
      <c r="V2" s="2189"/>
      <c r="W2" s="2189"/>
      <c r="X2" s="2189"/>
      <c r="Y2" s="2190"/>
    </row>
    <row r="3" spans="3:25" x14ac:dyDescent="0.45">
      <c r="D3" t="s">
        <v>152</v>
      </c>
      <c r="E3" t="s">
        <v>154</v>
      </c>
      <c r="G3" t="s">
        <v>540</v>
      </c>
      <c r="I3" s="807" t="s">
        <v>94</v>
      </c>
      <c r="J3" t="s">
        <v>544</v>
      </c>
      <c r="K3" t="s">
        <v>540</v>
      </c>
      <c r="M3" s="2194" t="s">
        <v>379</v>
      </c>
      <c r="N3" s="2192" t="s">
        <v>94</v>
      </c>
      <c r="O3" s="2192"/>
      <c r="P3" s="2192" t="s">
        <v>544</v>
      </c>
      <c r="Q3" s="2193"/>
      <c r="R3" s="2194" t="s">
        <v>63</v>
      </c>
      <c r="S3" s="2195"/>
      <c r="T3" s="2191" t="s">
        <v>94</v>
      </c>
      <c r="U3" s="2192"/>
      <c r="V3" s="2192" t="s">
        <v>544</v>
      </c>
      <c r="W3" s="2193"/>
      <c r="X3" s="2194" t="s">
        <v>63</v>
      </c>
      <c r="Y3" s="2195"/>
    </row>
    <row r="4" spans="3:25" ht="14.65" thickBot="1" x14ac:dyDescent="0.5">
      <c r="C4" s="806">
        <v>44409</v>
      </c>
      <c r="D4">
        <v>140956</v>
      </c>
      <c r="E4">
        <v>55975</v>
      </c>
      <c r="I4" s="807">
        <v>35344</v>
      </c>
      <c r="J4">
        <v>10519</v>
      </c>
      <c r="M4" s="2196"/>
      <c r="N4" s="791" t="s">
        <v>545</v>
      </c>
      <c r="O4" s="791" t="s">
        <v>546</v>
      </c>
      <c r="P4" s="791" t="s">
        <v>545</v>
      </c>
      <c r="Q4" s="798" t="s">
        <v>546</v>
      </c>
      <c r="R4" s="790" t="s">
        <v>545</v>
      </c>
      <c r="S4" s="794" t="s">
        <v>546</v>
      </c>
      <c r="T4" s="800" t="s">
        <v>545</v>
      </c>
      <c r="U4" s="791" t="s">
        <v>546</v>
      </c>
      <c r="V4" s="791" t="s">
        <v>545</v>
      </c>
      <c r="W4" s="798" t="s">
        <v>546</v>
      </c>
      <c r="X4" s="790" t="s">
        <v>545</v>
      </c>
      <c r="Y4" s="794" t="s">
        <v>546</v>
      </c>
    </row>
    <row r="5" spans="3:25" x14ac:dyDescent="0.45">
      <c r="C5" s="806">
        <v>44410</v>
      </c>
      <c r="D5">
        <v>92083</v>
      </c>
      <c r="E5">
        <v>37730</v>
      </c>
      <c r="I5" s="807">
        <v>24817</v>
      </c>
      <c r="J5">
        <v>5726</v>
      </c>
      <c r="M5" s="795">
        <v>44409</v>
      </c>
      <c r="N5" s="696"/>
      <c r="O5" s="696"/>
      <c r="P5" s="696"/>
      <c r="Q5" s="799"/>
      <c r="R5" s="805">
        <f>N5+P5</f>
        <v>0</v>
      </c>
      <c r="S5" s="796">
        <f>O5+Q5</f>
        <v>0</v>
      </c>
      <c r="T5" s="801"/>
      <c r="U5" s="696"/>
      <c r="V5" s="696"/>
      <c r="W5" s="799"/>
      <c r="X5" s="805">
        <f>T5+V5</f>
        <v>0</v>
      </c>
      <c r="Y5" s="796">
        <f>U5+W5</f>
        <v>0</v>
      </c>
    </row>
    <row r="6" spans="3:25" x14ac:dyDescent="0.45">
      <c r="C6" s="806">
        <v>44411</v>
      </c>
      <c r="D6">
        <v>35031</v>
      </c>
      <c r="E6">
        <v>24195</v>
      </c>
      <c r="I6" s="807">
        <v>8642</v>
      </c>
      <c r="J6">
        <v>3101</v>
      </c>
      <c r="M6" s="793">
        <v>44410</v>
      </c>
      <c r="N6" s="98"/>
      <c r="O6" s="98"/>
      <c r="P6" s="98"/>
      <c r="Q6" s="787"/>
      <c r="R6" s="803">
        <f t="shared" ref="R6:R19" si="0">N6+P6</f>
        <v>0</v>
      </c>
      <c r="S6" s="788">
        <f t="shared" ref="S6:S19" si="1">O6+Q6</f>
        <v>0</v>
      </c>
      <c r="T6" s="802"/>
      <c r="U6" s="98"/>
      <c r="V6" s="98"/>
      <c r="W6" s="787"/>
      <c r="X6" s="803">
        <f t="shared" ref="X6:X23" si="2">T6+V6</f>
        <v>0</v>
      </c>
      <c r="Y6" s="788">
        <f t="shared" ref="Y6:Y23" si="3">U6+W6</f>
        <v>0</v>
      </c>
    </row>
    <row r="7" spans="3:25" x14ac:dyDescent="0.45">
      <c r="C7" s="806">
        <v>44412</v>
      </c>
      <c r="D7">
        <v>23848</v>
      </c>
      <c r="E7">
        <v>17480</v>
      </c>
      <c r="I7" s="807">
        <v>6094</v>
      </c>
      <c r="J7">
        <v>2063</v>
      </c>
      <c r="M7" s="793">
        <v>44411</v>
      </c>
      <c r="N7" s="98"/>
      <c r="O7" s="98"/>
      <c r="P7" s="98"/>
      <c r="Q7" s="787"/>
      <c r="R7" s="803">
        <f t="shared" si="0"/>
        <v>0</v>
      </c>
      <c r="S7" s="788">
        <f t="shared" si="1"/>
        <v>0</v>
      </c>
      <c r="T7" s="802"/>
      <c r="U7" s="98"/>
      <c r="V7" s="98"/>
      <c r="W7" s="787"/>
      <c r="X7" s="803">
        <f t="shared" si="2"/>
        <v>0</v>
      </c>
      <c r="Y7" s="788">
        <f t="shared" si="3"/>
        <v>0</v>
      </c>
    </row>
    <row r="8" spans="3:25" x14ac:dyDescent="0.45">
      <c r="C8" s="806">
        <v>44413</v>
      </c>
      <c r="D8">
        <v>14519</v>
      </c>
      <c r="E8">
        <v>19630</v>
      </c>
      <c r="I8" s="807">
        <v>3092</v>
      </c>
      <c r="J8">
        <v>1838</v>
      </c>
      <c r="M8" s="793">
        <v>44412</v>
      </c>
      <c r="N8" s="98"/>
      <c r="O8" s="98"/>
      <c r="P8" s="98"/>
      <c r="Q8" s="787"/>
      <c r="R8" s="803">
        <f t="shared" si="0"/>
        <v>0</v>
      </c>
      <c r="S8" s="788">
        <f t="shared" si="1"/>
        <v>0</v>
      </c>
      <c r="T8" s="802"/>
      <c r="U8" s="98"/>
      <c r="V8" s="98"/>
      <c r="W8" s="787"/>
      <c r="X8" s="803">
        <f t="shared" si="2"/>
        <v>0</v>
      </c>
      <c r="Y8" s="788">
        <f t="shared" si="3"/>
        <v>0</v>
      </c>
    </row>
    <row r="9" spans="3:25" x14ac:dyDescent="0.45">
      <c r="C9" s="806">
        <v>44414</v>
      </c>
      <c r="D9">
        <v>14084</v>
      </c>
      <c r="E9">
        <v>18430</v>
      </c>
      <c r="I9" s="807">
        <v>3214</v>
      </c>
      <c r="J9">
        <v>2016</v>
      </c>
      <c r="M9" s="793">
        <v>44413</v>
      </c>
      <c r="N9" s="98"/>
      <c r="O9" s="98"/>
      <c r="P9" s="98"/>
      <c r="Q9" s="787"/>
      <c r="R9" s="803">
        <f t="shared" si="0"/>
        <v>0</v>
      </c>
      <c r="S9" s="788">
        <f t="shared" si="1"/>
        <v>0</v>
      </c>
      <c r="T9" s="802"/>
      <c r="U9" s="98"/>
      <c r="V9" s="98"/>
      <c r="W9" s="787"/>
      <c r="X9" s="803">
        <f t="shared" si="2"/>
        <v>0</v>
      </c>
      <c r="Y9" s="788">
        <f t="shared" si="3"/>
        <v>0</v>
      </c>
    </row>
    <row r="10" spans="3:25" x14ac:dyDescent="0.45">
      <c r="C10" s="806">
        <v>44415</v>
      </c>
      <c r="D10">
        <v>10353</v>
      </c>
      <c r="E10">
        <v>10875</v>
      </c>
      <c r="I10" s="807">
        <v>2261</v>
      </c>
      <c r="J10">
        <v>720</v>
      </c>
      <c r="M10" s="793">
        <v>44414</v>
      </c>
      <c r="N10" s="98"/>
      <c r="O10" s="98"/>
      <c r="P10" s="98"/>
      <c r="Q10" s="787"/>
      <c r="R10" s="803">
        <f t="shared" si="0"/>
        <v>0</v>
      </c>
      <c r="S10" s="788">
        <f t="shared" si="1"/>
        <v>0</v>
      </c>
      <c r="T10" s="802"/>
      <c r="U10" s="98"/>
      <c r="V10" s="98"/>
      <c r="W10" s="787"/>
      <c r="X10" s="803">
        <f t="shared" si="2"/>
        <v>0</v>
      </c>
      <c r="Y10" s="788">
        <f t="shared" si="3"/>
        <v>0</v>
      </c>
    </row>
    <row r="11" spans="3:25" x14ac:dyDescent="0.45">
      <c r="C11" s="806">
        <v>44416</v>
      </c>
      <c r="D11">
        <v>6467</v>
      </c>
      <c r="E11">
        <v>13070</v>
      </c>
      <c r="I11" s="807">
        <v>1693</v>
      </c>
      <c r="J11">
        <v>680</v>
      </c>
      <c r="M11" s="793">
        <v>44415</v>
      </c>
      <c r="N11" s="98"/>
      <c r="O11" s="98"/>
      <c r="P11" s="98"/>
      <c r="Q11" s="787"/>
      <c r="R11" s="803">
        <f t="shared" si="0"/>
        <v>0</v>
      </c>
      <c r="S11" s="788">
        <f t="shared" si="1"/>
        <v>0</v>
      </c>
      <c r="T11" s="802"/>
      <c r="U11" s="98"/>
      <c r="V11" s="98"/>
      <c r="W11" s="787"/>
      <c r="X11" s="803">
        <f t="shared" si="2"/>
        <v>0</v>
      </c>
      <c r="Y11" s="788">
        <f t="shared" si="3"/>
        <v>0</v>
      </c>
    </row>
    <row r="12" spans="3:25" x14ac:dyDescent="0.45">
      <c r="C12" s="806">
        <v>44417</v>
      </c>
      <c r="D12">
        <v>21508</v>
      </c>
      <c r="E12">
        <v>30560</v>
      </c>
      <c r="I12" s="807">
        <v>5227</v>
      </c>
      <c r="J12">
        <v>2906</v>
      </c>
      <c r="M12" s="793">
        <v>44416</v>
      </c>
      <c r="N12" s="98"/>
      <c r="O12" s="98"/>
      <c r="P12" s="98"/>
      <c r="Q12" s="787"/>
      <c r="R12" s="803">
        <f t="shared" si="0"/>
        <v>0</v>
      </c>
      <c r="S12" s="788">
        <f t="shared" si="1"/>
        <v>0</v>
      </c>
      <c r="T12" s="802"/>
      <c r="U12" s="98"/>
      <c r="V12" s="98"/>
      <c r="W12" s="787"/>
      <c r="X12" s="803">
        <f t="shared" si="2"/>
        <v>0</v>
      </c>
      <c r="Y12" s="788">
        <f t="shared" si="3"/>
        <v>0</v>
      </c>
    </row>
    <row r="13" spans="3:25" x14ac:dyDescent="0.45">
      <c r="C13" s="806">
        <v>44418</v>
      </c>
      <c r="D13">
        <v>15002</v>
      </c>
      <c r="E13">
        <v>22385</v>
      </c>
      <c r="G13">
        <v>373857</v>
      </c>
      <c r="H13">
        <v>250330</v>
      </c>
      <c r="I13" s="807">
        <v>3748</v>
      </c>
      <c r="J13">
        <v>1536</v>
      </c>
      <c r="K13">
        <v>94132</v>
      </c>
      <c r="L13">
        <v>31105</v>
      </c>
      <c r="M13" s="793">
        <v>44417</v>
      </c>
      <c r="N13" s="98"/>
      <c r="O13" s="98"/>
      <c r="P13" s="98"/>
      <c r="Q13" s="787"/>
      <c r="R13" s="803">
        <f t="shared" si="0"/>
        <v>0</v>
      </c>
      <c r="S13" s="788">
        <f t="shared" si="1"/>
        <v>0</v>
      </c>
      <c r="T13" s="802"/>
      <c r="U13" s="98"/>
      <c r="V13" s="98"/>
      <c r="W13" s="787"/>
      <c r="X13" s="803">
        <f t="shared" si="2"/>
        <v>0</v>
      </c>
      <c r="Y13" s="788">
        <f t="shared" si="3"/>
        <v>0</v>
      </c>
    </row>
    <row r="14" spans="3:25" x14ac:dyDescent="0.45">
      <c r="C14" s="806">
        <v>44419</v>
      </c>
      <c r="D14">
        <v>11555</v>
      </c>
      <c r="E14">
        <v>13145</v>
      </c>
      <c r="I14" s="807">
        <v>2501</v>
      </c>
      <c r="J14">
        <v>1416</v>
      </c>
      <c r="M14" s="793">
        <v>44418</v>
      </c>
      <c r="N14" s="98"/>
      <c r="O14" s="98"/>
      <c r="P14" s="98"/>
      <c r="Q14" s="787"/>
      <c r="R14" s="803">
        <f t="shared" si="0"/>
        <v>0</v>
      </c>
      <c r="S14" s="788">
        <f t="shared" si="1"/>
        <v>0</v>
      </c>
      <c r="T14" s="802"/>
      <c r="U14" s="98"/>
      <c r="V14" s="98"/>
      <c r="W14" s="787"/>
      <c r="X14" s="803">
        <f t="shared" si="2"/>
        <v>0</v>
      </c>
      <c r="Y14" s="788">
        <f t="shared" si="3"/>
        <v>0</v>
      </c>
    </row>
    <row r="15" spans="3:25" x14ac:dyDescent="0.45">
      <c r="C15" s="806">
        <v>44420</v>
      </c>
      <c r="D15">
        <v>9190</v>
      </c>
      <c r="E15">
        <v>8530</v>
      </c>
      <c r="I15" s="807">
        <v>2182</v>
      </c>
      <c r="J15">
        <v>807</v>
      </c>
      <c r="M15" s="793">
        <v>44419</v>
      </c>
      <c r="N15" s="98"/>
      <c r="O15" s="98"/>
      <c r="P15" s="98">
        <v>116</v>
      </c>
      <c r="Q15" s="787"/>
      <c r="R15" s="803">
        <f t="shared" si="0"/>
        <v>116</v>
      </c>
      <c r="S15" s="788">
        <f t="shared" si="1"/>
        <v>0</v>
      </c>
      <c r="T15" s="802"/>
      <c r="U15" s="98"/>
      <c r="V15" s="98"/>
      <c r="W15" s="787"/>
      <c r="X15" s="803">
        <f t="shared" si="2"/>
        <v>0</v>
      </c>
      <c r="Y15" s="788">
        <f t="shared" si="3"/>
        <v>0</v>
      </c>
    </row>
    <row r="16" spans="3:25" x14ac:dyDescent="0.45">
      <c r="C16" s="806">
        <v>44421</v>
      </c>
      <c r="D16">
        <v>9024</v>
      </c>
      <c r="E16">
        <v>15125</v>
      </c>
      <c r="I16" s="807">
        <v>1903</v>
      </c>
      <c r="J16">
        <v>970</v>
      </c>
      <c r="M16" s="793">
        <v>44420</v>
      </c>
      <c r="N16" s="98"/>
      <c r="O16" s="98"/>
      <c r="P16" s="98"/>
      <c r="Q16" s="787"/>
      <c r="R16" s="803">
        <f t="shared" si="0"/>
        <v>0</v>
      </c>
      <c r="S16" s="788">
        <f t="shared" si="1"/>
        <v>0</v>
      </c>
      <c r="T16" s="802"/>
      <c r="U16" s="98"/>
      <c r="V16" s="98"/>
      <c r="W16" s="787"/>
      <c r="X16" s="803">
        <f t="shared" si="2"/>
        <v>0</v>
      </c>
      <c r="Y16" s="788">
        <f t="shared" si="3"/>
        <v>0</v>
      </c>
    </row>
    <row r="17" spans="3:25" x14ac:dyDescent="0.45">
      <c r="C17" s="806">
        <v>44422</v>
      </c>
      <c r="D17">
        <v>7197</v>
      </c>
      <c r="E17">
        <v>14870</v>
      </c>
      <c r="I17" s="807">
        <v>1415</v>
      </c>
      <c r="J17">
        <v>1086</v>
      </c>
      <c r="M17" s="793">
        <v>44421</v>
      </c>
      <c r="N17" s="98"/>
      <c r="O17" s="98"/>
      <c r="P17" s="98"/>
      <c r="Q17" s="787"/>
      <c r="R17" s="803">
        <f t="shared" si="0"/>
        <v>0</v>
      </c>
      <c r="S17" s="788">
        <f t="shared" si="1"/>
        <v>0</v>
      </c>
      <c r="T17" s="802"/>
      <c r="U17" s="98"/>
      <c r="V17" s="98"/>
      <c r="W17" s="787"/>
      <c r="X17" s="803">
        <f t="shared" si="2"/>
        <v>0</v>
      </c>
      <c r="Y17" s="788">
        <f t="shared" si="3"/>
        <v>0</v>
      </c>
    </row>
    <row r="18" spans="3:25" x14ac:dyDescent="0.45">
      <c r="C18" s="806">
        <v>44423</v>
      </c>
      <c r="D18">
        <v>3600</v>
      </c>
      <c r="E18">
        <v>14250</v>
      </c>
      <c r="I18" s="807">
        <v>791</v>
      </c>
      <c r="J18">
        <v>174</v>
      </c>
      <c r="K18" s="755">
        <v>443683</v>
      </c>
      <c r="M18" s="793">
        <v>44422</v>
      </c>
      <c r="N18" s="98"/>
      <c r="O18" s="98"/>
      <c r="P18" s="98"/>
      <c r="Q18" s="787"/>
      <c r="R18" s="803">
        <f t="shared" si="0"/>
        <v>0</v>
      </c>
      <c r="S18" s="788">
        <f t="shared" si="1"/>
        <v>0</v>
      </c>
      <c r="T18" s="802"/>
      <c r="U18" s="98"/>
      <c r="V18" s="98"/>
      <c r="W18" s="787"/>
      <c r="X18" s="803">
        <f t="shared" si="2"/>
        <v>0</v>
      </c>
      <c r="Y18" s="788">
        <f t="shared" si="3"/>
        <v>0</v>
      </c>
    </row>
    <row r="19" spans="3:25" x14ac:dyDescent="0.45">
      <c r="C19" s="806">
        <v>44424</v>
      </c>
      <c r="D19">
        <v>0</v>
      </c>
      <c r="E19">
        <v>0</v>
      </c>
      <c r="I19" s="807">
        <v>0</v>
      </c>
      <c r="J19">
        <v>0</v>
      </c>
      <c r="K19" s="755"/>
      <c r="M19" s="793">
        <v>44423</v>
      </c>
      <c r="N19" s="98"/>
      <c r="O19" s="98"/>
      <c r="P19" s="98"/>
      <c r="Q19" s="787"/>
      <c r="R19" s="803">
        <f t="shared" si="0"/>
        <v>0</v>
      </c>
      <c r="S19" s="788">
        <f t="shared" si="1"/>
        <v>0</v>
      </c>
      <c r="T19" s="802"/>
      <c r="U19" s="98"/>
      <c r="V19" s="98"/>
      <c r="W19" s="787"/>
      <c r="X19" s="803">
        <f t="shared" si="2"/>
        <v>0</v>
      </c>
      <c r="Y19" s="788">
        <f t="shared" si="3"/>
        <v>0</v>
      </c>
    </row>
    <row r="20" spans="3:25" x14ac:dyDescent="0.45">
      <c r="C20" s="806">
        <v>44425</v>
      </c>
      <c r="D20">
        <v>19449</v>
      </c>
      <c r="E20">
        <v>18505</v>
      </c>
      <c r="I20" s="807">
        <v>4331</v>
      </c>
      <c r="J20">
        <v>2338</v>
      </c>
      <c r="K20" s="755"/>
      <c r="M20" s="793">
        <v>44424</v>
      </c>
      <c r="N20" s="98"/>
      <c r="O20" s="98"/>
      <c r="P20" s="98"/>
      <c r="Q20" s="787"/>
      <c r="R20" s="803">
        <f t="shared" ref="R20:S22" si="4">N20+P20</f>
        <v>0</v>
      </c>
      <c r="S20" s="788">
        <f t="shared" si="4"/>
        <v>0</v>
      </c>
      <c r="T20" s="802"/>
      <c r="U20" s="98"/>
      <c r="V20" s="98"/>
      <c r="W20" s="787"/>
      <c r="X20" s="803">
        <f t="shared" si="2"/>
        <v>0</v>
      </c>
      <c r="Y20" s="788">
        <f t="shared" si="3"/>
        <v>0</v>
      </c>
    </row>
    <row r="21" spans="3:25" x14ac:dyDescent="0.45">
      <c r="C21" s="806">
        <v>44426</v>
      </c>
      <c r="D21">
        <v>16297</v>
      </c>
      <c r="E21">
        <v>11965</v>
      </c>
      <c r="I21" s="807">
        <v>3421</v>
      </c>
      <c r="J21">
        <v>863</v>
      </c>
      <c r="K21" s="755"/>
      <c r="M21" s="793">
        <v>44425</v>
      </c>
      <c r="N21" s="98">
        <v>531</v>
      </c>
      <c r="O21" s="98">
        <f>3450+350</f>
        <v>3800</v>
      </c>
      <c r="P21" s="98">
        <v>138</v>
      </c>
      <c r="Q21" s="787">
        <v>2200</v>
      </c>
      <c r="R21" s="803">
        <f t="shared" si="4"/>
        <v>669</v>
      </c>
      <c r="S21" s="788">
        <f t="shared" si="4"/>
        <v>6000</v>
      </c>
      <c r="T21" s="802">
        <v>4965</v>
      </c>
      <c r="U21" s="98"/>
      <c r="V21" s="98"/>
      <c r="W21" s="787"/>
      <c r="X21" s="803">
        <f t="shared" si="2"/>
        <v>4965</v>
      </c>
      <c r="Y21" s="788">
        <f t="shared" si="3"/>
        <v>0</v>
      </c>
    </row>
    <row r="22" spans="3:25" x14ac:dyDescent="0.45">
      <c r="K22" s="755"/>
      <c r="M22" s="793">
        <v>44426</v>
      </c>
      <c r="N22" s="98">
        <v>521</v>
      </c>
      <c r="O22" s="98">
        <f>2700+200</f>
        <v>2900</v>
      </c>
      <c r="P22" s="98">
        <f>108+5</f>
        <v>113</v>
      </c>
      <c r="Q22" s="787">
        <v>750</v>
      </c>
      <c r="R22" s="803">
        <f t="shared" si="4"/>
        <v>634</v>
      </c>
      <c r="S22" s="788">
        <f t="shared" si="4"/>
        <v>3650</v>
      </c>
      <c r="T22" s="802">
        <v>4830</v>
      </c>
      <c r="U22" s="598">
        <f>8714.5+2752.72</f>
        <v>11467.22</v>
      </c>
      <c r="V22" s="98">
        <f>1600+6825</f>
        <v>8425</v>
      </c>
      <c r="W22" s="787">
        <f>3540</f>
        <v>3540</v>
      </c>
      <c r="X22" s="803">
        <f t="shared" si="2"/>
        <v>13255</v>
      </c>
      <c r="Y22" s="789">
        <f t="shared" si="3"/>
        <v>15007.22</v>
      </c>
    </row>
    <row r="23" spans="3:25" ht="24" customHeight="1" thickBot="1" x14ac:dyDescent="0.6">
      <c r="C23" s="2199" t="s">
        <v>547</v>
      </c>
      <c r="D23" s="2199"/>
      <c r="E23" s="2199"/>
      <c r="F23" s="2199"/>
      <c r="G23" s="2199"/>
      <c r="H23" s="2199"/>
      <c r="I23" s="2199"/>
      <c r="K23" s="755"/>
      <c r="M23" s="790"/>
      <c r="N23" s="791"/>
      <c r="O23" s="791"/>
      <c r="P23" s="791"/>
      <c r="Q23" s="798"/>
      <c r="R23" s="790"/>
      <c r="S23" s="794"/>
      <c r="T23" s="800"/>
      <c r="U23" s="791"/>
      <c r="V23" s="791"/>
      <c r="W23" s="798"/>
      <c r="X23" s="804">
        <f t="shared" si="2"/>
        <v>0</v>
      </c>
      <c r="Y23" s="792">
        <f t="shared" si="3"/>
        <v>0</v>
      </c>
    </row>
    <row r="24" spans="3:25" x14ac:dyDescent="0.45">
      <c r="C24" s="2185" t="s">
        <v>379</v>
      </c>
      <c r="D24" s="2187" t="s">
        <v>237</v>
      </c>
      <c r="E24" s="2187"/>
      <c r="F24" s="2187"/>
      <c r="G24" s="2187" t="s">
        <v>372</v>
      </c>
      <c r="H24" s="2187"/>
      <c r="I24" s="2188"/>
    </row>
    <row r="25" spans="3:25" ht="14.65" thickBot="1" x14ac:dyDescent="0.5">
      <c r="C25" s="2186"/>
      <c r="D25" s="808" t="s">
        <v>94</v>
      </c>
      <c r="E25" s="808" t="s">
        <v>544</v>
      </c>
      <c r="F25" s="809" t="s">
        <v>548</v>
      </c>
      <c r="G25" s="808" t="s">
        <v>94</v>
      </c>
      <c r="H25" s="808" t="s">
        <v>544</v>
      </c>
      <c r="I25" s="810" t="s">
        <v>548</v>
      </c>
    </row>
    <row r="26" spans="3:25" ht="27.75" customHeight="1" x14ac:dyDescent="0.45">
      <c r="C26" s="811">
        <v>44409</v>
      </c>
      <c r="D26" s="812">
        <v>35344</v>
      </c>
      <c r="E26" s="812">
        <v>10519</v>
      </c>
      <c r="F26" s="813">
        <f>D26+E26</f>
        <v>45863</v>
      </c>
      <c r="G26" s="812">
        <v>140956</v>
      </c>
      <c r="H26" s="812">
        <v>55975</v>
      </c>
      <c r="I26" s="814">
        <f>G26+H26</f>
        <v>196931</v>
      </c>
    </row>
    <row r="27" spans="3:25" ht="24" customHeight="1" x14ac:dyDescent="0.45">
      <c r="C27" s="815">
        <v>44410</v>
      </c>
      <c r="D27" s="816">
        <v>24817</v>
      </c>
      <c r="E27" s="816">
        <v>5726</v>
      </c>
      <c r="F27" s="813">
        <f t="shared" ref="F27:F51" si="5">D27+E27</f>
        <v>30543</v>
      </c>
      <c r="G27" s="816">
        <v>92083</v>
      </c>
      <c r="H27" s="816">
        <v>37730</v>
      </c>
      <c r="I27" s="814">
        <f t="shared" ref="I27:I51" si="6">G27+H27</f>
        <v>129813</v>
      </c>
    </row>
    <row r="28" spans="3:25" ht="24" customHeight="1" x14ac:dyDescent="0.45">
      <c r="C28" s="815">
        <v>44411</v>
      </c>
      <c r="D28" s="816">
        <v>8642</v>
      </c>
      <c r="E28" s="816">
        <v>3101</v>
      </c>
      <c r="F28" s="813">
        <f t="shared" si="5"/>
        <v>11743</v>
      </c>
      <c r="G28" s="816">
        <v>35031</v>
      </c>
      <c r="H28" s="816">
        <v>24195</v>
      </c>
      <c r="I28" s="814">
        <f t="shared" si="6"/>
        <v>59226</v>
      </c>
    </row>
    <row r="29" spans="3:25" ht="24" customHeight="1" x14ac:dyDescent="0.45">
      <c r="C29" s="815">
        <v>44412</v>
      </c>
      <c r="D29" s="816">
        <v>6094</v>
      </c>
      <c r="E29" s="816">
        <v>2063</v>
      </c>
      <c r="F29" s="813">
        <f t="shared" si="5"/>
        <v>8157</v>
      </c>
      <c r="G29" s="816">
        <v>23848</v>
      </c>
      <c r="H29" s="816">
        <v>17480</v>
      </c>
      <c r="I29" s="814">
        <f t="shared" si="6"/>
        <v>41328</v>
      </c>
    </row>
    <row r="30" spans="3:25" ht="24" customHeight="1" x14ac:dyDescent="0.45">
      <c r="C30" s="815">
        <v>44413</v>
      </c>
      <c r="D30" s="816">
        <v>3092</v>
      </c>
      <c r="E30" s="816">
        <v>1838</v>
      </c>
      <c r="F30" s="813">
        <f t="shared" si="5"/>
        <v>4930</v>
      </c>
      <c r="G30" s="816">
        <v>14519</v>
      </c>
      <c r="H30" s="816">
        <v>19630</v>
      </c>
      <c r="I30" s="814">
        <f t="shared" si="6"/>
        <v>34149</v>
      </c>
    </row>
    <row r="31" spans="3:25" ht="24" customHeight="1" x14ac:dyDescent="0.45">
      <c r="C31" s="815">
        <v>44414</v>
      </c>
      <c r="D31" s="816">
        <v>3214</v>
      </c>
      <c r="E31" s="816">
        <v>2016</v>
      </c>
      <c r="F31" s="813">
        <f t="shared" si="5"/>
        <v>5230</v>
      </c>
      <c r="G31" s="816">
        <v>14084</v>
      </c>
      <c r="H31" s="816">
        <v>18430</v>
      </c>
      <c r="I31" s="814">
        <f t="shared" si="6"/>
        <v>32514</v>
      </c>
    </row>
    <row r="32" spans="3:25" ht="24" customHeight="1" x14ac:dyDescent="0.45">
      <c r="C32" s="815">
        <v>44415</v>
      </c>
      <c r="D32" s="816">
        <v>2261</v>
      </c>
      <c r="E32" s="816">
        <v>720</v>
      </c>
      <c r="F32" s="813">
        <f t="shared" si="5"/>
        <v>2981</v>
      </c>
      <c r="G32" s="816">
        <v>10353</v>
      </c>
      <c r="H32" s="816">
        <v>10875</v>
      </c>
      <c r="I32" s="814">
        <f t="shared" si="6"/>
        <v>21228</v>
      </c>
    </row>
    <row r="33" spans="3:9" ht="24" customHeight="1" x14ac:dyDescent="0.45">
      <c r="C33" s="815">
        <v>44416</v>
      </c>
      <c r="D33" s="816">
        <v>1693</v>
      </c>
      <c r="E33" s="816">
        <v>680</v>
      </c>
      <c r="F33" s="813">
        <f t="shared" si="5"/>
        <v>2373</v>
      </c>
      <c r="G33" s="816">
        <v>6467</v>
      </c>
      <c r="H33" s="816">
        <v>13070</v>
      </c>
      <c r="I33" s="814">
        <f t="shared" si="6"/>
        <v>19537</v>
      </c>
    </row>
    <row r="34" spans="3:9" ht="24" customHeight="1" x14ac:dyDescent="0.45">
      <c r="C34" s="815">
        <v>44417</v>
      </c>
      <c r="D34" s="816">
        <v>5227</v>
      </c>
      <c r="E34" s="816">
        <v>2906</v>
      </c>
      <c r="F34" s="813">
        <f t="shared" si="5"/>
        <v>8133</v>
      </c>
      <c r="G34" s="816">
        <v>21508</v>
      </c>
      <c r="H34" s="816">
        <v>30560</v>
      </c>
      <c r="I34" s="814">
        <f t="shared" si="6"/>
        <v>52068</v>
      </c>
    </row>
    <row r="35" spans="3:9" ht="24" customHeight="1" x14ac:dyDescent="0.45">
      <c r="C35" s="815">
        <v>44418</v>
      </c>
      <c r="D35" s="816">
        <v>3748</v>
      </c>
      <c r="E35" s="816">
        <v>1536</v>
      </c>
      <c r="F35" s="813">
        <f t="shared" si="5"/>
        <v>5284</v>
      </c>
      <c r="G35" s="816">
        <v>15002</v>
      </c>
      <c r="H35" s="816">
        <v>22385</v>
      </c>
      <c r="I35" s="814">
        <f t="shared" si="6"/>
        <v>37387</v>
      </c>
    </row>
    <row r="36" spans="3:9" ht="24" customHeight="1" x14ac:dyDescent="0.45">
      <c r="C36" s="815">
        <v>44419</v>
      </c>
      <c r="D36" s="816">
        <v>2501</v>
      </c>
      <c r="E36" s="816">
        <v>1416</v>
      </c>
      <c r="F36" s="813">
        <f t="shared" si="5"/>
        <v>3917</v>
      </c>
      <c r="G36" s="816">
        <v>11555</v>
      </c>
      <c r="H36" s="816">
        <v>13145</v>
      </c>
      <c r="I36" s="814">
        <f t="shared" si="6"/>
        <v>24700</v>
      </c>
    </row>
    <row r="37" spans="3:9" ht="24" customHeight="1" x14ac:dyDescent="0.45">
      <c r="C37" s="815">
        <v>44420</v>
      </c>
      <c r="D37" s="816">
        <v>2182</v>
      </c>
      <c r="E37" s="816">
        <v>807</v>
      </c>
      <c r="F37" s="813">
        <f t="shared" si="5"/>
        <v>2989</v>
      </c>
      <c r="G37" s="816">
        <v>9190</v>
      </c>
      <c r="H37" s="816">
        <v>8530</v>
      </c>
      <c r="I37" s="814">
        <f t="shared" si="6"/>
        <v>17720</v>
      </c>
    </row>
    <row r="38" spans="3:9" ht="24" customHeight="1" x14ac:dyDescent="0.45">
      <c r="C38" s="815">
        <v>44421</v>
      </c>
      <c r="D38" s="816">
        <v>1903</v>
      </c>
      <c r="E38" s="816">
        <v>970</v>
      </c>
      <c r="F38" s="813">
        <f t="shared" si="5"/>
        <v>2873</v>
      </c>
      <c r="G38" s="816">
        <v>9024</v>
      </c>
      <c r="H38" s="816">
        <v>15125</v>
      </c>
      <c r="I38" s="814">
        <f t="shared" si="6"/>
        <v>24149</v>
      </c>
    </row>
    <row r="39" spans="3:9" ht="24" customHeight="1" x14ac:dyDescent="0.45">
      <c r="C39" s="815">
        <v>44422</v>
      </c>
      <c r="D39" s="816">
        <v>1415</v>
      </c>
      <c r="E39" s="816">
        <v>1086</v>
      </c>
      <c r="F39" s="813">
        <f t="shared" si="5"/>
        <v>2501</v>
      </c>
      <c r="G39" s="816">
        <v>7197</v>
      </c>
      <c r="H39" s="816">
        <v>14870</v>
      </c>
      <c r="I39" s="814">
        <f t="shared" si="6"/>
        <v>22067</v>
      </c>
    </row>
    <row r="40" spans="3:9" ht="24" customHeight="1" x14ac:dyDescent="0.45">
      <c r="C40" s="815">
        <v>44423</v>
      </c>
      <c r="D40" s="816">
        <v>791</v>
      </c>
      <c r="E40" s="816">
        <v>174</v>
      </c>
      <c r="F40" s="813">
        <f t="shared" si="5"/>
        <v>965</v>
      </c>
      <c r="G40" s="816">
        <v>3600</v>
      </c>
      <c r="H40" s="816">
        <v>14250</v>
      </c>
      <c r="I40" s="814">
        <f t="shared" si="6"/>
        <v>17850</v>
      </c>
    </row>
    <row r="41" spans="3:9" ht="24" customHeight="1" x14ac:dyDescent="0.45">
      <c r="C41" s="815">
        <v>44424</v>
      </c>
      <c r="D41" s="816">
        <v>0</v>
      </c>
      <c r="E41" s="816">
        <v>0</v>
      </c>
      <c r="F41" s="813">
        <f t="shared" si="5"/>
        <v>0</v>
      </c>
      <c r="G41" s="816">
        <v>0</v>
      </c>
      <c r="H41" s="816">
        <v>0</v>
      </c>
      <c r="I41" s="814">
        <f t="shared" si="6"/>
        <v>0</v>
      </c>
    </row>
    <row r="42" spans="3:9" ht="24" customHeight="1" x14ac:dyDescent="0.45">
      <c r="C42" s="815">
        <v>44425</v>
      </c>
      <c r="D42" s="816">
        <v>4331</v>
      </c>
      <c r="E42" s="816">
        <v>2338</v>
      </c>
      <c r="F42" s="813">
        <f t="shared" si="5"/>
        <v>6669</v>
      </c>
      <c r="G42" s="816">
        <v>19449</v>
      </c>
      <c r="H42" s="816">
        <v>18505</v>
      </c>
      <c r="I42" s="814">
        <f t="shared" si="6"/>
        <v>37954</v>
      </c>
    </row>
    <row r="43" spans="3:9" ht="24" customHeight="1" x14ac:dyDescent="0.45">
      <c r="C43" s="817">
        <v>44426</v>
      </c>
      <c r="D43" s="818">
        <v>3421</v>
      </c>
      <c r="E43" s="818">
        <v>863</v>
      </c>
      <c r="F43" s="819">
        <f t="shared" si="5"/>
        <v>4284</v>
      </c>
      <c r="G43" s="818">
        <v>16297</v>
      </c>
      <c r="H43" s="818">
        <v>11965</v>
      </c>
      <c r="I43" s="820">
        <f t="shared" si="6"/>
        <v>28262</v>
      </c>
    </row>
    <row r="44" spans="3:9" ht="27.75" customHeight="1" x14ac:dyDescent="0.45">
      <c r="C44" s="817">
        <v>44427</v>
      </c>
      <c r="D44" s="825">
        <v>2668</v>
      </c>
      <c r="E44" s="825">
        <v>160</v>
      </c>
      <c r="F44" s="819">
        <f t="shared" si="5"/>
        <v>2828</v>
      </c>
      <c r="G44" s="825">
        <v>12751.72</v>
      </c>
      <c r="H44" s="825">
        <v>12890</v>
      </c>
      <c r="I44" s="826">
        <f t="shared" si="6"/>
        <v>25641.72</v>
      </c>
    </row>
    <row r="45" spans="3:9" ht="27.75" customHeight="1" x14ac:dyDescent="0.45">
      <c r="C45" s="817">
        <v>44428</v>
      </c>
      <c r="D45" s="825">
        <v>4535</v>
      </c>
      <c r="E45" s="825">
        <v>1115</v>
      </c>
      <c r="F45" s="819">
        <f t="shared" si="5"/>
        <v>5650</v>
      </c>
      <c r="G45" s="825">
        <v>20410.939999999999</v>
      </c>
      <c r="H45" s="825">
        <v>16340</v>
      </c>
      <c r="I45" s="826">
        <f t="shared" si="6"/>
        <v>36750.94</v>
      </c>
    </row>
    <row r="46" spans="3:9" ht="27.75" customHeight="1" x14ac:dyDescent="0.45">
      <c r="C46" s="817">
        <v>44429</v>
      </c>
      <c r="D46" s="825">
        <v>1829</v>
      </c>
      <c r="E46" s="825">
        <v>655</v>
      </c>
      <c r="F46" s="819">
        <f t="shared" si="5"/>
        <v>2484</v>
      </c>
      <c r="G46" s="825">
        <v>8445</v>
      </c>
      <c r="H46" s="825">
        <v>21490</v>
      </c>
      <c r="I46" s="826">
        <f t="shared" si="6"/>
        <v>29935</v>
      </c>
    </row>
    <row r="47" spans="3:9" ht="27.75" customHeight="1" x14ac:dyDescent="0.45">
      <c r="C47" s="817">
        <v>44430</v>
      </c>
      <c r="D47" s="825">
        <v>771</v>
      </c>
      <c r="E47" s="825">
        <v>545</v>
      </c>
      <c r="F47" s="819">
        <f t="shared" si="5"/>
        <v>1316</v>
      </c>
      <c r="G47" s="825">
        <v>3339</v>
      </c>
      <c r="H47" s="825">
        <v>7820</v>
      </c>
      <c r="I47" s="826">
        <f t="shared" si="6"/>
        <v>11159</v>
      </c>
    </row>
    <row r="48" spans="3:9" ht="27.75" customHeight="1" x14ac:dyDescent="0.45">
      <c r="C48" s="817">
        <v>44431</v>
      </c>
      <c r="D48" s="825">
        <v>5768</v>
      </c>
      <c r="E48" s="825">
        <v>1394</v>
      </c>
      <c r="F48" s="819">
        <f t="shared" si="5"/>
        <v>7162</v>
      </c>
      <c r="G48" s="825">
        <v>26433</v>
      </c>
      <c r="H48" s="825">
        <v>15545</v>
      </c>
      <c r="I48" s="826">
        <f t="shared" si="6"/>
        <v>41978</v>
      </c>
    </row>
    <row r="49" spans="3:20" ht="27.75" customHeight="1" x14ac:dyDescent="0.45">
      <c r="C49" s="817">
        <v>44432</v>
      </c>
      <c r="D49" s="825">
        <v>4431</v>
      </c>
      <c r="E49" s="825">
        <v>919</v>
      </c>
      <c r="F49" s="819">
        <f t="shared" si="5"/>
        <v>5350</v>
      </c>
      <c r="G49" s="825">
        <v>21586</v>
      </c>
      <c r="H49" s="825">
        <v>14370</v>
      </c>
      <c r="I49" s="826">
        <f t="shared" si="6"/>
        <v>35956</v>
      </c>
    </row>
    <row r="50" spans="3:20" ht="27.75" customHeight="1" x14ac:dyDescent="0.45">
      <c r="C50" s="817">
        <v>44433</v>
      </c>
      <c r="D50" s="825">
        <v>4034</v>
      </c>
      <c r="E50" s="825">
        <v>615</v>
      </c>
      <c r="F50" s="819">
        <f t="shared" si="5"/>
        <v>4649</v>
      </c>
      <c r="G50" s="825">
        <v>16762.98</v>
      </c>
      <c r="H50" s="825">
        <v>20820</v>
      </c>
      <c r="I50" s="826">
        <f t="shared" si="6"/>
        <v>37582.979999999996</v>
      </c>
    </row>
    <row r="51" spans="3:20" ht="27.75" customHeight="1" thickBot="1" x14ac:dyDescent="0.5">
      <c r="C51" s="817">
        <v>44434</v>
      </c>
      <c r="D51" s="825">
        <v>3567</v>
      </c>
      <c r="E51" s="825">
        <v>1124</v>
      </c>
      <c r="F51" s="819">
        <f t="shared" si="5"/>
        <v>4691</v>
      </c>
      <c r="G51" s="825">
        <v>16349</v>
      </c>
      <c r="H51" s="825">
        <v>10145</v>
      </c>
      <c r="I51" s="826">
        <f t="shared" si="6"/>
        <v>26494</v>
      </c>
      <c r="O51" t="s">
        <v>195</v>
      </c>
    </row>
    <row r="52" spans="3:20" x14ac:dyDescent="0.45">
      <c r="C52" s="821" t="s">
        <v>548</v>
      </c>
      <c r="D52" s="822">
        <f t="shared" ref="D52:I52" si="7">SUM(D26:D51)</f>
        <v>138279</v>
      </c>
      <c r="E52" s="822">
        <f t="shared" si="7"/>
        <v>45286</v>
      </c>
      <c r="F52" s="822">
        <f t="shared" si="7"/>
        <v>183565</v>
      </c>
      <c r="G52" s="822">
        <f t="shared" si="7"/>
        <v>576240.6399999999</v>
      </c>
      <c r="H52" s="822">
        <f t="shared" si="7"/>
        <v>466140</v>
      </c>
      <c r="I52" s="822">
        <f t="shared" si="7"/>
        <v>1042380.6399999999</v>
      </c>
      <c r="P52">
        <f>O52/1000000</f>
        <v>0</v>
      </c>
      <c r="R52">
        <f>Q52/1000000</f>
        <v>0</v>
      </c>
      <c r="T52">
        <f>S52/10000000</f>
        <v>0</v>
      </c>
    </row>
    <row r="53" spans="3:20" x14ac:dyDescent="0.45">
      <c r="C53" s="122" t="s">
        <v>168</v>
      </c>
      <c r="D53" s="598">
        <f t="shared" ref="D53:I53" si="8">D52/18</f>
        <v>7682.166666666667</v>
      </c>
      <c r="E53" s="598">
        <f t="shared" si="8"/>
        <v>2515.8888888888887</v>
      </c>
      <c r="F53" s="823">
        <f t="shared" si="8"/>
        <v>10198.055555555555</v>
      </c>
      <c r="G53" s="598">
        <f t="shared" si="8"/>
        <v>32013.368888888883</v>
      </c>
      <c r="H53" s="598">
        <f t="shared" si="8"/>
        <v>25896.666666666668</v>
      </c>
      <c r="I53" s="823">
        <f t="shared" si="8"/>
        <v>57910.035555555551</v>
      </c>
      <c r="P53">
        <f>O53/1000000</f>
        <v>0</v>
      </c>
      <c r="R53">
        <f>Q53/1000000</f>
        <v>0</v>
      </c>
      <c r="T53">
        <f>S53/10000000</f>
        <v>0</v>
      </c>
    </row>
    <row r="54" spans="3:20" ht="16.149999999999999" thickBot="1" x14ac:dyDescent="0.6">
      <c r="C54" s="122"/>
      <c r="D54" s="213">
        <f>D52/1000000</f>
        <v>0.13827900000000001</v>
      </c>
      <c r="E54" s="213">
        <f>E52/1000000</f>
        <v>4.5286E-2</v>
      </c>
      <c r="F54" s="98"/>
      <c r="G54" s="103">
        <f>G52/10000000</f>
        <v>5.7624063999999989E-2</v>
      </c>
      <c r="H54" s="103">
        <f>H52/10000000</f>
        <v>4.6614000000000003E-2</v>
      </c>
      <c r="I54" s="827"/>
      <c r="O54" s="755">
        <v>67879</v>
      </c>
      <c r="P54">
        <f>O54/1000000</f>
        <v>6.7878999999999995E-2</v>
      </c>
      <c r="Q54" s="824">
        <v>57956841</v>
      </c>
      <c r="R54">
        <f>Q54/10000000</f>
        <v>5.7956840999999999</v>
      </c>
      <c r="S54" s="755">
        <v>2346453</v>
      </c>
      <c r="T54">
        <f>S54/10000000</f>
        <v>0.2346453</v>
      </c>
    </row>
    <row r="55" spans="3:20" ht="15.75" x14ac:dyDescent="0.55000000000000004">
      <c r="C55" s="122"/>
      <c r="D55" s="98"/>
      <c r="E55" s="828">
        <v>776955</v>
      </c>
      <c r="F55" s="98"/>
      <c r="G55" s="98"/>
      <c r="H55" s="828">
        <v>432483842</v>
      </c>
      <c r="I55" s="827"/>
      <c r="K55" s="828">
        <v>14779015</v>
      </c>
      <c r="Q55">
        <v>57956841</v>
      </c>
    </row>
    <row r="56" spans="3:20" x14ac:dyDescent="0.45">
      <c r="C56" s="122"/>
      <c r="D56" s="98"/>
      <c r="E56" s="98">
        <f>E55/1000000</f>
        <v>0.77695499999999995</v>
      </c>
      <c r="F56" s="98"/>
      <c r="G56" s="98"/>
      <c r="H56" s="98">
        <f>H55/10000000</f>
        <v>43.248384199999997</v>
      </c>
      <c r="I56" s="827"/>
      <c r="K56" s="98">
        <f>K55/10000000</f>
        <v>1.4779015</v>
      </c>
      <c r="Q56">
        <f>Q55/10000000</f>
        <v>5.7956840999999999</v>
      </c>
    </row>
  </sheetData>
  <mergeCells count="14">
    <mergeCell ref="C24:C25"/>
    <mergeCell ref="D24:F24"/>
    <mergeCell ref="G24:I24"/>
    <mergeCell ref="T2:Y2"/>
    <mergeCell ref="T3:U3"/>
    <mergeCell ref="V3:W3"/>
    <mergeCell ref="X3:Y3"/>
    <mergeCell ref="N3:O3"/>
    <mergeCell ref="P3:Q3"/>
    <mergeCell ref="M3:M4"/>
    <mergeCell ref="R3:S3"/>
    <mergeCell ref="D2:E2"/>
    <mergeCell ref="N2:S2"/>
    <mergeCell ref="C23:I23"/>
  </mergeCells>
  <pageMargins left="0.32" right="0.24" top="0.75" bottom="0.75" header="0.3" footer="0.3"/>
  <pageSetup paperSize="9" scale="33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T59"/>
  <sheetViews>
    <sheetView workbookViewId="0">
      <selection activeCell="F17" sqref="F17"/>
    </sheetView>
  </sheetViews>
  <sheetFormatPr defaultColWidth="9.1328125" defaultRowHeight="16.899999999999999" x14ac:dyDescent="0.35"/>
  <cols>
    <col min="1" max="1" width="5.86328125" style="376" customWidth="1"/>
    <col min="2" max="2" width="33.86328125" style="300" customWidth="1"/>
    <col min="3" max="3" width="6" style="5" bestFit="1" customWidth="1"/>
    <col min="4" max="4" width="11.3984375" style="84" bestFit="1" customWidth="1"/>
    <col min="5" max="5" width="11.3984375" style="35" customWidth="1"/>
    <col min="6" max="6" width="12.73046875" style="5" customWidth="1"/>
    <col min="7" max="7" width="14" style="5" customWidth="1"/>
    <col min="8" max="8" width="9.265625" style="11" bestFit="1" customWidth="1"/>
    <col min="9" max="9" width="10.3984375" style="82" customWidth="1"/>
    <col min="10" max="10" width="9.1328125" style="5"/>
    <col min="11" max="11" width="12.3984375" style="5" bestFit="1" customWidth="1"/>
    <col min="12" max="12" width="10" style="5" customWidth="1"/>
    <col min="13" max="13" width="9.1328125" style="5"/>
    <col min="14" max="14" width="9.59765625" style="5" bestFit="1" customWidth="1"/>
    <col min="15" max="16384" width="9.1328125" style="5"/>
  </cols>
  <sheetData>
    <row r="1" spans="1:20" ht="19.5" customHeight="1" x14ac:dyDescent="0.35">
      <c r="A1" s="2200" t="s">
        <v>5</v>
      </c>
      <c r="B1" s="2200"/>
      <c r="C1" s="2200"/>
      <c r="D1" s="2200"/>
      <c r="E1" s="2200"/>
      <c r="F1" s="2200"/>
      <c r="G1" s="2200"/>
      <c r="H1" s="2200"/>
      <c r="I1" s="2200"/>
    </row>
    <row r="2" spans="1:20" s="301" customFormat="1" ht="21.75" customHeight="1" thickBot="1" x14ac:dyDescent="0.5">
      <c r="A2" s="2092" t="s">
        <v>557</v>
      </c>
      <c r="B2" s="2093"/>
      <c r="C2" s="2093"/>
      <c r="D2" s="2093"/>
      <c r="E2" s="2093"/>
      <c r="F2" s="2093"/>
      <c r="G2" s="2093"/>
      <c r="H2" s="2093"/>
      <c r="I2" s="2094"/>
    </row>
    <row r="3" spans="1:20" ht="17.25" thickTop="1" x14ac:dyDescent="0.5">
      <c r="A3" s="2035" t="s">
        <v>144</v>
      </c>
      <c r="B3" s="2201" t="s">
        <v>7</v>
      </c>
      <c r="C3" s="2202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20" s="35" customFormat="1" ht="30" x14ac:dyDescent="0.45">
      <c r="A4" s="2035"/>
      <c r="B4" s="2203"/>
      <c r="C4" s="2204"/>
      <c r="D4" s="366" t="s">
        <v>9</v>
      </c>
      <c r="E4" s="383" t="str">
        <f>G4</f>
        <v>UpTo 
AUG-21</v>
      </c>
      <c r="F4" s="383" t="s">
        <v>542</v>
      </c>
      <c r="G4" s="383" t="s">
        <v>543</v>
      </c>
      <c r="H4" s="2111" t="s">
        <v>12</v>
      </c>
      <c r="I4" s="2111" t="s">
        <v>13</v>
      </c>
      <c r="N4" s="380"/>
    </row>
    <row r="5" spans="1:20" ht="20.25" hidden="1" customHeight="1" x14ac:dyDescent="0.5">
      <c r="A5" s="2036"/>
      <c r="B5" s="2203"/>
      <c r="C5" s="2204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20" ht="30" customHeight="1" x14ac:dyDescent="0.35">
      <c r="A6" s="372">
        <v>1</v>
      </c>
      <c r="B6" s="2049" t="s">
        <v>290</v>
      </c>
      <c r="C6" s="2049"/>
      <c r="D6" s="304">
        <f>'TARGET SHEET 2021-22'!D28</f>
        <v>810.69999999999993</v>
      </c>
      <c r="E6" s="305">
        <f>'UPTO JULY 2021'!E6+'AUG-2021'!E6</f>
        <v>349.71000000000004</v>
      </c>
      <c r="F6" s="305">
        <f>'UPTO JULY 2021'!F6+'AUG-2021'!F6</f>
        <v>-4.6108203999999988</v>
      </c>
      <c r="G6" s="305">
        <f>'UPTO JULY 2021'!G6+'AUG-2021'!G6</f>
        <v>175.68424348299999</v>
      </c>
      <c r="H6" s="306">
        <f>(G6-E6)/E6*100</f>
        <v>-49.762876817077014</v>
      </c>
      <c r="I6" s="517">
        <v>3910.3</v>
      </c>
      <c r="K6" s="12"/>
    </row>
    <row r="7" spans="1:20" ht="26.25" customHeight="1" x14ac:dyDescent="0.35">
      <c r="A7" s="373">
        <v>2</v>
      </c>
      <c r="B7" s="2050" t="s">
        <v>291</v>
      </c>
      <c r="C7" s="2051"/>
      <c r="D7" s="434">
        <f>'TARGET SHEET 2021-22'!E28</f>
        <v>132.88999999999999</v>
      </c>
      <c r="E7" s="434">
        <f>'UPTO JULY 2021'!E7+'AUG-2021'!E7</f>
        <v>54.110000000000007</v>
      </c>
      <c r="F7" s="434">
        <v>45.4</v>
      </c>
      <c r="G7" s="434">
        <v>99.6</v>
      </c>
      <c r="H7" s="517">
        <f>(G7-E7)/E7*100</f>
        <v>84.069488079837342</v>
      </c>
      <c r="I7" s="517">
        <f>(G7-F7)/F7*100</f>
        <v>119.38325991189427</v>
      </c>
      <c r="K7" s="12"/>
      <c r="T7" s="12"/>
    </row>
    <row r="8" spans="1:20" ht="32.25" customHeight="1" x14ac:dyDescent="0.35">
      <c r="A8" s="374">
        <v>3</v>
      </c>
      <c r="B8" s="2021" t="s">
        <v>292</v>
      </c>
      <c r="C8" s="2023"/>
      <c r="D8" s="364">
        <f>'TARGET SHEET 2021-22'!F28</f>
        <v>63.210000000000008</v>
      </c>
      <c r="E8" s="305">
        <f>'UPTO JULY 2021'!E8+'AUG-2021'!E8</f>
        <v>26.53</v>
      </c>
      <c r="F8" s="305">
        <f>'UPTO JULY 2021'!F8+'AUG-2021'!F8</f>
        <v>3.4454563999999999</v>
      </c>
      <c r="G8" s="305">
        <f>'UPTO JULY 2021'!G8+'AUG-2021'!G8</f>
        <v>22.802210600000002</v>
      </c>
      <c r="H8" s="306">
        <f>(G8-E8)/E8*100</f>
        <v>-14.051222766679228</v>
      </c>
      <c r="I8" s="517">
        <f>(G8-F8)/F8*100</f>
        <v>561.80522847423072</v>
      </c>
      <c r="K8" s="12"/>
    </row>
    <row r="9" spans="1:20" ht="34.5" customHeight="1" x14ac:dyDescent="0.35">
      <c r="A9" s="373">
        <v>4</v>
      </c>
      <c r="B9" s="2052" t="s">
        <v>293</v>
      </c>
      <c r="C9" s="2053"/>
      <c r="D9" s="434">
        <f>'TARGET SHEET 2021-22'!N28</f>
        <v>8.1447600000000016</v>
      </c>
      <c r="E9" s="434">
        <f>E35+E36+E37</f>
        <v>3.3936500000000001</v>
      </c>
      <c r="F9" s="434">
        <f>'UPTO JULY 2021'!F9+'AUG-2021'!F9</f>
        <v>0.31340250000000003</v>
      </c>
      <c r="G9" s="434">
        <f>'UPTO JULY 2021'!G9+'AUG-2021'!G9</f>
        <v>2.4726718999999999</v>
      </c>
      <c r="H9" s="517">
        <f>(G9-E9)/E9*100</f>
        <v>-27.138275897632347</v>
      </c>
      <c r="I9" s="517">
        <f>(G9-F9)/F9*100</f>
        <v>688.97644402964227</v>
      </c>
      <c r="K9" s="12"/>
    </row>
    <row r="10" spans="1:20" ht="48" customHeight="1" x14ac:dyDescent="0.35">
      <c r="A10" s="374">
        <v>5</v>
      </c>
      <c r="B10" s="2054" t="s">
        <v>294</v>
      </c>
      <c r="C10" s="2055"/>
      <c r="D10" s="305">
        <f>SUM(D6:D9)</f>
        <v>1014.94476</v>
      </c>
      <c r="E10" s="305">
        <f>SUM(E6:E9)</f>
        <v>433.74365</v>
      </c>
      <c r="F10" s="305">
        <f>SUM(F6:F9)</f>
        <v>44.548038499999997</v>
      </c>
      <c r="G10" s="305">
        <f>SUM(G6:G9)</f>
        <v>300.559125983</v>
      </c>
      <c r="H10" s="306">
        <f>(G10-E10)/E10*100</f>
        <v>-30.705815293664816</v>
      </c>
      <c r="I10" s="517">
        <f>(G10-F10)/F10*100</f>
        <v>574.68543195902998</v>
      </c>
    </row>
    <row r="11" spans="1:20" ht="8.2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20" ht="30.75" customHeight="1" x14ac:dyDescent="0.35">
      <c r="A12" s="373">
        <v>6.3</v>
      </c>
      <c r="B12" s="2159" t="s">
        <v>420</v>
      </c>
      <c r="C12" s="2161"/>
      <c r="D12" s="332" t="s">
        <v>221</v>
      </c>
      <c r="E12" s="307" t="s">
        <v>221</v>
      </c>
      <c r="F12" s="305">
        <f>F42+F43+F44</f>
        <v>-0.17101800000000003</v>
      </c>
      <c r="G12" s="305">
        <f>G42+G43+G44</f>
        <v>3.8132979999999996</v>
      </c>
      <c r="H12" s="308" t="s">
        <v>221</v>
      </c>
      <c r="I12" s="517">
        <v>2329.8000000000002</v>
      </c>
    </row>
    <row r="13" spans="1:20" ht="16.5" customHeight="1" x14ac:dyDescent="0.35">
      <c r="B13" s="2167" t="s">
        <v>229</v>
      </c>
      <c r="C13" s="2168"/>
      <c r="D13" s="2168"/>
      <c r="E13" s="2168"/>
      <c r="F13" s="2168"/>
      <c r="G13" s="2168"/>
      <c r="H13" s="2168"/>
      <c r="I13" s="2169"/>
    </row>
    <row r="14" spans="1:20" ht="14.25" customHeight="1" x14ac:dyDescent="0.35">
      <c r="A14" s="2003">
        <v>1</v>
      </c>
      <c r="B14" s="2021" t="s">
        <v>298</v>
      </c>
      <c r="C14" s="2022"/>
      <c r="D14" s="2022"/>
      <c r="E14" s="2022"/>
      <c r="F14" s="2022"/>
      <c r="G14" s="2022"/>
      <c r="H14" s="2022"/>
      <c r="I14" s="2023"/>
    </row>
    <row r="15" spans="1:20" ht="15.4" x14ac:dyDescent="0.4">
      <c r="A15" s="2004"/>
      <c r="B15" s="2006" t="s">
        <v>16</v>
      </c>
      <c r="C15" s="2007"/>
      <c r="D15" s="331" t="s">
        <v>221</v>
      </c>
      <c r="E15" s="315">
        <f>'UPTO JULY 2021'!E15+'AUG-2021'!E15</f>
        <v>0.82000000000000006</v>
      </c>
      <c r="F15" s="315">
        <f>'UPTO JULY 2021'!F15+'AUG-2021'!F15</f>
        <v>6.8099999999999996E-4</v>
      </c>
      <c r="G15" s="315">
        <f>'UPTO JULY 2021'!G15+'AUG-2021'!G15</f>
        <v>0.28251188300000002</v>
      </c>
      <c r="H15" s="316">
        <f>(G15-E15)/E15*100</f>
        <v>-65.547331341463419</v>
      </c>
      <c r="I15" s="316" t="s">
        <v>221</v>
      </c>
    </row>
    <row r="16" spans="1:20" ht="15.4" x14ac:dyDescent="0.4">
      <c r="A16" s="2004"/>
      <c r="B16" s="2071" t="s">
        <v>15</v>
      </c>
      <c r="C16" s="320" t="s">
        <v>166</v>
      </c>
      <c r="D16" s="2064" t="s">
        <v>221</v>
      </c>
      <c r="E16" s="2154">
        <f>'UPTO JULY 2021'!E16:E17+'AUG-2021'!E16:E17</f>
        <v>348.89000000000004</v>
      </c>
      <c r="F16" s="315">
        <f>'UPTO JULY 2021'!F16+'AUG-2021'!F16</f>
        <v>13.875142499999999</v>
      </c>
      <c r="G16" s="315">
        <f>'UPTO JULY 2021'!G16+'AUG-2021'!G16</f>
        <v>0.21566639999999998</v>
      </c>
      <c r="H16" s="2027">
        <v>-49.73</v>
      </c>
      <c r="I16" s="316">
        <f>(G16-F16)/F16*100</f>
        <v>-98.4456635310232</v>
      </c>
      <c r="J16" s="12"/>
      <c r="K16" s="12"/>
      <c r="L16" s="12"/>
      <c r="M16" s="12"/>
    </row>
    <row r="17" spans="1:9" ht="15.4" x14ac:dyDescent="0.4">
      <c r="A17" s="2005"/>
      <c r="B17" s="2071"/>
      <c r="C17" s="320" t="s">
        <v>228</v>
      </c>
      <c r="D17" s="2064"/>
      <c r="E17" s="2155"/>
      <c r="F17" s="315">
        <f>'UPTO JULY 2021'!F17+'AUG-2021'!F17</f>
        <v>-18.486643899999997</v>
      </c>
      <c r="G17" s="315">
        <f>'UPTO JULY 2021'!G17+'AUG-2021'!G17</f>
        <v>175.1860652</v>
      </c>
      <c r="H17" s="2029"/>
      <c r="I17" s="316">
        <v>965.7</v>
      </c>
    </row>
    <row r="18" spans="1:9" ht="14.25" customHeight="1" x14ac:dyDescent="0.35">
      <c r="A18" s="2003">
        <v>2</v>
      </c>
      <c r="B18" s="2021" t="s">
        <v>467</v>
      </c>
      <c r="C18" s="2022"/>
      <c r="D18" s="2022"/>
      <c r="E18" s="2022"/>
      <c r="F18" s="2022"/>
      <c r="G18" s="2022"/>
      <c r="H18" s="2022"/>
      <c r="I18" s="2023"/>
    </row>
    <row r="19" spans="1:9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f>'UPTO JULY 2021'!F19+'AUG-2021'!F19</f>
        <v>14.1187091</v>
      </c>
      <c r="G19" s="315">
        <f>'UPTO JULY 2021'!G19+'AUG-2021'!G19</f>
        <v>78.924567999999994</v>
      </c>
      <c r="H19" s="316" t="s">
        <v>221</v>
      </c>
      <c r="I19" s="316">
        <f>(G19-F19)/F19*100</f>
        <v>459.00697040354765</v>
      </c>
    </row>
    <row r="20" spans="1:9" ht="15.4" x14ac:dyDescent="0.4">
      <c r="A20" s="2004"/>
      <c r="B20" s="2009"/>
      <c r="C20" s="2000" t="s">
        <v>232</v>
      </c>
      <c r="D20" s="2001"/>
      <c r="E20" s="2002"/>
      <c r="F20" s="315">
        <f>'UPTO JULY 2021'!F20+'AUG-2021'!F20</f>
        <v>23.114040699999997</v>
      </c>
      <c r="G20" s="315">
        <f>'UPTO JULY 2021'!G20+'AUG-2021'!G20</f>
        <v>2.4076298</v>
      </c>
      <c r="H20" s="316" t="s">
        <v>221</v>
      </c>
      <c r="I20" s="316">
        <f>(G20-F20)/F20*100</f>
        <v>-89.58369143998263</v>
      </c>
    </row>
    <row r="21" spans="1:9" ht="15.4" x14ac:dyDescent="0.4">
      <c r="A21" s="2004"/>
      <c r="B21" s="2009"/>
      <c r="C21" s="2000" t="s">
        <v>239</v>
      </c>
      <c r="D21" s="2001"/>
      <c r="E21" s="2002"/>
      <c r="F21" s="315">
        <f>'UPTO JULY 2021'!F21+'AUG-2021'!F21</f>
        <v>3.2822839999999998</v>
      </c>
      <c r="G21" s="315">
        <f>'UPTO JULY 2021'!G21+'AUG-2021'!G21</f>
        <v>12.834846300000002</v>
      </c>
      <c r="H21" s="316" t="s">
        <v>221</v>
      </c>
      <c r="I21" s="316">
        <f>(G21-F21)/F21*100</f>
        <v>291.03399644881438</v>
      </c>
    </row>
    <row r="22" spans="1:9" ht="15.4" x14ac:dyDescent="0.4">
      <c r="A22" s="2004"/>
      <c r="B22" s="2009"/>
      <c r="C22" s="2000" t="s">
        <v>233</v>
      </c>
      <c r="D22" s="2001"/>
      <c r="E22" s="2002"/>
      <c r="F22" s="315">
        <f>'UPTO JULY 2021'!F22+'AUG-2021'!F22</f>
        <v>4.7731356000000007</v>
      </c>
      <c r="G22" s="315">
        <f>'UPTO JULY 2021'!G22+'AUG-2021'!G22</f>
        <v>4.3661602000000004</v>
      </c>
      <c r="H22" s="316" t="s">
        <v>221</v>
      </c>
      <c r="I22" s="316">
        <f>(G22-F22)/F22*100</f>
        <v>-8.5263741511973858</v>
      </c>
    </row>
    <row r="23" spans="1:9" ht="15.4" x14ac:dyDescent="0.4">
      <c r="A23" s="2004"/>
      <c r="B23" s="2009"/>
      <c r="C23" s="2000" t="s">
        <v>234</v>
      </c>
      <c r="D23" s="2001"/>
      <c r="E23" s="2002"/>
      <c r="F23" s="315">
        <f>'UPTO JULY 2021'!F23+'AUG-2021'!F23</f>
        <v>0.08</v>
      </c>
      <c r="G23" s="315">
        <f>'UPTO JULY 2021'!G23+'AUG-2021'!G23</f>
        <v>0</v>
      </c>
      <c r="H23" s="316" t="s">
        <v>221</v>
      </c>
      <c r="I23" s="316">
        <f>(G23-F23)/F23*100</f>
        <v>-100</v>
      </c>
    </row>
    <row r="24" spans="1:9" ht="15.4" x14ac:dyDescent="0.4">
      <c r="A24" s="2004"/>
      <c r="B24" s="2009"/>
      <c r="C24" s="2000" t="s">
        <v>235</v>
      </c>
      <c r="D24" s="2001"/>
      <c r="E24" s="2002"/>
      <c r="F24" s="315">
        <f>'UPTO JULY 2021'!F24+'AUG-2021'!F24</f>
        <v>0</v>
      </c>
      <c r="G24" s="315">
        <f>'UPTO JULY 2021'!G24+'AUG-2021'!G24</f>
        <v>0.23711930000000001</v>
      </c>
      <c r="H24" s="316"/>
      <c r="I24" s="316" t="s">
        <v>221</v>
      </c>
    </row>
    <row r="25" spans="1:9" ht="25.5" customHeight="1" x14ac:dyDescent="0.35">
      <c r="A25" s="2005"/>
      <c r="B25" s="2010"/>
      <c r="C25" s="2159" t="s">
        <v>549</v>
      </c>
      <c r="D25" s="2160"/>
      <c r="E25" s="2161"/>
      <c r="F25" s="315">
        <f>'UPTO JULY 2021'!F25+'AUG-2021'!F25</f>
        <v>0</v>
      </c>
      <c r="G25" s="315">
        <f>'UPTO JULY 2021'!G25+'AUG-2021'!G25</f>
        <v>6.9302300000000011E-2</v>
      </c>
      <c r="H25" s="316" t="s">
        <v>221</v>
      </c>
      <c r="I25" s="316" t="s">
        <v>221</v>
      </c>
    </row>
    <row r="26" spans="1:9" ht="15.75" customHeight="1" x14ac:dyDescent="0.35">
      <c r="A26" s="2014">
        <v>3</v>
      </c>
      <c r="B26" s="2021" t="s">
        <v>296</v>
      </c>
      <c r="C26" s="2022"/>
      <c r="D26" s="2022"/>
      <c r="E26" s="2022"/>
      <c r="F26" s="2022"/>
      <c r="G26" s="2022"/>
      <c r="H26" s="2022"/>
      <c r="I26" s="2023"/>
    </row>
    <row r="27" spans="1:9" ht="15.4" x14ac:dyDescent="0.4">
      <c r="A27" s="2015"/>
      <c r="B27" s="2006" t="s">
        <v>2</v>
      </c>
      <c r="C27" s="2007"/>
      <c r="D27" s="314">
        <v>6</v>
      </c>
      <c r="E27" s="315">
        <f>'UPTO JULY 2021'!E27+'AUG-2021'!E27</f>
        <v>2.5</v>
      </c>
      <c r="F27" s="315">
        <f>'UPTO JULY 2021'!F27+'AUG-2021'!F27</f>
        <v>7.2919999999999999E-3</v>
      </c>
      <c r="G27" s="315">
        <f>'UPTO JULY 2021'!G27+'AUG-2021'!G27</f>
        <v>1.5507149</v>
      </c>
      <c r="H27" s="316">
        <f>(G27-E27)/E27*100</f>
        <v>-37.971404</v>
      </c>
      <c r="I27" s="316" t="s">
        <v>221</v>
      </c>
    </row>
    <row r="28" spans="1:9" ht="15.4" x14ac:dyDescent="0.4">
      <c r="A28" s="2015"/>
      <c r="B28" s="2006" t="s">
        <v>23</v>
      </c>
      <c r="C28" s="2007"/>
      <c r="D28" s="603">
        <f>'TARGET SHEET 2021-22'!B56</f>
        <v>28.5</v>
      </c>
      <c r="E28" s="315">
        <f>'UPTO JULY 2021'!E28+'AUG-2021'!E28</f>
        <v>9.5</v>
      </c>
      <c r="F28" s="315">
        <f>'UPTO JULY 2021'!F28+'AUG-2021'!F28</f>
        <v>1.8115483999999999</v>
      </c>
      <c r="G28" s="315">
        <f>'UPTO JULY 2021'!G28+'AUG-2021'!G28</f>
        <v>9.6229256999999997</v>
      </c>
      <c r="H28" s="316">
        <f>(G28-E28)/E28*100</f>
        <v>1.293954736842102</v>
      </c>
      <c r="I28" s="316">
        <f>(G28-F28)/F28*100</f>
        <v>431.19892904876292</v>
      </c>
    </row>
    <row r="29" spans="1:9" ht="15.4" x14ac:dyDescent="0.4">
      <c r="A29" s="2015"/>
      <c r="B29" s="2006" t="s">
        <v>1</v>
      </c>
      <c r="C29" s="2007"/>
      <c r="D29" s="313">
        <f>'TARGET SHEET 2021-22'!C56</f>
        <v>3.7399999999999998</v>
      </c>
      <c r="E29" s="315">
        <f>'UPTO JULY 2021'!E29+'AUG-2021'!E29</f>
        <v>1.4</v>
      </c>
      <c r="F29" s="315">
        <f>'UPTO JULY 2021'!F29+'AUG-2021'!F29</f>
        <v>1.2406199999999999E-2</v>
      </c>
      <c r="G29" s="315">
        <f>'UPTO JULY 2021'!G29+'AUG-2021'!G29</f>
        <v>0.48235220000000001</v>
      </c>
      <c r="H29" s="316">
        <f>(G29-E29)/E29*100</f>
        <v>-65.54627142857143</v>
      </c>
      <c r="I29" s="316">
        <f>(G29-F29)/F29*100</f>
        <v>3787.9931002240824</v>
      </c>
    </row>
    <row r="30" spans="1:9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5">
        <f>'UPTO JULY 2021'!F30+'AUG-2021'!F30</f>
        <v>0</v>
      </c>
      <c r="G30" s="315">
        <f>'UPTO JULY 2021'!G30+'AUG-2021'!G30</f>
        <v>8.9895000000000003E-2</v>
      </c>
      <c r="H30" s="316" t="s">
        <v>221</v>
      </c>
      <c r="I30" s="316" t="s">
        <v>221</v>
      </c>
    </row>
    <row r="31" spans="1:9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f>'UPTO JULY 2021'!F31+'AUG-2021'!F31</f>
        <v>0</v>
      </c>
      <c r="G31" s="315">
        <f>'UPTO JULY 2021'!G31+'AUG-2021'!G31</f>
        <v>0.68822640000000002</v>
      </c>
      <c r="H31" s="316" t="s">
        <v>221</v>
      </c>
      <c r="I31" s="316" t="s">
        <v>221</v>
      </c>
    </row>
    <row r="32" spans="1:9" ht="15.4" x14ac:dyDescent="0.4">
      <c r="A32" s="2015"/>
      <c r="B32" s="2017" t="s">
        <v>241</v>
      </c>
      <c r="C32" s="2030"/>
      <c r="D32" s="540" t="s">
        <v>221</v>
      </c>
      <c r="E32" s="316" t="s">
        <v>221</v>
      </c>
      <c r="F32" s="315">
        <f>'UPTO JULY 2021'!F32+'AUG-2021'!F32</f>
        <v>1.6119259000000001</v>
      </c>
      <c r="G32" s="315">
        <f>'UPTO JULY 2021'!G32+'AUG-2021'!G32</f>
        <v>10.155078899999999</v>
      </c>
      <c r="H32" s="316" t="s">
        <v>221</v>
      </c>
      <c r="I32" s="316">
        <f>(G32-F32)/F32*100</f>
        <v>529.99663321992648</v>
      </c>
    </row>
    <row r="33" spans="1:14" ht="15.4" x14ac:dyDescent="0.4">
      <c r="A33" s="2016"/>
      <c r="B33" s="2006" t="s">
        <v>260</v>
      </c>
      <c r="C33" s="2019"/>
      <c r="D33" s="540" t="s">
        <v>221</v>
      </c>
      <c r="E33" s="316" t="s">
        <v>221</v>
      </c>
      <c r="F33" s="315">
        <f>'UPTO JULY 2021'!F33+'AUG-2021'!F33</f>
        <v>4.9899999999999999E-4</v>
      </c>
      <c r="G33" s="315">
        <f>'UPTO JULY 2021'!G33+'AUG-2021'!G33</f>
        <v>0.21301749999999997</v>
      </c>
      <c r="H33" s="413"/>
      <c r="I33" s="316" t="s">
        <v>221</v>
      </c>
    </row>
    <row r="34" spans="1:14" ht="15.75" customHeight="1" x14ac:dyDescent="0.35">
      <c r="A34" s="2014">
        <v>4</v>
      </c>
      <c r="B34" s="2021" t="s">
        <v>295</v>
      </c>
      <c r="C34" s="2022"/>
      <c r="D34" s="2022"/>
      <c r="E34" s="2022"/>
      <c r="F34" s="2022"/>
      <c r="G34" s="2022"/>
      <c r="H34" s="2022"/>
      <c r="I34" s="2023"/>
    </row>
    <row r="35" spans="1:14" ht="15.4" x14ac:dyDescent="0.4">
      <c r="A35" s="2015"/>
      <c r="B35" s="2006" t="s">
        <v>27</v>
      </c>
      <c r="C35" s="2007"/>
      <c r="D35" s="603">
        <v>4.05</v>
      </c>
      <c r="E35" s="404">
        <f>'UPTO JULY 2021'!E35+'AUG-2021'!E35</f>
        <v>1.6850000000000001</v>
      </c>
      <c r="F35" s="315">
        <f>'UPTO JULY 2021'!F35+'AUG-2021'!F35</f>
        <v>0.13550000000000001</v>
      </c>
      <c r="G35" s="315">
        <f>'UPTO JULY 2021'!G35+'AUG-2021'!G35</f>
        <v>1.4768064999999999</v>
      </c>
      <c r="H35" s="314">
        <f>(G35-E35)/E35*100</f>
        <v>-12.355697329376863</v>
      </c>
      <c r="I35" s="316">
        <f>(G35-F35)/F35*100</f>
        <v>989.89409594095935</v>
      </c>
    </row>
    <row r="36" spans="1:14" ht="15.4" x14ac:dyDescent="0.4">
      <c r="A36" s="2015"/>
      <c r="B36" s="2006" t="s">
        <v>28</v>
      </c>
      <c r="C36" s="2007"/>
      <c r="D36" s="313">
        <v>2.56</v>
      </c>
      <c r="E36" s="315">
        <f>'UPTO JULY 2021'!E36+'AUG-2021'!E36</f>
        <v>1.0669999999999999</v>
      </c>
      <c r="F36" s="315">
        <f>'UPTO JULY 2021'!F36+'AUG-2021'!F36</f>
        <v>1.575E-2</v>
      </c>
      <c r="G36" s="315">
        <f>'UPTO JULY 2021'!G36+'AUG-2021'!G36</f>
        <v>8.7867000000000001E-2</v>
      </c>
      <c r="H36" s="314">
        <f>(G36-E36)/E36*100</f>
        <v>-91.765042174320527</v>
      </c>
      <c r="I36" s="316">
        <f>(G36-F36)/F36*100</f>
        <v>457.8857142857143</v>
      </c>
    </row>
    <row r="37" spans="1:14" ht="15.4" x14ac:dyDescent="0.4">
      <c r="A37" s="2015"/>
      <c r="B37" s="378" t="s">
        <v>224</v>
      </c>
      <c r="C37" s="379"/>
      <c r="D37" s="603" t="s">
        <v>221</v>
      </c>
      <c r="E37" s="315">
        <f>'UPTO JULY 2021'!E37+'AUG-2021'!E37</f>
        <v>0.64165000000000005</v>
      </c>
      <c r="F37" s="315">
        <f>'UPTO JULY 2021'!F37+'AUG-2021'!F37</f>
        <v>0.1042862</v>
      </c>
      <c r="G37" s="315">
        <f>'UPTO JULY 2021'!G37+'AUG-2021'!G37</f>
        <v>6.7188000000000005E-3</v>
      </c>
      <c r="H37" s="314">
        <f>(G37-E37)/E37*100</f>
        <v>-98.952887087976308</v>
      </c>
      <c r="I37" s="316">
        <f>(G37-F37)/F37*100</f>
        <v>-93.557345075379104</v>
      </c>
    </row>
    <row r="38" spans="1:14" ht="15.4" x14ac:dyDescent="0.4">
      <c r="A38" s="2015"/>
      <c r="B38" s="2006" t="s">
        <v>64</v>
      </c>
      <c r="C38" s="2007"/>
      <c r="D38" s="540" t="s">
        <v>221</v>
      </c>
      <c r="E38" s="315" t="s">
        <v>221</v>
      </c>
      <c r="F38" s="315">
        <f>'UPTO JULY 2021'!F38+'AUG-2021'!F38</f>
        <v>0</v>
      </c>
      <c r="G38" s="315">
        <f>'UPTO JULY 2021'!G38+'AUG-2021'!G38</f>
        <v>0</v>
      </c>
      <c r="H38" s="314" t="s">
        <v>221</v>
      </c>
      <c r="I38" s="316" t="s">
        <v>221</v>
      </c>
      <c r="K38" s="12"/>
    </row>
    <row r="39" spans="1:14" ht="15.4" x14ac:dyDescent="0.4">
      <c r="A39" s="2015"/>
      <c r="B39" s="2006" t="s">
        <v>4</v>
      </c>
      <c r="C39" s="2007"/>
      <c r="D39" s="540" t="s">
        <v>221</v>
      </c>
      <c r="E39" s="315" t="s">
        <v>221</v>
      </c>
      <c r="F39" s="315">
        <f>'UPTO JULY 2021'!F39+'AUG-2021'!F39</f>
        <v>0</v>
      </c>
      <c r="G39" s="315">
        <f>'UPTO JULY 2021'!G39+'AUG-2021'!G39</f>
        <v>3.9713100000000001E-2</v>
      </c>
      <c r="H39" s="314" t="s">
        <v>221</v>
      </c>
      <c r="I39" s="316" t="s">
        <v>221</v>
      </c>
    </row>
    <row r="40" spans="1:14" ht="15.4" x14ac:dyDescent="0.4">
      <c r="A40" s="2016"/>
      <c r="B40" s="2006" t="s">
        <v>259</v>
      </c>
      <c r="C40" s="2019"/>
      <c r="D40" s="540" t="s">
        <v>221</v>
      </c>
      <c r="E40" s="315" t="s">
        <v>221</v>
      </c>
      <c r="F40" s="315">
        <f>'UPTO JULY 2021'!F40+'AUG-2021'!F40</f>
        <v>5.7866300000000009E-2</v>
      </c>
      <c r="G40" s="315">
        <f>'UPTO JULY 2021'!G40+'AUG-2021'!G40</f>
        <v>0.86156650000000001</v>
      </c>
      <c r="H40" s="407" t="s">
        <v>221</v>
      </c>
      <c r="I40" s="316">
        <f>(G40-F40)/F40*100</f>
        <v>1388.8916346820167</v>
      </c>
    </row>
    <row r="41" spans="1:14" ht="15" x14ac:dyDescent="0.35">
      <c r="A41" s="2020">
        <v>5</v>
      </c>
      <c r="B41" s="2021" t="s">
        <v>346</v>
      </c>
      <c r="C41" s="2022"/>
      <c r="D41" s="2022"/>
      <c r="E41" s="2022"/>
      <c r="F41" s="2022"/>
      <c r="G41" s="2022"/>
      <c r="H41" s="2022"/>
      <c r="I41" s="2023"/>
    </row>
    <row r="42" spans="1:14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f>'UPTO JULY 2021'!F42+'AUG-2021'!F42</f>
        <v>8.4999999999999995E-4</v>
      </c>
      <c r="G42" s="315">
        <f>'UPTO JULY 2021'!G42+'AUG-2021'!G42</f>
        <v>0.68420499999999995</v>
      </c>
      <c r="H42" s="314" t="s">
        <v>221</v>
      </c>
      <c r="I42" s="316" t="s">
        <v>221</v>
      </c>
    </row>
    <row r="43" spans="1:14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5">
        <f>'UPTO JULY 2021'!F43+'AUG-2021'!F43</f>
        <v>0.18290899999999999</v>
      </c>
      <c r="G43" s="315">
        <f>'UPTO JULY 2021'!G43+'AUG-2021'!G43</f>
        <v>0.22278899999999996</v>
      </c>
      <c r="H43" s="2027" t="s">
        <v>221</v>
      </c>
      <c r="I43" s="316">
        <f>(G43-F43)/F43*100</f>
        <v>21.803191751089326</v>
      </c>
      <c r="L43" s="12">
        <v>-2.58</v>
      </c>
      <c r="M43" s="12">
        <v>26.22</v>
      </c>
      <c r="N43" s="5">
        <f>(M43-L43)/L43*100</f>
        <v>-1116.2790697674418</v>
      </c>
    </row>
    <row r="44" spans="1:14" ht="15.4" x14ac:dyDescent="0.4">
      <c r="A44" s="2020"/>
      <c r="B44" s="2070"/>
      <c r="C44" s="320" t="s">
        <v>228</v>
      </c>
      <c r="D44" s="2163"/>
      <c r="E44" s="2155"/>
      <c r="F44" s="315">
        <f>'UPTO JULY 2021'!F44+'AUG-2021'!F44</f>
        <v>-0.35477700000000001</v>
      </c>
      <c r="G44" s="315">
        <f>'UPTO JULY 2021'!G44+'AUG-2021'!G44</f>
        <v>2.906304</v>
      </c>
      <c r="H44" s="2029"/>
      <c r="I44" s="316">
        <v>847.1</v>
      </c>
    </row>
    <row r="45" spans="1:14" ht="15" x14ac:dyDescent="0.35">
      <c r="A45" s="2020">
        <v>6</v>
      </c>
      <c r="B45" s="2021" t="s">
        <v>552</v>
      </c>
      <c r="C45" s="2022"/>
      <c r="D45" s="2022"/>
      <c r="E45" s="2022"/>
      <c r="F45" s="2022"/>
      <c r="G45" s="2022"/>
      <c r="H45" s="2022"/>
      <c r="I45" s="2023"/>
    </row>
    <row r="46" spans="1:14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282.33</v>
      </c>
      <c r="G46" s="313">
        <v>204.72</v>
      </c>
      <c r="H46" s="2027" t="s">
        <v>221</v>
      </c>
      <c r="I46" s="316">
        <f>(G46-F46)/F46*100</f>
        <v>-27.489108490064812</v>
      </c>
    </row>
    <row r="47" spans="1:14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29.57</v>
      </c>
      <c r="G47" s="313">
        <v>30.9</v>
      </c>
      <c r="H47" s="2028"/>
      <c r="I47" s="316">
        <f>(G47-F47)/F47*100</f>
        <v>4.4978018261751718</v>
      </c>
    </row>
    <row r="48" spans="1:14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311.89999999999998</v>
      </c>
      <c r="G48" s="313">
        <f>SUM(G46:G47)</f>
        <v>235.62</v>
      </c>
      <c r="H48" s="2029"/>
      <c r="I48" s="316">
        <f>(G48-F48)/F48*100</f>
        <v>-24.456556588650201</v>
      </c>
    </row>
    <row r="50" spans="5:9" s="5" customFormat="1" ht="16.149999999999999" thickBot="1" x14ac:dyDescent="0.45">
      <c r="E50" s="824">
        <v>-369859</v>
      </c>
      <c r="F50" s="12"/>
      <c r="G50" s="12"/>
      <c r="H50" s="314"/>
      <c r="I50" s="316"/>
    </row>
    <row r="51" spans="5:9" s="5" customFormat="1" ht="13.5" x14ac:dyDescent="0.35">
      <c r="E51" s="5">
        <f>E50/1000000</f>
        <v>-0.36985899999999999</v>
      </c>
      <c r="F51" s="12"/>
      <c r="G51" s="12"/>
      <c r="H51" s="11"/>
    </row>
    <row r="52" spans="5:9" s="5" customFormat="1" ht="13.5" x14ac:dyDescent="0.35">
      <c r="F52" s="5">
        <f t="shared" ref="F52:G54" si="0">F42*1000000</f>
        <v>850</v>
      </c>
      <c r="G52" s="5">
        <f t="shared" si="0"/>
        <v>684205</v>
      </c>
      <c r="H52" s="11"/>
    </row>
    <row r="53" spans="5:9" s="5" customFormat="1" ht="13.5" x14ac:dyDescent="0.35">
      <c r="F53" s="5">
        <f t="shared" si="0"/>
        <v>182909</v>
      </c>
      <c r="G53" s="5">
        <f t="shared" si="0"/>
        <v>222788.99999999997</v>
      </c>
      <c r="H53" s="11"/>
    </row>
    <row r="54" spans="5:9" s="5" customFormat="1" ht="13.5" x14ac:dyDescent="0.35">
      <c r="F54" s="5">
        <f t="shared" si="0"/>
        <v>-354777</v>
      </c>
      <c r="G54" s="5">
        <f t="shared" si="0"/>
        <v>2906304</v>
      </c>
      <c r="H54" s="11"/>
      <c r="I54" s="82"/>
    </row>
    <row r="57" spans="5:9" s="5" customFormat="1" ht="13.5" x14ac:dyDescent="0.35">
      <c r="F57" s="12">
        <f t="shared" ref="F57:G59" si="1">F52/100000</f>
        <v>8.5000000000000006E-3</v>
      </c>
      <c r="G57" s="12">
        <f t="shared" si="1"/>
        <v>6.8420500000000004</v>
      </c>
      <c r="H57" s="11"/>
      <c r="I57" s="82"/>
    </row>
    <row r="58" spans="5:9" s="5" customFormat="1" ht="13.5" x14ac:dyDescent="0.35">
      <c r="F58" s="12">
        <f t="shared" si="1"/>
        <v>1.8290900000000001</v>
      </c>
      <c r="G58" s="12">
        <f t="shared" si="1"/>
        <v>2.2278899999999999</v>
      </c>
      <c r="H58" s="11"/>
      <c r="I58" s="82"/>
    </row>
    <row r="59" spans="5:9" s="5" customFormat="1" ht="13.5" x14ac:dyDescent="0.35">
      <c r="F59" s="12">
        <f t="shared" si="1"/>
        <v>-3.5477699999999999</v>
      </c>
      <c r="G59" s="12">
        <f t="shared" si="1"/>
        <v>29.063040000000001</v>
      </c>
      <c r="H59" s="11"/>
      <c r="I59" s="82"/>
    </row>
  </sheetData>
  <mergeCells count="65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31:C31"/>
    <mergeCell ref="B32:C32"/>
    <mergeCell ref="A26:A33"/>
    <mergeCell ref="B33:C33"/>
    <mergeCell ref="B34:I34"/>
    <mergeCell ref="B26:I26"/>
    <mergeCell ref="B27:C27"/>
    <mergeCell ref="B28:C28"/>
    <mergeCell ref="B29:C29"/>
    <mergeCell ref="B30:C30"/>
    <mergeCell ref="B35:C35"/>
    <mergeCell ref="B36:C36"/>
    <mergeCell ref="B38:C38"/>
    <mergeCell ref="B39:C39"/>
    <mergeCell ref="A34:A40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rintOptions horizontalCentered="1"/>
  <pageMargins left="0.13" right="0.19685039370078741" top="0.33" bottom="0.41" header="0.31496062992125984" footer="0.31496062992125984"/>
  <pageSetup paperSize="9" scale="60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  <pageSetUpPr fitToPage="1"/>
  </sheetPr>
  <dimension ref="A1:T59"/>
  <sheetViews>
    <sheetView workbookViewId="0">
      <selection activeCell="M17" sqref="M17"/>
    </sheetView>
  </sheetViews>
  <sheetFormatPr defaultColWidth="9.1328125" defaultRowHeight="16.899999999999999" x14ac:dyDescent="0.35"/>
  <cols>
    <col min="1" max="1" width="5.86328125" style="376" customWidth="1"/>
    <col min="2" max="2" width="33.86328125" style="300" customWidth="1"/>
    <col min="3" max="3" width="6" style="5" bestFit="1" customWidth="1"/>
    <col min="4" max="4" width="11.3984375" style="84" bestFit="1" customWidth="1"/>
    <col min="5" max="5" width="11.3984375" style="35" customWidth="1"/>
    <col min="6" max="6" width="12.73046875" style="5" customWidth="1"/>
    <col min="7" max="7" width="14" style="5" customWidth="1"/>
    <col min="8" max="8" width="9.265625" style="11" bestFit="1" customWidth="1"/>
    <col min="9" max="9" width="10.3984375" style="82" customWidth="1"/>
    <col min="10" max="10" width="9.1328125" style="5"/>
    <col min="11" max="11" width="12.3984375" style="5" bestFit="1" customWidth="1"/>
    <col min="12" max="12" width="10" style="5" customWidth="1"/>
    <col min="13" max="13" width="9.1328125" style="5"/>
    <col min="14" max="14" width="9.59765625" style="5" bestFit="1" customWidth="1"/>
    <col min="15" max="16384" width="9.1328125" style="5"/>
  </cols>
  <sheetData>
    <row r="1" spans="1:20" ht="19.5" customHeight="1" x14ac:dyDescent="0.35">
      <c r="A1" s="2200" t="s">
        <v>5</v>
      </c>
      <c r="B1" s="2200"/>
      <c r="C1" s="2200"/>
      <c r="D1" s="2200"/>
      <c r="E1" s="2200"/>
      <c r="F1" s="2200"/>
      <c r="G1" s="2200"/>
      <c r="H1" s="2200"/>
      <c r="I1" s="2200"/>
    </row>
    <row r="2" spans="1:20" s="301" customFormat="1" ht="21.75" customHeight="1" thickBot="1" x14ac:dyDescent="0.5">
      <c r="A2" s="2092" t="s">
        <v>559</v>
      </c>
      <c r="B2" s="2093"/>
      <c r="C2" s="2093"/>
      <c r="D2" s="2093"/>
      <c r="E2" s="2093"/>
      <c r="F2" s="2093"/>
      <c r="G2" s="2093"/>
      <c r="H2" s="2093"/>
      <c r="I2" s="2094"/>
    </row>
    <row r="3" spans="1:20" ht="17.25" thickTop="1" x14ac:dyDescent="0.5">
      <c r="A3" s="2035" t="s">
        <v>144</v>
      </c>
      <c r="B3" s="2201" t="s">
        <v>7</v>
      </c>
      <c r="C3" s="2202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20" s="35" customFormat="1" ht="30" x14ac:dyDescent="0.45">
      <c r="A4" s="2035"/>
      <c r="B4" s="2203"/>
      <c r="C4" s="2204"/>
      <c r="D4" s="366" t="s">
        <v>9</v>
      </c>
      <c r="E4" s="383" t="str">
        <f>G4</f>
        <v>UpTo 
SEP-21</v>
      </c>
      <c r="F4" s="383" t="s">
        <v>560</v>
      </c>
      <c r="G4" s="383" t="s">
        <v>561</v>
      </c>
      <c r="H4" s="2111" t="s">
        <v>12</v>
      </c>
      <c r="I4" s="2111" t="s">
        <v>13</v>
      </c>
      <c r="N4" s="380"/>
    </row>
    <row r="5" spans="1:20" ht="20.25" hidden="1" customHeight="1" x14ac:dyDescent="0.5">
      <c r="A5" s="2036"/>
      <c r="B5" s="2203"/>
      <c r="C5" s="2204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20" ht="30" customHeight="1" x14ac:dyDescent="0.35">
      <c r="A6" s="372">
        <v>1</v>
      </c>
      <c r="B6" s="2049" t="s">
        <v>290</v>
      </c>
      <c r="C6" s="2049"/>
      <c r="D6" s="304">
        <f>'TARGET SHEET 2021-22'!D28</f>
        <v>810.69999999999993</v>
      </c>
      <c r="E6" s="305">
        <f>'UPTO JULY 2021'!E6+'AUG-2021'!E6+'SEPTEMBER 2021'!E6</f>
        <v>416.64000000000004</v>
      </c>
      <c r="F6" s="305">
        <f>F15+F16+F17</f>
        <v>4.0533029999999997</v>
      </c>
      <c r="G6" s="305">
        <f>'UPTO JULY 2021'!G6+'AUG-2021'!G6+'SEPTEMBER 2021'!G6</f>
        <v>234.29859418299998</v>
      </c>
      <c r="H6" s="517">
        <f>(G6-E6)/E6*100</f>
        <v>-43.764738339333732</v>
      </c>
      <c r="I6" s="517">
        <f>(G6-F6)/F6*100</f>
        <v>5680.4362067923375</v>
      </c>
      <c r="K6" s="12"/>
    </row>
    <row r="7" spans="1:20" ht="26.25" customHeight="1" x14ac:dyDescent="0.35">
      <c r="A7" s="373">
        <v>2</v>
      </c>
      <c r="B7" s="2050" t="s">
        <v>291</v>
      </c>
      <c r="C7" s="2051"/>
      <c r="D7" s="434">
        <f>'TARGET SHEET 2021-22'!E28</f>
        <v>132.88999999999999</v>
      </c>
      <c r="E7" s="434">
        <f>'UPTO JULY 2021'!E7+'AUG-2021'!E7+'SEPTEMBER 2021'!E7</f>
        <v>62.100000000000009</v>
      </c>
      <c r="F7" s="434">
        <f>'UPTO JULY 2021'!F7+'AUG-2021'!F7+'SEPTEMBER 2021'!F7</f>
        <v>56.478169399999999</v>
      </c>
      <c r="G7" s="434">
        <f>'UPTO JULY 2021'!G7+'AUG-2021'!G7+'SEPTEMBER 2021'!G7</f>
        <v>124.89962590000002</v>
      </c>
      <c r="H7" s="517">
        <f>(G7-E7)/E7*100</f>
        <v>101.1266117552335</v>
      </c>
      <c r="I7" s="517">
        <f>(G7-F7)/F7*100</f>
        <v>121.14673196188971</v>
      </c>
      <c r="K7" s="12"/>
      <c r="T7" s="12"/>
    </row>
    <row r="8" spans="1:20" ht="32.25" customHeight="1" x14ac:dyDescent="0.35">
      <c r="A8" s="374">
        <v>3</v>
      </c>
      <c r="B8" s="2021" t="s">
        <v>292</v>
      </c>
      <c r="C8" s="2023"/>
      <c r="D8" s="364">
        <f>'TARGET SHEET 2021-22'!F28</f>
        <v>63.210000000000008</v>
      </c>
      <c r="E8" s="305">
        <f>'UPTO JULY 2021'!E8+'AUG-2021'!E8+'SEPTEMBER 2021'!E8</f>
        <v>31.53</v>
      </c>
      <c r="F8" s="305">
        <f>'UPTO JULY 2021'!F8+'AUG-2021'!F8+'SEPTEMBER 2021'!F8</f>
        <v>4.7517405999999998</v>
      </c>
      <c r="G8" s="305">
        <f>'UPTO JULY 2021'!G8+'AUG-2021'!G8+'SEPTEMBER 2021'!G8</f>
        <v>27.944966800000003</v>
      </c>
      <c r="H8" s="517">
        <f>(G8-E8)/E8*100</f>
        <v>-11.370228988265138</v>
      </c>
      <c r="I8" s="517">
        <f>(G8-F8)/F8*100</f>
        <v>488.09958607588993</v>
      </c>
      <c r="K8" s="12"/>
    </row>
    <row r="9" spans="1:20" ht="34.5" customHeight="1" x14ac:dyDescent="0.35">
      <c r="A9" s="373">
        <v>4</v>
      </c>
      <c r="B9" s="2052" t="s">
        <v>293</v>
      </c>
      <c r="C9" s="2053"/>
      <c r="D9" s="434">
        <f>'TARGET SHEET 2021-22'!N28</f>
        <v>8.1447600000000016</v>
      </c>
      <c r="E9" s="434">
        <f>'UPTO JULY 2021'!E9+'AUG-2021'!E9+'SEPTEMBER 2021'!E9</f>
        <v>4.0723799999999999</v>
      </c>
      <c r="F9" s="434">
        <f>'UPTO JULY 2021'!F9+'AUG-2021'!F9+'SEPTEMBER 2021'!F9</f>
        <v>0.33707180000000003</v>
      </c>
      <c r="G9" s="434">
        <f>'UPTO JULY 2021'!G9+'AUG-2021'!G9+'SEPTEMBER 2021'!G9</f>
        <v>2.7998802999999999</v>
      </c>
      <c r="H9" s="517">
        <f>(G9-E9)/E9*100</f>
        <v>-31.247076648053472</v>
      </c>
      <c r="I9" s="517">
        <f>(G9-F9)/F9*100</f>
        <v>730.64803997249237</v>
      </c>
      <c r="K9" s="12"/>
    </row>
    <row r="10" spans="1:20" ht="48" customHeight="1" x14ac:dyDescent="0.35">
      <c r="A10" s="374">
        <v>5</v>
      </c>
      <c r="B10" s="2054" t="s">
        <v>294</v>
      </c>
      <c r="C10" s="2055"/>
      <c r="D10" s="305">
        <f>SUM(D6:D9)</f>
        <v>1014.94476</v>
      </c>
      <c r="E10" s="305">
        <f>SUM(E6:E9)</f>
        <v>514.34238000000005</v>
      </c>
      <c r="F10" s="305">
        <f>SUM(F6:F9)</f>
        <v>65.620284800000007</v>
      </c>
      <c r="G10" s="305">
        <f>SUM(G6:G9)</f>
        <v>389.94306718299998</v>
      </c>
      <c r="H10" s="517">
        <f>(G10-E10)/E10*100</f>
        <v>-24.186090365915412</v>
      </c>
      <c r="I10" s="517">
        <f>(G10-F10)/F10*100</f>
        <v>494.2416561761097</v>
      </c>
    </row>
    <row r="11" spans="1:20" ht="8.2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20" ht="30.75" customHeight="1" x14ac:dyDescent="0.35">
      <c r="A12" s="373">
        <v>6.3</v>
      </c>
      <c r="B12" s="2159" t="s">
        <v>420</v>
      </c>
      <c r="C12" s="2161"/>
      <c r="D12" s="332" t="s">
        <v>221</v>
      </c>
      <c r="E12" s="307" t="s">
        <v>221</v>
      </c>
      <c r="F12" s="305">
        <f>F42+F43+F44</f>
        <v>-3.9192000000000032E-2</v>
      </c>
      <c r="G12" s="305">
        <f>G42+G43+G44</f>
        <v>5.1259579999999998</v>
      </c>
      <c r="H12" s="308" t="s">
        <v>221</v>
      </c>
      <c r="I12" s="517">
        <v>13179.1</v>
      </c>
    </row>
    <row r="13" spans="1:20" ht="16.5" customHeight="1" x14ac:dyDescent="0.35">
      <c r="B13" s="2167" t="s">
        <v>229</v>
      </c>
      <c r="C13" s="2168"/>
      <c r="D13" s="2168"/>
      <c r="E13" s="2168"/>
      <c r="F13" s="2168"/>
      <c r="G13" s="2168"/>
      <c r="H13" s="2168"/>
      <c r="I13" s="2169"/>
    </row>
    <row r="14" spans="1:20" ht="14.25" customHeight="1" x14ac:dyDescent="0.35">
      <c r="A14" s="2003">
        <v>1</v>
      </c>
      <c r="B14" s="2021" t="s">
        <v>298</v>
      </c>
      <c r="C14" s="2022"/>
      <c r="D14" s="2022"/>
      <c r="E14" s="2022"/>
      <c r="F14" s="2022"/>
      <c r="G14" s="2022"/>
      <c r="H14" s="2022"/>
      <c r="I14" s="2023"/>
    </row>
    <row r="15" spans="1:20" ht="15.4" x14ac:dyDescent="0.4">
      <c r="A15" s="2004"/>
      <c r="B15" s="2006" t="s">
        <v>16</v>
      </c>
      <c r="C15" s="2007"/>
      <c r="D15" s="331" t="s">
        <v>221</v>
      </c>
      <c r="E15" s="316">
        <f>'UPTO JULY 2021'!E15+'AUG-2021'!E15+'SEPTEMBER 2021'!E15</f>
        <v>0.98000000000000009</v>
      </c>
      <c r="F15" s="315">
        <f>'UPTO JULY 2021'!F15+'AUG-2021'!F15+'SEPTEMBER 2021'!F15</f>
        <v>1.8714999999999999E-3</v>
      </c>
      <c r="G15" s="404">
        <f>'UPTO JULY 2021'!G15+'AUG-2021'!G15+'SEPTEMBER 2021'!G15</f>
        <v>0.38540063499999999</v>
      </c>
      <c r="H15" s="316">
        <f>(G15-E15)/E15*100</f>
        <v>-60.673404591836743</v>
      </c>
      <c r="I15" s="316" t="s">
        <v>221</v>
      </c>
    </row>
    <row r="16" spans="1:20" ht="15.4" x14ac:dyDescent="0.4">
      <c r="A16" s="2004"/>
      <c r="B16" s="2071" t="s">
        <v>15</v>
      </c>
      <c r="C16" s="320" t="s">
        <v>166</v>
      </c>
      <c r="D16" s="2064" t="s">
        <v>221</v>
      </c>
      <c r="E16" s="2154">
        <f>'UPTO JULY 2021'!E16+'AUG-2021'!E16+'SEPTEMBER 2021'!E16</f>
        <v>415.66</v>
      </c>
      <c r="F16" s="315">
        <f>'UPTO JULY 2021'!F16+'AUG-2021'!F16+'SEPTEMBER 2021'!F16</f>
        <v>13.8814315</v>
      </c>
      <c r="G16" s="315">
        <f>'UPTO JULY 2021'!G16+'AUG-2021'!G16+'SEPTEMBER 2021'!G16</f>
        <v>0.27737604799999999</v>
      </c>
      <c r="H16" s="2027">
        <v>-49.73</v>
      </c>
      <c r="I16" s="316">
        <f>(G16-F16)/F16*100</f>
        <v>-98.001819567383947</v>
      </c>
      <c r="J16" s="12"/>
      <c r="K16" s="12"/>
      <c r="L16" s="12"/>
      <c r="M16" s="12"/>
    </row>
    <row r="17" spans="1:11" ht="15.4" x14ac:dyDescent="0.4">
      <c r="A17" s="2005"/>
      <c r="B17" s="2071"/>
      <c r="C17" s="320" t="s">
        <v>228</v>
      </c>
      <c r="D17" s="2064"/>
      <c r="E17" s="2155"/>
      <c r="F17" s="315">
        <v>-9.83</v>
      </c>
      <c r="G17" s="315">
        <f>'UPTO JULY 2021'!G17+'AUG-2021'!G17+'SEPTEMBER 2021'!G17</f>
        <v>233.6358175</v>
      </c>
      <c r="H17" s="2029"/>
      <c r="I17" s="316">
        <v>2476.8000000000002</v>
      </c>
    </row>
    <row r="18" spans="1:11" ht="15" x14ac:dyDescent="0.35">
      <c r="A18" s="2003">
        <v>2</v>
      </c>
      <c r="B18" s="2021" t="s">
        <v>467</v>
      </c>
      <c r="C18" s="2022"/>
      <c r="D18" s="2022"/>
      <c r="E18" s="2022"/>
      <c r="F18" s="2022"/>
      <c r="G18" s="2022"/>
      <c r="H18" s="2022"/>
      <c r="I18" s="2023"/>
      <c r="K18" s="12"/>
    </row>
    <row r="19" spans="1:11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f>'UPTO JULY 2021'!F19+'AUG-2021'!F19+'SEPTEMBER 2021'!F19</f>
        <v>19.558709100000002</v>
      </c>
      <c r="G19" s="315">
        <f>'UPTO JULY 2021'!G19+'AUG-2021'!G19+'SEPTEMBER 2021'!G19</f>
        <v>101.39456799999999</v>
      </c>
      <c r="H19" s="316" t="s">
        <v>221</v>
      </c>
      <c r="I19" s="316">
        <f>(G19-F19)/F19*100</f>
        <v>418.41135057323379</v>
      </c>
    </row>
    <row r="20" spans="1:11" ht="15.4" x14ac:dyDescent="0.4">
      <c r="A20" s="2004"/>
      <c r="B20" s="2009"/>
      <c r="C20" s="2000" t="s">
        <v>232</v>
      </c>
      <c r="D20" s="2001"/>
      <c r="E20" s="2002"/>
      <c r="F20" s="315">
        <f>'UPTO JULY 2021'!F20+'AUG-2021'!F20+'SEPTEMBER 2021'!F20</f>
        <v>25.824040699999998</v>
      </c>
      <c r="G20" s="315">
        <f>'UPTO JULY 2021'!G20+'AUG-2021'!G20+'SEPTEMBER 2021'!G20</f>
        <v>4.0376297999999995</v>
      </c>
      <c r="H20" s="316" t="s">
        <v>221</v>
      </c>
      <c r="I20" s="316">
        <f>(G20-F20)/F20*100</f>
        <v>-84.364841091657667</v>
      </c>
    </row>
    <row r="21" spans="1:11" ht="15.4" x14ac:dyDescent="0.4">
      <c r="A21" s="2004"/>
      <c r="B21" s="2009"/>
      <c r="C21" s="2000" t="s">
        <v>239</v>
      </c>
      <c r="D21" s="2001"/>
      <c r="E21" s="2002"/>
      <c r="F21" s="315">
        <f>'UPTO JULY 2021'!F21+'AUG-2021'!F21+'SEPTEMBER 2021'!F21</f>
        <v>5.2622839999999993</v>
      </c>
      <c r="G21" s="315">
        <f>'UPTO JULY 2021'!G21+'AUG-2021'!G21+'SEPTEMBER 2021'!G21</f>
        <v>14.094846300000002</v>
      </c>
      <c r="H21" s="316" t="s">
        <v>221</v>
      </c>
      <c r="I21" s="316">
        <f>(G21-F21)/F21*100</f>
        <v>167.84655294165051</v>
      </c>
    </row>
    <row r="22" spans="1:11" ht="15.4" x14ac:dyDescent="0.4">
      <c r="A22" s="2004"/>
      <c r="B22" s="2009"/>
      <c r="C22" s="2000" t="s">
        <v>233</v>
      </c>
      <c r="D22" s="2001"/>
      <c r="E22" s="2002"/>
      <c r="F22" s="315">
        <f>'UPTO JULY 2021'!F22+'AUG-2021'!F22+'SEPTEMBER 2021'!F22</f>
        <v>5.7531356000000002</v>
      </c>
      <c r="G22" s="315">
        <f>'UPTO JULY 2021'!G22+'AUG-2021'!G22+'SEPTEMBER 2021'!G22</f>
        <v>5.0661602000000006</v>
      </c>
      <c r="H22" s="316" t="s">
        <v>221</v>
      </c>
      <c r="I22" s="316">
        <f>(G22-F22)/F22*100</f>
        <v>-11.940886635802563</v>
      </c>
    </row>
    <row r="23" spans="1:11" ht="15.4" x14ac:dyDescent="0.4">
      <c r="A23" s="2004"/>
      <c r="B23" s="2009"/>
      <c r="C23" s="2000" t="s">
        <v>234</v>
      </c>
      <c r="D23" s="2001"/>
      <c r="E23" s="2002"/>
      <c r="F23" s="315">
        <f>'UPTO JULY 2021'!F23+'AUG-2021'!F23+'SEPTEMBER 2021'!F23</f>
        <v>0.08</v>
      </c>
      <c r="G23" s="315">
        <f>'UPTO JULY 2021'!G23+'AUG-2021'!G23+'SEPTEMBER 2021'!G23</f>
        <v>0</v>
      </c>
      <c r="H23" s="316" t="s">
        <v>221</v>
      </c>
      <c r="I23" s="316">
        <f>(G23-F23)/F23*100</f>
        <v>-100</v>
      </c>
    </row>
    <row r="24" spans="1:11" ht="15.4" x14ac:dyDescent="0.4">
      <c r="A24" s="2004"/>
      <c r="B24" s="2009"/>
      <c r="C24" s="2000" t="s">
        <v>235</v>
      </c>
      <c r="D24" s="2001"/>
      <c r="E24" s="2002"/>
      <c r="F24" s="315">
        <f>'UPTO JULY 2021'!F24+'AUG-2021'!F24+'SEPTEMBER 2021'!F24</f>
        <v>0</v>
      </c>
      <c r="G24" s="315">
        <f>'UPTO JULY 2021'!G24+'AUG-2021'!G24+'SEPTEMBER 2021'!G24</f>
        <v>0.23711930000000001</v>
      </c>
      <c r="H24" s="316"/>
      <c r="I24" s="316">
        <v>0</v>
      </c>
    </row>
    <row r="25" spans="1:11" ht="15.4" x14ac:dyDescent="0.35">
      <c r="A25" s="2005"/>
      <c r="B25" s="2010"/>
      <c r="C25" s="2159" t="s">
        <v>549</v>
      </c>
      <c r="D25" s="2160"/>
      <c r="E25" s="2161"/>
      <c r="F25" s="315">
        <f>'UPTO JULY 2021'!F25+'AUG-2021'!F25+'SEPTEMBER 2021'!F25</f>
        <v>0</v>
      </c>
      <c r="G25" s="315">
        <f>'UPTO JULY 2021'!G25+'AUG-2021'!G25+'SEPTEMBER 2021'!G25</f>
        <v>6.9302300000000011E-2</v>
      </c>
      <c r="H25" s="316" t="s">
        <v>221</v>
      </c>
      <c r="I25" s="316">
        <v>0</v>
      </c>
    </row>
    <row r="26" spans="1:11" ht="15" x14ac:dyDescent="0.35">
      <c r="A26" s="2014">
        <v>3</v>
      </c>
      <c r="B26" s="2021" t="s">
        <v>296</v>
      </c>
      <c r="C26" s="2022"/>
      <c r="D26" s="2022"/>
      <c r="E26" s="2022"/>
      <c r="F26" s="2022"/>
      <c r="G26" s="2022"/>
      <c r="H26" s="2022"/>
      <c r="I26" s="2023"/>
    </row>
    <row r="27" spans="1:11" ht="15.4" x14ac:dyDescent="0.4">
      <c r="A27" s="2015"/>
      <c r="B27" s="2006" t="s">
        <v>2</v>
      </c>
      <c r="C27" s="2007"/>
      <c r="D27" s="314">
        <v>6</v>
      </c>
      <c r="E27" s="315">
        <f>'UPTO JULY 2021'!E27+'AUG-2021'!E27+'SEPTEMBER 2021'!E27</f>
        <v>3</v>
      </c>
      <c r="F27" s="315">
        <f>'UPTO JULY 2021'!F27+'AUG-2021'!F27+'SEPTEMBER 2021'!F27</f>
        <v>5.5820300000000003E-2</v>
      </c>
      <c r="G27" s="315">
        <f>'UPTO JULY 2021'!G27+'AUG-2021'!G27+'SEPTEMBER 2021'!G27</f>
        <v>2.1165756</v>
      </c>
      <c r="H27" s="316">
        <f>(G27-E27)/E27*100</f>
        <v>-29.447479999999999</v>
      </c>
      <c r="I27" s="316">
        <f>(G27-F27)/F27*100</f>
        <v>3691.7667945174062</v>
      </c>
    </row>
    <row r="28" spans="1:11" ht="15.4" x14ac:dyDescent="0.4">
      <c r="A28" s="2015"/>
      <c r="B28" s="2006" t="s">
        <v>23</v>
      </c>
      <c r="C28" s="2007"/>
      <c r="D28" s="603">
        <f>'TARGET SHEET 2021-22'!B56</f>
        <v>28.5</v>
      </c>
      <c r="E28" s="315">
        <f>'UPTO JULY 2021'!E28+'AUG-2021'!E28+'SEPTEMBER 2021'!E28</f>
        <v>11</v>
      </c>
      <c r="F28" s="315">
        <f>'UPTO JULY 2021'!F28+'AUG-2021'!F28+'SEPTEMBER 2021'!F28</f>
        <v>2.7101835999999997</v>
      </c>
      <c r="G28" s="315">
        <f>'UPTO JULY 2021'!G28+'AUG-2021'!G28+'SEPTEMBER 2021'!G28</f>
        <v>12.0446008</v>
      </c>
      <c r="H28" s="316">
        <f>(G28-E28)/E28*100</f>
        <v>9.4963709090909045</v>
      </c>
      <c r="I28" s="316">
        <f>(G28-F28)/F28*100</f>
        <v>344.42010497001024</v>
      </c>
    </row>
    <row r="29" spans="1:11" ht="15.4" x14ac:dyDescent="0.4">
      <c r="A29" s="2015"/>
      <c r="B29" s="2006" t="s">
        <v>1</v>
      </c>
      <c r="C29" s="2007"/>
      <c r="D29" s="313">
        <f>'TARGET SHEET 2021-22'!C56</f>
        <v>3.7399999999999998</v>
      </c>
      <c r="E29" s="315">
        <f>'UPTO JULY 2021'!E29+'AUG-2021'!E29+'SEPTEMBER 2021'!E29</f>
        <v>1.65</v>
      </c>
      <c r="F29" s="315">
        <f>'UPTO JULY 2021'!F29+'AUG-2021'!F29+'SEPTEMBER 2021'!F29</f>
        <v>1.88925E-2</v>
      </c>
      <c r="G29" s="315">
        <f>'UPTO JULY 2021'!G29+'AUG-2021'!G29+'SEPTEMBER 2021'!G29</f>
        <v>0.58542020000000006</v>
      </c>
      <c r="H29" s="316">
        <f>(G29-E29)/E29*100</f>
        <v>-64.519987878787859</v>
      </c>
      <c r="I29" s="316">
        <f>(G29-F29)/F29*100</f>
        <v>2998.691014953024</v>
      </c>
    </row>
    <row r="30" spans="1:11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5">
        <f>'UPTO JULY 2021'!F30+'AUG-2021'!F30+'SEPTEMBER 2021'!F30</f>
        <v>0</v>
      </c>
      <c r="G30" s="315">
        <f>'UPTO JULY 2021'!G30+'AUG-2021'!G30+'SEPTEMBER 2021'!G30</f>
        <v>0.115007</v>
      </c>
      <c r="H30" s="316" t="s">
        <v>221</v>
      </c>
      <c r="I30" s="316">
        <v>0</v>
      </c>
    </row>
    <row r="31" spans="1:11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f>'UPTO JULY 2021'!F31+'AUG-2021'!F31+'SEPTEMBER 2021'!F31</f>
        <v>0</v>
      </c>
      <c r="G31" s="315">
        <f>'UPTO JULY 2021'!G31+'AUG-2021'!G31+'SEPTEMBER 2021'!G31</f>
        <v>0.69912439999999998</v>
      </c>
      <c r="H31" s="316" t="s">
        <v>221</v>
      </c>
      <c r="I31" s="316">
        <v>0</v>
      </c>
    </row>
    <row r="32" spans="1:11" ht="15.4" x14ac:dyDescent="0.4">
      <c r="A32" s="2015"/>
      <c r="B32" s="2017" t="s">
        <v>241</v>
      </c>
      <c r="C32" s="2030"/>
      <c r="D32" s="540" t="s">
        <v>221</v>
      </c>
      <c r="E32" s="316" t="s">
        <v>221</v>
      </c>
      <c r="F32" s="315">
        <f>'UPTO JULY 2021'!F32+'AUG-2021'!F32+'SEPTEMBER 2021'!F32</f>
        <v>1.9637899000000001</v>
      </c>
      <c r="G32" s="315">
        <f>'UPTO JULY 2021'!G32+'AUG-2021'!G32+'SEPTEMBER 2021'!G32</f>
        <v>12.118206199999999</v>
      </c>
      <c r="H32" s="316" t="s">
        <v>221</v>
      </c>
      <c r="I32" s="316">
        <f>(G32-F32)/F32*100</f>
        <v>517.08262172037848</v>
      </c>
    </row>
    <row r="33" spans="1:14" ht="15.4" x14ac:dyDescent="0.4">
      <c r="A33" s="2016"/>
      <c r="B33" s="2006" t="s">
        <v>260</v>
      </c>
      <c r="C33" s="2019"/>
      <c r="D33" s="540" t="s">
        <v>221</v>
      </c>
      <c r="E33" s="316" t="s">
        <v>221</v>
      </c>
      <c r="F33" s="315">
        <f>'UPTO JULY 2021'!F33+'AUG-2021'!F33+'SEPTEMBER 2021'!F33</f>
        <v>1.2694E-3</v>
      </c>
      <c r="G33" s="315">
        <f>'UPTO JULY 2021'!G33+'AUG-2021'!G33+'SEPTEMBER 2021'!G33</f>
        <v>0.26603259999999995</v>
      </c>
      <c r="H33" s="413"/>
      <c r="I33" s="316">
        <v>0</v>
      </c>
    </row>
    <row r="34" spans="1:14" ht="15" x14ac:dyDescent="0.35">
      <c r="A34" s="2014">
        <v>4</v>
      </c>
      <c r="B34" s="2021" t="s">
        <v>295</v>
      </c>
      <c r="C34" s="2022"/>
      <c r="D34" s="2022"/>
      <c r="E34" s="2022"/>
      <c r="F34" s="2022"/>
      <c r="G34" s="2022"/>
      <c r="H34" s="2022"/>
      <c r="I34" s="2023"/>
    </row>
    <row r="35" spans="1:14" ht="15.4" x14ac:dyDescent="0.4">
      <c r="A35" s="2015"/>
      <c r="B35" s="2006" t="s">
        <v>27</v>
      </c>
      <c r="C35" s="2007"/>
      <c r="D35" s="603">
        <v>4.05</v>
      </c>
      <c r="E35" s="315">
        <f>'UPTO JULY 2021'!E35+'AUG-2021'!E35+'SEPTEMBER 2021'!E35</f>
        <v>2.0220000000000002</v>
      </c>
      <c r="F35" s="315">
        <f>'UPTO JULY 2021'!F35+'AUG-2021'!F35+'SEPTEMBER 2021'!F35</f>
        <v>0.1358</v>
      </c>
      <c r="G35" s="315">
        <f>'UPTO JULY 2021'!G35+'AUG-2021'!G35+'SEPTEMBER 2021'!G35</f>
        <v>1.6052145999999998</v>
      </c>
      <c r="H35" s="314">
        <f>(G35-E35)/E35*100</f>
        <v>-20.612532146389732</v>
      </c>
      <c r="I35" s="316">
        <f>(G35-F35)/F35*100</f>
        <v>1082.0431516936671</v>
      </c>
    </row>
    <row r="36" spans="1:14" ht="15.4" x14ac:dyDescent="0.4">
      <c r="A36" s="2015"/>
      <c r="B36" s="2006" t="s">
        <v>28</v>
      </c>
      <c r="C36" s="2007"/>
      <c r="D36" s="313">
        <v>2.56</v>
      </c>
      <c r="E36" s="315">
        <f>'UPTO JULY 2021'!E36+'AUG-2021'!E36+'SEPTEMBER 2021'!E36</f>
        <v>1.2804</v>
      </c>
      <c r="F36" s="315">
        <f>'UPTO JULY 2021'!F36+'AUG-2021'!F36+'SEPTEMBER 2021'!F36</f>
        <v>1.575E-2</v>
      </c>
      <c r="G36" s="315">
        <f>'UPTO JULY 2021'!G36+'AUG-2021'!G36+'SEPTEMBER 2021'!G36</f>
        <v>0.11442669999999999</v>
      </c>
      <c r="H36" s="314">
        <f>(G36-E36)/E36*100</f>
        <v>-91.063206810371767</v>
      </c>
      <c r="I36" s="316">
        <f t="shared" ref="I36:I43" si="0">(G36-F36)/F36*100</f>
        <v>626.51873015873014</v>
      </c>
    </row>
    <row r="37" spans="1:14" ht="15.4" x14ac:dyDescent="0.4">
      <c r="A37" s="2015"/>
      <c r="B37" s="378" t="s">
        <v>224</v>
      </c>
      <c r="C37" s="379"/>
      <c r="D37" s="603" t="s">
        <v>221</v>
      </c>
      <c r="E37" s="315">
        <f>'UPTO JULY 2021'!E37+'AUG-2021'!E37+'SEPTEMBER 2021'!E37</f>
        <v>0.76998000000000011</v>
      </c>
      <c r="F37" s="315">
        <f>'UPTO JULY 2021'!F37+'AUG-2021'!F37+'SEPTEMBER 2021'!F37</f>
        <v>0.1042862</v>
      </c>
      <c r="G37" s="315">
        <f>'UPTO JULY 2021'!G37+'AUG-2021'!G37+'SEPTEMBER 2021'!G37</f>
        <v>0.1548958</v>
      </c>
      <c r="H37" s="314">
        <f>(G37-E37)/E37*100</f>
        <v>-79.883139821813558</v>
      </c>
      <c r="I37" s="316">
        <f t="shared" si="0"/>
        <v>48.529527396721726</v>
      </c>
    </row>
    <row r="38" spans="1:14" ht="15.4" x14ac:dyDescent="0.4">
      <c r="A38" s="2015"/>
      <c r="B38" s="2006" t="s">
        <v>64</v>
      </c>
      <c r="C38" s="2007"/>
      <c r="D38" s="540" t="s">
        <v>221</v>
      </c>
      <c r="E38" s="315" t="s">
        <v>221</v>
      </c>
      <c r="F38" s="315">
        <f>'UPTO JULY 2021'!F38+'AUG-2021'!F38+'SEPTEMBER 2021'!F38</f>
        <v>0</v>
      </c>
      <c r="G38" s="315">
        <f>'UPTO JULY 2021'!G38+'AUG-2021'!G38+'SEPTEMBER 2021'!G38</f>
        <v>0</v>
      </c>
      <c r="H38" s="314" t="s">
        <v>221</v>
      </c>
      <c r="I38" s="316">
        <v>0</v>
      </c>
      <c r="K38" s="12"/>
    </row>
    <row r="39" spans="1:14" ht="15.4" x14ac:dyDescent="0.4">
      <c r="A39" s="2015"/>
      <c r="B39" s="2006" t="s">
        <v>4</v>
      </c>
      <c r="C39" s="2007"/>
      <c r="D39" s="540" t="s">
        <v>221</v>
      </c>
      <c r="E39" s="315" t="s">
        <v>221</v>
      </c>
      <c r="F39" s="315">
        <f>'UPTO JULY 2021'!F39+'AUG-2021'!F39+'SEPTEMBER 2021'!F39</f>
        <v>0</v>
      </c>
      <c r="G39" s="315">
        <f>'UPTO JULY 2021'!G39+'AUG-2021'!G39+'SEPTEMBER 2021'!G39</f>
        <v>4.0018400000000003E-2</v>
      </c>
      <c r="H39" s="314" t="s">
        <v>221</v>
      </c>
      <c r="I39" s="316">
        <v>0</v>
      </c>
    </row>
    <row r="40" spans="1:14" ht="15.4" x14ac:dyDescent="0.4">
      <c r="A40" s="2016"/>
      <c r="B40" s="2006" t="s">
        <v>259</v>
      </c>
      <c r="C40" s="2019"/>
      <c r="D40" s="540" t="s">
        <v>221</v>
      </c>
      <c r="E40" s="315" t="s">
        <v>221</v>
      </c>
      <c r="F40" s="315">
        <f>'UPTO JULY 2021'!F40+'AUG-2021'!F40+'SEPTEMBER 2021'!F40</f>
        <v>8.1235600000000005E-2</v>
      </c>
      <c r="G40" s="315">
        <f>'UPTO JULY 2021'!G40+'AUG-2021'!G40+'SEPTEMBER 2021'!G40</f>
        <v>0.88532480000000002</v>
      </c>
      <c r="H40" s="407" t="s">
        <v>221</v>
      </c>
      <c r="I40" s="316">
        <f t="shared" si="0"/>
        <v>989.82367336487937</v>
      </c>
    </row>
    <row r="41" spans="1:14" ht="15" x14ac:dyDescent="0.35">
      <c r="A41" s="2020">
        <v>5</v>
      </c>
      <c r="B41" s="2021" t="s">
        <v>346</v>
      </c>
      <c r="C41" s="2022"/>
      <c r="D41" s="2022"/>
      <c r="E41" s="2022"/>
      <c r="F41" s="2022"/>
      <c r="G41" s="2022"/>
      <c r="H41" s="2022"/>
      <c r="I41" s="2023"/>
    </row>
    <row r="42" spans="1:14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f>'UPTO JULY 2021'!F42+'AUG-2021'!F42+'SEPTEMBER 2021'!F42</f>
        <v>3.2000000000000002E-3</v>
      </c>
      <c r="G42" s="315">
        <f>'UPTO JULY 2021'!G42+'AUG-2021'!G42+'SEPTEMBER 2021'!G42</f>
        <v>0.93494599999999994</v>
      </c>
      <c r="H42" s="314" t="s">
        <v>221</v>
      </c>
      <c r="I42" s="316">
        <v>0</v>
      </c>
    </row>
    <row r="43" spans="1:14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5">
        <f>'UPTO JULY 2021'!F43+'AUG-2021'!F43+'SEPTEMBER 2021'!F43</f>
        <v>0.18386699999999997</v>
      </c>
      <c r="G43" s="315">
        <f>'UPTO JULY 2021'!G43+'AUG-2021'!G43+'SEPTEMBER 2021'!G43</f>
        <v>0.27518099999999995</v>
      </c>
      <c r="H43" s="2027" t="s">
        <v>221</v>
      </c>
      <c r="I43" s="316">
        <f t="shared" si="0"/>
        <v>49.663071676809864</v>
      </c>
      <c r="L43" s="12"/>
      <c r="M43" s="12">
        <v>26.22</v>
      </c>
      <c r="N43" s="5" t="e">
        <f>(M43-L43)/L43*100</f>
        <v>#DIV/0!</v>
      </c>
    </row>
    <row r="44" spans="1:14" ht="15.4" x14ac:dyDescent="0.4">
      <c r="A44" s="2020"/>
      <c r="B44" s="2070"/>
      <c r="C44" s="320" t="s">
        <v>228</v>
      </c>
      <c r="D44" s="2163"/>
      <c r="E44" s="2155"/>
      <c r="F44" s="315">
        <f>'UPTO JULY 2021'!F44+'AUG-2021'!F44+'SEPTEMBER 2021'!F44</f>
        <v>-0.22625900000000002</v>
      </c>
      <c r="G44" s="315">
        <f>'UPTO JULY 2021'!G44+'AUG-2021'!G44+'SEPTEMBER 2021'!G44</f>
        <v>3.9158309999999998</v>
      </c>
      <c r="H44" s="2029"/>
      <c r="I44" s="316">
        <v>1830.7</v>
      </c>
    </row>
    <row r="45" spans="1:14" ht="15" x14ac:dyDescent="0.35">
      <c r="A45" s="2020">
        <v>6</v>
      </c>
      <c r="B45" s="2021" t="s">
        <v>562</v>
      </c>
      <c r="C45" s="2022"/>
      <c r="D45" s="2022"/>
      <c r="E45" s="2022"/>
      <c r="F45" s="2022"/>
      <c r="G45" s="2022"/>
      <c r="H45" s="2022"/>
      <c r="I45" s="2023"/>
    </row>
    <row r="46" spans="1:14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298.57</v>
      </c>
      <c r="G46" s="313">
        <v>188.18</v>
      </c>
      <c r="H46" s="2027" t="s">
        <v>221</v>
      </c>
      <c r="I46" s="316">
        <f>(G46-F46)/F46*100</f>
        <v>-36.972904176575007</v>
      </c>
    </row>
    <row r="47" spans="1:14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29.66</v>
      </c>
      <c r="G47" s="313">
        <v>62.84</v>
      </c>
      <c r="H47" s="2028"/>
      <c r="I47" s="316">
        <f>(G47-F47)/F47*100</f>
        <v>111.86783546864467</v>
      </c>
    </row>
    <row r="48" spans="1:14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328.23</v>
      </c>
      <c r="G48" s="313">
        <f>SUM(G46:G47)</f>
        <v>251.02</v>
      </c>
      <c r="H48" s="2029"/>
      <c r="I48" s="316">
        <f>(G48-F48)/F48*100</f>
        <v>-23.523139262102795</v>
      </c>
    </row>
    <row r="50" spans="5:9" s="5" customFormat="1" ht="16.149999999999999" thickBot="1" x14ac:dyDescent="0.45">
      <c r="E50" s="824">
        <v>-369859</v>
      </c>
      <c r="F50" s="12"/>
      <c r="G50" s="12"/>
      <c r="H50" s="314"/>
      <c r="I50" s="316"/>
    </row>
    <row r="51" spans="5:9" s="5" customFormat="1" ht="13.5" x14ac:dyDescent="0.35">
      <c r="E51" s="5">
        <f>E50/1000000</f>
        <v>-0.36985899999999999</v>
      </c>
      <c r="F51" s="12"/>
      <c r="G51" s="12"/>
      <c r="H51" s="11"/>
    </row>
    <row r="52" spans="5:9" s="5" customFormat="1" ht="13.5" x14ac:dyDescent="0.35">
      <c r="F52" s="5">
        <f t="shared" ref="F52:G54" si="1">F42*1000000</f>
        <v>3200</v>
      </c>
      <c r="G52" s="5">
        <f t="shared" si="1"/>
        <v>934946</v>
      </c>
      <c r="H52" s="11"/>
    </row>
    <row r="53" spans="5:9" s="5" customFormat="1" ht="13.5" x14ac:dyDescent="0.35">
      <c r="F53" s="5">
        <f t="shared" si="1"/>
        <v>183866.99999999997</v>
      </c>
      <c r="G53" s="5">
        <f t="shared" si="1"/>
        <v>275180.99999999994</v>
      </c>
      <c r="H53" s="11"/>
    </row>
    <row r="54" spans="5:9" s="5" customFormat="1" ht="13.5" x14ac:dyDescent="0.35">
      <c r="F54" s="5">
        <f t="shared" si="1"/>
        <v>-226259.00000000003</v>
      </c>
      <c r="G54" s="5">
        <f t="shared" si="1"/>
        <v>3915831</v>
      </c>
      <c r="H54" s="11"/>
      <c r="I54" s="82"/>
    </row>
    <row r="57" spans="5:9" s="5" customFormat="1" ht="13.5" x14ac:dyDescent="0.35">
      <c r="F57" s="12">
        <f t="shared" ref="F57:G59" si="2">F52/100000</f>
        <v>3.2000000000000001E-2</v>
      </c>
      <c r="G57" s="12">
        <f t="shared" si="2"/>
        <v>9.3494600000000005</v>
      </c>
      <c r="H57" s="11"/>
      <c r="I57" s="82"/>
    </row>
    <row r="58" spans="5:9" s="5" customFormat="1" ht="13.5" x14ac:dyDescent="0.35">
      <c r="F58" s="12">
        <f t="shared" si="2"/>
        <v>1.8386699999999998</v>
      </c>
      <c r="G58" s="12">
        <f t="shared" si="2"/>
        <v>2.7518099999999994</v>
      </c>
      <c r="H58" s="11">
        <f>F58+F59</f>
        <v>-0.42392000000000052</v>
      </c>
      <c r="I58" s="11">
        <f>G58+G59</f>
        <v>41.910119999999999</v>
      </c>
    </row>
    <row r="59" spans="5:9" s="5" customFormat="1" ht="13.5" x14ac:dyDescent="0.35">
      <c r="F59" s="12">
        <f t="shared" si="2"/>
        <v>-2.2625900000000003</v>
      </c>
      <c r="G59" s="12">
        <f t="shared" si="2"/>
        <v>39.15831</v>
      </c>
      <c r="H59" s="11"/>
      <c r="I59" s="82"/>
    </row>
  </sheetData>
  <mergeCells count="65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3"/>
    <mergeCell ref="B26:I26"/>
    <mergeCell ref="B27:C27"/>
    <mergeCell ref="B28:C28"/>
    <mergeCell ref="B29:C29"/>
    <mergeCell ref="B30:C30"/>
    <mergeCell ref="B31:C31"/>
    <mergeCell ref="B32:C32"/>
    <mergeCell ref="B33:C33"/>
    <mergeCell ref="A34:A40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17" right="0.17" top="0.35" bottom="0.31" header="0.3" footer="0.3"/>
  <pageSetup paperSize="9" scale="61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W64"/>
  <sheetViews>
    <sheetView topLeftCell="A5" workbookViewId="0">
      <selection activeCell="G19" sqref="G19:G25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7.265625" style="5" customWidth="1"/>
    <col min="4" max="4" width="8.3984375" style="84" customWidth="1"/>
    <col min="5" max="5" width="11.265625" style="35" customWidth="1"/>
    <col min="6" max="6" width="11" style="5" customWidth="1"/>
    <col min="7" max="7" width="12" style="5" customWidth="1"/>
    <col min="8" max="8" width="14.1328125" style="11" bestFit="1" customWidth="1"/>
    <col min="9" max="9" width="9.1328125" style="82" customWidth="1"/>
    <col min="10" max="10" width="9.1328125" style="5"/>
    <col min="11" max="11" width="10.1328125" style="5" bestFit="1" customWidth="1"/>
    <col min="12" max="12" width="10" style="5" customWidth="1"/>
    <col min="13" max="13" width="10.1328125" style="5" customWidth="1"/>
    <col min="14" max="14" width="10.1328125" style="5" bestFit="1" customWidth="1"/>
    <col min="15" max="15" width="22.73046875" style="5" customWidth="1"/>
    <col min="16" max="16" width="9.265625" style="5" customWidth="1"/>
    <col min="17" max="16384" width="9.1328125" style="5"/>
  </cols>
  <sheetData>
    <row r="1" spans="1:16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ht="17.25" thickBot="1" x14ac:dyDescent="0.5">
      <c r="A2" s="2092" t="s">
        <v>558</v>
      </c>
      <c r="B2" s="2093"/>
      <c r="C2" s="2093"/>
      <c r="D2" s="2093"/>
      <c r="E2" s="2093"/>
      <c r="F2" s="2093"/>
      <c r="G2" s="2093"/>
      <c r="H2" s="2093"/>
      <c r="I2" s="2094"/>
    </row>
    <row r="3" spans="1:1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6" s="35" customFormat="1" ht="15" x14ac:dyDescent="0.45">
      <c r="A4" s="2035"/>
      <c r="B4" s="2047"/>
      <c r="C4" s="2048"/>
      <c r="D4" s="366" t="s">
        <v>9</v>
      </c>
      <c r="E4" s="383">
        <f>G4</f>
        <v>44440</v>
      </c>
      <c r="F4" s="383">
        <v>44440</v>
      </c>
      <c r="G4" s="383">
        <v>44440</v>
      </c>
      <c r="H4" s="2041" t="s">
        <v>12</v>
      </c>
      <c r="I4" s="2041" t="s">
        <v>13</v>
      </c>
      <c r="N4" s="380"/>
      <c r="O4" s="380">
        <v>-139760361</v>
      </c>
    </row>
    <row r="5" spans="1:16" ht="15" x14ac:dyDescent="0.35">
      <c r="A5" s="2036"/>
      <c r="B5" s="2047"/>
      <c r="C5" s="2048"/>
      <c r="D5" s="2097" t="s">
        <v>249</v>
      </c>
      <c r="E5" s="2098"/>
      <c r="F5" s="366" t="s">
        <v>249</v>
      </c>
      <c r="G5" s="366" t="s">
        <v>438</v>
      </c>
      <c r="H5" s="2042"/>
      <c r="I5" s="2042"/>
      <c r="O5" s="5">
        <f>O4/10000000</f>
        <v>-13.9760361</v>
      </c>
    </row>
    <row r="6" spans="1:16" x14ac:dyDescent="0.35">
      <c r="A6" s="372">
        <v>1</v>
      </c>
      <c r="B6" s="2049" t="s">
        <v>14</v>
      </c>
      <c r="C6" s="2049"/>
      <c r="D6" s="304" t="s">
        <v>221</v>
      </c>
      <c r="E6" s="305">
        <f>E15+E16</f>
        <v>66.929999999999993</v>
      </c>
      <c r="F6" s="305">
        <f>F15+F16+F17</f>
        <v>8.6666922</v>
      </c>
      <c r="G6" s="305">
        <f>G15+G16+G17</f>
        <v>58.614350700000003</v>
      </c>
      <c r="H6" s="306">
        <f>(G6-E6)/E6*100</f>
        <v>-12.424397579560722</v>
      </c>
      <c r="I6" s="306">
        <f>(G6-F6)/F6*100</f>
        <v>576.31743861862321</v>
      </c>
      <c r="K6" s="12">
        <f>G6+'MAY 2020'!G6+'APRIL 2020'!G6</f>
        <v>44.457617100000007</v>
      </c>
    </row>
    <row r="7" spans="1:16" x14ac:dyDescent="0.35">
      <c r="A7" s="373">
        <v>2</v>
      </c>
      <c r="B7" s="2050" t="s">
        <v>71</v>
      </c>
      <c r="C7" s="2051"/>
      <c r="D7" s="307" t="s">
        <v>221</v>
      </c>
      <c r="E7" s="307">
        <f>'TARGET SHEET 2021-22'!E15</f>
        <v>7.99</v>
      </c>
      <c r="F7" s="307">
        <f>F19+F20+F21+F22+F23+F24+F25</f>
        <v>11.110000000000001</v>
      </c>
      <c r="G7" s="307">
        <f>G19+G20+G21+G22+G23+G24+G25</f>
        <v>26.06</v>
      </c>
      <c r="H7" s="306">
        <f>(G7-E7)/E7*100</f>
        <v>226.15769712140175</v>
      </c>
      <c r="I7" s="306">
        <f>(G7-F7)/F7*100</f>
        <v>134.56345634563453</v>
      </c>
      <c r="L7" s="5" t="s">
        <v>203</v>
      </c>
      <c r="M7" s="172">
        <f>129802/10000000</f>
        <v>1.2980200000000001E-2</v>
      </c>
    </row>
    <row r="8" spans="1:16" x14ac:dyDescent="0.35">
      <c r="A8" s="374">
        <v>3</v>
      </c>
      <c r="B8" s="2021" t="s">
        <v>22</v>
      </c>
      <c r="C8" s="2023"/>
      <c r="D8" s="364" t="s">
        <v>221</v>
      </c>
      <c r="E8" s="364">
        <f>'TARGET SHEET 2021-22'!F15</f>
        <v>5</v>
      </c>
      <c r="F8" s="364">
        <f>F27+F28+F29+F30+F31+F32+F33</f>
        <v>1.3062841999999999</v>
      </c>
      <c r="G8" s="364">
        <f>G27+G28+G29+G30+G31+G32+G33</f>
        <v>5.1427561999999991</v>
      </c>
      <c r="H8" s="306">
        <f>(G8-E8)/E8*100</f>
        <v>2.8551239999999822</v>
      </c>
      <c r="I8" s="306">
        <f>(G8-F8)/F8*100</f>
        <v>293.69351631138147</v>
      </c>
      <c r="L8" s="5">
        <v>0.46</v>
      </c>
      <c r="M8" s="5">
        <f>2320</f>
        <v>2320</v>
      </c>
      <c r="N8" s="5">
        <v>4643517</v>
      </c>
      <c r="O8" s="5">
        <f>SUM(M8:N8)</f>
        <v>4645837</v>
      </c>
      <c r="P8" s="12">
        <f>O8/10000000</f>
        <v>0.46458369999999999</v>
      </c>
    </row>
    <row r="9" spans="1:16" x14ac:dyDescent="0.35">
      <c r="A9" s="373">
        <v>4</v>
      </c>
      <c r="B9" s="2052" t="s">
        <v>220</v>
      </c>
      <c r="C9" s="2053"/>
      <c r="D9" s="307">
        <f>D35+D36+D37</f>
        <v>2.73</v>
      </c>
      <c r="E9" s="307">
        <f>E35+E36+E37</f>
        <v>0.67873000000000006</v>
      </c>
      <c r="F9" s="307">
        <f>F35+F36+F37+F38+F39+F40</f>
        <v>2.3669300000000001E-2</v>
      </c>
      <c r="G9" s="307">
        <f>G35+G36+G37+G38+G39+G40</f>
        <v>0.32720840000000001</v>
      </c>
      <c r="H9" s="306">
        <f>(G9-E9)/E9*100</f>
        <v>-51.791080400159132</v>
      </c>
      <c r="I9" s="306">
        <f>(G9-F9)/F9*100</f>
        <v>1282.4168860084581</v>
      </c>
    </row>
    <row r="10" spans="1:16" ht="17.649999999999999" x14ac:dyDescent="0.35">
      <c r="A10" s="374">
        <v>5</v>
      </c>
      <c r="B10" s="2054" t="s">
        <v>33</v>
      </c>
      <c r="C10" s="2055"/>
      <c r="D10" s="321" t="s">
        <v>221</v>
      </c>
      <c r="E10" s="321">
        <f>SUM(E6:E9)</f>
        <v>80.598729999999989</v>
      </c>
      <c r="F10" s="321">
        <f>SUM(F6:F9)</f>
        <v>21.106645700000001</v>
      </c>
      <c r="G10" s="321">
        <f>SUM(G6:G9)</f>
        <v>90.144315300000002</v>
      </c>
      <c r="H10" s="306">
        <f>(G10-E10)/E10*100</f>
        <v>11.843344553940261</v>
      </c>
      <c r="I10" s="306">
        <f>(G10-F10)/F10*100</f>
        <v>327.08972605722948</v>
      </c>
    </row>
    <row r="11" spans="1:16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6" ht="18.399999999999999" thickTop="1" thickBot="1" x14ac:dyDescent="0.5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0.131826</v>
      </c>
      <c r="G12" s="447">
        <f>G42+G43+G44</f>
        <v>1.3126600000000002</v>
      </c>
      <c r="H12" s="310" t="s">
        <v>221</v>
      </c>
      <c r="I12" s="311">
        <f>(G12-F12)/F12*100</f>
        <v>895.75197608969415</v>
      </c>
      <c r="L12" s="5">
        <v>1168</v>
      </c>
      <c r="M12" s="5">
        <v>-78978</v>
      </c>
      <c r="N12" s="5" t="s">
        <v>164</v>
      </c>
      <c r="O12">
        <f>L12+M12</f>
        <v>-77810</v>
      </c>
      <c r="P12" s="13">
        <f>O12/1000000</f>
        <v>-7.7810000000000004E-2</v>
      </c>
    </row>
    <row r="13" spans="1:16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M13" s="5">
        <f>M12/100000</f>
        <v>-0.78978000000000004</v>
      </c>
    </row>
    <row r="14" spans="1:16" ht="15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</row>
    <row r="15" spans="1:16" ht="15.4" x14ac:dyDescent="0.4">
      <c r="A15" s="2004"/>
      <c r="B15" s="2006" t="s">
        <v>16</v>
      </c>
      <c r="C15" s="2007"/>
      <c r="D15" s="331" t="s">
        <v>221</v>
      </c>
      <c r="E15" s="307">
        <f>'TARGET SHEET 2021-22'!Q15</f>
        <v>0.16</v>
      </c>
      <c r="F15" s="426">
        <f>'actual fig'!L86/10000000</f>
        <v>1.1904999999999999E-3</v>
      </c>
      <c r="G15" s="404">
        <f>'actual fig'!L49/10000000</f>
        <v>0.102888752</v>
      </c>
      <c r="H15" s="314" t="s">
        <v>221</v>
      </c>
      <c r="I15" s="314">
        <f>(G15-F15)/F15*100</f>
        <v>8542.4823183536337</v>
      </c>
    </row>
    <row r="16" spans="1:16" ht="15.4" x14ac:dyDescent="0.4">
      <c r="A16" s="2004"/>
      <c r="B16" s="2071" t="s">
        <v>15</v>
      </c>
      <c r="C16" s="320" t="s">
        <v>166</v>
      </c>
      <c r="D16" s="2064" t="s">
        <v>221</v>
      </c>
      <c r="E16" s="2205">
        <f>'TARGET SHEET 2021-22'!R15</f>
        <v>66.77</v>
      </c>
      <c r="F16" s="313">
        <f>'actual fig'!M86/10000000</f>
        <v>6.2890000000000003E-3</v>
      </c>
      <c r="G16" s="404">
        <f>'actual fig'!M49/10000000</f>
        <v>6.1709647999999999E-2</v>
      </c>
      <c r="H16" s="2027" t="s">
        <v>221</v>
      </c>
      <c r="I16" s="314">
        <f>(G16-F16)/F16*100</f>
        <v>881.23148354269358</v>
      </c>
      <c r="J16" s="5">
        <v>78.37</v>
      </c>
    </row>
    <row r="17" spans="1:23" ht="15.75" x14ac:dyDescent="0.45">
      <c r="A17" s="2005"/>
      <c r="B17" s="2071"/>
      <c r="C17" s="320" t="s">
        <v>228</v>
      </c>
      <c r="D17" s="2064"/>
      <c r="E17" s="2206"/>
      <c r="F17" s="313">
        <f>'actual fig'!N86/10000000</f>
        <v>8.6592126999999994</v>
      </c>
      <c r="G17" s="313">
        <f>'actual fig'!N49/10000000</f>
        <v>58.4497523</v>
      </c>
      <c r="H17" s="2029"/>
      <c r="I17" s="314">
        <f>(G17-F17)/F17*100</f>
        <v>575.00076883433064</v>
      </c>
      <c r="L17" s="755">
        <v>443683</v>
      </c>
    </row>
    <row r="18" spans="1:23" ht="27" customHeight="1" x14ac:dyDescent="0.35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</row>
    <row r="19" spans="1:23" ht="18.75" customHeight="1" x14ac:dyDescent="0.45">
      <c r="A19" s="2004"/>
      <c r="B19" s="2008" t="s">
        <v>230</v>
      </c>
      <c r="C19" s="2000" t="s">
        <v>231</v>
      </c>
      <c r="D19" s="2001"/>
      <c r="E19" s="2002"/>
      <c r="F19" s="315">
        <v>5.44</v>
      </c>
      <c r="G19" s="315">
        <v>22.47</v>
      </c>
      <c r="H19" s="316" t="s">
        <v>221</v>
      </c>
      <c r="I19" s="314">
        <f>(G19-F19)/F19*100</f>
        <v>313.05147058823525</v>
      </c>
      <c r="L19">
        <v>3905717</v>
      </c>
      <c r="M19" s="5">
        <f>L19/10000000</f>
        <v>0.39057170000000002</v>
      </c>
      <c r="V19" s="5" t="s">
        <v>77</v>
      </c>
    </row>
    <row r="20" spans="1:23" ht="18.75" customHeight="1" x14ac:dyDescent="0.4">
      <c r="A20" s="2004"/>
      <c r="B20" s="2009"/>
      <c r="C20" s="2000" t="s">
        <v>232</v>
      </c>
      <c r="D20" s="2001"/>
      <c r="E20" s="2002"/>
      <c r="F20" s="315">
        <v>2.71</v>
      </c>
      <c r="G20" s="315">
        <v>1.63</v>
      </c>
      <c r="H20" s="316" t="s">
        <v>221</v>
      </c>
      <c r="I20" s="314">
        <f>(G20-F20)/F20*100</f>
        <v>-39.852398523985244</v>
      </c>
      <c r="V20" s="5" t="s">
        <v>203</v>
      </c>
      <c r="W20" s="5" t="s">
        <v>202</v>
      </c>
    </row>
    <row r="21" spans="1:23" ht="18.75" customHeight="1" x14ac:dyDescent="0.4">
      <c r="A21" s="2004"/>
      <c r="B21" s="2009"/>
      <c r="C21" s="2000" t="s">
        <v>239</v>
      </c>
      <c r="D21" s="2001"/>
      <c r="E21" s="2002"/>
      <c r="F21" s="315">
        <v>1.98</v>
      </c>
      <c r="G21" s="315">
        <v>1.26</v>
      </c>
      <c r="H21" s="316" t="s">
        <v>221</v>
      </c>
      <c r="I21" s="314">
        <v>0</v>
      </c>
      <c r="U21" s="5">
        <v>1547760</v>
      </c>
      <c r="V21" s="5">
        <v>280853</v>
      </c>
      <c r="W21" s="5">
        <v>183087</v>
      </c>
    </row>
    <row r="22" spans="1:23" ht="18.75" customHeight="1" x14ac:dyDescent="0.4">
      <c r="A22" s="2004"/>
      <c r="B22" s="2009"/>
      <c r="C22" s="2000" t="s">
        <v>233</v>
      </c>
      <c r="D22" s="2001"/>
      <c r="E22" s="2002"/>
      <c r="F22" s="315">
        <v>0.98</v>
      </c>
      <c r="G22" s="315">
        <v>0.7</v>
      </c>
      <c r="H22" s="316" t="s">
        <v>221</v>
      </c>
      <c r="I22" s="314">
        <f>(G22-F22)/F22*100</f>
        <v>-28.571428571428577</v>
      </c>
      <c r="U22" s="5">
        <f>U21-V25</f>
        <v>613144</v>
      </c>
      <c r="V22" s="5">
        <v>18394</v>
      </c>
    </row>
    <row r="23" spans="1:23" ht="18.75" customHeight="1" x14ac:dyDescent="0.4">
      <c r="A23" s="2004"/>
      <c r="B23" s="2009"/>
      <c r="C23" s="2000" t="s">
        <v>234</v>
      </c>
      <c r="D23" s="2001"/>
      <c r="E23" s="2002"/>
      <c r="F23" s="833">
        <v>0</v>
      </c>
      <c r="G23" s="833">
        <v>0</v>
      </c>
      <c r="H23" s="316" t="s">
        <v>221</v>
      </c>
      <c r="I23" s="314" t="e">
        <f>(G23-F23)/F23*100</f>
        <v>#DIV/0!</v>
      </c>
      <c r="O23" s="5">
        <f>2500/3</f>
        <v>833.33333333333337</v>
      </c>
      <c r="U23" s="5">
        <f>U22/10000000</f>
        <v>6.1314399999999998E-2</v>
      </c>
      <c r="V23" s="5">
        <v>137518</v>
      </c>
    </row>
    <row r="24" spans="1:23" ht="18.75" customHeight="1" x14ac:dyDescent="0.4">
      <c r="A24" s="2004"/>
      <c r="B24" s="2009"/>
      <c r="C24" s="2000" t="s">
        <v>235</v>
      </c>
      <c r="D24" s="2001"/>
      <c r="E24" s="2002"/>
      <c r="F24" s="833">
        <v>0</v>
      </c>
      <c r="G24" s="833">
        <v>0</v>
      </c>
      <c r="H24" s="316"/>
      <c r="I24" s="314">
        <v>0</v>
      </c>
      <c r="P24" s="5" t="s">
        <v>265</v>
      </c>
      <c r="V24" s="5">
        <v>497851</v>
      </c>
    </row>
    <row r="25" spans="1:23" ht="31.5" customHeight="1" x14ac:dyDescent="0.4">
      <c r="A25" s="2005"/>
      <c r="B25" s="2010"/>
      <c r="C25" s="2011" t="s">
        <v>236</v>
      </c>
      <c r="D25" s="2012"/>
      <c r="E25" s="2013"/>
      <c r="F25" s="833">
        <v>0</v>
      </c>
      <c r="G25" s="833">
        <v>0</v>
      </c>
      <c r="H25" s="316" t="s">
        <v>221</v>
      </c>
      <c r="I25" s="314">
        <v>0</v>
      </c>
      <c r="N25" s="5">
        <f>0.14*100000</f>
        <v>14000.000000000002</v>
      </c>
      <c r="V25" s="5">
        <f>SUM(V21:V24)</f>
        <v>934616</v>
      </c>
    </row>
    <row r="26" spans="1:23" ht="24.75" customHeight="1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  <c r="N26" s="5">
        <f>N25/10000000</f>
        <v>1.4000000000000002E-3</v>
      </c>
    </row>
    <row r="27" spans="1:23" ht="15.4" x14ac:dyDescent="0.4">
      <c r="A27" s="2015"/>
      <c r="B27" s="2006" t="s">
        <v>2</v>
      </c>
      <c r="C27" s="2007"/>
      <c r="D27" s="331">
        <v>6</v>
      </c>
      <c r="E27" s="307">
        <f>'TARGET SHEET 2021-22'!R41</f>
        <v>0.5</v>
      </c>
      <c r="F27" s="134">
        <v>4.8528300000000003E-2</v>
      </c>
      <c r="G27" s="313">
        <f>'actual fig'!U49/10000000</f>
        <v>0.56586069999999999</v>
      </c>
      <c r="H27" s="496">
        <f t="shared" ref="H27:H33" si="0">(G27-E27)/E27*100</f>
        <v>13.172139999999999</v>
      </c>
      <c r="I27" s="496">
        <f t="shared" ref="I27:I33" si="1">(G27-F27)/F27*100</f>
        <v>1066.0427008570257</v>
      </c>
      <c r="K27" s="5">
        <f>2*10000000</f>
        <v>20000000</v>
      </c>
      <c r="L27" s="5">
        <v>23876641</v>
      </c>
      <c r="M27" s="5">
        <v>15888</v>
      </c>
      <c r="Q27" s="5">
        <v>1936433</v>
      </c>
      <c r="R27" s="5">
        <v>494905</v>
      </c>
      <c r="S27" s="5">
        <f>Q27-R27-R28-R29</f>
        <v>3090</v>
      </c>
    </row>
    <row r="28" spans="1:23" ht="15.4" x14ac:dyDescent="0.4">
      <c r="A28" s="2015"/>
      <c r="B28" s="2006" t="s">
        <v>23</v>
      </c>
      <c r="C28" s="2007"/>
      <c r="D28" s="331" t="s">
        <v>221</v>
      </c>
      <c r="E28" s="307">
        <f>'TARGET SHEET 2021-22'!B43</f>
        <v>1.5</v>
      </c>
      <c r="F28" s="134">
        <v>0.89863519999999997</v>
      </c>
      <c r="G28" s="313">
        <f>'actual fig'!V49/10000000</f>
        <v>2.4216750999999999</v>
      </c>
      <c r="H28" s="496">
        <f t="shared" si="0"/>
        <v>61.445006666666657</v>
      </c>
      <c r="I28" s="496">
        <f t="shared" si="1"/>
        <v>169.48366812250399</v>
      </c>
      <c r="K28" s="5">
        <f>K27/31</f>
        <v>645161.29032258061</v>
      </c>
      <c r="L28" s="5">
        <f>L27-M34</f>
        <v>18418</v>
      </c>
      <c r="M28" s="5">
        <v>1467371</v>
      </c>
      <c r="R28" s="5">
        <v>943533</v>
      </c>
      <c r="S28" s="5">
        <f>S27+400</f>
        <v>3490</v>
      </c>
      <c r="T28" s="5">
        <f>S28/10000000</f>
        <v>3.4900000000000003E-4</v>
      </c>
    </row>
    <row r="29" spans="1:23" ht="15.4" x14ac:dyDescent="0.4">
      <c r="A29" s="2015"/>
      <c r="B29" s="2006" t="s">
        <v>1</v>
      </c>
      <c r="C29" s="2007"/>
      <c r="D29" s="331" t="s">
        <v>221</v>
      </c>
      <c r="E29" s="307">
        <f>'TARGET SHEET 2021-22'!C41</f>
        <v>0.25</v>
      </c>
      <c r="F29" s="313">
        <v>6.4863000000000004E-3</v>
      </c>
      <c r="G29" s="313">
        <f>'actual fig'!W49/10000000</f>
        <v>0.10306800000000001</v>
      </c>
      <c r="H29" s="496">
        <f t="shared" si="0"/>
        <v>-58.772800000000004</v>
      </c>
      <c r="I29" s="496">
        <f t="shared" si="1"/>
        <v>1489.0106840571666</v>
      </c>
      <c r="K29" s="5">
        <f>K28*15</f>
        <v>9677419.3548387084</v>
      </c>
      <c r="M29" s="5">
        <v>2923510</v>
      </c>
      <c r="R29" s="5">
        <v>494905</v>
      </c>
    </row>
    <row r="30" spans="1:23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313">
        <v>0</v>
      </c>
      <c r="G30" s="381">
        <f>'actual fig'!Y49/10000000</f>
        <v>2.5111999999999999E-2</v>
      </c>
      <c r="H30" s="496" t="e">
        <f t="shared" si="0"/>
        <v>#VALUE!</v>
      </c>
      <c r="I30" s="496" t="e">
        <f t="shared" si="1"/>
        <v>#DIV/0!</v>
      </c>
      <c r="K30" s="5">
        <f>K29/10000000</f>
        <v>0.96774193548387089</v>
      </c>
      <c r="M30" s="5">
        <v>17118533</v>
      </c>
    </row>
    <row r="31" spans="1:23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313">
        <v>0</v>
      </c>
      <c r="G31" s="315">
        <f>'actual fig'!X49/10000000</f>
        <v>1.0898E-2</v>
      </c>
      <c r="H31" s="496" t="e">
        <f t="shared" si="0"/>
        <v>#VALUE!</v>
      </c>
      <c r="I31" s="496" t="e">
        <f t="shared" si="1"/>
        <v>#DIV/0!</v>
      </c>
      <c r="M31" s="5">
        <v>858350</v>
      </c>
    </row>
    <row r="32" spans="1:23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313">
        <v>0.35186400000000001</v>
      </c>
      <c r="G32" s="134">
        <f>'actual fig'!T49/10000000</f>
        <v>1.9631273</v>
      </c>
      <c r="H32" s="496" t="e">
        <f t="shared" si="0"/>
        <v>#VALUE!</v>
      </c>
      <c r="I32" s="496">
        <f t="shared" si="1"/>
        <v>457.92218016051658</v>
      </c>
      <c r="M32" s="5">
        <v>1467371</v>
      </c>
      <c r="O32" s="380">
        <v>3247525</v>
      </c>
      <c r="P32" s="5">
        <f>O32/10000000</f>
        <v>0.3247525</v>
      </c>
      <c r="T32" s="5">
        <v>62410</v>
      </c>
      <c r="U32" s="5">
        <v>1075</v>
      </c>
      <c r="V32" s="5">
        <v>73271</v>
      </c>
      <c r="W32" s="5">
        <f>T32+U32+V32</f>
        <v>136756</v>
      </c>
    </row>
    <row r="33" spans="1:23" x14ac:dyDescent="0.45">
      <c r="A33" s="403"/>
      <c r="B33" s="402" t="s">
        <v>266</v>
      </c>
      <c r="C33" s="409"/>
      <c r="D33" s="332"/>
      <c r="E33" s="308"/>
      <c r="F33" s="283">
        <v>7.7039999999999997E-4</v>
      </c>
      <c r="G33" s="134">
        <f>'actual fig'!Z49/10000000</f>
        <v>5.3015100000000003E-2</v>
      </c>
      <c r="H33" s="496" t="e">
        <f t="shared" si="0"/>
        <v>#DIV/0!</v>
      </c>
      <c r="I33" s="496">
        <f t="shared" si="1"/>
        <v>6781.5031152647989</v>
      </c>
      <c r="M33" s="5">
        <v>7200</v>
      </c>
      <c r="O33" s="380"/>
      <c r="T33" s="5">
        <v>66420</v>
      </c>
      <c r="U33" s="5">
        <v>355</v>
      </c>
      <c r="W33" s="5">
        <f>T33+U33+V33</f>
        <v>66775</v>
      </c>
    </row>
    <row r="34" spans="1:23" ht="15" x14ac:dyDescent="0.4">
      <c r="A34" s="2020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  <c r="M34" s="26">
        <f>SUM(M27:M33)</f>
        <v>23858223</v>
      </c>
      <c r="T34" s="5">
        <f>SUM(T32:T33)</f>
        <v>128830</v>
      </c>
      <c r="U34" s="5">
        <f>SUM(U32:U33)</f>
        <v>1430</v>
      </c>
      <c r="V34" s="5">
        <f>SUM(V32:V33)</f>
        <v>73271</v>
      </c>
      <c r="W34" s="5">
        <f>SUM(W32:W33)</f>
        <v>203531</v>
      </c>
    </row>
    <row r="35" spans="1:23" ht="15.4" x14ac:dyDescent="0.4">
      <c r="A35" s="2020"/>
      <c r="B35" s="2006" t="s">
        <v>27</v>
      </c>
      <c r="C35" s="2007"/>
      <c r="D35" s="331">
        <v>2.4300000000000002</v>
      </c>
      <c r="E35" s="307">
        <f>'TARGET SHEET 2021-22'!J13</f>
        <v>0.33700000000000002</v>
      </c>
      <c r="F35" s="389">
        <v>2.9999999999999997E-4</v>
      </c>
      <c r="G35" s="381">
        <f>'actual fig'!T65/10000000</f>
        <v>0.1284081</v>
      </c>
      <c r="H35" s="314">
        <f>(G35-E35)/E35*100</f>
        <v>-61.896706231454012</v>
      </c>
      <c r="I35" s="314">
        <f>(G35-F35)/F35*100</f>
        <v>42702.700000000004</v>
      </c>
      <c r="K35" s="5">
        <f>725000/10000000</f>
        <v>7.2499999999999995E-2</v>
      </c>
      <c r="L35" s="5">
        <v>116783</v>
      </c>
      <c r="M35" s="5">
        <v>100</v>
      </c>
      <c r="N35" s="5">
        <f>L35-M39</f>
        <v>116783</v>
      </c>
      <c r="T35" s="5">
        <f>T34/10000000</f>
        <v>1.2883E-2</v>
      </c>
    </row>
    <row r="36" spans="1:23" ht="15.4" x14ac:dyDescent="0.4">
      <c r="A36" s="2020"/>
      <c r="B36" s="2006" t="s">
        <v>28</v>
      </c>
      <c r="C36" s="2007"/>
      <c r="D36" s="333">
        <v>0.11</v>
      </c>
      <c r="E36" s="307">
        <f>'TARGET SHEET 2021-22'!K13</f>
        <v>0.21340000000000001</v>
      </c>
      <c r="F36" s="134">
        <v>0</v>
      </c>
      <c r="G36" s="313">
        <f>'actual fig'!U65/10000000</f>
        <v>2.6559699999999999E-2</v>
      </c>
      <c r="H36" s="314">
        <f>(G36-E36)/E36*100</f>
        <v>-87.554029990627939</v>
      </c>
      <c r="I36" s="314" t="e">
        <f>(G36-F36)/F36*100</f>
        <v>#DIV/0!</v>
      </c>
      <c r="M36" s="5">
        <v>1568</v>
      </c>
    </row>
    <row r="37" spans="1:23" ht="15.4" x14ac:dyDescent="0.4">
      <c r="A37" s="2020"/>
      <c r="B37" s="378" t="s">
        <v>224</v>
      </c>
      <c r="C37" s="379"/>
      <c r="D37" s="331">
        <v>0.19</v>
      </c>
      <c r="E37" s="307">
        <f>'TARGET SHEET 2021-22'!L13</f>
        <v>0.12833</v>
      </c>
      <c r="F37" s="313">
        <v>0</v>
      </c>
      <c r="G37" s="313">
        <f>'actual fig'!V65/10000000</f>
        <v>0.148177</v>
      </c>
      <c r="H37" s="314">
        <f>(G37-E37)/E37*100</f>
        <v>15.465596509000237</v>
      </c>
      <c r="I37" s="314" t="e">
        <f>(G37-F37)/F37*100</f>
        <v>#DIV/0!</v>
      </c>
      <c r="M37" s="5">
        <v>100</v>
      </c>
      <c r="O37" s="5" t="s">
        <v>274</v>
      </c>
    </row>
    <row r="38" spans="1:23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313">
        <v>0</v>
      </c>
      <c r="G38" s="313">
        <v>0</v>
      </c>
      <c r="H38" s="314" t="s">
        <v>221</v>
      </c>
      <c r="I38" s="314">
        <v>0</v>
      </c>
      <c r="M38" s="5">
        <v>1064</v>
      </c>
    </row>
    <row r="39" spans="1:23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313">
        <v>0</v>
      </c>
      <c r="G39" s="313">
        <f>'actual fig'!W65/10000000</f>
        <v>3.0529999999999999E-4</v>
      </c>
      <c r="H39" s="314" t="s">
        <v>221</v>
      </c>
      <c r="I39" s="314">
        <v>0</v>
      </c>
      <c r="L39" s="5">
        <f>116783-73677</f>
        <v>43106</v>
      </c>
      <c r="P39" s="5">
        <v>2.4300000000000002</v>
      </c>
      <c r="Q39" s="5">
        <v>0.20250000000000001</v>
      </c>
      <c r="R39" s="5">
        <f>Q39*4</f>
        <v>0.81</v>
      </c>
      <c r="T39" s="5">
        <f>269354-88926</f>
        <v>180428</v>
      </c>
    </row>
    <row r="40" spans="1:23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313">
        <v>2.3369299999999999E-2</v>
      </c>
      <c r="G40" s="381">
        <f>'actual fig'!X65/10000000</f>
        <v>2.37583E-2</v>
      </c>
      <c r="H40" s="314" t="s">
        <v>221</v>
      </c>
      <c r="I40" s="314">
        <f>(G40-F40)/F40*100</f>
        <v>1.664577030548628</v>
      </c>
      <c r="P40" s="5">
        <v>0.11</v>
      </c>
      <c r="Q40" s="5">
        <v>8.9999999999999993E-3</v>
      </c>
      <c r="R40" s="5">
        <f>Q40*4</f>
        <v>3.5999999999999997E-2</v>
      </c>
      <c r="T40" s="5">
        <f>T39/10000000</f>
        <v>1.8042800000000001E-2</v>
      </c>
    </row>
    <row r="41" spans="1:23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L41" s="5">
        <f>119576-84653</f>
        <v>34923</v>
      </c>
      <c r="P41" s="5">
        <v>0.19</v>
      </c>
      <c r="Q41" s="5">
        <v>1.6E-2</v>
      </c>
      <c r="R41" s="5">
        <f>Q41*4</f>
        <v>6.4000000000000001E-2</v>
      </c>
    </row>
    <row r="42" spans="1:23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315">
        <v>2.3500000000000001E-3</v>
      </c>
      <c r="G42" s="404">
        <f>'actual fig'!L65/1000000</f>
        <v>0.25074099999999999</v>
      </c>
      <c r="H42" s="314" t="s">
        <v>221</v>
      </c>
      <c r="I42" s="314">
        <f>(G42-F42)/F42*100</f>
        <v>10569.829787234043</v>
      </c>
    </row>
    <row r="43" spans="1:23" ht="16.149999999999999" thickBot="1" x14ac:dyDescent="0.5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313">
        <v>9.5799999999999998E-4</v>
      </c>
      <c r="G43" s="404">
        <f>'actual fig'!M65/1000000</f>
        <v>5.2392000000000001E-2</v>
      </c>
      <c r="H43" s="2027" t="s">
        <v>221</v>
      </c>
      <c r="I43" s="314">
        <f>(G43-F43)/F43*100</f>
        <v>5368.8935281837157</v>
      </c>
      <c r="M43" s="429"/>
    </row>
    <row r="44" spans="1:23" ht="15.75" thickTop="1" x14ac:dyDescent="0.4">
      <c r="A44" s="2020"/>
      <c r="B44" s="2070"/>
      <c r="C44" s="320" t="s">
        <v>228</v>
      </c>
      <c r="D44" s="2068"/>
      <c r="E44" s="2066"/>
      <c r="F44" s="313">
        <v>0.12851799999999999</v>
      </c>
      <c r="G44" s="313">
        <f>'actual fig'!N65/1000000</f>
        <v>1.0095270000000001</v>
      </c>
      <c r="H44" s="2029"/>
      <c r="I44" s="314">
        <f>(G44-F44)/F44*100</f>
        <v>685.5140914113199</v>
      </c>
    </row>
    <row r="45" spans="1:23" ht="15" x14ac:dyDescent="0.35">
      <c r="A45" s="2020">
        <v>6</v>
      </c>
      <c r="B45" s="2021" t="s">
        <v>273</v>
      </c>
      <c r="C45" s="2022"/>
      <c r="D45" s="2022"/>
      <c r="E45" s="2022"/>
      <c r="F45" s="2022"/>
      <c r="G45" s="2022"/>
      <c r="H45" s="2022"/>
      <c r="I45" s="2023"/>
    </row>
    <row r="46" spans="1:23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2"/>
      <c r="G46" s="312"/>
      <c r="H46" s="2027" t="s">
        <v>221</v>
      </c>
      <c r="I46" s="314" t="e">
        <f>(G46-F46)/F46*100</f>
        <v>#DIV/0!</v>
      </c>
    </row>
    <row r="47" spans="1:23" ht="15.4" x14ac:dyDescent="0.4">
      <c r="A47" s="2020"/>
      <c r="B47" s="2006" t="s">
        <v>37</v>
      </c>
      <c r="C47" s="2007"/>
      <c r="D47" s="303" t="s">
        <v>221</v>
      </c>
      <c r="E47" s="2025"/>
      <c r="F47" s="312"/>
      <c r="G47" s="312"/>
      <c r="H47" s="2028"/>
      <c r="I47" s="314" t="e">
        <f>(G47-F47)/F47*100</f>
        <v>#DIV/0!</v>
      </c>
    </row>
    <row r="48" spans="1:23" ht="15.4" x14ac:dyDescent="0.4">
      <c r="A48" s="2020"/>
      <c r="B48" s="2006" t="s">
        <v>38</v>
      </c>
      <c r="C48" s="2007"/>
      <c r="D48" s="303" t="s">
        <v>221</v>
      </c>
      <c r="E48" s="2026"/>
      <c r="F48" s="312"/>
      <c r="G48" s="312"/>
      <c r="H48" s="2029"/>
      <c r="I48" s="314" t="e">
        <f>(G48-F48)/F48*100</f>
        <v>#DIV/0!</v>
      </c>
    </row>
    <row r="50" spans="3:8" s="5" customFormat="1" ht="16.149999999999999" thickBot="1" x14ac:dyDescent="0.4">
      <c r="D50" s="84"/>
      <c r="E50" s="35"/>
      <c r="F50" s="824">
        <v>37181</v>
      </c>
      <c r="H50" s="11"/>
    </row>
    <row r="54" spans="3:8" s="5" customFormat="1" ht="13.5" x14ac:dyDescent="0.35">
      <c r="C54" s="12">
        <v>56.49</v>
      </c>
      <c r="D54" s="84">
        <v>18.96</v>
      </c>
      <c r="E54" s="428">
        <f>C54-D54</f>
        <v>37.53</v>
      </c>
      <c r="F54" s="12">
        <v>290</v>
      </c>
      <c r="G54" s="12">
        <f>G42*1000000</f>
        <v>250741</v>
      </c>
      <c r="H54" s="11">
        <f>G54/100000</f>
        <v>2.5074100000000001</v>
      </c>
    </row>
    <row r="55" spans="3:8" s="5" customFormat="1" ht="13.5" x14ac:dyDescent="0.35">
      <c r="D55" s="84"/>
      <c r="E55" s="35"/>
      <c r="G55" s="12">
        <f>G43*1000000</f>
        <v>52392</v>
      </c>
      <c r="H55" s="11">
        <f>G55/100000</f>
        <v>0.52392000000000005</v>
      </c>
    </row>
    <row r="56" spans="3:8" s="5" customFormat="1" ht="13.5" x14ac:dyDescent="0.35">
      <c r="D56" s="84"/>
      <c r="E56" s="35"/>
      <c r="G56" s="12">
        <f>G44*1000000</f>
        <v>1009527.0000000001</v>
      </c>
      <c r="H56" s="11">
        <f>G56/100000</f>
        <v>10.095270000000001</v>
      </c>
    </row>
    <row r="57" spans="3:8" s="5" customFormat="1" ht="13.5" x14ac:dyDescent="0.35">
      <c r="D57" s="84"/>
      <c r="E57" s="35"/>
      <c r="H57" s="11">
        <f>G57/100000</f>
        <v>0</v>
      </c>
    </row>
    <row r="64" spans="3:8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8000000000000003" right="0.17" top="0.75" bottom="0.75" header="0.3" footer="0.3"/>
  <pageSetup paperSize="9" scale="37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U64"/>
  <sheetViews>
    <sheetView topLeftCell="A17" zoomScale="90" zoomScaleNormal="90" workbookViewId="0">
      <selection activeCell="E35" sqref="E35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14.265625" style="5" customWidth="1"/>
    <col min="4" max="4" width="9" style="84" customWidth="1"/>
    <col min="5" max="5" width="11.265625" style="35" customWidth="1"/>
    <col min="6" max="6" width="11" style="5" customWidth="1"/>
    <col min="7" max="7" width="12" style="5" customWidth="1"/>
    <col min="8" max="8" width="9.86328125" style="11" customWidth="1"/>
    <col min="9" max="9" width="11.86328125" style="82" customWidth="1"/>
    <col min="10" max="10" width="9.1328125" style="5"/>
    <col min="11" max="11" width="11.265625" style="5" customWidth="1"/>
    <col min="12" max="12" width="13.1328125" style="5" customWidth="1"/>
    <col min="13" max="13" width="11.86328125" style="5" customWidth="1"/>
    <col min="14" max="14" width="10.73046875" style="5" customWidth="1"/>
    <col min="15" max="16384" width="9.1328125" style="5"/>
  </cols>
  <sheetData>
    <row r="1" spans="1:13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3" s="301" customFormat="1" ht="17.25" thickBot="1" x14ac:dyDescent="0.5">
      <c r="A2" s="2092" t="s">
        <v>341</v>
      </c>
      <c r="B2" s="2093"/>
      <c r="C2" s="2093"/>
      <c r="D2" s="2093"/>
      <c r="E2" s="2093"/>
      <c r="F2" s="2093"/>
      <c r="G2" s="2093"/>
      <c r="H2" s="2093"/>
      <c r="I2" s="2094"/>
    </row>
    <row r="3" spans="1:13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3" s="35" customFormat="1" ht="15" x14ac:dyDescent="0.45">
      <c r="A4" s="2035"/>
      <c r="B4" s="2047"/>
      <c r="C4" s="2048"/>
      <c r="D4" s="366" t="s">
        <v>9</v>
      </c>
      <c r="E4" s="383">
        <f>G4</f>
        <v>44136</v>
      </c>
      <c r="F4" s="383">
        <v>43770</v>
      </c>
      <c r="G4" s="383">
        <v>44136</v>
      </c>
      <c r="H4" s="2041" t="s">
        <v>12</v>
      </c>
      <c r="I4" s="2041" t="s">
        <v>13</v>
      </c>
    </row>
    <row r="5" spans="1:13" ht="15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/>
    </row>
    <row r="6" spans="1:13" x14ac:dyDescent="0.45">
      <c r="A6" s="372">
        <v>1</v>
      </c>
      <c r="B6" s="2049" t="s">
        <v>279</v>
      </c>
      <c r="C6" s="2049"/>
      <c r="D6" s="304" t="s">
        <v>221</v>
      </c>
      <c r="E6" s="305" t="s">
        <v>221</v>
      </c>
      <c r="F6" s="305">
        <f>F15+F16+F17</f>
        <v>77.25</v>
      </c>
      <c r="G6" s="305">
        <f>G15+G16+G17</f>
        <v>20.300273731000001</v>
      </c>
      <c r="H6" s="306" t="s">
        <v>221</v>
      </c>
      <c r="I6" s="306">
        <f>(G6-F6)/F6*100</f>
        <v>-73.721328503559874</v>
      </c>
      <c r="K6" s="319"/>
      <c r="L6"/>
    </row>
    <row r="7" spans="1:13" x14ac:dyDescent="0.35">
      <c r="A7" s="373">
        <v>2</v>
      </c>
      <c r="B7" s="2050" t="s">
        <v>281</v>
      </c>
      <c r="C7" s="2051"/>
      <c r="D7" s="307" t="s">
        <v>221</v>
      </c>
      <c r="E7" s="307" t="s">
        <v>221</v>
      </c>
      <c r="F7" s="307">
        <v>22.18</v>
      </c>
      <c r="G7" s="307">
        <v>10.96</v>
      </c>
      <c r="H7" s="308" t="s">
        <v>221</v>
      </c>
      <c r="I7" s="308">
        <f>(G7-F7)/F7*100</f>
        <v>-50.586113615870154</v>
      </c>
    </row>
    <row r="8" spans="1:13" x14ac:dyDescent="0.35">
      <c r="A8" s="374">
        <v>3</v>
      </c>
      <c r="B8" s="2021" t="s">
        <v>282</v>
      </c>
      <c r="C8" s="2023"/>
      <c r="D8" s="364" t="s">
        <v>221</v>
      </c>
      <c r="E8" s="364" t="s">
        <v>221</v>
      </c>
      <c r="F8" s="364">
        <v>7.29</v>
      </c>
      <c r="G8" s="364">
        <v>2.74</v>
      </c>
      <c r="H8" s="365" t="s">
        <v>221</v>
      </c>
      <c r="I8" s="365">
        <f>(G8-F8)/F8*100</f>
        <v>-62.414266117969817</v>
      </c>
    </row>
    <row r="9" spans="1:13" x14ac:dyDescent="0.35">
      <c r="A9" s="373">
        <v>4</v>
      </c>
      <c r="B9" s="2052" t="s">
        <v>283</v>
      </c>
      <c r="C9" s="2053"/>
      <c r="D9" s="307" t="s">
        <v>221</v>
      </c>
      <c r="E9" s="307" t="s">
        <v>221</v>
      </c>
      <c r="F9" s="307">
        <v>0.72</v>
      </c>
      <c r="G9" s="307">
        <v>0.13500000000000001</v>
      </c>
      <c r="H9" s="308" t="s">
        <v>221</v>
      </c>
      <c r="I9" s="308">
        <f>(G9-F9)/F9*100</f>
        <v>-81.25</v>
      </c>
    </row>
    <row r="10" spans="1:13" ht="17.649999999999999" x14ac:dyDescent="0.35">
      <c r="A10" s="374">
        <v>5</v>
      </c>
      <c r="B10" s="2117" t="s">
        <v>284</v>
      </c>
      <c r="C10" s="2118"/>
      <c r="D10" s="321" t="s">
        <v>221</v>
      </c>
      <c r="E10" s="321" t="s">
        <v>221</v>
      </c>
      <c r="F10" s="446">
        <f>SUM(F6:F9)</f>
        <v>107.44000000000001</v>
      </c>
      <c r="G10" s="446">
        <f>SUM(G6:G9)</f>
        <v>34.135273730999998</v>
      </c>
      <c r="H10" s="322" t="s">
        <v>221</v>
      </c>
      <c r="I10" s="322">
        <f>(G10-F10)/F10*100</f>
        <v>-68.228524077624726</v>
      </c>
      <c r="K10" s="12"/>
    </row>
    <row r="11" spans="1:13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3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6.6390000000000002</v>
      </c>
      <c r="G12" s="447">
        <f>G42+G43+G44</f>
        <v>0.39788100000000004</v>
      </c>
      <c r="H12" s="310" t="s">
        <v>221</v>
      </c>
      <c r="I12" s="311">
        <f>(G12-F12)/F12*100</f>
        <v>-94.006913691821055</v>
      </c>
    </row>
    <row r="13" spans="1:13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3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K14" s="383">
        <v>43770</v>
      </c>
      <c r="L14" s="383">
        <v>44136</v>
      </c>
    </row>
    <row r="15" spans="1:13" ht="15.4" x14ac:dyDescent="0.4">
      <c r="A15" s="2004"/>
      <c r="B15" s="2006" t="s">
        <v>16</v>
      </c>
      <c r="C15" s="2007"/>
      <c r="D15" s="331" t="s">
        <v>221</v>
      </c>
      <c r="E15" s="307" t="s">
        <v>221</v>
      </c>
      <c r="F15" s="264">
        <v>1.68</v>
      </c>
      <c r="G15" s="433">
        <f>L15/10000000</f>
        <v>1.5498731E-2</v>
      </c>
      <c r="H15" s="314" t="s">
        <v>221</v>
      </c>
      <c r="I15" s="314">
        <f>(G15-F15)/F15*100</f>
        <v>-99.077456488095223</v>
      </c>
      <c r="K15" s="13">
        <f>16748616/10000000</f>
        <v>1.6748616000000001</v>
      </c>
      <c r="L15" s="476">
        <v>154987.31</v>
      </c>
      <c r="M15" s="264">
        <f>L15/100000</f>
        <v>1.5498730999999999</v>
      </c>
    </row>
    <row r="16" spans="1:13" ht="15.4" x14ac:dyDescent="0.4">
      <c r="A16" s="2004"/>
      <c r="B16" s="2071" t="s">
        <v>15</v>
      </c>
      <c r="C16" s="320" t="s">
        <v>166</v>
      </c>
      <c r="D16" s="2064" t="s">
        <v>221</v>
      </c>
      <c r="E16" s="2065" t="s">
        <v>221</v>
      </c>
      <c r="F16" s="134">
        <v>16.02</v>
      </c>
      <c r="G16" s="433">
        <f>L16/10000000</f>
        <v>1.21748E-2</v>
      </c>
      <c r="H16" s="2027" t="s">
        <v>221</v>
      </c>
      <c r="I16" s="314">
        <f>(G16-F16)/F16*100</f>
        <v>-99.924002496878899</v>
      </c>
      <c r="K16" s="5">
        <f>164553976/10000000</f>
        <v>16.455397600000001</v>
      </c>
      <c r="L16" s="477">
        <v>121748</v>
      </c>
      <c r="M16" s="264">
        <f>L16/100000</f>
        <v>1.2174799999999999</v>
      </c>
    </row>
    <row r="17" spans="1:21" ht="15.4" x14ac:dyDescent="0.4">
      <c r="A17" s="2005"/>
      <c r="B17" s="2071"/>
      <c r="C17" s="320" t="s">
        <v>228</v>
      </c>
      <c r="D17" s="2064"/>
      <c r="E17" s="2066"/>
      <c r="F17" s="475">
        <v>59.55</v>
      </c>
      <c r="G17" s="264">
        <f>202726002/10000000</f>
        <v>20.272600199999999</v>
      </c>
      <c r="H17" s="2029"/>
      <c r="I17" s="314">
        <f>(G17-F17)/F17*100</f>
        <v>-65.957010579345081</v>
      </c>
      <c r="K17" s="386">
        <f>595156350/10000000</f>
        <v>59.515635000000003</v>
      </c>
      <c r="L17" s="478">
        <f>215753742</f>
        <v>215753742</v>
      </c>
      <c r="M17" s="476">
        <f>L17/100000</f>
        <v>2157.5374200000001</v>
      </c>
    </row>
    <row r="18" spans="1:21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21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v>11.4511053</v>
      </c>
      <c r="G19" s="264">
        <v>6.6884709000000004</v>
      </c>
      <c r="H19" s="316" t="s">
        <v>221</v>
      </c>
      <c r="I19" s="314">
        <f>(G19-F19)/F19*100</f>
        <v>-41.591045363978971</v>
      </c>
      <c r="L19"/>
    </row>
    <row r="20" spans="1:21" ht="15.4" x14ac:dyDescent="0.4">
      <c r="A20" s="2004"/>
      <c r="B20" s="2009"/>
      <c r="C20" s="2000" t="s">
        <v>232</v>
      </c>
      <c r="D20" s="2001"/>
      <c r="E20" s="2002"/>
      <c r="F20" s="264">
        <v>8.3000000000000007</v>
      </c>
      <c r="G20" s="264">
        <v>1.7759925999999999</v>
      </c>
      <c r="H20" s="316" t="s">
        <v>221</v>
      </c>
      <c r="I20" s="314">
        <f>(G20-F20)/F20*100</f>
        <v>-78.602498795180722</v>
      </c>
    </row>
    <row r="21" spans="1:21" ht="15.4" x14ac:dyDescent="0.4">
      <c r="A21" s="2004"/>
      <c r="B21" s="2009"/>
      <c r="C21" s="2000" t="s">
        <v>239</v>
      </c>
      <c r="D21" s="2001"/>
      <c r="E21" s="2002"/>
      <c r="F21" s="264">
        <v>0.89624570000000003</v>
      </c>
      <c r="G21" s="264">
        <v>1.4473214999999999</v>
      </c>
      <c r="H21" s="316" t="s">
        <v>221</v>
      </c>
      <c r="I21" s="314">
        <f>(G21-F21)/F21*100</f>
        <v>61.487134610520286</v>
      </c>
    </row>
    <row r="22" spans="1:21" ht="15.4" x14ac:dyDescent="0.4">
      <c r="A22" s="2004"/>
      <c r="B22" s="2009"/>
      <c r="C22" s="2000" t="s">
        <v>233</v>
      </c>
      <c r="D22" s="2001"/>
      <c r="E22" s="2002"/>
      <c r="F22" s="264">
        <v>1.2641922000000001</v>
      </c>
      <c r="G22" s="264">
        <v>1.054662</v>
      </c>
      <c r="H22" s="316" t="s">
        <v>221</v>
      </c>
      <c r="I22" s="314">
        <f>(G22-F22)/F22*100</f>
        <v>-16.574236101124505</v>
      </c>
    </row>
    <row r="23" spans="1:21" ht="15.4" x14ac:dyDescent="0.4">
      <c r="A23" s="2004"/>
      <c r="B23" s="2009"/>
      <c r="C23" s="2000" t="s">
        <v>234</v>
      </c>
      <c r="D23" s="2001"/>
      <c r="E23" s="2002"/>
      <c r="F23" s="264">
        <v>0.26648440000000001</v>
      </c>
      <c r="G23" s="264">
        <v>0</v>
      </c>
      <c r="H23" s="316" t="s">
        <v>221</v>
      </c>
      <c r="I23" s="314">
        <f>(G23-F23)/F23*100</f>
        <v>-100</v>
      </c>
    </row>
    <row r="24" spans="1:21" ht="15.4" x14ac:dyDescent="0.4">
      <c r="A24" s="2004"/>
      <c r="B24" s="2009"/>
      <c r="C24" s="2000" t="s">
        <v>235</v>
      </c>
      <c r="D24" s="2001"/>
      <c r="E24" s="2002"/>
      <c r="F24" s="264">
        <v>0</v>
      </c>
      <c r="G24" s="264">
        <v>0</v>
      </c>
      <c r="H24" s="316"/>
      <c r="I24" s="314">
        <v>0</v>
      </c>
    </row>
    <row r="25" spans="1:21" ht="15.4" x14ac:dyDescent="0.4">
      <c r="A25" s="2005"/>
      <c r="B25" s="2010"/>
      <c r="C25" s="2011" t="s">
        <v>236</v>
      </c>
      <c r="D25" s="2012"/>
      <c r="E25" s="2013"/>
      <c r="F25" s="264">
        <v>0</v>
      </c>
      <c r="G25" s="264">
        <v>0</v>
      </c>
      <c r="H25" s="316" t="s">
        <v>221</v>
      </c>
      <c r="I25" s="314">
        <v>0</v>
      </c>
    </row>
    <row r="26" spans="1:21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21" ht="15.4" x14ac:dyDescent="0.4">
      <c r="A27" s="2015"/>
      <c r="B27" s="2006" t="s">
        <v>2</v>
      </c>
      <c r="C27" s="2007"/>
      <c r="D27" s="331" t="s">
        <v>221</v>
      </c>
      <c r="E27" s="307" t="s">
        <v>221</v>
      </c>
      <c r="F27" s="134">
        <v>1.55</v>
      </c>
      <c r="G27" s="134">
        <f>1051043/10000000</f>
        <v>0.1051043</v>
      </c>
      <c r="H27" s="314" t="s">
        <v>221</v>
      </c>
      <c r="I27" s="314">
        <f t="shared" ref="I27:I33" si="0">(G27-F27)/F27*100</f>
        <v>-93.219077419354832</v>
      </c>
      <c r="K27" s="6" t="s">
        <v>126</v>
      </c>
      <c r="L27" s="6" t="s">
        <v>299</v>
      </c>
      <c r="N27" s="5" t="s">
        <v>343</v>
      </c>
    </row>
    <row r="28" spans="1:21" ht="15.4" x14ac:dyDescent="0.4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f>20464890/10000000</f>
        <v>2.0464889999999998</v>
      </c>
      <c r="G28" s="134">
        <f>12648188/10000000</f>
        <v>1.2648188</v>
      </c>
      <c r="H28" s="314" t="s">
        <v>221</v>
      </c>
      <c r="I28" s="314">
        <f t="shared" si="0"/>
        <v>-38.195670731677517</v>
      </c>
      <c r="K28" s="6"/>
      <c r="L28" s="6">
        <f>255</f>
        <v>255</v>
      </c>
      <c r="M28" s="12">
        <v>387.9</v>
      </c>
      <c r="N28" s="12">
        <v>20.399999999999999</v>
      </c>
      <c r="O28" s="11">
        <f>(N28-M28)/M28*100</f>
        <v>-94.740912606341837</v>
      </c>
      <c r="Q28" s="5">
        <f>5743117/100000</f>
        <v>57.431170000000002</v>
      </c>
      <c r="R28" s="5">
        <f>139396/100000</f>
        <v>1.3939600000000001</v>
      </c>
    </row>
    <row r="29" spans="1:21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134">
        <v>0.1031827</v>
      </c>
      <c r="G29" s="389">
        <f>415898/10000000</f>
        <v>4.1589800000000003E-2</v>
      </c>
      <c r="H29" s="314" t="s">
        <v>221</v>
      </c>
      <c r="I29" s="314">
        <f t="shared" si="0"/>
        <v>-59.693049319314184</v>
      </c>
      <c r="M29" s="5">
        <v>106.9</v>
      </c>
      <c r="N29" s="5">
        <v>8.15</v>
      </c>
      <c r="O29" s="11">
        <f>(N29-M29)/M29*100</f>
        <v>-92.376052385406922</v>
      </c>
    </row>
    <row r="30" spans="1:21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v>6.7711999999999994E-2</v>
      </c>
      <c r="G30" s="134">
        <v>0</v>
      </c>
      <c r="H30" s="316" t="s">
        <v>221</v>
      </c>
      <c r="I30" s="314">
        <f t="shared" si="0"/>
        <v>-100</v>
      </c>
      <c r="M30" s="5">
        <v>1709.85</v>
      </c>
      <c r="N30" s="5">
        <v>523.5</v>
      </c>
      <c r="O30" s="11">
        <f>(N30-M30)/M30*100</f>
        <v>-69.383279235020609</v>
      </c>
      <c r="S30" s="5">
        <v>7.29</v>
      </c>
      <c r="T30" s="5">
        <v>6.7</v>
      </c>
      <c r="U30" s="5">
        <f>S30-T30</f>
        <v>0.58999999999999986</v>
      </c>
    </row>
    <row r="31" spans="1:21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v>0.25488</v>
      </c>
      <c r="G31" s="476">
        <v>0</v>
      </c>
      <c r="H31" s="316" t="s">
        <v>221</v>
      </c>
      <c r="I31" s="314">
        <f t="shared" si="0"/>
        <v>-100</v>
      </c>
      <c r="L31" s="319">
        <v>13038225</v>
      </c>
    </row>
    <row r="32" spans="1:21" ht="15.4" x14ac:dyDescent="0.4">
      <c r="A32" s="2016"/>
      <c r="B32" s="2017" t="s">
        <v>241</v>
      </c>
      <c r="C32" s="2030"/>
      <c r="D32" s="332" t="s">
        <v>221</v>
      </c>
      <c r="E32" s="308" t="s">
        <v>221</v>
      </c>
      <c r="F32" s="134">
        <v>2.6809745</v>
      </c>
      <c r="G32" s="264">
        <f>13038225/10000000</f>
        <v>1.3038225000000001</v>
      </c>
      <c r="H32" s="316" t="s">
        <v>221</v>
      </c>
      <c r="I32" s="314">
        <f t="shared" si="0"/>
        <v>-51.367590404160865</v>
      </c>
      <c r="K32" s="437"/>
    </row>
    <row r="33" spans="1:18" x14ac:dyDescent="0.4">
      <c r="A33" s="403"/>
      <c r="B33" s="402" t="s">
        <v>266</v>
      </c>
      <c r="C33" s="409"/>
      <c r="D33" s="332"/>
      <c r="E33" s="308"/>
      <c r="F33" s="134">
        <v>0.59</v>
      </c>
      <c r="G33" s="315">
        <v>2.1000000000000001E-2</v>
      </c>
      <c r="H33" s="316"/>
      <c r="I33" s="314">
        <f t="shared" si="0"/>
        <v>-96.440677966101703</v>
      </c>
    </row>
    <row r="34" spans="1:18" ht="15" x14ac:dyDescent="0.35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</row>
    <row r="35" spans="1:18" ht="15.4" x14ac:dyDescent="0.4">
      <c r="A35" s="2020"/>
      <c r="B35" s="2006" t="s">
        <v>27</v>
      </c>
      <c r="C35" s="2007"/>
      <c r="D35" s="331">
        <v>10.16</v>
      </c>
      <c r="E35" s="307">
        <v>0.20250000000000001</v>
      </c>
      <c r="F35" s="264">
        <f>5743117/10000000</f>
        <v>0.57431169999999998</v>
      </c>
      <c r="G35" s="283">
        <f>139396/10000000</f>
        <v>1.39396E-2</v>
      </c>
      <c r="H35" s="314">
        <f>(G35-E35)/E35*100</f>
        <v>-93.116246913580241</v>
      </c>
      <c r="I35" s="314">
        <f>(G35-F35)/F35*100</f>
        <v>-97.572816294705461</v>
      </c>
      <c r="K35" s="432" t="s">
        <v>203</v>
      </c>
      <c r="L35" s="432" t="s">
        <v>275</v>
      </c>
      <c r="Q35" s="6" t="s">
        <v>126</v>
      </c>
    </row>
    <row r="36" spans="1:18" ht="15.4" x14ac:dyDescent="0.4">
      <c r="A36" s="2020"/>
      <c r="B36" s="2006" t="s">
        <v>28</v>
      </c>
      <c r="C36" s="2007"/>
      <c r="D36" s="333" t="s">
        <v>221</v>
      </c>
      <c r="E36" s="307" t="s">
        <v>221</v>
      </c>
      <c r="F36" s="264">
        <v>0.1038307</v>
      </c>
      <c r="G36" s="134">
        <f>930939/10000000</f>
        <v>9.3093899999999993E-2</v>
      </c>
      <c r="H36" s="314" t="s">
        <v>221</v>
      </c>
      <c r="I36" s="314">
        <f>(G36-F36)/F36*100</f>
        <v>-10.340679587058553</v>
      </c>
      <c r="K36" s="5" t="s">
        <v>126</v>
      </c>
      <c r="L36" s="5" t="s">
        <v>299</v>
      </c>
      <c r="Q36" s="172">
        <v>0.57431169999999998</v>
      </c>
      <c r="R36" s="5" t="s">
        <v>27</v>
      </c>
    </row>
    <row r="37" spans="1:18" ht="15.4" x14ac:dyDescent="0.4">
      <c r="A37" s="2020"/>
      <c r="B37" s="378" t="s">
        <v>224</v>
      </c>
      <c r="C37" s="379"/>
      <c r="D37" s="331" t="s">
        <v>221</v>
      </c>
      <c r="E37" s="307" t="s">
        <v>221</v>
      </c>
      <c r="F37" s="433">
        <v>2.9382100000000001E-2</v>
      </c>
      <c r="G37" s="389">
        <f>258821/10000000</f>
        <v>2.5882100000000002E-2</v>
      </c>
      <c r="H37" s="314" t="s">
        <v>221</v>
      </c>
      <c r="I37" s="314">
        <f>(G37-F37)/F37*100</f>
        <v>-11.912014457782117</v>
      </c>
      <c r="K37" s="6"/>
      <c r="L37" s="6">
        <f>M37-N37</f>
        <v>25202</v>
      </c>
      <c r="M37" s="5">
        <v>329700</v>
      </c>
      <c r="N37" s="5">
        <v>304498</v>
      </c>
      <c r="Q37" s="172">
        <v>0.1038307</v>
      </c>
      <c r="R37" s="5" t="s">
        <v>28</v>
      </c>
    </row>
    <row r="38" spans="1:18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v>0</v>
      </c>
      <c r="G38" s="134">
        <v>0</v>
      </c>
      <c r="H38" s="314" t="s">
        <v>221</v>
      </c>
      <c r="I38" s="314">
        <v>0</v>
      </c>
      <c r="K38" s="30"/>
      <c r="L38" s="30"/>
      <c r="Q38" s="172">
        <v>1.3424E-2</v>
      </c>
      <c r="R38" s="5" t="s">
        <v>4</v>
      </c>
    </row>
    <row r="39" spans="1:18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264">
        <v>1.3424E-2</v>
      </c>
      <c r="G39" s="134">
        <v>0</v>
      </c>
      <c r="H39" s="314" t="s">
        <v>221</v>
      </c>
      <c r="I39" s="314">
        <v>0</v>
      </c>
      <c r="Q39" s="172">
        <v>0</v>
      </c>
      <c r="R39" s="5" t="s">
        <v>29</v>
      </c>
    </row>
    <row r="40" spans="1:18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134">
        <v>0</v>
      </c>
      <c r="G40" s="283">
        <f>25202/10000000</f>
        <v>2.5201999999999998E-3</v>
      </c>
      <c r="H40" s="314"/>
      <c r="I40" s="314">
        <v>0</v>
      </c>
      <c r="Q40" s="172">
        <v>0</v>
      </c>
      <c r="R40" s="5" t="s">
        <v>64</v>
      </c>
    </row>
    <row r="41" spans="1:18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K41" s="383">
        <v>43770</v>
      </c>
      <c r="L41" s="383">
        <v>44136</v>
      </c>
      <c r="Q41" s="172">
        <v>2.9382100000000001E-2</v>
      </c>
      <c r="R41" s="5" t="s">
        <v>3</v>
      </c>
    </row>
    <row r="42" spans="1:18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2.9660000000000002</v>
      </c>
      <c r="G42" s="433">
        <f>31079/1000000</f>
        <v>3.1078999999999999E-2</v>
      </c>
      <c r="H42" s="314" t="s">
        <v>221</v>
      </c>
      <c r="I42" s="314">
        <v>0</v>
      </c>
      <c r="L42" s="12">
        <v>0.31079000000000001</v>
      </c>
      <c r="R42" s="5" t="s">
        <v>31</v>
      </c>
    </row>
    <row r="43" spans="1:18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134">
        <v>2.67</v>
      </c>
      <c r="G43" s="283">
        <f>104/1000000</f>
        <v>1.0399999999999999E-4</v>
      </c>
      <c r="H43" s="2027" t="s">
        <v>221</v>
      </c>
      <c r="I43" s="314">
        <v>0</v>
      </c>
      <c r="L43" s="12">
        <v>1.0399999999999999E-3</v>
      </c>
    </row>
    <row r="44" spans="1:18" ht="15.4" x14ac:dyDescent="0.4">
      <c r="A44" s="2020"/>
      <c r="B44" s="2070"/>
      <c r="C44" s="320" t="s">
        <v>228</v>
      </c>
      <c r="D44" s="2068"/>
      <c r="E44" s="2066"/>
      <c r="F44" s="134">
        <v>1.0029999999999999</v>
      </c>
      <c r="G44" s="323">
        <v>0.36669800000000002</v>
      </c>
      <c r="H44" s="2029"/>
      <c r="I44" s="314">
        <f>(G44-F44)/F44*100</f>
        <v>-63.439880358923226</v>
      </c>
      <c r="L44" s="12">
        <v>3.6669800000000001</v>
      </c>
    </row>
    <row r="45" spans="1:18" ht="15" x14ac:dyDescent="0.35">
      <c r="A45" s="2020">
        <v>6</v>
      </c>
      <c r="B45" s="2021" t="s">
        <v>342</v>
      </c>
      <c r="C45" s="2022"/>
      <c r="D45" s="2022"/>
      <c r="E45" s="2022"/>
      <c r="F45" s="2022"/>
      <c r="G45" s="2022"/>
      <c r="H45" s="2022"/>
      <c r="I45" s="2023"/>
      <c r="L45" s="12"/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/>
      <c r="G46" s="78"/>
      <c r="H46" s="2027" t="s">
        <v>221</v>
      </c>
      <c r="I46" s="314" t="e">
        <f>(G46-F46)/F46*100</f>
        <v>#DIV/0!</v>
      </c>
      <c r="L46" s="5">
        <v>3.51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78"/>
      <c r="G47" s="78"/>
      <c r="H47" s="2028"/>
      <c r="I47" s="314" t="e">
        <f>(G47-F47)/F47*100</f>
        <v>#DIV/0!</v>
      </c>
      <c r="L47" s="5">
        <f>L46-0.88</f>
        <v>2.63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78"/>
      <c r="G48" s="78"/>
      <c r="H48" s="2029"/>
      <c r="I48" s="314" t="e">
        <f>(G48-F48)/F48*100</f>
        <v>#DIV/0!</v>
      </c>
    </row>
    <row r="49" spans="2:9" s="5" customFormat="1" ht="13.5" x14ac:dyDescent="0.35">
      <c r="B49" s="300"/>
      <c r="D49" s="84"/>
      <c r="E49" s="35"/>
      <c r="H49" s="11"/>
      <c r="I49" s="82"/>
    </row>
    <row r="50" spans="2:9" s="5" customFormat="1" ht="13.5" x14ac:dyDescent="0.35">
      <c r="B50" s="300"/>
      <c r="D50" s="84"/>
      <c r="E50" s="479">
        <f>G42</f>
        <v>3.1078999999999999E-2</v>
      </c>
      <c r="F50" s="5">
        <v>31079</v>
      </c>
      <c r="G50" s="12">
        <f>F50/100000</f>
        <v>0.31079000000000001</v>
      </c>
      <c r="H50" s="11"/>
    </row>
    <row r="51" spans="2:9" s="5" customFormat="1" ht="13.5" x14ac:dyDescent="0.35">
      <c r="B51" s="300"/>
      <c r="D51" s="84"/>
      <c r="E51" s="479">
        <f>G43</f>
        <v>1.0399999999999999E-4</v>
      </c>
      <c r="F51" s="5">
        <v>104</v>
      </c>
      <c r="G51" s="12">
        <f>F51/100000</f>
        <v>1.0399999999999999E-3</v>
      </c>
      <c r="H51" s="11"/>
    </row>
    <row r="52" spans="2:9" s="5" customFormat="1" ht="13.5" x14ac:dyDescent="0.35">
      <c r="B52" s="300"/>
      <c r="D52" s="84"/>
      <c r="E52" s="479">
        <f>G44</f>
        <v>0.36669800000000002</v>
      </c>
      <c r="F52" s="5">
        <v>366698</v>
      </c>
      <c r="G52" s="12">
        <f>F52/100000</f>
        <v>3.6669800000000001</v>
      </c>
      <c r="H52" s="11"/>
    </row>
    <row r="53" spans="2:9" s="5" customFormat="1" ht="13.5" x14ac:dyDescent="0.35">
      <c r="B53" s="300"/>
      <c r="C53" s="5">
        <v>10.16</v>
      </c>
      <c r="D53" s="84">
        <f t="shared" ref="D53:E58" si="1">F35*10000000</f>
        <v>5743117</v>
      </c>
      <c r="E53" s="84">
        <f t="shared" si="1"/>
        <v>139396</v>
      </c>
      <c r="F53" s="12">
        <f t="shared" ref="F53:F58" si="2">E53/100000</f>
        <v>1.3939600000000001</v>
      </c>
      <c r="H53" s="11"/>
      <c r="I53" s="82"/>
    </row>
    <row r="54" spans="2:9" s="5" customFormat="1" ht="13.5" x14ac:dyDescent="0.35">
      <c r="C54" s="12">
        <f>C53*10000000</f>
        <v>101600000</v>
      </c>
      <c r="D54" s="84">
        <f t="shared" si="1"/>
        <v>1038307</v>
      </c>
      <c r="E54" s="84">
        <f t="shared" si="1"/>
        <v>930938.99999999988</v>
      </c>
      <c r="F54" s="12">
        <f t="shared" si="2"/>
        <v>9.3093899999999987</v>
      </c>
      <c r="G54" s="12"/>
      <c r="H54" s="11"/>
    </row>
    <row r="55" spans="2:9" s="5" customFormat="1" ht="13.5" x14ac:dyDescent="0.35">
      <c r="B55" s="300"/>
      <c r="D55" s="84">
        <f t="shared" si="1"/>
        <v>293821</v>
      </c>
      <c r="E55" s="84">
        <f t="shared" si="1"/>
        <v>258821.00000000003</v>
      </c>
      <c r="F55" s="12">
        <f t="shared" si="2"/>
        <v>2.5882100000000001</v>
      </c>
      <c r="G55" s="5">
        <f>G42*1000000</f>
        <v>31079</v>
      </c>
      <c r="H55" s="11">
        <f>G55/100000</f>
        <v>0.31079000000000001</v>
      </c>
      <c r="I55" s="82"/>
    </row>
    <row r="56" spans="2:9" s="5" customFormat="1" ht="13.5" x14ac:dyDescent="0.35">
      <c r="B56" s="300"/>
      <c r="D56" s="84">
        <f t="shared" si="1"/>
        <v>0</v>
      </c>
      <c r="E56" s="84">
        <f t="shared" si="1"/>
        <v>0</v>
      </c>
      <c r="F56" s="12">
        <f t="shared" si="2"/>
        <v>0</v>
      </c>
      <c r="G56" s="5">
        <f>G43*1000000</f>
        <v>104</v>
      </c>
      <c r="H56" s="11">
        <f>G56/100000</f>
        <v>1.0399999999999999E-3</v>
      </c>
      <c r="I56" s="82"/>
    </row>
    <row r="57" spans="2:9" s="5" customFormat="1" ht="13.5" x14ac:dyDescent="0.35">
      <c r="B57" s="300"/>
      <c r="D57" s="84">
        <f t="shared" si="1"/>
        <v>134240</v>
      </c>
      <c r="E57" s="84">
        <f t="shared" si="1"/>
        <v>0</v>
      </c>
      <c r="F57" s="12">
        <f t="shared" si="2"/>
        <v>0</v>
      </c>
      <c r="G57" s="5">
        <f>G44*1000000</f>
        <v>366698</v>
      </c>
      <c r="H57" s="11">
        <f>G57/100000</f>
        <v>3.6669800000000001</v>
      </c>
      <c r="I57" s="82"/>
    </row>
    <row r="58" spans="2:9" s="5" customFormat="1" ht="13.5" x14ac:dyDescent="0.35">
      <c r="B58" s="300"/>
      <c r="D58" s="84">
        <f t="shared" si="1"/>
        <v>0</v>
      </c>
      <c r="E58" s="84">
        <f t="shared" si="1"/>
        <v>25201.999999999996</v>
      </c>
      <c r="F58" s="12">
        <f t="shared" si="2"/>
        <v>0.25201999999999997</v>
      </c>
      <c r="H58" s="11"/>
      <c r="I58" s="82"/>
    </row>
    <row r="64" spans="2:9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75" bottom="0.75" header="0.3" footer="0.3"/>
  <pageSetup paperSize="9" scale="40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T64"/>
  <sheetViews>
    <sheetView workbookViewId="0">
      <selection sqref="A1:XFD1048576"/>
    </sheetView>
  </sheetViews>
  <sheetFormatPr defaultColWidth="9.1328125" defaultRowHeight="16.899999999999999" x14ac:dyDescent="0.35"/>
  <cols>
    <col min="1" max="1" width="5.86328125" style="376" customWidth="1"/>
    <col min="2" max="2" width="33.86328125" style="300" customWidth="1"/>
    <col min="3" max="3" width="6" style="5" bestFit="1" customWidth="1"/>
    <col min="4" max="4" width="11.3984375" style="84" bestFit="1" customWidth="1"/>
    <col min="5" max="5" width="11.3984375" style="35" customWidth="1"/>
    <col min="6" max="6" width="12.73046875" style="5" customWidth="1"/>
    <col min="7" max="7" width="11.86328125" style="5" customWidth="1"/>
    <col min="8" max="8" width="9.265625" style="11" bestFit="1" customWidth="1"/>
    <col min="9" max="9" width="10.3984375" style="82" customWidth="1"/>
    <col min="10" max="10" width="9.1328125" style="5"/>
    <col min="11" max="11" width="12.3984375" style="5" bestFit="1" customWidth="1"/>
    <col min="12" max="12" width="10" style="5" customWidth="1"/>
    <col min="13" max="14" width="10.73046875" style="5" bestFit="1" customWidth="1"/>
    <col min="15" max="16384" width="9.1328125" style="5"/>
  </cols>
  <sheetData>
    <row r="1" spans="1:20" ht="19.5" customHeight="1" x14ac:dyDescent="0.35">
      <c r="A1" s="2200" t="s">
        <v>5</v>
      </c>
      <c r="B1" s="2200"/>
      <c r="C1" s="2200"/>
      <c r="D1" s="2200"/>
      <c r="E1" s="2200"/>
      <c r="F1" s="2200"/>
      <c r="G1" s="2200"/>
      <c r="H1" s="2200"/>
      <c r="I1" s="2200"/>
    </row>
    <row r="2" spans="1:20" s="301" customFormat="1" ht="21.75" customHeight="1" thickBot="1" x14ac:dyDescent="0.5">
      <c r="A2" s="2092" t="s">
        <v>599</v>
      </c>
      <c r="B2" s="2093"/>
      <c r="C2" s="2093"/>
      <c r="D2" s="2093"/>
      <c r="E2" s="2093"/>
      <c r="F2" s="2093"/>
      <c r="G2" s="2093"/>
      <c r="H2" s="2093"/>
      <c r="I2" s="2094"/>
    </row>
    <row r="3" spans="1:20" ht="17.25" thickTop="1" x14ac:dyDescent="0.5">
      <c r="A3" s="2035" t="s">
        <v>144</v>
      </c>
      <c r="B3" s="2201" t="s">
        <v>7</v>
      </c>
      <c r="C3" s="2202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20" s="35" customFormat="1" ht="30" x14ac:dyDescent="0.45">
      <c r="A4" s="2035"/>
      <c r="B4" s="2203"/>
      <c r="C4" s="2204"/>
      <c r="D4" s="366" t="s">
        <v>9</v>
      </c>
      <c r="E4" s="383" t="str">
        <f>G4</f>
        <v>UpTo DEC-21</v>
      </c>
      <c r="F4" s="383" t="s">
        <v>600</v>
      </c>
      <c r="G4" s="383" t="s">
        <v>601</v>
      </c>
      <c r="H4" s="2111" t="s">
        <v>12</v>
      </c>
      <c r="I4" s="2111" t="s">
        <v>13</v>
      </c>
      <c r="N4" s="380"/>
    </row>
    <row r="5" spans="1:20" ht="20.25" hidden="1" customHeight="1" x14ac:dyDescent="0.5">
      <c r="A5" s="2036"/>
      <c r="B5" s="2203"/>
      <c r="C5" s="2204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20" ht="30" customHeight="1" x14ac:dyDescent="0.35">
      <c r="A6" s="372">
        <v>1</v>
      </c>
      <c r="B6" s="2049" t="s">
        <v>290</v>
      </c>
      <c r="C6" s="2049"/>
      <c r="D6" s="304">
        <v>810.69999999999993</v>
      </c>
      <c r="E6" s="434">
        <v>586.53</v>
      </c>
      <c r="F6" s="434">
        <f>'UPTO JULY 2021'!F6+'AUG-2021'!F6+'SEPTEMBER 2021'!F6+'OCTOBER-2021'!F6+'NOVEMBER-2021'!F6+'DEC 2021'!F6</f>
        <v>72.503788315000008</v>
      </c>
      <c r="G6" s="434">
        <f>'UPTO JULY 2021'!G6+'AUG-2021'!G6+'SEPTEMBER 2021'!G6+'OCTOBER-2021'!G6+'NOVEMBER-2021'!G6+'DEC 2021'!G6</f>
        <v>422.726657983</v>
      </c>
      <c r="H6" s="517">
        <f>(G6-E6)/E6*100</f>
        <v>-27.927530052512228</v>
      </c>
      <c r="I6" s="517">
        <f>(G6-F6)/F6*100</f>
        <v>483.04078698125596</v>
      </c>
      <c r="K6" s="12"/>
    </row>
    <row r="7" spans="1:20" ht="26.25" customHeight="1" x14ac:dyDescent="0.35">
      <c r="A7" s="838">
        <v>2</v>
      </c>
      <c r="B7" s="2207" t="s">
        <v>291</v>
      </c>
      <c r="C7" s="2208"/>
      <c r="D7" s="434">
        <v>132.88999999999999</v>
      </c>
      <c r="E7" s="434">
        <f>'UPTO JULY 2021'!E7+'AUG-2021'!E7+'SEPTEMBER 2021'!E7+'OCTOBER-2021'!E7+'NOVEMBER-2021'!E7+'DEC 2021'!E7</f>
        <v>89.25</v>
      </c>
      <c r="F7" s="434">
        <f>F19+F20+F21+F22+F23+F24+F25</f>
        <v>85.315206099999997</v>
      </c>
      <c r="G7" s="434">
        <f>G19+G20+G21+G22+G23+G24+G25</f>
        <v>215.83747489999999</v>
      </c>
      <c r="H7" s="517">
        <f>(G7-E7)/E7*100</f>
        <v>141.83470577030809</v>
      </c>
      <c r="I7" s="517">
        <f>(G7-F7)/F7*100</f>
        <v>152.98828282382831</v>
      </c>
      <c r="K7" s="12"/>
      <c r="L7" s="12"/>
      <c r="T7" s="12"/>
    </row>
    <row r="8" spans="1:20" ht="32.25" customHeight="1" x14ac:dyDescent="0.35">
      <c r="A8" s="374">
        <v>3</v>
      </c>
      <c r="B8" s="2021" t="s">
        <v>292</v>
      </c>
      <c r="C8" s="2023"/>
      <c r="D8" s="364">
        <v>63.210000000000008</v>
      </c>
      <c r="E8" s="434">
        <f>'UPTO JULY 2021'!E8+'AUG-2021'!E8+'SEPTEMBER 2021'!E8+'OCTOBER-2021'!E8+'NOVEMBER-2021'!E8+'DEC 2021'!E8</f>
        <v>44.56</v>
      </c>
      <c r="F8" s="434">
        <f>'UPTO JULY 2021'!F8+'AUG-2021'!F8+'SEPTEMBER 2021'!F8+'OCTOBER-2021'!F8+'NOVEMBER-2021'!F8+'DEC 2021'!F8</f>
        <v>12.0926239</v>
      </c>
      <c r="G8" s="434">
        <f>'UPTO JULY 2021'!G8+'AUG-2021'!G8+'SEPTEMBER 2021'!G8+'OCTOBER-2021'!G8+'NOVEMBER-2021'!G8+'DEC 2021'!G8</f>
        <v>50.289868200000008</v>
      </c>
      <c r="H8" s="517">
        <f>(G8-E8)/E8*100</f>
        <v>12.858770646319581</v>
      </c>
      <c r="I8" s="517">
        <f>(G8-F8)/F8*100</f>
        <v>315.87225912152957</v>
      </c>
      <c r="K8" s="12"/>
      <c r="N8" s="5">
        <f>3.36+0.47</f>
        <v>3.83</v>
      </c>
    </row>
    <row r="9" spans="1:20" ht="34.5" customHeight="1" x14ac:dyDescent="0.35">
      <c r="A9" s="838">
        <v>4</v>
      </c>
      <c r="B9" s="2209" t="s">
        <v>293</v>
      </c>
      <c r="C9" s="2210"/>
      <c r="D9" s="434">
        <v>8.1447600000000016</v>
      </c>
      <c r="E9" s="434">
        <f>E35+E36+E37</f>
        <v>6.1085700000000012</v>
      </c>
      <c r="F9" s="434">
        <f>F35+F36+F37+F38+F39+F40</f>
        <v>0.80877960000000004</v>
      </c>
      <c r="G9" s="517">
        <v>3.79</v>
      </c>
      <c r="H9" s="517">
        <f>(G9-E9)/E9*100</f>
        <v>-37.956019166515254</v>
      </c>
      <c r="I9" s="517">
        <f>(G9-F9)/F9*100</f>
        <v>368.60726952064562</v>
      </c>
      <c r="K9" s="12"/>
    </row>
    <row r="10" spans="1:20" ht="48" customHeight="1" x14ac:dyDescent="0.35">
      <c r="A10" s="374">
        <v>5</v>
      </c>
      <c r="B10" s="2054" t="s">
        <v>294</v>
      </c>
      <c r="C10" s="2055"/>
      <c r="D10" s="305">
        <f>SUM(D6:D9)</f>
        <v>1014.94476</v>
      </c>
      <c r="E10" s="434">
        <f>SUM(E6:E9)</f>
        <v>726.4485699999999</v>
      </c>
      <c r="F10" s="434">
        <f>SUM(F6:F9)</f>
        <v>170.72039791500004</v>
      </c>
      <c r="G10" s="434">
        <f>SUM(G6:G9)</f>
        <v>692.64400108299992</v>
      </c>
      <c r="H10" s="517">
        <f>(G10-E10)/E10*100</f>
        <v>-4.6534015363262382</v>
      </c>
      <c r="I10" s="517">
        <f>(G10-F10)/F10*100</f>
        <v>305.71836145078601</v>
      </c>
    </row>
    <row r="11" spans="1:20" ht="8.2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20" ht="30.75" customHeight="1" x14ac:dyDescent="0.35">
      <c r="A12" s="373">
        <v>6.3</v>
      </c>
      <c r="B12" s="2211" t="s">
        <v>604</v>
      </c>
      <c r="C12" s="2212"/>
      <c r="D12" s="918" t="s">
        <v>221</v>
      </c>
      <c r="E12" s="920" t="s">
        <v>221</v>
      </c>
      <c r="F12" s="920">
        <f>F42+F43+F44</f>
        <v>1.2744260000000001</v>
      </c>
      <c r="G12" s="920">
        <f>'UPTO JULY 2021'!G12+'AUG-2021'!G12+'SEPTEMBER 2021'!G12+'OCTOBER-2021'!G12+'NOVEMBER-2021'!G12+'DEC 2021'!G12</f>
        <v>10.322006999999999</v>
      </c>
      <c r="H12" s="919" t="s">
        <v>221</v>
      </c>
      <c r="I12" s="919">
        <f>(G12-F12)/F12*100</f>
        <v>709.93380549361041</v>
      </c>
    </row>
    <row r="13" spans="1:20" ht="16.5" customHeight="1" x14ac:dyDescent="0.35">
      <c r="B13" s="2167" t="s">
        <v>229</v>
      </c>
      <c r="C13" s="2168"/>
      <c r="D13" s="2168"/>
      <c r="E13" s="2168"/>
      <c r="F13" s="2168"/>
      <c r="G13" s="2168"/>
      <c r="H13" s="2168"/>
      <c r="I13" s="2169"/>
    </row>
    <row r="14" spans="1:20" ht="14.25" customHeight="1" x14ac:dyDescent="0.35">
      <c r="A14" s="2003">
        <v>1</v>
      </c>
      <c r="B14" s="2021" t="s">
        <v>298</v>
      </c>
      <c r="C14" s="2022"/>
      <c r="D14" s="2022"/>
      <c r="E14" s="2022"/>
      <c r="F14" s="2022"/>
      <c r="G14" s="2022"/>
      <c r="H14" s="2022"/>
      <c r="I14" s="2023"/>
    </row>
    <row r="15" spans="1:20" ht="15.4" x14ac:dyDescent="0.4">
      <c r="A15" s="2004"/>
      <c r="B15" s="2006" t="s">
        <v>16</v>
      </c>
      <c r="C15" s="2007"/>
      <c r="D15" s="331">
        <f>'TARGET SHEET 2021-22'!B28</f>
        <v>1.9200000000000004</v>
      </c>
      <c r="E15" s="315">
        <f>'UPTO OCT 2021'!E15+'NOVEMBER-2021'!E15+'DEC 2021'!E15</f>
        <v>1.3800000000000003</v>
      </c>
      <c r="F15" s="315">
        <f>'UPTO JULY 2021'!F15+'AUG-2021'!F15+'SEPTEMBER 2021'!F15+'OCTOBER-2021'!F15+'NOVEMBER-2021'!F15+'DEC 2021'!F15</f>
        <v>5.9427615000000003E-2</v>
      </c>
      <c r="G15" s="315">
        <f>'UPTO JULY 2021'!G15+'AUG-2021'!G15+'SEPTEMBER 2021'!G15+'OCTOBER-2021'!G15+'NOVEMBER-2021'!G15+'DEC 2021'!G15</f>
        <v>0.98728973499999995</v>
      </c>
      <c r="H15" s="316">
        <f>(G15-E15)/E15*100</f>
        <v>-28.457265579710167</v>
      </c>
      <c r="I15" s="316">
        <f>(G15-F15)/F15*100</f>
        <v>1561.3315796031859</v>
      </c>
    </row>
    <row r="16" spans="1:20" ht="15.4" x14ac:dyDescent="0.4">
      <c r="A16" s="2004"/>
      <c r="B16" s="2071" t="s">
        <v>15</v>
      </c>
      <c r="C16" s="320" t="s">
        <v>166</v>
      </c>
      <c r="D16" s="2064">
        <f>'TARGET SHEET 2021-22'!C28</f>
        <v>808.78000000000009</v>
      </c>
      <c r="E16" s="2154">
        <v>585.15</v>
      </c>
      <c r="F16" s="315">
        <f>'UPTO JULY 2021'!F16+'AUG-2021'!F16+'SEPTEMBER 2021'!F16+'OCTOBER-2021'!F16+'NOVEMBER-2021'!F16+'DEC 2021'!F16</f>
        <v>13.914436800000001</v>
      </c>
      <c r="G16" s="315">
        <f>'UPTO JULY 2021'!G16+'AUG-2021'!G16+'SEPTEMBER 2021'!G16+'OCTOBER-2021'!G16+'NOVEMBER-2021'!G16+'DEC 2021'!G16</f>
        <v>0.81996424800000001</v>
      </c>
      <c r="H16" s="2027">
        <v>-27.93</v>
      </c>
      <c r="I16" s="316">
        <f>(G16-F16)/F16*100</f>
        <v>-94.107097112259694</v>
      </c>
      <c r="J16" s="12"/>
      <c r="K16" s="12">
        <v>585.15</v>
      </c>
      <c r="L16" s="12">
        <f>G16+G17</f>
        <v>421.73936824800001</v>
      </c>
      <c r="M16" s="12"/>
      <c r="N16" s="12">
        <f>(L16-K16)/K16*100</f>
        <v>-27.926280740322991</v>
      </c>
    </row>
    <row r="17" spans="1:14" ht="15.4" x14ac:dyDescent="0.4">
      <c r="A17" s="2005"/>
      <c r="B17" s="2071"/>
      <c r="C17" s="320" t="s">
        <v>228</v>
      </c>
      <c r="D17" s="2064"/>
      <c r="E17" s="2155"/>
      <c r="F17" s="315">
        <f>'UPTO JULY 2021'!F17+'AUG-2021'!F17+'SEPTEMBER 2021'!F17+'OCTOBER-2021'!F17+'NOVEMBER-2021'!F17+'DEC 2021'!F17</f>
        <v>58.5299239</v>
      </c>
      <c r="G17" s="315">
        <f>'UPTO JULY 2021'!G17+'AUG-2021'!G17+'SEPTEMBER 2021'!G17+'OCTOBER-2021'!G17+'NOVEMBER-2021'!G17+'DEC 2021'!G17</f>
        <v>420.91940399999999</v>
      </c>
      <c r="H17" s="2029"/>
      <c r="I17" s="316">
        <f>(G17-F17)/F17*100</f>
        <v>619.15248808310855</v>
      </c>
    </row>
    <row r="18" spans="1:14" ht="15" x14ac:dyDescent="0.35">
      <c r="A18" s="2003">
        <v>2</v>
      </c>
      <c r="B18" s="2021" t="s">
        <v>467</v>
      </c>
      <c r="C18" s="2022"/>
      <c r="D18" s="2022"/>
      <c r="E18" s="2022"/>
      <c r="F18" s="2022"/>
      <c r="G18" s="2022"/>
      <c r="H18" s="2022"/>
      <c r="I18" s="2023"/>
      <c r="K18" s="12"/>
    </row>
    <row r="19" spans="1:14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f>'UPTO NOV2021'!F19+'DEC 2021'!F19</f>
        <v>34.769694000000001</v>
      </c>
      <c r="G19" s="315">
        <f>'UPTO NOV2021'!G19+'DEC 2021'!G19</f>
        <v>171.31936340000001</v>
      </c>
      <c r="H19" s="316" t="s">
        <v>221</v>
      </c>
      <c r="I19" s="316">
        <f>(G19-F19)/F19*100</f>
        <v>392.72611775070561</v>
      </c>
    </row>
    <row r="20" spans="1:14" ht="15.4" x14ac:dyDescent="0.4">
      <c r="A20" s="2004"/>
      <c r="B20" s="2009"/>
      <c r="C20" s="2000" t="s">
        <v>232</v>
      </c>
      <c r="D20" s="2001"/>
      <c r="E20" s="2002"/>
      <c r="F20" s="315">
        <f>'UPTO NOV2021'!F20+'DEC 2021'!F20</f>
        <v>30.390317699999997</v>
      </c>
      <c r="G20" s="315">
        <f>'UPTO NOV2021'!G20+'DEC 2021'!G20</f>
        <v>8.1148015999999998</v>
      </c>
      <c r="H20" s="316" t="s">
        <v>221</v>
      </c>
      <c r="I20" s="316">
        <f>(G20-F20)/F20*100</f>
        <v>-73.298069207088275</v>
      </c>
    </row>
    <row r="21" spans="1:14" ht="15.4" x14ac:dyDescent="0.4">
      <c r="A21" s="2004"/>
      <c r="B21" s="2009"/>
      <c r="C21" s="2000" t="s">
        <v>239</v>
      </c>
      <c r="D21" s="2001"/>
      <c r="E21" s="2002"/>
      <c r="F21" s="315">
        <f>'UPTO NOV2021'!F21+'DEC 2021'!F21</f>
        <v>11.746853</v>
      </c>
      <c r="G21" s="315">
        <f>'UPTO NOV2021'!G21+'DEC 2021'!G21</f>
        <v>28.9848614</v>
      </c>
      <c r="H21" s="316" t="s">
        <v>221</v>
      </c>
      <c r="I21" s="316">
        <f>(G21-F21)/F21*100</f>
        <v>146.74575735305447</v>
      </c>
    </row>
    <row r="22" spans="1:14" ht="15.4" x14ac:dyDescent="0.4">
      <c r="A22" s="2004"/>
      <c r="B22" s="2009"/>
      <c r="C22" s="2000" t="s">
        <v>233</v>
      </c>
      <c r="D22" s="2001"/>
      <c r="E22" s="2002"/>
      <c r="F22" s="315">
        <f>'UPTO NOV2021'!F22+'DEC 2021'!F22</f>
        <v>8.0416513999999992</v>
      </c>
      <c r="G22" s="315">
        <f>'UPTO NOV2021'!G22+'DEC 2021'!G22</f>
        <v>7.1120269</v>
      </c>
      <c r="H22" s="316" t="s">
        <v>221</v>
      </c>
      <c r="I22" s="316">
        <f t="shared" ref="I22:I33" si="0">(G22-F22)/F22*100</f>
        <v>-11.560119355584094</v>
      </c>
    </row>
    <row r="23" spans="1:14" ht="15.4" x14ac:dyDescent="0.4">
      <c r="A23" s="2004"/>
      <c r="B23" s="2009"/>
      <c r="C23" s="2000" t="s">
        <v>234</v>
      </c>
      <c r="D23" s="2001"/>
      <c r="E23" s="2002"/>
      <c r="F23" s="315">
        <f>'UPTO NOV2021'!F23+'DEC 2021'!F23</f>
        <v>0.08</v>
      </c>
      <c r="G23" s="315">
        <f>'UPTO NOV2021'!G23+'DEC 2021'!G23</f>
        <v>0</v>
      </c>
      <c r="H23" s="316" t="s">
        <v>221</v>
      </c>
      <c r="I23" s="316">
        <f t="shared" si="0"/>
        <v>-100</v>
      </c>
    </row>
    <row r="24" spans="1:14" ht="15.4" x14ac:dyDescent="0.4">
      <c r="A24" s="2004"/>
      <c r="B24" s="2009"/>
      <c r="C24" s="2000" t="s">
        <v>235</v>
      </c>
      <c r="D24" s="2001"/>
      <c r="E24" s="2002"/>
      <c r="F24" s="315">
        <f>'UPTO NOV2021'!F24+'DEC 2021'!F24</f>
        <v>0.28669</v>
      </c>
      <c r="G24" s="315">
        <f>'UPTO NOV2021'!G24+'DEC 2021'!G24</f>
        <v>3.8016399999999999E-2</v>
      </c>
      <c r="H24" s="316"/>
      <c r="I24" s="316">
        <v>0</v>
      </c>
      <c r="L24" s="5">
        <v>1991029</v>
      </c>
    </row>
    <row r="25" spans="1:14" ht="15.4" x14ac:dyDescent="0.35">
      <c r="A25" s="2005"/>
      <c r="B25" s="2010"/>
      <c r="C25" s="2159" t="s">
        <v>549</v>
      </c>
      <c r="D25" s="2160"/>
      <c r="E25" s="2161"/>
      <c r="F25" s="315">
        <f>'UPTO NOV2021'!F25+'DEC 2021'!F25</f>
        <v>0</v>
      </c>
      <c r="G25" s="315">
        <f>'UPTO NOV2021'!G25+'DEC 2021'!G25</f>
        <v>0.26840520000000001</v>
      </c>
      <c r="H25" s="316" t="s">
        <v>221</v>
      </c>
      <c r="I25" s="316">
        <v>0</v>
      </c>
      <c r="L25" s="5">
        <v>510924</v>
      </c>
    </row>
    <row r="26" spans="1:14" ht="15" x14ac:dyDescent="0.35">
      <c r="A26" s="2014">
        <v>3</v>
      </c>
      <c r="B26" s="2021" t="s">
        <v>296</v>
      </c>
      <c r="C26" s="2022"/>
      <c r="D26" s="2022"/>
      <c r="E26" s="2022"/>
      <c r="F26" s="2022"/>
      <c r="G26" s="2022"/>
      <c r="H26" s="2022"/>
      <c r="I26" s="2023"/>
      <c r="L26" s="5">
        <v>182099</v>
      </c>
    </row>
    <row r="27" spans="1:14" ht="15.4" x14ac:dyDescent="0.4">
      <c r="A27" s="2015"/>
      <c r="B27" s="2006" t="s">
        <v>2</v>
      </c>
      <c r="C27" s="2007"/>
      <c r="D27" s="314">
        <v>6</v>
      </c>
      <c r="E27" s="315">
        <f>'UPTO JULY 2021'!E27+'AUG-2021'!E27+'SEPTEMBER 2021'!E27+'OCTOBER-2021'!E27+'NOVEMBER-2021'!E27+'DEC 2021'!E27</f>
        <v>4.5</v>
      </c>
      <c r="F27" s="315">
        <f>'UPTO JULY 2021'!F27+'AUG-2021'!F27+'SEPTEMBER 2021'!F27+'OCTOBER-2021'!F27+'NOVEMBER-2021'!F27+'DEC 2021'!F27</f>
        <v>0.2936608</v>
      </c>
      <c r="G27" s="315">
        <f>'UPTO JULY 2021'!G27+'AUG-2021'!G27+'SEPTEMBER 2021'!G27+'OCTOBER-2021'!G27+'NOVEMBER-2021'!G27+'DEC 2021'!G27</f>
        <v>5.9535122000000005</v>
      </c>
      <c r="H27" s="316">
        <f>(G27-E27)/E27*100</f>
        <v>32.300271111111122</v>
      </c>
      <c r="I27" s="316">
        <f t="shared" si="0"/>
        <v>1927.3431796140312</v>
      </c>
      <c r="L27" s="5">
        <f>SUM(L24:L26)</f>
        <v>2684052</v>
      </c>
      <c r="M27" s="5">
        <f>L27/10000000</f>
        <v>0.26840520000000001</v>
      </c>
    </row>
    <row r="28" spans="1:14" ht="15.4" x14ac:dyDescent="0.4">
      <c r="A28" s="2015"/>
      <c r="B28" s="2006" t="s">
        <v>23</v>
      </c>
      <c r="C28" s="2007"/>
      <c r="D28" s="603">
        <f>'TARGET SHEET 2021-22'!B56</f>
        <v>28.5</v>
      </c>
      <c r="E28" s="315">
        <f>'UPTO JULY 2021'!E28+'AUG-2021'!E28+'SEPTEMBER 2021'!E28+'OCTOBER-2021'!E28+'NOVEMBER-2021'!E28+'DEC 2021'!E28</f>
        <v>21.5</v>
      </c>
      <c r="F28" s="315">
        <f>'UPTO JULY 2021'!F28+'AUG-2021'!F28+'SEPTEMBER 2021'!F28+'OCTOBER-2021'!F28+'NOVEMBER-2021'!F28+'DEC 2021'!F28</f>
        <v>6.4808731999999996</v>
      </c>
      <c r="G28" s="315">
        <f>'UPTO JULY 2021'!G28+'AUG-2021'!G28+'SEPTEMBER 2021'!G28+'OCTOBER-2021'!G28+'NOVEMBER-2021'!G28+'DEC 2021'!G28</f>
        <v>19.010218999999999</v>
      </c>
      <c r="H28" s="316">
        <f>(G28-E28)/E28*100</f>
        <v>-11.580376744186049</v>
      </c>
      <c r="I28" s="316">
        <f t="shared" si="0"/>
        <v>193.32805030038239</v>
      </c>
    </row>
    <row r="29" spans="1:14" ht="15.4" x14ac:dyDescent="0.4">
      <c r="A29" s="2015"/>
      <c r="B29" s="2006" t="s">
        <v>1</v>
      </c>
      <c r="C29" s="2007"/>
      <c r="D29" s="313">
        <f>'TARGET SHEET 2021-22'!C56</f>
        <v>3.7399999999999998</v>
      </c>
      <c r="E29" s="315">
        <v>2.65</v>
      </c>
      <c r="F29" s="315">
        <f>'UPTO JULY 2021'!F29+'AUG-2021'!F29+'SEPTEMBER 2021'!F29+'OCTOBER-2021'!F29+'NOVEMBER-2021'!F29+'DEC 2021'!F29</f>
        <v>0.1215735</v>
      </c>
      <c r="G29" s="315">
        <f>'UPTO JULY 2021'!G29+'AUG-2021'!G29+'SEPTEMBER 2021'!G29+'OCTOBER-2021'!G29+'NOVEMBER-2021'!G29+'DEC 2021'!G29</f>
        <v>0.86549540000000003</v>
      </c>
      <c r="H29" s="316">
        <f>(G29-E29)/E29*100</f>
        <v>-67.339796226415089</v>
      </c>
      <c r="I29" s="316">
        <f>(G29-F29)/F29*100</f>
        <v>611.91123065470686</v>
      </c>
      <c r="N29" s="5">
        <f>21.5-2.5</f>
        <v>19</v>
      </c>
    </row>
    <row r="30" spans="1:14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5">
        <f>'UPTO JULY 2021'!F30+'AUG-2021'!F30+'SEPTEMBER 2021'!F30+'OCTOBER-2021'!F30+'NOVEMBER-2021'!F30+'DEC 2021'!F30</f>
        <v>0</v>
      </c>
      <c r="G30" s="315">
        <f>'UPTO JULY 2021'!G30+'AUG-2021'!G30+'SEPTEMBER 2021'!G30+'OCTOBER-2021'!G30+'NOVEMBER-2021'!G30+'DEC 2021'!G30</f>
        <v>0.237345</v>
      </c>
      <c r="H30" s="316" t="s">
        <v>221</v>
      </c>
      <c r="I30" s="316">
        <v>0</v>
      </c>
    </row>
    <row r="31" spans="1:14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f>'UPTO JULY 2021'!F31+'AUG-2021'!F31+'SEPTEMBER 2021'!F31+'OCTOBER-2021'!F31+'NOVEMBER-2021'!F31+'DEC 2021'!F31</f>
        <v>0</v>
      </c>
      <c r="G31" s="315">
        <f>'UPTO JULY 2021'!G31+'AUG-2021'!G31+'SEPTEMBER 2021'!G31+'OCTOBER-2021'!G31+'NOVEMBER-2021'!G31+'DEC 2021'!G31</f>
        <v>2.5810382000000001</v>
      </c>
      <c r="H31" s="316" t="s">
        <v>221</v>
      </c>
      <c r="I31" s="316">
        <v>0</v>
      </c>
    </row>
    <row r="32" spans="1:14" ht="15.4" x14ac:dyDescent="0.4">
      <c r="A32" s="2015"/>
      <c r="B32" s="2017" t="s">
        <v>241</v>
      </c>
      <c r="C32" s="2030"/>
      <c r="D32" s="540" t="s">
        <v>221</v>
      </c>
      <c r="E32" s="316" t="s">
        <v>221</v>
      </c>
      <c r="F32" s="315">
        <f>'UPTO JULY 2021'!F32+'AUG-2021'!F32+'SEPTEMBER 2021'!F32+'OCTOBER-2021'!F32+'NOVEMBER-2021'!F32+'DEC 2021'!F32</f>
        <v>5.1713422000000007</v>
      </c>
      <c r="G32" s="315">
        <f>'UPTO JULY 2021'!G32+'AUG-2021'!G32+'SEPTEMBER 2021'!G32+'OCTOBER-2021'!G32+'NOVEMBER-2021'!G32+'DEC 2021'!G32</f>
        <v>21.240736099999999</v>
      </c>
      <c r="H32" s="316" t="s">
        <v>221</v>
      </c>
      <c r="I32" s="316">
        <f t="shared" si="0"/>
        <v>310.73932604962778</v>
      </c>
    </row>
    <row r="33" spans="1:14" ht="15.4" x14ac:dyDescent="0.4">
      <c r="A33" s="2016"/>
      <c r="B33" s="2006" t="s">
        <v>260</v>
      </c>
      <c r="C33" s="2019"/>
      <c r="D33" s="540" t="s">
        <v>221</v>
      </c>
      <c r="E33" s="316" t="s">
        <v>221</v>
      </c>
      <c r="F33" s="315">
        <f>'UPTO JULY 2021'!F33+'AUG-2021'!F33+'SEPTEMBER 2021'!F33+'OCTOBER-2021'!F33+'NOVEMBER-2021'!F33+'DEC 2021'!F33</f>
        <v>2.3389300000000002E-2</v>
      </c>
      <c r="G33" s="315">
        <f>'UPTO JULY 2021'!G33+'AUG-2021'!G33+'SEPTEMBER 2021'!G33+'OCTOBER-2021'!G33+'NOVEMBER-2021'!G33+'DEC 2021'!G33</f>
        <v>0.40152229999999994</v>
      </c>
      <c r="H33" s="413"/>
      <c r="I33" s="316">
        <f t="shared" si="0"/>
        <v>1616.6922481647589</v>
      </c>
    </row>
    <row r="34" spans="1:14" ht="15" x14ac:dyDescent="0.35">
      <c r="A34" s="2014">
        <v>4</v>
      </c>
      <c r="B34" s="2021" t="s">
        <v>295</v>
      </c>
      <c r="C34" s="2022"/>
      <c r="D34" s="2022"/>
      <c r="E34" s="2022"/>
      <c r="F34" s="2022"/>
      <c r="G34" s="2022"/>
      <c r="H34" s="2022"/>
      <c r="I34" s="2023"/>
    </row>
    <row r="35" spans="1:14" ht="15.4" x14ac:dyDescent="0.4">
      <c r="A35" s="2015"/>
      <c r="B35" s="2006" t="s">
        <v>27</v>
      </c>
      <c r="C35" s="2007"/>
      <c r="D35" s="603">
        <v>4.05</v>
      </c>
      <c r="E35" s="315">
        <f>'UPTO JULY 2021'!E35+'AUG-2021'!E35+'SEPTEMBER 2021'!E35+'OCTOBER-2021'!E35+'NOVEMBER-2021'!E35+'DEC 2021'!E35</f>
        <v>3.0330000000000008</v>
      </c>
      <c r="F35" s="315">
        <f>'UPTO JULY 2021'!F35+'AUG-2021'!F35+'SEPTEMBER 2021'!F35+'OCTOBER-2021'!F35+'NOVEMBER-2021'!F35+'DEC 2021'!F35</f>
        <v>0.40702320000000003</v>
      </c>
      <c r="G35" s="315">
        <f>'UPTO JULY 2021'!G35+'AUG-2021'!G35+'SEPTEMBER 2021'!G35+'OCTOBER-2021'!G35+'NOVEMBER-2021'!G35+'DEC 2021'!G35</f>
        <v>2.6229806</v>
      </c>
      <c r="H35" s="314">
        <f>(G35-E35)/E35*100</f>
        <v>-13.518608638311925</v>
      </c>
      <c r="I35" s="316">
        <f>(G35-F35)/F35*100</f>
        <v>544.43024377971562</v>
      </c>
      <c r="M35" s="11">
        <f>D35/12</f>
        <v>0.33749999999999997</v>
      </c>
      <c r="N35" s="12">
        <f>M35*8</f>
        <v>2.6999999999999997</v>
      </c>
    </row>
    <row r="36" spans="1:14" ht="15.4" x14ac:dyDescent="0.4">
      <c r="A36" s="2015"/>
      <c r="B36" s="2006" t="s">
        <v>28</v>
      </c>
      <c r="C36" s="2007"/>
      <c r="D36" s="313">
        <v>2.56</v>
      </c>
      <c r="E36" s="315">
        <f>'UPTO JULY 2021'!E36+'AUG-2021'!E36+'SEPTEMBER 2021'!E36+'OCTOBER-2021'!E36+'NOVEMBER-2021'!E36+'DEC 2021'!E36</f>
        <v>1.9206000000000001</v>
      </c>
      <c r="F36" s="315">
        <f>'UPTO JULY 2021'!F36+'AUG-2021'!F36+'SEPTEMBER 2021'!F36+'OCTOBER-2021'!F36+'NOVEMBER-2021'!F36+'DEC 2021'!F36</f>
        <v>0.10884389999999999</v>
      </c>
      <c r="G36" s="315">
        <v>0.15</v>
      </c>
      <c r="H36" s="314">
        <f>(G36-E36)/E36*100</f>
        <v>-92.189940643548894</v>
      </c>
      <c r="I36" s="316">
        <f>(G36-F36)/F36*100</f>
        <v>37.812040913638711</v>
      </c>
      <c r="M36" s="11">
        <f>D36/12</f>
        <v>0.21333333333333335</v>
      </c>
      <c r="N36" s="12">
        <f>M36*8</f>
        <v>1.7066666666666668</v>
      </c>
    </row>
    <row r="37" spans="1:14" ht="15.4" x14ac:dyDescent="0.4">
      <c r="A37" s="2015"/>
      <c r="B37" s="378" t="s">
        <v>224</v>
      </c>
      <c r="C37" s="379"/>
      <c r="D37" s="603">
        <v>1.54</v>
      </c>
      <c r="E37" s="315">
        <f>'UPTO JULY 2021'!E37+'AUG-2021'!E37+'SEPTEMBER 2021'!E37+'OCTOBER-2021'!E37+'NOVEMBER-2021'!E37+'DEC 2021'!E37</f>
        <v>1.1549700000000003</v>
      </c>
      <c r="F37" s="315">
        <f>'UPTO JULY 2021'!F37+'AUG-2021'!F37+'SEPTEMBER 2021'!F37+'OCTOBER-2021'!F37+'NOVEMBER-2021'!F37+'DEC 2021'!F37</f>
        <v>0.13408349999999999</v>
      </c>
      <c r="G37" s="315">
        <f>'UPTO JULY 2021'!G37+'AUG-2021'!G37+'SEPTEMBER 2021'!G37+'OCTOBER-2021'!G37+'NOVEMBER-2021'!G37+'DEC 2021'!G37</f>
        <v>0.2239959</v>
      </c>
      <c r="H37" s="314">
        <f>(G37-E37)/E37*100</f>
        <v>-80.605911841866032</v>
      </c>
      <c r="I37" s="316">
        <f>(G37-F37)/F37*100</f>
        <v>67.057020438756453</v>
      </c>
      <c r="M37" s="11">
        <f>D37/12</f>
        <v>0.12833333333333333</v>
      </c>
      <c r="N37" s="12">
        <f>M37*8</f>
        <v>1.0266666666666666</v>
      </c>
    </row>
    <row r="38" spans="1:14" ht="15.4" x14ac:dyDescent="0.4">
      <c r="A38" s="2015"/>
      <c r="B38" s="2006" t="s">
        <v>64</v>
      </c>
      <c r="C38" s="2007"/>
      <c r="D38" s="540" t="s">
        <v>221</v>
      </c>
      <c r="E38" s="315" t="s">
        <v>221</v>
      </c>
      <c r="F38" s="315">
        <f>'UPTO JULY 2021'!F38+'AUG-2021'!F38+'SEPTEMBER 2021'!F38+'OCTOBER-2021'!F38+'NOVEMBER-2021'!F38+'DEC 2021'!F38</f>
        <v>0</v>
      </c>
      <c r="G38" s="315">
        <f>'UPTO JULY 2021'!G38+'AUG-2021'!G38+'SEPTEMBER 2021'!G38+'OCTOBER-2021'!G38+'NOVEMBER-2021'!G38+'DEC 2021'!G38</f>
        <v>0</v>
      </c>
      <c r="H38" s="314" t="s">
        <v>221</v>
      </c>
      <c r="I38" s="316">
        <v>0</v>
      </c>
      <c r="K38" s="12"/>
      <c r="M38" s="12"/>
      <c r="N38" s="12">
        <f>M38*8</f>
        <v>0</v>
      </c>
    </row>
    <row r="39" spans="1:14" ht="15.4" x14ac:dyDescent="0.4">
      <c r="A39" s="2015"/>
      <c r="B39" s="2006" t="s">
        <v>4</v>
      </c>
      <c r="C39" s="2007"/>
      <c r="D39" s="540" t="s">
        <v>221</v>
      </c>
      <c r="E39" s="315" t="s">
        <v>221</v>
      </c>
      <c r="F39" s="315">
        <f>'UPTO JULY 2021'!F39+'AUG-2021'!F39+'SEPTEMBER 2021'!F39+'OCTOBER-2021'!F39+'NOVEMBER-2021'!F39+'DEC 2021'!F39</f>
        <v>1.0732000000000001E-3</v>
      </c>
      <c r="G39" s="315">
        <f>'UPTO JULY 2021'!G39+'AUG-2021'!G39+'SEPTEMBER 2021'!G39+'OCTOBER-2021'!G39+'NOVEMBER-2021'!G39+'DEC 2021'!G39</f>
        <v>4.0018400000000003E-2</v>
      </c>
      <c r="H39" s="314" t="s">
        <v>221</v>
      </c>
      <c r="I39" s="316">
        <v>0</v>
      </c>
      <c r="M39" s="11"/>
      <c r="N39" s="11"/>
    </row>
    <row r="40" spans="1:14" ht="15.4" x14ac:dyDescent="0.4">
      <c r="A40" s="2016"/>
      <c r="B40" s="2006" t="s">
        <v>259</v>
      </c>
      <c r="C40" s="2019"/>
      <c r="D40" s="540" t="s">
        <v>221</v>
      </c>
      <c r="E40" s="315" t="s">
        <v>221</v>
      </c>
      <c r="F40" s="315">
        <f>'UPTO JULY 2021'!F40+'AUG-2021'!F40+'SEPTEMBER 2021'!F40+'OCTOBER-2021'!F40+'NOVEMBER-2021'!F40+'DEC 2021'!F40</f>
        <v>0.1577558</v>
      </c>
      <c r="G40" s="315">
        <v>0.76</v>
      </c>
      <c r="H40" s="407" t="s">
        <v>221</v>
      </c>
      <c r="I40" s="316">
        <f>(G40-F40)/F40*100</f>
        <v>381.75724759406626</v>
      </c>
      <c r="M40" s="11"/>
      <c r="N40" s="11"/>
    </row>
    <row r="41" spans="1:14" ht="15" x14ac:dyDescent="0.35">
      <c r="A41" s="2020">
        <v>5</v>
      </c>
      <c r="B41" s="2213" t="s">
        <v>346</v>
      </c>
      <c r="C41" s="2214"/>
      <c r="D41" s="2214"/>
      <c r="E41" s="2214"/>
      <c r="F41" s="2214"/>
      <c r="G41" s="2214"/>
      <c r="H41" s="2214"/>
      <c r="I41" s="2215"/>
      <c r="M41" s="11"/>
      <c r="N41" s="11"/>
    </row>
    <row r="42" spans="1:14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f>'UPTO JULY 2021'!F42+'AUG-2021'!F42+'SEPTEMBER 2021'!F42+'OCTOBER-2021'!F42+'NOVEMBER-2021'!F42+'DEC 2021'!F42</f>
        <v>0.11585100000000001</v>
      </c>
      <c r="G42" s="315">
        <f>'UPTO JULY 2021'!G42+'AUG-2021'!G42+'SEPTEMBER 2021'!G42+'OCTOBER-2021'!G42+'NOVEMBER-2021'!G42+'DEC 2021'!G42</f>
        <v>2.30098</v>
      </c>
      <c r="H42" s="314" t="s">
        <v>221</v>
      </c>
      <c r="I42" s="316">
        <f>(G42-F42)/F42*100</f>
        <v>1886.1546296536067</v>
      </c>
    </row>
    <row r="43" spans="1:14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5">
        <f>'UPTO JULY 2021'!F43+'AUG-2021'!F43+'SEPTEMBER 2021'!F43+'OCTOBER-2021'!F43+'NOVEMBER-2021'!F43+'DEC 2021'!F43</f>
        <v>0.18564799999999998</v>
      </c>
      <c r="G43" s="315">
        <f>'UPTO JULY 2021'!G43+'AUG-2021'!G43+'SEPTEMBER 2021'!G43+'OCTOBER-2021'!G43+'NOVEMBER-2021'!G43+'DEC 2021'!G43</f>
        <v>0.57867899999999994</v>
      </c>
      <c r="H43" s="2027" t="s">
        <v>221</v>
      </c>
      <c r="I43" s="316">
        <f>(G43-F43)/F43*100</f>
        <v>211.70764026544862</v>
      </c>
      <c r="K43" s="12">
        <f>F43+F44</f>
        <v>1.1585750000000001</v>
      </c>
      <c r="L43" s="12">
        <f>G43+G44</f>
        <v>8.0210270000000001</v>
      </c>
      <c r="M43" s="12"/>
      <c r="N43" s="5">
        <f>(L43-K43)/K43*100</f>
        <v>592.31832207668901</v>
      </c>
    </row>
    <row r="44" spans="1:14" ht="15.4" x14ac:dyDescent="0.4">
      <c r="A44" s="2020"/>
      <c r="B44" s="2070"/>
      <c r="C44" s="320" t="s">
        <v>228</v>
      </c>
      <c r="D44" s="2163"/>
      <c r="E44" s="2155"/>
      <c r="F44" s="315">
        <f>'UPTO JULY 2021'!F44+'AUG-2021'!F44+'SEPTEMBER 2021'!F44+'OCTOBER-2021'!F44+'NOVEMBER-2021'!F44+'DEC 2021'!F44</f>
        <v>0.9729270000000001</v>
      </c>
      <c r="G44" s="315">
        <f>'UPTO JULY 2021'!G44+'AUG-2021'!G44+'SEPTEMBER 2021'!G44+'OCTOBER-2021'!G44+'NOVEMBER-2021'!G44+'DEC 2021'!G44</f>
        <v>7.4423480000000009</v>
      </c>
      <c r="H44" s="2029"/>
      <c r="I44" s="316">
        <f>(G44-F44)/F44*100</f>
        <v>664.94413249914942</v>
      </c>
    </row>
    <row r="45" spans="1:14" ht="15" x14ac:dyDescent="0.35">
      <c r="A45" s="2020">
        <v>6</v>
      </c>
      <c r="B45" s="2021" t="s">
        <v>602</v>
      </c>
      <c r="C45" s="2022"/>
      <c r="D45" s="2022"/>
      <c r="E45" s="2022"/>
      <c r="F45" s="2022"/>
      <c r="G45" s="2022"/>
      <c r="H45" s="2022"/>
      <c r="I45" s="2023"/>
    </row>
    <row r="46" spans="1:14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266.36</v>
      </c>
      <c r="G46" s="313">
        <v>224.46</v>
      </c>
      <c r="H46" s="2027" t="s">
        <v>221</v>
      </c>
      <c r="I46" s="316">
        <f>(G46-F46)/F46*100</f>
        <v>-15.730590178705512</v>
      </c>
    </row>
    <row r="47" spans="1:14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31.42</v>
      </c>
      <c r="G47" s="313">
        <v>71.47</v>
      </c>
      <c r="H47" s="2028"/>
      <c r="I47" s="316">
        <f>(G47-F47)/F47*100</f>
        <v>127.46658179503498</v>
      </c>
    </row>
    <row r="48" spans="1:14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297.78000000000003</v>
      </c>
      <c r="G48" s="313">
        <f>SUM(G46:G47)</f>
        <v>295.93</v>
      </c>
      <c r="H48" s="2029"/>
      <c r="I48" s="316">
        <f>(G48-F48)/F48*100</f>
        <v>-0.62126402041776563</v>
      </c>
    </row>
    <row r="50" spans="1:11" ht="16.149999999999999" thickBot="1" x14ac:dyDescent="0.45">
      <c r="A50" s="5"/>
      <c r="B50" s="5"/>
      <c r="D50" s="5"/>
      <c r="E50" s="824"/>
      <c r="F50" s="12"/>
      <c r="G50" s="12"/>
      <c r="H50" s="314"/>
      <c r="I50" s="316"/>
    </row>
    <row r="51" spans="1:11" ht="13.5" x14ac:dyDescent="0.35">
      <c r="A51" s="5"/>
      <c r="B51" s="5"/>
      <c r="D51" s="5"/>
      <c r="E51" s="5"/>
      <c r="F51" s="12"/>
      <c r="G51" s="12"/>
      <c r="I51" s="5"/>
    </row>
    <row r="52" spans="1:11" ht="13.5" x14ac:dyDescent="0.35">
      <c r="A52" s="5"/>
      <c r="B52" s="5"/>
      <c r="D52" s="5"/>
      <c r="E52" s="5">
        <f>F52/100000</f>
        <v>1.1585100000000002</v>
      </c>
      <c r="F52" s="5">
        <f t="shared" ref="F52:G54" si="1">F42*1000000</f>
        <v>115851.00000000001</v>
      </c>
      <c r="G52" s="5">
        <f t="shared" si="1"/>
        <v>2300980</v>
      </c>
      <c r="I52" s="5"/>
    </row>
    <row r="53" spans="1:11" ht="13.5" x14ac:dyDescent="0.35">
      <c r="A53" s="5"/>
      <c r="B53" s="5"/>
      <c r="D53" s="5"/>
      <c r="E53" s="5">
        <f>F53/100000</f>
        <v>1.8564799999999997</v>
      </c>
      <c r="F53" s="5">
        <f t="shared" si="1"/>
        <v>185647.99999999997</v>
      </c>
      <c r="G53" s="5">
        <f t="shared" si="1"/>
        <v>578679</v>
      </c>
      <c r="I53" s="5"/>
    </row>
    <row r="54" spans="1:11" ht="13.5" x14ac:dyDescent="0.35">
      <c r="A54" s="5"/>
      <c r="B54" s="5"/>
      <c r="D54" s="5"/>
      <c r="E54" s="5">
        <f>F54/100000</f>
        <v>9.7292700000000014</v>
      </c>
      <c r="F54" s="5">
        <f t="shared" si="1"/>
        <v>972927.00000000012</v>
      </c>
      <c r="G54" s="5">
        <f t="shared" si="1"/>
        <v>7442348.0000000009</v>
      </c>
    </row>
    <row r="57" spans="1:11" ht="13.5" x14ac:dyDescent="0.35">
      <c r="A57" s="5"/>
      <c r="B57" s="5"/>
      <c r="D57" s="5"/>
      <c r="E57" s="5"/>
      <c r="F57" s="12">
        <v>1.6E-2</v>
      </c>
      <c r="G57" s="12">
        <v>0.31</v>
      </c>
      <c r="K57" s="5">
        <f>(G57-F57)/F57*100</f>
        <v>1837.5</v>
      </c>
    </row>
    <row r="58" spans="1:11" ht="13.5" x14ac:dyDescent="0.35">
      <c r="A58" s="5"/>
      <c r="B58" s="5"/>
      <c r="D58" s="5"/>
      <c r="E58" s="5"/>
      <c r="F58" s="12">
        <v>305</v>
      </c>
      <c r="G58" s="12">
        <v>10226</v>
      </c>
      <c r="H58" s="12">
        <f>F58+F59</f>
        <v>314.72926999999999</v>
      </c>
      <c r="I58" s="11">
        <f>G58+G59</f>
        <v>10300.423479999999</v>
      </c>
      <c r="K58" s="5">
        <f>(I58-H58)/H58*100</f>
        <v>3172.7885398139169</v>
      </c>
    </row>
    <row r="59" spans="1:11" ht="13.5" x14ac:dyDescent="0.35">
      <c r="A59" s="5"/>
      <c r="B59" s="5"/>
      <c r="D59" s="5"/>
      <c r="E59" s="5"/>
      <c r="F59" s="12">
        <f>F54/100000</f>
        <v>9.7292700000000014</v>
      </c>
      <c r="G59" s="12">
        <f>G54/100000</f>
        <v>74.423480000000012</v>
      </c>
      <c r="K59" s="5" t="e">
        <f>(I59-H59)/H59*100</f>
        <v>#DIV/0!</v>
      </c>
    </row>
    <row r="60" spans="1:11" x14ac:dyDescent="0.35">
      <c r="F60" s="12">
        <f>SUM(F57:F59)</f>
        <v>314.74527</v>
      </c>
      <c r="G60" s="12">
        <f>SUM(G57:G59)</f>
        <v>10300.733479999999</v>
      </c>
      <c r="K60" s="5">
        <f>(G60-F60)/F60*100</f>
        <v>3172.7206607425742</v>
      </c>
    </row>
    <row r="63" spans="1:11" x14ac:dyDescent="0.35">
      <c r="E63" s="35">
        <f>25/7</f>
        <v>3.5714285714285716</v>
      </c>
      <c r="F63" s="5">
        <f>1281249436/7</f>
        <v>183035633.7142857</v>
      </c>
      <c r="G63" s="5">
        <f>F63/100000</f>
        <v>1830.356337142857</v>
      </c>
    </row>
    <row r="64" spans="1:11" x14ac:dyDescent="0.35">
      <c r="E64" s="35">
        <f>253.5/7</f>
        <v>36.214285714285715</v>
      </c>
      <c r="F64" s="5">
        <f>53100890/7</f>
        <v>7585841.4285714282</v>
      </c>
      <c r="G64" s="5">
        <f>F64/100000</f>
        <v>75.858414285714275</v>
      </c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A41:A44"/>
    <mergeCell ref="B41:I41"/>
    <mergeCell ref="B42:C42"/>
    <mergeCell ref="B43:B44"/>
    <mergeCell ref="D43:D44"/>
    <mergeCell ref="E43:E44"/>
    <mergeCell ref="H43:H44"/>
    <mergeCell ref="A34:A40"/>
    <mergeCell ref="B34:I34"/>
    <mergeCell ref="B35:C35"/>
    <mergeCell ref="B36:C36"/>
    <mergeCell ref="B38:C38"/>
    <mergeCell ref="B39:C39"/>
    <mergeCell ref="B40:C40"/>
    <mergeCell ref="A26:A33"/>
    <mergeCell ref="B26:I26"/>
    <mergeCell ref="B27:C27"/>
    <mergeCell ref="B28:C28"/>
    <mergeCell ref="B29:C29"/>
    <mergeCell ref="B30:C30"/>
    <mergeCell ref="B31:C31"/>
    <mergeCell ref="B32:C32"/>
    <mergeCell ref="B33:C33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4" bottom="0.32" header="0.3" footer="0.3"/>
  <pageSetup paperSize="9" scale="60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O64"/>
  <sheetViews>
    <sheetView workbookViewId="0">
      <selection activeCell="G7" sqref="G7"/>
    </sheetView>
  </sheetViews>
  <sheetFormatPr defaultColWidth="9.1328125" defaultRowHeight="16.899999999999999" x14ac:dyDescent="0.35"/>
  <cols>
    <col min="1" max="1" width="5.86328125" style="376" customWidth="1"/>
    <col min="2" max="2" width="33.86328125" style="300" customWidth="1"/>
    <col min="3" max="3" width="8.73046875" style="5" customWidth="1"/>
    <col min="4" max="4" width="11.3984375" style="84" bestFit="1" customWidth="1"/>
    <col min="5" max="5" width="11.3984375" style="35" customWidth="1"/>
    <col min="6" max="6" width="12.73046875" style="5" customWidth="1"/>
    <col min="7" max="7" width="11.86328125" style="5" customWidth="1"/>
    <col min="8" max="8" width="9.265625" style="11" bestFit="1" customWidth="1"/>
    <col min="9" max="9" width="10.3984375" style="82" customWidth="1"/>
    <col min="10" max="12" width="9.1328125" style="5"/>
    <col min="13" max="13" width="9.1328125" style="12"/>
    <col min="14" max="16384" width="9.1328125" style="5"/>
  </cols>
  <sheetData>
    <row r="1" spans="1:15" ht="19.5" customHeight="1" x14ac:dyDescent="0.35">
      <c r="A1" s="2200" t="s">
        <v>5</v>
      </c>
      <c r="B1" s="2200"/>
      <c r="C1" s="2200"/>
      <c r="D1" s="2200"/>
      <c r="E1" s="2200"/>
      <c r="F1" s="2200"/>
      <c r="G1" s="2200"/>
      <c r="H1" s="2200"/>
      <c r="I1" s="2200"/>
    </row>
    <row r="2" spans="1:15" s="301" customFormat="1" ht="21.75" customHeight="1" thickBot="1" x14ac:dyDescent="0.5">
      <c r="A2" s="2092" t="s">
        <v>621</v>
      </c>
      <c r="B2" s="2093"/>
      <c r="C2" s="2093"/>
      <c r="D2" s="2093"/>
      <c r="E2" s="2093"/>
      <c r="F2" s="2093"/>
      <c r="G2" s="2093"/>
      <c r="H2" s="2093"/>
      <c r="I2" s="2094"/>
      <c r="M2" s="522"/>
    </row>
    <row r="3" spans="1:15" ht="17.25" thickTop="1" x14ac:dyDescent="0.5">
      <c r="A3" s="2035" t="s">
        <v>144</v>
      </c>
      <c r="B3" s="2201" t="s">
        <v>7</v>
      </c>
      <c r="C3" s="2202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5" s="35" customFormat="1" ht="30" x14ac:dyDescent="0.45">
      <c r="A4" s="2035"/>
      <c r="B4" s="2203"/>
      <c r="C4" s="2204"/>
      <c r="D4" s="366" t="s">
        <v>9</v>
      </c>
      <c r="E4" s="383" t="str">
        <f>G4</f>
        <v>UpTo JAN-22</v>
      </c>
      <c r="F4" s="383" t="s">
        <v>620</v>
      </c>
      <c r="G4" s="383" t="s">
        <v>619</v>
      </c>
      <c r="H4" s="2111" t="s">
        <v>12</v>
      </c>
      <c r="I4" s="2111" t="s">
        <v>13</v>
      </c>
      <c r="M4" s="428"/>
    </row>
    <row r="5" spans="1:15" ht="20.25" hidden="1" customHeight="1" x14ac:dyDescent="0.5">
      <c r="A5" s="2036"/>
      <c r="B5" s="2203"/>
      <c r="C5" s="2204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15" ht="30" customHeight="1" x14ac:dyDescent="0.35">
      <c r="A6" s="372">
        <v>1</v>
      </c>
      <c r="B6" s="2049" t="s">
        <v>290</v>
      </c>
      <c r="C6" s="2049"/>
      <c r="D6" s="304">
        <v>534.87</v>
      </c>
      <c r="E6" s="434">
        <v>450.99</v>
      </c>
      <c r="F6" s="434">
        <f>'UPTO JULY 2021'!F6+'AUG-2021'!F6+'SEPTEMBER 2021'!F6+'OCTOBER-2021'!F6+'NOVEMBER-2021'!F6+'DEC 2021'!F6+'JANUARY-2022'!F6</f>
        <v>115.59730920300001</v>
      </c>
      <c r="G6" s="434">
        <f>'UPTO JULY 2021'!G6+'AUG-2021'!G6+'SEPTEMBER 2021'!G6+'OCTOBER-2021'!G6+'NOVEMBER-2021'!G6+'DEC 2021'!G6+'JANUARY-2022'!G6</f>
        <v>474.82973898299997</v>
      </c>
      <c r="H6" s="517">
        <f>(G6-E6)/E6*100</f>
        <v>5.2860903751746067</v>
      </c>
      <c r="I6" s="517">
        <f>(G6-F6)/F6*100</f>
        <v>310.76193058192484</v>
      </c>
      <c r="K6" s="12">
        <f>D6-G6</f>
        <v>60.040261017000034</v>
      </c>
      <c r="L6" s="5">
        <v>95.6</v>
      </c>
      <c r="M6" s="12">
        <f>L6+G6</f>
        <v>570.42973898299999</v>
      </c>
      <c r="O6" s="5">
        <f>(M6-D6)/D6*100</f>
        <v>6.6482956574494709</v>
      </c>
    </row>
    <row r="7" spans="1:15" ht="26.25" customHeight="1" x14ac:dyDescent="0.35">
      <c r="A7" s="838">
        <v>2</v>
      </c>
      <c r="B7" s="2207" t="s">
        <v>291</v>
      </c>
      <c r="C7" s="2208"/>
      <c r="D7" s="434">
        <v>168.22</v>
      </c>
      <c r="E7" s="434">
        <v>132.75</v>
      </c>
      <c r="F7" s="434">
        <v>95.63</v>
      </c>
      <c r="G7" s="434">
        <v>241.68</v>
      </c>
      <c r="H7" s="517">
        <f>(G7-E7)/E7*100</f>
        <v>82.056497175141246</v>
      </c>
      <c r="I7" s="517">
        <f>(G7-F7)/F7*100</f>
        <v>152.72404057304195</v>
      </c>
      <c r="K7" s="12"/>
      <c r="N7" s="12"/>
    </row>
    <row r="8" spans="1:15" ht="32.25" customHeight="1" x14ac:dyDescent="0.35">
      <c r="A8" s="374">
        <v>3</v>
      </c>
      <c r="B8" s="2021" t="s">
        <v>292</v>
      </c>
      <c r="C8" s="2023"/>
      <c r="D8" s="364">
        <v>64.459999999999994</v>
      </c>
      <c r="E8" s="434">
        <v>51.7</v>
      </c>
      <c r="F8" s="434">
        <f>'UPTO JULY 2021'!F8+'AUG-2021'!F8+'SEPTEMBER 2021'!F8+'OCTOBER-2021'!F8+'NOVEMBER-2021'!F8+'DEC 2021'!F8+'JANUARY-2022'!F8</f>
        <v>15.010172099999998</v>
      </c>
      <c r="G8" s="434">
        <f>'UPTO JULY 2021'!G8+'AUG-2021'!G8+'SEPTEMBER 2021'!G8+'OCTOBER-2021'!G8+'NOVEMBER-2021'!G8+'DEC 2021'!G8+'JANUARY-2022'!G8</f>
        <v>57.58800990000001</v>
      </c>
      <c r="H8" s="517">
        <f>(G8-E8)/E8*100</f>
        <v>11.388800580270807</v>
      </c>
      <c r="I8" s="517">
        <f>(G8-F8)/F8*100</f>
        <v>283.65989088159768</v>
      </c>
      <c r="K8" s="12"/>
    </row>
    <row r="9" spans="1:15" ht="34.5" customHeight="1" x14ac:dyDescent="0.35">
      <c r="A9" s="838">
        <v>4</v>
      </c>
      <c r="B9" s="2209" t="s">
        <v>293</v>
      </c>
      <c r="C9" s="2210"/>
      <c r="D9" s="434">
        <v>5.91</v>
      </c>
      <c r="E9" s="434">
        <f>E35+E36+E37</f>
        <v>4.9333000000000009</v>
      </c>
      <c r="F9" s="434">
        <v>1.1000000000000001</v>
      </c>
      <c r="G9" s="517">
        <v>4</v>
      </c>
      <c r="H9" s="517">
        <f>(G9-E9)/E9*100</f>
        <v>-18.918371070074812</v>
      </c>
      <c r="I9" s="517">
        <f>(G9-F9)/F9*100</f>
        <v>263.63636363636363</v>
      </c>
      <c r="K9" s="12"/>
    </row>
    <row r="10" spans="1:15" ht="48" customHeight="1" x14ac:dyDescent="0.35">
      <c r="A10" s="374">
        <v>5</v>
      </c>
      <c r="B10" s="2054" t="s">
        <v>294</v>
      </c>
      <c r="C10" s="2055"/>
      <c r="D10" s="305">
        <f>SUM(D6:D9)</f>
        <v>773.46</v>
      </c>
      <c r="E10" s="434">
        <f>SUM(E6:E9)</f>
        <v>640.37330000000009</v>
      </c>
      <c r="F10" s="434">
        <f>SUM(F6:F9)</f>
        <v>227.337481303</v>
      </c>
      <c r="G10" s="434">
        <f>SUM(G6:G9)</f>
        <v>778.09774888300001</v>
      </c>
      <c r="H10" s="517">
        <f>(G10-E10)/E10*100</f>
        <v>21.506900566122901</v>
      </c>
      <c r="I10" s="517">
        <f>(G10-F10)/F10*100</f>
        <v>242.26549200038664</v>
      </c>
    </row>
    <row r="11" spans="1:15" ht="8.2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5" ht="30.75" customHeight="1" x14ac:dyDescent="0.35">
      <c r="A12" s="373">
        <v>6.3</v>
      </c>
      <c r="B12" s="2211" t="s">
        <v>604</v>
      </c>
      <c r="C12" s="2212"/>
      <c r="D12" s="918" t="s">
        <v>221</v>
      </c>
      <c r="E12" s="920" t="s">
        <v>221</v>
      </c>
      <c r="F12" s="920">
        <f>F42+F43+F44</f>
        <v>2.1529769999999999</v>
      </c>
      <c r="G12" s="920">
        <f>G42+G43+G44</f>
        <v>12.015709000000001</v>
      </c>
      <c r="H12" s="919" t="s">
        <v>221</v>
      </c>
      <c r="I12" s="919">
        <f>(G12-F12)/F12*100</f>
        <v>458.09741581075889</v>
      </c>
    </row>
    <row r="13" spans="1:15" ht="16.5" customHeight="1" x14ac:dyDescent="0.35">
      <c r="B13" s="2167" t="s">
        <v>229</v>
      </c>
      <c r="C13" s="2168"/>
      <c r="D13" s="2168"/>
      <c r="E13" s="2168"/>
      <c r="F13" s="2168"/>
      <c r="G13" s="2168"/>
      <c r="H13" s="2168"/>
      <c r="I13" s="2169"/>
    </row>
    <row r="14" spans="1:15" ht="14.25" customHeight="1" x14ac:dyDescent="0.35">
      <c r="A14" s="2003">
        <v>1</v>
      </c>
      <c r="B14" s="2021" t="s">
        <v>278</v>
      </c>
      <c r="C14" s="2022"/>
      <c r="D14" s="2022"/>
      <c r="E14" s="2022"/>
      <c r="F14" s="2022"/>
      <c r="G14" s="2022"/>
      <c r="H14" s="2022"/>
      <c r="I14" s="2023"/>
    </row>
    <row r="15" spans="1:15" ht="15.4" x14ac:dyDescent="0.4">
      <c r="A15" s="2004"/>
      <c r="B15" s="2006" t="s">
        <v>16</v>
      </c>
      <c r="C15" s="2007"/>
      <c r="D15" s="331">
        <v>1.27</v>
      </c>
      <c r="E15" s="315">
        <v>1.06</v>
      </c>
      <c r="F15" s="315">
        <f>'UPTO JULY 2021'!F15+'AUG-2021'!F15+'SEPTEMBER 2021'!F15+'OCTOBER-2021'!F15+'NOVEMBER-2021'!F15+'DEC 2021'!F15+'JANUARY-2022'!F15</f>
        <v>0.11081370300000001</v>
      </c>
      <c r="G15" s="315">
        <f>'UPTO JULY 2021'!G15+'AUG-2021'!G15+'SEPTEMBER 2021'!G15+'OCTOBER-2021'!G15+'NOVEMBER-2021'!G15+'DEC 2021'!G15+'JANUARY-2022'!G15</f>
        <v>1.251280935</v>
      </c>
      <c r="H15" s="316">
        <f>(G15-E15)/E15*100</f>
        <v>18.045371226415092</v>
      </c>
      <c r="I15" s="316">
        <f>(G15-F15)/F15*100</f>
        <v>1029.1752744694397</v>
      </c>
    </row>
    <row r="16" spans="1:15" ht="15.4" x14ac:dyDescent="0.4">
      <c r="A16" s="2004"/>
      <c r="B16" s="2071" t="s">
        <v>15</v>
      </c>
      <c r="C16" s="320" t="s">
        <v>166</v>
      </c>
      <c r="D16" s="2064">
        <v>533.6</v>
      </c>
      <c r="E16" s="2154">
        <v>449.93</v>
      </c>
      <c r="F16" s="315">
        <f>'UPTO JULY 2021'!F16+'AUG-2021'!F16+'SEPTEMBER 2021'!F16+'OCTOBER-2021'!F16+'NOVEMBER-2021'!F16+'DEC 2021'!F16+'JANUARY-2022'!F16</f>
        <v>13.939016200000001</v>
      </c>
      <c r="G16" s="315">
        <f>'UPTO JULY 2021'!G16+'AUG-2021'!G16+'SEPTEMBER 2021'!G16+'OCTOBER-2021'!G16+'NOVEMBER-2021'!G16+'DEC 2021'!G16+'JANUARY-2022'!G16</f>
        <v>1.0845876480000001</v>
      </c>
      <c r="H16" s="2154">
        <v>5.25</v>
      </c>
      <c r="I16" s="316">
        <f>(G16-F16)/F16*100</f>
        <v>-92.219051671666762</v>
      </c>
      <c r="J16" s="12"/>
      <c r="K16" s="12">
        <f>F16+F17</f>
        <v>115.48649549999999</v>
      </c>
      <c r="L16" s="12">
        <f>G16+G17</f>
        <v>473.57845804800002</v>
      </c>
      <c r="M16" s="12">
        <f>(L16-K16)/K16*100</f>
        <v>310.07258554139787</v>
      </c>
    </row>
    <row r="17" spans="1:9" ht="15.4" x14ac:dyDescent="0.4">
      <c r="A17" s="2005"/>
      <c r="B17" s="2071"/>
      <c r="C17" s="320" t="s">
        <v>228</v>
      </c>
      <c r="D17" s="2064"/>
      <c r="E17" s="2155"/>
      <c r="F17" s="315">
        <f>'UPTO JULY 2021'!F17+'AUG-2021'!F17+'SEPTEMBER 2021'!F17+'OCTOBER-2021'!F17+'NOVEMBER-2021'!F17+'DEC 2021'!F17+'JANUARY-2022'!F17</f>
        <v>101.54747929999999</v>
      </c>
      <c r="G17" s="315">
        <f>'UPTO JULY 2021'!G17+'AUG-2021'!G17+'SEPTEMBER 2021'!G17+'OCTOBER-2021'!G17+'NOVEMBER-2021'!G17+'DEC 2021'!G17+'JANUARY-2022'!G17</f>
        <v>472.49387039999999</v>
      </c>
      <c r="H17" s="2155"/>
      <c r="I17" s="316">
        <f>(G17-F17)/F17*100</f>
        <v>365.29354904430409</v>
      </c>
    </row>
    <row r="18" spans="1:9" ht="15" x14ac:dyDescent="0.35">
      <c r="A18" s="2003">
        <v>2</v>
      </c>
      <c r="B18" s="2021" t="s">
        <v>467</v>
      </c>
      <c r="C18" s="2022"/>
      <c r="D18" s="2022"/>
      <c r="E18" s="2022"/>
      <c r="F18" s="2022"/>
      <c r="G18" s="2022"/>
      <c r="H18" s="2022"/>
      <c r="I18" s="2023"/>
    </row>
    <row r="19" spans="1:9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f>'UPTO NOV2021'!F19+'DEC 2021'!F19+'JANUARY-2022'!F19</f>
        <v>41.186185700000003</v>
      </c>
      <c r="G19" s="315">
        <f>'UPTO NOV2021'!G19+'DEC 2021'!G19+'JANUARY-2022'!G19</f>
        <v>189.59830020000001</v>
      </c>
      <c r="H19" s="316" t="s">
        <v>221</v>
      </c>
      <c r="I19" s="316">
        <f>(G19-F19)/F19*100</f>
        <v>360.34440183665754</v>
      </c>
    </row>
    <row r="20" spans="1:9" ht="15.4" x14ac:dyDescent="0.4">
      <c r="A20" s="2004"/>
      <c r="B20" s="2009"/>
      <c r="C20" s="2000" t="s">
        <v>232</v>
      </c>
      <c r="D20" s="2001"/>
      <c r="E20" s="2002"/>
      <c r="F20" s="315">
        <f>'UPTO NOV2021'!F20+'DEC 2021'!F20+'JANUARY-2022'!F20</f>
        <v>31.293568199999996</v>
      </c>
      <c r="G20" s="315">
        <f>'UPTO NOV2021'!G20+'DEC 2021'!G20+'JANUARY-2022'!G20</f>
        <v>9.3220329999999993</v>
      </c>
      <c r="H20" s="316" t="s">
        <v>221</v>
      </c>
      <c r="I20" s="316">
        <f>(G20-F20)/F20*100</f>
        <v>-70.211025663733679</v>
      </c>
    </row>
    <row r="21" spans="1:9" ht="15.4" x14ac:dyDescent="0.4">
      <c r="A21" s="2004"/>
      <c r="B21" s="2009"/>
      <c r="C21" s="2000" t="s">
        <v>239</v>
      </c>
      <c r="D21" s="2001"/>
      <c r="E21" s="2002"/>
      <c r="F21" s="315">
        <f>'UPTO NOV2021'!F21+'DEC 2021'!F21+'JANUARY-2022'!F21</f>
        <v>13.7906263</v>
      </c>
      <c r="G21" s="315">
        <f>'UPTO NOV2021'!G21+'DEC 2021'!G21+'JANUARY-2022'!G21</f>
        <v>34.736404899999997</v>
      </c>
      <c r="H21" s="316" t="s">
        <v>221</v>
      </c>
      <c r="I21" s="316">
        <f>(G21-F21)/F21*100</f>
        <v>151.88417222211291</v>
      </c>
    </row>
    <row r="22" spans="1:9" ht="15.4" x14ac:dyDescent="0.4">
      <c r="A22" s="2004"/>
      <c r="B22" s="2009"/>
      <c r="C22" s="2000" t="s">
        <v>233</v>
      </c>
      <c r="D22" s="2001"/>
      <c r="E22" s="2002"/>
      <c r="F22" s="315">
        <f>'UPTO NOV2021'!F22+'DEC 2021'!F22+'JANUARY-2022'!F22</f>
        <v>8.8326821999999989</v>
      </c>
      <c r="G22" s="315">
        <f>'UPTO NOV2021'!G22+'DEC 2021'!G22+'JANUARY-2022'!G22</f>
        <v>7.7156416999999999</v>
      </c>
      <c r="H22" s="316" t="s">
        <v>221</v>
      </c>
      <c r="I22" s="316">
        <f>(G22-F22)/F22*100</f>
        <v>-12.646673736319858</v>
      </c>
    </row>
    <row r="23" spans="1:9" ht="15.4" x14ac:dyDescent="0.4">
      <c r="A23" s="2004"/>
      <c r="B23" s="2009"/>
      <c r="C23" s="2000" t="s">
        <v>234</v>
      </c>
      <c r="D23" s="2001"/>
      <c r="E23" s="2002"/>
      <c r="F23" s="315">
        <f>'UPTO NOV2021'!F23+'DEC 2021'!F23+'JANUARY-2022'!F23</f>
        <v>0.08</v>
      </c>
      <c r="G23" s="315">
        <f>'UPTO NOV2021'!G23+'DEC 2021'!G23+'JANUARY-2022'!G23</f>
        <v>0</v>
      </c>
      <c r="H23" s="316" t="s">
        <v>221</v>
      </c>
      <c r="I23" s="316">
        <f>(G23-F23)/F23*100</f>
        <v>-100</v>
      </c>
    </row>
    <row r="24" spans="1:9" ht="15.4" x14ac:dyDescent="0.4">
      <c r="A24" s="2004"/>
      <c r="B24" s="2009"/>
      <c r="C24" s="2000" t="s">
        <v>235</v>
      </c>
      <c r="D24" s="2001"/>
      <c r="E24" s="2002"/>
      <c r="F24" s="315">
        <f>'UPTO NOV2021'!F24+'DEC 2021'!F24+'JANUARY-2022'!F24</f>
        <v>0.38797539999999997</v>
      </c>
      <c r="G24" s="315">
        <f>'UPTO NOV2021'!G24+'DEC 2021'!G24+'JANUARY-2022'!G24</f>
        <v>3.8016399999999999E-2</v>
      </c>
      <c r="H24" s="316"/>
      <c r="I24" s="316">
        <v>0</v>
      </c>
    </row>
    <row r="25" spans="1:9" ht="15.4" x14ac:dyDescent="0.35">
      <c r="A25" s="2005"/>
      <c r="B25" s="2010"/>
      <c r="C25" s="2159" t="s">
        <v>549</v>
      </c>
      <c r="D25" s="2160"/>
      <c r="E25" s="2161"/>
      <c r="F25" s="315">
        <f>'UPTO NOV2021'!F25+'DEC 2021'!F25+'JANUARY-2022'!F25</f>
        <v>5.1092499999999999E-2</v>
      </c>
      <c r="G25" s="315">
        <f>'UPTO NOV2021'!G25+'DEC 2021'!G25+'JANUARY-2022'!G25</f>
        <v>0.26840520000000001</v>
      </c>
      <c r="H25" s="316" t="s">
        <v>221</v>
      </c>
      <c r="I25" s="316">
        <v>0</v>
      </c>
    </row>
    <row r="26" spans="1:9" ht="15" x14ac:dyDescent="0.35">
      <c r="A26" s="2014">
        <v>3</v>
      </c>
      <c r="B26" s="2021" t="s">
        <v>623</v>
      </c>
      <c r="C26" s="2022"/>
      <c r="D26" s="2022"/>
      <c r="E26" s="2022"/>
      <c r="F26" s="2022"/>
      <c r="G26" s="2022"/>
      <c r="H26" s="2022"/>
      <c r="I26" s="2023"/>
    </row>
    <row r="27" spans="1:9" ht="15.4" x14ac:dyDescent="0.4">
      <c r="A27" s="2015"/>
      <c r="B27" s="2006" t="s">
        <v>2</v>
      </c>
      <c r="C27" s="2007"/>
      <c r="D27" s="314">
        <v>6</v>
      </c>
      <c r="E27" s="315">
        <v>5</v>
      </c>
      <c r="F27" s="315">
        <f>'UPTO JULY 2021'!F27+'AUG-2021'!F27+'SEPTEMBER 2021'!F27+'OCTOBER-2021'!F27+'NOVEMBER-2021'!F27+'DEC 2021'!F27+'JANUARY-2022'!F27</f>
        <v>0.39282800000000001</v>
      </c>
      <c r="G27" s="315">
        <f>'UPTO JULY 2021'!G27+'AUG-2021'!G27+'SEPTEMBER 2021'!G27+'OCTOBER-2021'!G27+'NOVEMBER-2021'!G27+'DEC 2021'!G27+'JANUARY-2022'!G27</f>
        <v>7.3829486000000006</v>
      </c>
      <c r="H27" s="316">
        <f>(G27-E27)/E27*100</f>
        <v>47.658972000000013</v>
      </c>
      <c r="I27" s="316">
        <f>(G27-F27)/F27*100</f>
        <v>1779.4354272098733</v>
      </c>
    </row>
    <row r="28" spans="1:9" ht="15.4" x14ac:dyDescent="0.4">
      <c r="A28" s="2015"/>
      <c r="B28" s="2006" t="s">
        <v>23</v>
      </c>
      <c r="C28" s="2007"/>
      <c r="D28" s="603">
        <f>'TARGET SHEET 2021-22'!B56</f>
        <v>28.5</v>
      </c>
      <c r="E28" s="315">
        <f>'UPTO JULY 2021'!E28+'AUG-2021'!E28+'SEPTEMBER 2021'!E28+'OCTOBER-2021'!E28+'NOVEMBER-2021'!E28+'DEC 2021'!E28+'JANUARY-2022'!E28</f>
        <v>24</v>
      </c>
      <c r="F28" s="315">
        <f>'UPTO JULY 2021'!F28+'AUG-2021'!F28+'SEPTEMBER 2021'!F28+'OCTOBER-2021'!F28+'NOVEMBER-2021'!F28+'DEC 2021'!F28+'JANUARY-2022'!F28</f>
        <v>7.8275670999999996</v>
      </c>
      <c r="G28" s="315">
        <f>'UPTO JULY 2021'!G28+'AUG-2021'!G28+'SEPTEMBER 2021'!G28+'OCTOBER-2021'!G28+'NOVEMBER-2021'!G28+'DEC 2021'!G28+'JANUARY-2022'!G28</f>
        <v>21.227015899999998</v>
      </c>
      <c r="H28" s="316">
        <f>(G28-E28)/E28*100</f>
        <v>-11.554100416666675</v>
      </c>
      <c r="I28" s="316">
        <f>(G28-F28)/F28*100</f>
        <v>171.18280340260512</v>
      </c>
    </row>
    <row r="29" spans="1:9" ht="15.4" x14ac:dyDescent="0.4">
      <c r="A29" s="2015"/>
      <c r="B29" s="2006" t="s">
        <v>1</v>
      </c>
      <c r="C29" s="2007"/>
      <c r="D29" s="313">
        <f>'TARGET SHEET 2021-22'!C56</f>
        <v>3.7399999999999998</v>
      </c>
      <c r="E29" s="315">
        <f>'UPTO JULY 2021'!E29+'AUG-2021'!E29+'SEPTEMBER 2021'!E29+'OCTOBER-2021'!E29+'NOVEMBER-2021'!E29+'DEC 2021'!E29+'JANUARY-2022'!E29</f>
        <v>3</v>
      </c>
      <c r="F29" s="315">
        <f>'UPTO JULY 2021'!F29+'AUG-2021'!F29+'SEPTEMBER 2021'!F29+'OCTOBER-2021'!F29+'NOVEMBER-2021'!F29+'DEC 2021'!F29+'JANUARY-2022'!F29</f>
        <v>0.18704809999999999</v>
      </c>
      <c r="G29" s="315">
        <f>'UPTO JULY 2021'!G29+'AUG-2021'!G29+'SEPTEMBER 2021'!G29+'OCTOBER-2021'!G29+'NOVEMBER-2021'!G29+'DEC 2021'!G29+'JANUARY-2022'!G29</f>
        <v>0.96037159999999999</v>
      </c>
      <c r="H29" s="316">
        <f>(G29-E29)/E29*100</f>
        <v>-67.987613333333329</v>
      </c>
      <c r="I29" s="316">
        <f>(G29-F29)/F29*100</f>
        <v>413.43563500511368</v>
      </c>
    </row>
    <row r="30" spans="1:9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5">
        <f>'UPTO JULY 2021'!F30+'AUG-2021'!F30+'SEPTEMBER 2021'!F30+'OCTOBER-2021'!F30+'NOVEMBER-2021'!F30+'DEC 2021'!F30+'JANUARY-2022'!F30</f>
        <v>0</v>
      </c>
      <c r="G30" s="315">
        <f>'UPTO JULY 2021'!G30+'AUG-2021'!G30+'SEPTEMBER 2021'!G30+'OCTOBER-2021'!G30+'NOVEMBER-2021'!G30+'DEC 2021'!G30+'JANUARY-2022'!G30</f>
        <v>0.27615099999999998</v>
      </c>
      <c r="H30" s="316" t="s">
        <v>221</v>
      </c>
      <c r="I30" s="316">
        <v>0</v>
      </c>
    </row>
    <row r="31" spans="1:9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f>'UPTO JULY 2021'!F31+'AUG-2021'!F31+'SEPTEMBER 2021'!F31+'OCTOBER-2021'!F31+'NOVEMBER-2021'!F31+'DEC 2021'!F31+'JANUARY-2022'!F31</f>
        <v>0</v>
      </c>
      <c r="G31" s="315">
        <f>'UPTO JULY 2021'!G31+'AUG-2021'!G31+'SEPTEMBER 2021'!G31+'OCTOBER-2021'!G31+'NOVEMBER-2021'!G31+'DEC 2021'!G31+'JANUARY-2022'!G31</f>
        <v>2.5898782000000002</v>
      </c>
      <c r="H31" s="316" t="s">
        <v>221</v>
      </c>
      <c r="I31" s="316">
        <v>0</v>
      </c>
    </row>
    <row r="32" spans="1:9" ht="31.5" customHeight="1" x14ac:dyDescent="0.4">
      <c r="A32" s="2015"/>
      <c r="B32" s="2017" t="s">
        <v>241</v>
      </c>
      <c r="C32" s="2030"/>
      <c r="D32" s="540" t="s">
        <v>221</v>
      </c>
      <c r="E32" s="316" t="s">
        <v>221</v>
      </c>
      <c r="F32" s="315">
        <f>'UPTO JULY 2021'!F32+'AUG-2021'!F32+'SEPTEMBER 2021'!F32+'OCTOBER-2021'!F32+'NOVEMBER-2021'!F32+'DEC 2021'!F32+'JANUARY-2022'!F32</f>
        <v>6.5759277000000012</v>
      </c>
      <c r="G32" s="315">
        <f>'UPTO JULY 2021'!G32+'AUG-2021'!G32+'SEPTEMBER 2021'!G32+'OCTOBER-2021'!G32+'NOVEMBER-2021'!G32+'DEC 2021'!G32+'JANUARY-2022'!G32</f>
        <v>24.7138347</v>
      </c>
      <c r="H32" s="316" t="s">
        <v>221</v>
      </c>
      <c r="I32" s="316">
        <f>(G32-F32)/F32*100</f>
        <v>275.82278619030427</v>
      </c>
    </row>
    <row r="33" spans="1:9" ht="15.4" x14ac:dyDescent="0.4">
      <c r="A33" s="2016"/>
      <c r="B33" s="2006" t="s">
        <v>260</v>
      </c>
      <c r="C33" s="2019"/>
      <c r="D33" s="540" t="s">
        <v>221</v>
      </c>
      <c r="E33" s="316" t="s">
        <v>221</v>
      </c>
      <c r="F33" s="315">
        <f>'UPTO JULY 2021'!F33+'AUG-2021'!F33+'SEPTEMBER 2021'!F33+'OCTOBER-2021'!F33+'NOVEMBER-2021'!F33+'DEC 2021'!F33+'JANUARY-2022'!F33</f>
        <v>2.5016300000000002E-2</v>
      </c>
      <c r="G33" s="315">
        <f>'UPTO JULY 2021'!G33+'AUG-2021'!G33+'SEPTEMBER 2021'!G33+'OCTOBER-2021'!G33+'NOVEMBER-2021'!G33+'DEC 2021'!G33+'JANUARY-2022'!G33</f>
        <v>0.43780989999999997</v>
      </c>
      <c r="H33" s="413"/>
      <c r="I33" s="316">
        <f>(G33-F33)/F33*100</f>
        <v>1650.0985357546876</v>
      </c>
    </row>
    <row r="34" spans="1:9" ht="15" x14ac:dyDescent="0.35">
      <c r="A34" s="2014">
        <v>4</v>
      </c>
      <c r="B34" s="2021" t="s">
        <v>622</v>
      </c>
      <c r="C34" s="2022"/>
      <c r="D34" s="2022"/>
      <c r="E34" s="2022"/>
      <c r="F34" s="2022"/>
      <c r="G34" s="2022"/>
      <c r="H34" s="2022"/>
      <c r="I34" s="2023"/>
    </row>
    <row r="35" spans="1:9" ht="15.4" x14ac:dyDescent="0.4">
      <c r="A35" s="2015"/>
      <c r="B35" s="2006" t="s">
        <v>27</v>
      </c>
      <c r="C35" s="2007"/>
      <c r="D35" s="603">
        <v>3.24</v>
      </c>
      <c r="E35" s="315">
        <v>2.7</v>
      </c>
      <c r="F35" s="315">
        <f>'UPTO JULY 2021'!F35+'AUG-2021'!F35+'SEPTEMBER 2021'!F35+'OCTOBER-2021'!F35+'NOVEMBER-2021'!F35+'DEC 2021'!F35+'JANUARY-2022'!F35</f>
        <v>0.66978700000000002</v>
      </c>
      <c r="G35" s="315">
        <f>'UPTO JULY 2021'!G35+'AUG-2021'!G35+'SEPTEMBER 2021'!G35+'OCTOBER-2021'!G35+'NOVEMBER-2021'!G35+'DEC 2021'!G35+'JANUARY-2022'!G35</f>
        <v>2.9668651000000001</v>
      </c>
      <c r="H35" s="314">
        <f>(G35-E35)/E35*100</f>
        <v>9.8838925925925913</v>
      </c>
      <c r="I35" s="316">
        <f>(G35-F35)/F35*100</f>
        <v>342.95650706866513</v>
      </c>
    </row>
    <row r="36" spans="1:9" ht="15.4" x14ac:dyDescent="0.4">
      <c r="A36" s="2015"/>
      <c r="B36" s="2006" t="s">
        <v>28</v>
      </c>
      <c r="C36" s="2007"/>
      <c r="D36" s="313">
        <v>1.1299999999999999</v>
      </c>
      <c r="E36" s="315">
        <v>0.95</v>
      </c>
      <c r="F36" s="315">
        <f>'UPTO JULY 2021'!F36+'AUG-2021'!F36+'SEPTEMBER 2021'!F36+'OCTOBER-2021'!F36+'NOVEMBER-2021'!F36+'DEC 2021'!F36+'JANUARY-2022'!F36</f>
        <v>0.12218279999999999</v>
      </c>
      <c r="G36" s="315">
        <v>0.17</v>
      </c>
      <c r="H36" s="314">
        <f>(G36-E36)/E36*100</f>
        <v>-82.10526315789474</v>
      </c>
      <c r="I36" s="316">
        <f>(G36-F36)/F36*100</f>
        <v>39.135786706475891</v>
      </c>
    </row>
    <row r="37" spans="1:9" ht="15.4" x14ac:dyDescent="0.4">
      <c r="A37" s="2015"/>
      <c r="B37" s="378" t="s">
        <v>224</v>
      </c>
      <c r="C37" s="379"/>
      <c r="D37" s="603">
        <v>1.54</v>
      </c>
      <c r="E37" s="315">
        <f>'UPTO JULY 2021'!E37+'AUG-2021'!E37+'SEPTEMBER 2021'!E37+'OCTOBER-2021'!E37+'NOVEMBER-2021'!E37+'DEC 2021'!E37+'JANUARY-2022'!E37</f>
        <v>1.2833000000000003</v>
      </c>
      <c r="F37" s="315">
        <f>'UPTO JULY 2021'!F37+'AUG-2021'!F37+'SEPTEMBER 2021'!F37+'OCTOBER-2021'!F37+'NOVEMBER-2021'!F37+'DEC 2021'!F37+'JANUARY-2022'!F37</f>
        <v>0.13764409999999999</v>
      </c>
      <c r="G37" s="315">
        <f>'UPTO JULY 2021'!G37+'AUG-2021'!G37+'SEPTEMBER 2021'!G37+'OCTOBER-2021'!G37+'NOVEMBER-2021'!G37+'DEC 2021'!G37+'JANUARY-2022'!G37</f>
        <v>0.22996539999999999</v>
      </c>
      <c r="H37" s="314">
        <f>(G37-E37)/E37*100</f>
        <v>-82.080152731239778</v>
      </c>
      <c r="I37" s="316">
        <f>(G37-F37)/F37*100</f>
        <v>67.072471686036678</v>
      </c>
    </row>
    <row r="38" spans="1:9" ht="15.4" x14ac:dyDescent="0.4">
      <c r="A38" s="2015"/>
      <c r="B38" s="2006" t="s">
        <v>64</v>
      </c>
      <c r="C38" s="2007"/>
      <c r="D38" s="540" t="s">
        <v>221</v>
      </c>
      <c r="E38" s="315" t="s">
        <v>221</v>
      </c>
      <c r="F38" s="315">
        <f>'UPTO JULY 2021'!F38+'AUG-2021'!F38+'SEPTEMBER 2021'!F38+'OCTOBER-2021'!F38+'NOVEMBER-2021'!F38+'DEC 2021'!F38+'JANUARY-2022'!F38</f>
        <v>0</v>
      </c>
      <c r="G38" s="315">
        <f>'UPTO JULY 2021'!G38+'AUG-2021'!G38+'SEPTEMBER 2021'!G38+'OCTOBER-2021'!G38+'NOVEMBER-2021'!G38+'DEC 2021'!G38+'JANUARY-2022'!G38</f>
        <v>0</v>
      </c>
      <c r="H38" s="314" t="s">
        <v>221</v>
      </c>
      <c r="I38" s="316">
        <v>0</v>
      </c>
    </row>
    <row r="39" spans="1:9" ht="15.4" x14ac:dyDescent="0.4">
      <c r="A39" s="2015"/>
      <c r="B39" s="2006" t="s">
        <v>4</v>
      </c>
      <c r="C39" s="2007"/>
      <c r="D39" s="540" t="s">
        <v>221</v>
      </c>
      <c r="E39" s="315" t="s">
        <v>221</v>
      </c>
      <c r="F39" s="315">
        <f>'UPTO JULY 2021'!F39+'AUG-2021'!F39+'SEPTEMBER 2021'!F39+'OCTOBER-2021'!F39+'NOVEMBER-2021'!F39+'DEC 2021'!F39+'JANUARY-2022'!F39</f>
        <v>1.0732000000000001E-3</v>
      </c>
      <c r="G39" s="315">
        <f>'UPTO JULY 2021'!G39+'AUG-2021'!G39+'SEPTEMBER 2021'!G39+'OCTOBER-2021'!G39+'NOVEMBER-2021'!G39+'DEC 2021'!G39+'JANUARY-2022'!G39</f>
        <v>4.0018400000000003E-2</v>
      </c>
      <c r="H39" s="314" t="s">
        <v>221</v>
      </c>
      <c r="I39" s="316">
        <v>0</v>
      </c>
    </row>
    <row r="40" spans="1:9" ht="15.4" x14ac:dyDescent="0.4">
      <c r="A40" s="2016"/>
      <c r="B40" s="2006" t="s">
        <v>259</v>
      </c>
      <c r="C40" s="2019"/>
      <c r="D40" s="540" t="s">
        <v>221</v>
      </c>
      <c r="E40" s="315" t="s">
        <v>221</v>
      </c>
      <c r="F40" s="315">
        <f>'UPTO JULY 2021'!F40+'AUG-2021'!F40+'SEPTEMBER 2021'!F40+'OCTOBER-2021'!F40+'NOVEMBER-2021'!F40+'DEC 2021'!F40+'JANUARY-2022'!F40</f>
        <v>0.16775580000000001</v>
      </c>
      <c r="G40" s="315">
        <v>0.38</v>
      </c>
      <c r="H40" s="407" t="s">
        <v>221</v>
      </c>
      <c r="I40" s="316">
        <f>(G40-F40)/F40*100</f>
        <v>126.51973881081904</v>
      </c>
    </row>
    <row r="41" spans="1:9" ht="15" x14ac:dyDescent="0.35">
      <c r="A41" s="2020">
        <v>5</v>
      </c>
      <c r="B41" s="2213" t="s">
        <v>346</v>
      </c>
      <c r="C41" s="2214"/>
      <c r="D41" s="2214"/>
      <c r="E41" s="2214"/>
      <c r="F41" s="2214"/>
      <c r="G41" s="2214"/>
      <c r="H41" s="2214"/>
      <c r="I41" s="2215"/>
    </row>
    <row r="42" spans="1:9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f>'UPTO JULY 2021'!F42+'AUG-2021'!F42+'SEPTEMBER 2021'!F42+'OCTOBER-2021'!F42+'NOVEMBER-2021'!F42+'DEC 2021'!F42+'JANUARY-2022'!F42</f>
        <v>0.23277700000000001</v>
      </c>
      <c r="G42" s="315">
        <f>'UPTO JULY 2021'!G42+'AUG-2021'!G42+'SEPTEMBER 2021'!G42+'OCTOBER-2021'!G42+'NOVEMBER-2021'!G42+'DEC 2021'!G42+'JANUARY-2022'!G42</f>
        <v>2.8417089999999998</v>
      </c>
      <c r="H42" s="314" t="s">
        <v>221</v>
      </c>
      <c r="I42" s="316">
        <f>(G42-F42)/F42*100</f>
        <v>1120.7859883064048</v>
      </c>
    </row>
    <row r="43" spans="1:9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5">
        <f>'UPTO JULY 2021'!F43+'AUG-2021'!F43+'SEPTEMBER 2021'!F43+'OCTOBER-2021'!F43+'NOVEMBER-2021'!F43+'DEC 2021'!F43+'JANUARY-2022'!F43</f>
        <v>0.19925799999999999</v>
      </c>
      <c r="G43" s="315">
        <f>'UPTO JULY 2021'!G43+'AUG-2021'!G43+'SEPTEMBER 2021'!G43+'OCTOBER-2021'!G43+'NOVEMBER-2021'!G43+'DEC 2021'!G43+'JANUARY-2022'!G43</f>
        <v>0.70847699999999991</v>
      </c>
      <c r="H43" s="2027" t="s">
        <v>221</v>
      </c>
      <c r="I43" s="316">
        <f>(G43-F43)/F43*100</f>
        <v>255.55761876562036</v>
      </c>
    </row>
    <row r="44" spans="1:9" ht="15.4" x14ac:dyDescent="0.4">
      <c r="A44" s="2020"/>
      <c r="B44" s="2070"/>
      <c r="C44" s="320" t="s">
        <v>228</v>
      </c>
      <c r="D44" s="2163"/>
      <c r="E44" s="2155"/>
      <c r="F44" s="315">
        <f>'UPTO JULY 2021'!F44+'AUG-2021'!F44+'SEPTEMBER 2021'!F44+'OCTOBER-2021'!F44+'NOVEMBER-2021'!F44+'DEC 2021'!F44+'JANUARY-2022'!F44</f>
        <v>1.720942</v>
      </c>
      <c r="G44" s="315">
        <f>'UPTO JULY 2021'!G44+'AUG-2021'!G44+'SEPTEMBER 2021'!G44+'OCTOBER-2021'!G44+'NOVEMBER-2021'!G44+'DEC 2021'!G44+'JANUARY-2022'!G44</f>
        <v>8.465523000000001</v>
      </c>
      <c r="H44" s="2029"/>
      <c r="I44" s="316">
        <f>(G44-F44)/F44*100</f>
        <v>391.91216206008113</v>
      </c>
    </row>
    <row r="45" spans="1:9" ht="15" x14ac:dyDescent="0.35">
      <c r="A45" s="2020">
        <v>6</v>
      </c>
      <c r="B45" s="2021" t="s">
        <v>624</v>
      </c>
      <c r="C45" s="2022"/>
      <c r="D45" s="2022"/>
      <c r="E45" s="2022"/>
      <c r="F45" s="2022"/>
      <c r="G45" s="2022"/>
      <c r="H45" s="2022"/>
      <c r="I45" s="2023"/>
    </row>
    <row r="46" spans="1:9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174.67</v>
      </c>
      <c r="G46" s="313">
        <v>242.47</v>
      </c>
      <c r="H46" s="2027" t="s">
        <v>221</v>
      </c>
      <c r="I46" s="316">
        <f>(G46-F46)/F46*100</f>
        <v>38.816053128757098</v>
      </c>
    </row>
    <row r="47" spans="1:9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32.68</v>
      </c>
      <c r="G47" s="313">
        <v>44.97</v>
      </c>
      <c r="H47" s="2028"/>
      <c r="I47" s="316">
        <f>(G47-F47)/F47*100</f>
        <v>37.607099143206852</v>
      </c>
    </row>
    <row r="48" spans="1:9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207.35</v>
      </c>
      <c r="G48" s="313">
        <f>SUM(G46:G47)</f>
        <v>287.44</v>
      </c>
      <c r="H48" s="2029"/>
      <c r="I48" s="316">
        <f>(G48-F48)/F48*100</f>
        <v>38.62551241861587</v>
      </c>
    </row>
    <row r="50" spans="1:9" ht="16.149999999999999" thickBot="1" x14ac:dyDescent="0.45">
      <c r="A50" s="5"/>
      <c r="B50" s="5"/>
      <c r="D50" s="5"/>
      <c r="E50" s="824"/>
      <c r="F50" s="12"/>
      <c r="G50" s="12"/>
      <c r="H50" s="314"/>
      <c r="I50" s="316"/>
    </row>
    <row r="51" spans="1:9" ht="13.5" x14ac:dyDescent="0.35">
      <c r="A51" s="5"/>
      <c r="B51" s="5"/>
      <c r="D51" s="5"/>
      <c r="E51" s="5"/>
      <c r="F51" s="12"/>
      <c r="G51" s="12"/>
      <c r="I51" s="5"/>
    </row>
    <row r="52" spans="1:9" ht="13.5" x14ac:dyDescent="0.35">
      <c r="A52" s="5"/>
      <c r="B52" s="5"/>
      <c r="D52" s="5"/>
      <c r="E52" s="5">
        <f>F52/100000</f>
        <v>2.3277700000000001</v>
      </c>
      <c r="F52" s="5">
        <f t="shared" ref="F52:G54" si="0">F42*1000000</f>
        <v>232777</v>
      </c>
      <c r="G52" s="5">
        <f t="shared" si="0"/>
        <v>2841709</v>
      </c>
      <c r="I52" s="5"/>
    </row>
    <row r="53" spans="1:9" ht="13.5" x14ac:dyDescent="0.35">
      <c r="A53" s="5"/>
      <c r="B53" s="5"/>
      <c r="D53" s="5"/>
      <c r="E53" s="5">
        <f>F53/100000</f>
        <v>1.99258</v>
      </c>
      <c r="F53" s="5">
        <f t="shared" si="0"/>
        <v>199258</v>
      </c>
      <c r="G53" s="5">
        <f t="shared" si="0"/>
        <v>708476.99999999988</v>
      </c>
      <c r="I53" s="5"/>
    </row>
    <row r="54" spans="1:9" ht="13.5" x14ac:dyDescent="0.35">
      <c r="A54" s="5"/>
      <c r="B54" s="5"/>
      <c r="D54" s="5"/>
      <c r="E54" s="5">
        <f>F54/100000</f>
        <v>17.209420000000001</v>
      </c>
      <c r="F54" s="5">
        <f t="shared" si="0"/>
        <v>1720942</v>
      </c>
      <c r="G54" s="5">
        <f t="shared" si="0"/>
        <v>8465523.0000000019</v>
      </c>
    </row>
    <row r="57" spans="1:9" ht="13.5" x14ac:dyDescent="0.35">
      <c r="A57" s="5"/>
      <c r="B57" s="5"/>
      <c r="D57" s="5"/>
      <c r="E57" s="5"/>
      <c r="F57" s="12">
        <v>1.6E-2</v>
      </c>
      <c r="G57" s="12">
        <v>0.31</v>
      </c>
    </row>
    <row r="58" spans="1:9" ht="13.5" x14ac:dyDescent="0.35">
      <c r="A58" s="5"/>
      <c r="B58" s="5"/>
      <c r="D58" s="5"/>
      <c r="E58" s="5"/>
      <c r="F58" s="12">
        <v>305</v>
      </c>
      <c r="G58" s="12">
        <v>10226</v>
      </c>
      <c r="H58" s="12">
        <f>F58+F59</f>
        <v>322.20942000000002</v>
      </c>
      <c r="I58" s="11">
        <f>G58+G59</f>
        <v>10310.65523</v>
      </c>
    </row>
    <row r="59" spans="1:9" ht="13.5" x14ac:dyDescent="0.35">
      <c r="A59" s="5"/>
      <c r="B59" s="5"/>
      <c r="D59" s="5"/>
      <c r="E59" s="5"/>
      <c r="F59" s="12">
        <f>F54/100000</f>
        <v>17.209420000000001</v>
      </c>
      <c r="G59" s="12">
        <f>G54/100000</f>
        <v>84.655230000000017</v>
      </c>
    </row>
    <row r="60" spans="1:9" x14ac:dyDescent="0.35">
      <c r="F60" s="12">
        <f>SUM(F57:F59)</f>
        <v>322.22542000000004</v>
      </c>
      <c r="G60" s="12">
        <f>SUM(G57:G59)</f>
        <v>10310.96523</v>
      </c>
    </row>
    <row r="63" spans="1:9" x14ac:dyDescent="0.35">
      <c r="E63" s="35">
        <f>25/7</f>
        <v>3.5714285714285716</v>
      </c>
      <c r="F63" s="5">
        <f>1281249436/7</f>
        <v>183035633.7142857</v>
      </c>
      <c r="G63" s="5">
        <f>F63/100000</f>
        <v>1830.356337142857</v>
      </c>
    </row>
    <row r="64" spans="1:9" x14ac:dyDescent="0.35">
      <c r="E64" s="35">
        <f>253.5/7</f>
        <v>36.214285714285715</v>
      </c>
      <c r="F64" s="5">
        <f>53100890/7</f>
        <v>7585841.4285714282</v>
      </c>
      <c r="G64" s="5">
        <f>F64/100000</f>
        <v>75.858414285714275</v>
      </c>
    </row>
  </sheetData>
  <mergeCells count="65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3"/>
    <mergeCell ref="B26:I26"/>
    <mergeCell ref="B27:C27"/>
    <mergeCell ref="B28:C28"/>
    <mergeCell ref="B29:C29"/>
    <mergeCell ref="B30:C30"/>
    <mergeCell ref="B31:C31"/>
    <mergeCell ref="B32:C32"/>
    <mergeCell ref="B33:C33"/>
    <mergeCell ref="A34:A40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26" bottom="0.24" header="0.3" footer="0.3"/>
  <pageSetup paperSize="9" scale="58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U65"/>
  <sheetViews>
    <sheetView workbookViewId="0">
      <selection activeCell="B36" sqref="B36:C36"/>
    </sheetView>
  </sheetViews>
  <sheetFormatPr defaultColWidth="9.1328125" defaultRowHeight="16.899999999999999" x14ac:dyDescent="0.35"/>
  <cols>
    <col min="1" max="1" width="5.3984375" style="376" customWidth="1"/>
    <col min="2" max="2" width="37.73046875" style="300" customWidth="1"/>
    <col min="3" max="3" width="13" style="5" customWidth="1"/>
    <col min="4" max="4" width="9" style="84" customWidth="1"/>
    <col min="5" max="5" width="9.3984375" style="35" customWidth="1"/>
    <col min="6" max="6" width="11" style="5" customWidth="1"/>
    <col min="7" max="7" width="12" style="5" customWidth="1"/>
    <col min="8" max="8" width="9.265625" style="11" customWidth="1"/>
    <col min="9" max="9" width="11.86328125" style="82" customWidth="1"/>
    <col min="10" max="10" width="9.1328125" style="5"/>
    <col min="11" max="11" width="14.265625" style="5" customWidth="1"/>
    <col min="12" max="12" width="13.1328125" style="5" customWidth="1"/>
    <col min="13" max="13" width="11.86328125" style="5" customWidth="1"/>
    <col min="14" max="14" width="11.86328125" style="5" bestFit="1" customWidth="1"/>
    <col min="15" max="15" width="10.59765625" style="5" bestFit="1" customWidth="1"/>
    <col min="16" max="16" width="11.1328125" style="5" bestFit="1" customWidth="1"/>
    <col min="17" max="16384" width="9.1328125" style="5"/>
  </cols>
  <sheetData>
    <row r="1" spans="1:17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7" s="301" customFormat="1" ht="17.25" thickBot="1" x14ac:dyDescent="0.5">
      <c r="A2" s="2092" t="s">
        <v>405</v>
      </c>
      <c r="B2" s="2093"/>
      <c r="C2" s="2093"/>
      <c r="D2" s="2093"/>
      <c r="E2" s="2093"/>
      <c r="F2" s="2093"/>
      <c r="G2" s="2093"/>
      <c r="H2" s="2093"/>
      <c r="I2" s="2094"/>
    </row>
    <row r="3" spans="1:17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7" s="35" customFormat="1" ht="15" x14ac:dyDescent="0.45">
      <c r="A4" s="2035"/>
      <c r="B4" s="2047"/>
      <c r="C4" s="2048"/>
      <c r="D4" s="366" t="s">
        <v>9</v>
      </c>
      <c r="E4" s="383">
        <f>G4</f>
        <v>44228</v>
      </c>
      <c r="F4" s="383">
        <v>43862</v>
      </c>
      <c r="G4" s="383">
        <v>44228</v>
      </c>
      <c r="H4" s="2041" t="s">
        <v>12</v>
      </c>
      <c r="I4" s="2041" t="s">
        <v>13</v>
      </c>
    </row>
    <row r="5" spans="1:17" s="516" customFormat="1" ht="14.25" hidden="1" x14ac:dyDescent="0.45">
      <c r="A5" s="2036"/>
      <c r="B5" s="2047"/>
      <c r="C5" s="2048"/>
      <c r="D5" s="2216" t="s">
        <v>249</v>
      </c>
      <c r="E5" s="2217"/>
      <c r="F5" s="515" t="s">
        <v>77</v>
      </c>
      <c r="G5" s="515" t="s">
        <v>249</v>
      </c>
      <c r="H5" s="2042"/>
      <c r="I5" s="2042"/>
    </row>
    <row r="6" spans="1:17" x14ac:dyDescent="0.45">
      <c r="A6" s="372">
        <v>1</v>
      </c>
      <c r="B6" s="2049" t="s">
        <v>279</v>
      </c>
      <c r="C6" s="2049"/>
      <c r="D6" s="304" t="s">
        <v>221</v>
      </c>
      <c r="E6" s="305">
        <v>45.02</v>
      </c>
      <c r="F6" s="305">
        <f>F15+F16+F17</f>
        <v>79.710000000000008</v>
      </c>
      <c r="G6" s="305">
        <f>G15+G16+G17</f>
        <v>42.712593645000005</v>
      </c>
      <c r="H6" s="306">
        <f>(G6-E6)/E6*100</f>
        <v>-5.1252917703242948</v>
      </c>
      <c r="I6" s="306">
        <f>(G6-F6)/F6*100</f>
        <v>-46.415012363567932</v>
      </c>
      <c r="K6" s="319"/>
      <c r="L6"/>
    </row>
    <row r="7" spans="1:17" x14ac:dyDescent="0.35">
      <c r="A7" s="373">
        <v>2</v>
      </c>
      <c r="B7" s="2050" t="s">
        <v>281</v>
      </c>
      <c r="C7" s="2051"/>
      <c r="D7" s="307" t="s">
        <v>221</v>
      </c>
      <c r="E7" s="307">
        <v>9.0399999999999991</v>
      </c>
      <c r="F7" s="307">
        <f>F19+F20+F21+F22+F23+F24+F25</f>
        <v>9.7953251000000012</v>
      </c>
      <c r="G7" s="307">
        <f>G19+G20+G21+G22+G23+G24+G25</f>
        <v>11.4666952</v>
      </c>
      <c r="H7" s="306">
        <f>(G7-E7)/E7*100</f>
        <v>26.843973451327447</v>
      </c>
      <c r="I7" s="308">
        <f>(G7-F7)/F7*100</f>
        <v>17.062936481812113</v>
      </c>
    </row>
    <row r="8" spans="1:17" x14ac:dyDescent="0.35">
      <c r="A8" s="374">
        <v>3</v>
      </c>
      <c r="B8" s="2021" t="s">
        <v>282</v>
      </c>
      <c r="C8" s="2023"/>
      <c r="D8" s="364" t="s">
        <v>221</v>
      </c>
      <c r="E8" s="364">
        <v>1.6</v>
      </c>
      <c r="F8" s="364">
        <f>F27+F28+F29+F30+F31+F32+F33</f>
        <v>6.9910093</v>
      </c>
      <c r="G8" s="364">
        <f>G27+G28+G29+G30+G31+G32+G33</f>
        <v>3.8488273</v>
      </c>
      <c r="H8" s="306">
        <f>(G8-E8)/E8*100</f>
        <v>140.55170624999997</v>
      </c>
      <c r="I8" s="365">
        <f>(G8-F8)/F8*100</f>
        <v>-44.946042340409988</v>
      </c>
    </row>
    <row r="9" spans="1:17" x14ac:dyDescent="0.35">
      <c r="A9" s="373">
        <v>4</v>
      </c>
      <c r="B9" s="2052" t="s">
        <v>283</v>
      </c>
      <c r="C9" s="2053"/>
      <c r="D9" s="307" t="s">
        <v>221</v>
      </c>
      <c r="E9" s="307">
        <v>0.23</v>
      </c>
      <c r="F9" s="307">
        <f>F35+F36+F37+F38+F39+F40</f>
        <v>0.94334200000000001</v>
      </c>
      <c r="G9" s="307">
        <f>G35+G36+G37+G38+G39+G40</f>
        <v>0.2002669</v>
      </c>
      <c r="H9" s="306">
        <f>(G9-E9)/E9*100</f>
        <v>-12.927434782608701</v>
      </c>
      <c r="I9" s="308">
        <f>(G9-F9)/F9*100</f>
        <v>-78.770488327669071</v>
      </c>
      <c r="K9" s="5">
        <f>48*10000000</f>
        <v>480000000</v>
      </c>
    </row>
    <row r="10" spans="1:17" ht="17.649999999999999" x14ac:dyDescent="0.35">
      <c r="A10" s="374">
        <v>5</v>
      </c>
      <c r="B10" s="2117" t="s">
        <v>284</v>
      </c>
      <c r="C10" s="2118"/>
      <c r="D10" s="321" t="s">
        <v>221</v>
      </c>
      <c r="E10" s="321">
        <f>SUM(E6:E9)</f>
        <v>55.89</v>
      </c>
      <c r="F10" s="446">
        <f>SUM(F6:F9)</f>
        <v>97.43967640000001</v>
      </c>
      <c r="G10" s="446">
        <f>SUM(G6:G9)</f>
        <v>58.228383045000001</v>
      </c>
      <c r="H10" s="306">
        <f>(G10-E10)/E10*100</f>
        <v>4.1839023886205053</v>
      </c>
      <c r="I10" s="322">
        <f>(G10-F10)/F10*100</f>
        <v>-40.241608761130912</v>
      </c>
      <c r="K10" s="12">
        <f>K9/100000</f>
        <v>4800</v>
      </c>
    </row>
    <row r="11" spans="1:17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7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6.1270000000000007</v>
      </c>
      <c r="G12" s="447">
        <f>G42+G43+G44</f>
        <v>0.81472999999999995</v>
      </c>
      <c r="H12" s="310" t="s">
        <v>221</v>
      </c>
      <c r="I12" s="311">
        <f>(G12-F12)/F12*100</f>
        <v>-86.702627713399707</v>
      </c>
    </row>
    <row r="13" spans="1:17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M13" s="5">
        <v>0.02</v>
      </c>
      <c r="N13" s="5">
        <f>M13*10000000</f>
        <v>200000</v>
      </c>
      <c r="O13" s="5">
        <f>N13/100000</f>
        <v>2</v>
      </c>
    </row>
    <row r="14" spans="1:17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K14" s="383">
        <f>F4</f>
        <v>43862</v>
      </c>
      <c r="L14" s="383">
        <v>44197</v>
      </c>
    </row>
    <row r="15" spans="1:17" ht="15.4" x14ac:dyDescent="0.4">
      <c r="A15" s="2004"/>
      <c r="B15" s="2006" t="s">
        <v>16</v>
      </c>
      <c r="C15" s="2007"/>
      <c r="D15" s="331" t="s">
        <v>221</v>
      </c>
      <c r="E15" s="307">
        <v>0.02</v>
      </c>
      <c r="F15" s="264">
        <v>1.57</v>
      </c>
      <c r="G15" s="433">
        <v>4.1974644999999998E-2</v>
      </c>
      <c r="H15" s="314">
        <f>(G15-E15)/E15*100</f>
        <v>109.87322499999999</v>
      </c>
      <c r="I15" s="314">
        <f>(G15-F15)/F15*100</f>
        <v>-97.326455732484078</v>
      </c>
      <c r="J15" s="12">
        <f>K15/10000000</f>
        <v>0</v>
      </c>
      <c r="K15" s="7"/>
      <c r="L15" s="476">
        <v>419746.45</v>
      </c>
      <c r="M15" s="518">
        <f>L15/10000000</f>
        <v>4.1974644999999998E-2</v>
      </c>
      <c r="N15" s="323">
        <f>L15/100000</f>
        <v>4.1974644999999997</v>
      </c>
    </row>
    <row r="16" spans="1:17" ht="15.4" x14ac:dyDescent="0.4">
      <c r="A16" s="2004"/>
      <c r="B16" s="2069" t="s">
        <v>15</v>
      </c>
      <c r="C16" s="320" t="s">
        <v>166</v>
      </c>
      <c r="D16" s="2064" t="s">
        <v>221</v>
      </c>
      <c r="E16" s="2065">
        <v>45</v>
      </c>
      <c r="F16" s="134">
        <v>16.53</v>
      </c>
      <c r="G16" s="433">
        <v>3.3575599999999997E-2</v>
      </c>
      <c r="H16" s="2027">
        <f>((G16+G17)-E16)/E16*100</f>
        <v>-5.1764022222222179</v>
      </c>
      <c r="I16" s="314">
        <f>(G16-F16)/F16*100</f>
        <v>-99.79688082274653</v>
      </c>
      <c r="J16" s="12">
        <f>K16/10000000</f>
        <v>0</v>
      </c>
      <c r="K16" s="7"/>
      <c r="L16" s="476">
        <v>335756</v>
      </c>
      <c r="M16" s="518">
        <f>L16/10000000</f>
        <v>3.3575599999999997E-2</v>
      </c>
      <c r="N16" s="323">
        <f>L16/100000</f>
        <v>3.3575599999999999</v>
      </c>
      <c r="O16" s="12">
        <v>48</v>
      </c>
      <c r="P16" s="12">
        <f>G16+G17</f>
        <v>42.670619000000002</v>
      </c>
      <c r="Q16" s="5">
        <f>(P16-O16)/O16*100</f>
        <v>-11.102877083333329</v>
      </c>
    </row>
    <row r="17" spans="1:21" ht="15.75" x14ac:dyDescent="0.45">
      <c r="A17" s="2005"/>
      <c r="B17" s="2070"/>
      <c r="C17" s="320" t="s">
        <v>228</v>
      </c>
      <c r="D17" s="2064"/>
      <c r="E17" s="2066"/>
      <c r="F17" s="475">
        <v>61.61</v>
      </c>
      <c r="G17" s="264">
        <v>42.637043400000003</v>
      </c>
      <c r="H17" s="2029"/>
      <c r="I17" s="314">
        <f>(G17-F17)/F17*100</f>
        <v>-30.795254991072873</v>
      </c>
      <c r="J17" s="12">
        <f>K17/10000000</f>
        <v>0</v>
      </c>
      <c r="K17" s="519"/>
      <c r="L17" s="319">
        <v>426370434</v>
      </c>
      <c r="M17" s="518">
        <f>L17/10000000</f>
        <v>42.637043400000003</v>
      </c>
      <c r="N17" s="323">
        <f>L17/100000</f>
        <v>4263.7043400000002</v>
      </c>
      <c r="P17">
        <v>605916594</v>
      </c>
    </row>
    <row r="18" spans="1:21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  <c r="K18" s="6"/>
      <c r="L18" s="7">
        <f>SUM(L15:L17)</f>
        <v>427125936.44999999</v>
      </c>
      <c r="M18" s="323">
        <f>SUM(M15:M17)</f>
        <v>42.712593645000005</v>
      </c>
      <c r="N18" s="323">
        <f>SUM(N15:N17)</f>
        <v>4271.2593645000006</v>
      </c>
    </row>
    <row r="19" spans="1:21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f>33760339/10000000</f>
        <v>3.3760338999999999</v>
      </c>
      <c r="G19" s="264">
        <f>77209144/10000000</f>
        <v>7.7209143999999998</v>
      </c>
      <c r="H19" s="316" t="s">
        <v>221</v>
      </c>
      <c r="I19" s="314">
        <f>(G19-F19)/F19*100</f>
        <v>128.69777462838869</v>
      </c>
      <c r="L19"/>
      <c r="N19" s="323"/>
    </row>
    <row r="20" spans="1:21" ht="15.4" x14ac:dyDescent="0.4">
      <c r="A20" s="2004"/>
      <c r="B20" s="2009"/>
      <c r="C20" s="2000" t="s">
        <v>232</v>
      </c>
      <c r="D20" s="2001"/>
      <c r="E20" s="2002"/>
      <c r="F20" s="264">
        <f>42444409/10000000</f>
        <v>4.2444408999999998</v>
      </c>
      <c r="G20" s="264">
        <f>7325877/10000000</f>
        <v>0.73258769999999995</v>
      </c>
      <c r="H20" s="316" t="s">
        <v>221</v>
      </c>
      <c r="I20" s="314">
        <f>(G20-F20)/F20*100</f>
        <v>-82.74006595309173</v>
      </c>
      <c r="L20" s="319"/>
    </row>
    <row r="21" spans="1:21" ht="15.4" x14ac:dyDescent="0.4">
      <c r="A21" s="2004"/>
      <c r="B21" s="2009"/>
      <c r="C21" s="2000" t="s">
        <v>239</v>
      </c>
      <c r="D21" s="2001"/>
      <c r="E21" s="2002"/>
      <c r="F21" s="264">
        <f>5431728/10000000</f>
        <v>0.54317280000000001</v>
      </c>
      <c r="G21" s="264">
        <f>22424500/10000000</f>
        <v>2.2424499999999998</v>
      </c>
      <c r="H21" s="316" t="s">
        <v>221</v>
      </c>
      <c r="I21" s="314">
        <f>(G21-F21)/F21*100</f>
        <v>312.84283749112615</v>
      </c>
    </row>
    <row r="22" spans="1:21" ht="15.4" x14ac:dyDescent="0.4">
      <c r="A22" s="2004"/>
      <c r="B22" s="2009"/>
      <c r="C22" s="2000" t="s">
        <v>233</v>
      </c>
      <c r="D22" s="2001"/>
      <c r="E22" s="2002"/>
      <c r="F22" s="264">
        <f>11661761/10000000</f>
        <v>1.1661760999999999</v>
      </c>
      <c r="G22" s="264">
        <f>7451969/10000000</f>
        <v>0.74519690000000005</v>
      </c>
      <c r="H22" s="316" t="s">
        <v>221</v>
      </c>
      <c r="I22" s="314">
        <f>(G22-F22)/F22*100</f>
        <v>-36.099110588872463</v>
      </c>
    </row>
    <row r="23" spans="1:21" ht="15.4" x14ac:dyDescent="0.4">
      <c r="A23" s="2004"/>
      <c r="B23" s="2009"/>
      <c r="C23" s="2000" t="s">
        <v>234</v>
      </c>
      <c r="D23" s="2001"/>
      <c r="E23" s="2002"/>
      <c r="F23" s="264">
        <f>4655014/10000000</f>
        <v>0.46550140000000001</v>
      </c>
      <c r="G23" s="264">
        <v>0</v>
      </c>
      <c r="H23" s="316" t="s">
        <v>221</v>
      </c>
      <c r="I23" s="314">
        <f>(G23-F23)/F23*100</f>
        <v>-100</v>
      </c>
    </row>
    <row r="24" spans="1:21" ht="15.4" x14ac:dyDescent="0.4">
      <c r="A24" s="2004"/>
      <c r="B24" s="2009"/>
      <c r="C24" s="2000" t="s">
        <v>235</v>
      </c>
      <c r="D24" s="2001"/>
      <c r="E24" s="2002"/>
      <c r="F24" s="264">
        <v>0</v>
      </c>
      <c r="G24" s="264">
        <v>0</v>
      </c>
      <c r="H24" s="316"/>
      <c r="I24" s="314">
        <v>0</v>
      </c>
    </row>
    <row r="25" spans="1:21" ht="15.4" x14ac:dyDescent="0.4">
      <c r="A25" s="2005"/>
      <c r="B25" s="2010"/>
      <c r="C25" s="2011" t="s">
        <v>236</v>
      </c>
      <c r="D25" s="2012"/>
      <c r="E25" s="2013"/>
      <c r="F25" s="264">
        <v>0</v>
      </c>
      <c r="G25" s="264">
        <f>255462/10000000</f>
        <v>2.5546200000000002E-2</v>
      </c>
      <c r="H25" s="316" t="s">
        <v>221</v>
      </c>
      <c r="I25" s="314">
        <v>0</v>
      </c>
    </row>
    <row r="26" spans="1:21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  <c r="Q26" s="5">
        <v>10652</v>
      </c>
      <c r="R26" s="5">
        <v>41.9</v>
      </c>
    </row>
    <row r="27" spans="1:21" ht="15.4" x14ac:dyDescent="0.4">
      <c r="A27" s="2015"/>
      <c r="B27" s="2006" t="s">
        <v>2</v>
      </c>
      <c r="C27" s="2007"/>
      <c r="D27" s="333">
        <v>0.42</v>
      </c>
      <c r="E27" s="307">
        <v>0.14000000000000001</v>
      </c>
      <c r="F27" s="134">
        <f>18004445/10000000</f>
        <v>1.8004445</v>
      </c>
      <c r="G27" s="134">
        <f>N28/10000000</f>
        <v>0.17869450000000001</v>
      </c>
      <c r="H27" s="314">
        <f>(G27-E27)/E27*100</f>
        <v>27.638928571428561</v>
      </c>
      <c r="I27" s="314">
        <f t="shared" ref="I27:I33" si="0">(G27-F27)/F27*100</f>
        <v>-90.074978706647173</v>
      </c>
      <c r="K27" s="6" t="s">
        <v>126</v>
      </c>
      <c r="L27" s="6" t="s">
        <v>299</v>
      </c>
      <c r="M27" s="5" t="s">
        <v>277</v>
      </c>
      <c r="N27" s="5">
        <v>4122</v>
      </c>
      <c r="O27" s="5">
        <v>33440</v>
      </c>
      <c r="R27" s="5">
        <f>50*28</f>
        <v>1400</v>
      </c>
    </row>
    <row r="28" spans="1:21" ht="15.75" x14ac:dyDescent="0.45">
      <c r="A28" s="2015"/>
      <c r="B28" s="2006" t="s">
        <v>23</v>
      </c>
      <c r="C28" s="2007"/>
      <c r="D28" s="331" t="s">
        <v>221</v>
      </c>
      <c r="E28" s="307" t="s">
        <v>221</v>
      </c>
      <c r="F28" s="134">
        <v>1.91</v>
      </c>
      <c r="G28" s="134">
        <v>1.67</v>
      </c>
      <c r="H28" s="314" t="s">
        <v>221</v>
      </c>
      <c r="I28" s="314">
        <f t="shared" si="0"/>
        <v>-12.56544502617801</v>
      </c>
      <c r="J28" s="5" t="s">
        <v>388</v>
      </c>
      <c r="K28" s="6"/>
      <c r="L28">
        <f>1710+440+40+6864</f>
        <v>9054</v>
      </c>
      <c r="M28" s="41" t="s">
        <v>115</v>
      </c>
      <c r="N28" s="12">
        <v>1786945</v>
      </c>
      <c r="O28" s="11"/>
      <c r="P28" s="11"/>
    </row>
    <row r="29" spans="1:21" ht="15.4" x14ac:dyDescent="0.4">
      <c r="A29" s="2015"/>
      <c r="B29" s="2006" t="s">
        <v>1</v>
      </c>
      <c r="C29" s="2007"/>
      <c r="D29" s="331" t="s">
        <v>221</v>
      </c>
      <c r="E29" s="307" t="s">
        <v>221</v>
      </c>
      <c r="F29" s="283">
        <v>0.1003339</v>
      </c>
      <c r="G29" s="283">
        <v>6.3E-2</v>
      </c>
      <c r="H29" s="314" t="s">
        <v>221</v>
      </c>
      <c r="I29" s="314">
        <f t="shared" si="0"/>
        <v>-37.209656955425835</v>
      </c>
      <c r="N29" s="12"/>
      <c r="O29" s="11"/>
    </row>
    <row r="30" spans="1:21" ht="15.75" x14ac:dyDescent="0.45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f>615990/10000000</f>
        <v>6.1599000000000001E-2</v>
      </c>
      <c r="G30" s="79">
        <v>0</v>
      </c>
      <c r="H30" s="316" t="s">
        <v>221</v>
      </c>
      <c r="I30" s="314">
        <f t="shared" si="0"/>
        <v>-100</v>
      </c>
      <c r="L30"/>
      <c r="N30" s="12"/>
      <c r="O30" s="11"/>
      <c r="S30" s="5">
        <v>7.29</v>
      </c>
      <c r="T30" s="5">
        <v>6.7</v>
      </c>
      <c r="U30" s="5">
        <f>S30-T30</f>
        <v>0.58999999999999986</v>
      </c>
    </row>
    <row r="31" spans="1:21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v>0.52</v>
      </c>
      <c r="G31" s="492">
        <v>0</v>
      </c>
      <c r="H31" s="316" t="s">
        <v>221</v>
      </c>
      <c r="I31" s="314">
        <f t="shared" si="0"/>
        <v>-100</v>
      </c>
      <c r="L31" s="319"/>
      <c r="N31" s="12"/>
    </row>
    <row r="32" spans="1:21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134">
        <f>K32/10000000</f>
        <v>2.5926319000000002</v>
      </c>
      <c r="G32" s="264">
        <f>L32/10000000</f>
        <v>1.9362273999999999</v>
      </c>
      <c r="H32" s="316" t="s">
        <v>221</v>
      </c>
      <c r="I32" s="314">
        <f t="shared" si="0"/>
        <v>-25.318075427522135</v>
      </c>
      <c r="K32">
        <v>25926319</v>
      </c>
      <c r="L32">
        <v>19362274</v>
      </c>
      <c r="N32" s="12"/>
    </row>
    <row r="33" spans="1:18" x14ac:dyDescent="0.4">
      <c r="A33" s="403"/>
      <c r="B33" s="402" t="s">
        <v>266</v>
      </c>
      <c r="C33" s="409"/>
      <c r="D33" s="332"/>
      <c r="E33" s="308"/>
      <c r="F33" s="134">
        <v>6.0000000000000001E-3</v>
      </c>
      <c r="G33" s="493">
        <f>L28/10000000</f>
        <v>9.054E-4</v>
      </c>
      <c r="H33" s="316"/>
      <c r="I33" s="314">
        <f t="shared" si="0"/>
        <v>-84.910000000000011</v>
      </c>
      <c r="K33" s="5">
        <f>15+210+420+1350+270+24000+29784+4100+200</f>
        <v>60349</v>
      </c>
      <c r="N33" s="12"/>
    </row>
    <row r="34" spans="1:18" ht="15" x14ac:dyDescent="0.35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  <c r="K34" s="5">
        <f>K33/10000000</f>
        <v>6.0349000000000002E-3</v>
      </c>
      <c r="N34" s="12"/>
    </row>
    <row r="35" spans="1:18" ht="15.4" x14ac:dyDescent="0.4">
      <c r="A35" s="2020"/>
      <c r="B35" s="2006" t="s">
        <v>27</v>
      </c>
      <c r="C35" s="2007"/>
      <c r="D35" s="331">
        <v>2.4300000000000002</v>
      </c>
      <c r="E35" s="307">
        <v>0.20250000000000001</v>
      </c>
      <c r="F35" s="264">
        <f>6923420/10000000</f>
        <v>0.69234200000000001</v>
      </c>
      <c r="G35" s="283">
        <f>1464284/10000000</f>
        <v>0.14642839999999999</v>
      </c>
      <c r="H35" s="314">
        <f>(G35-E35)/E35*100</f>
        <v>-27.689679012345692</v>
      </c>
      <c r="I35" s="314">
        <f>(G35-F35)/F35*100</f>
        <v>-78.850279197275327</v>
      </c>
      <c r="K35" s="432" t="s">
        <v>203</v>
      </c>
      <c r="L35" s="432"/>
      <c r="N35" s="491"/>
      <c r="Q35" s="6" t="s">
        <v>126</v>
      </c>
    </row>
    <row r="36" spans="1:18" ht="15.4" x14ac:dyDescent="0.4">
      <c r="A36" s="2020"/>
      <c r="B36" s="2006" t="s">
        <v>28</v>
      </c>
      <c r="C36" s="2007"/>
      <c r="D36" s="333">
        <v>0.11</v>
      </c>
      <c r="E36" s="307">
        <v>8.9999999999999993E-3</v>
      </c>
      <c r="F36" s="433">
        <f>0.068</f>
        <v>6.8000000000000005E-2</v>
      </c>
      <c r="G36" s="283">
        <v>0</v>
      </c>
      <c r="H36" s="314">
        <f>(G36-E36)/E36*100</f>
        <v>-100</v>
      </c>
      <c r="I36" s="314">
        <f>(G36-F36)/F36*100</f>
        <v>-100</v>
      </c>
      <c r="K36" s="5" t="s">
        <v>126</v>
      </c>
      <c r="L36" s="5" t="s">
        <v>299</v>
      </c>
      <c r="Q36" s="172">
        <v>0.57431169999999998</v>
      </c>
      <c r="R36" s="5" t="s">
        <v>27</v>
      </c>
    </row>
    <row r="37" spans="1:18" ht="15.4" x14ac:dyDescent="0.4">
      <c r="A37" s="2020"/>
      <c r="B37" s="378" t="s">
        <v>224</v>
      </c>
      <c r="C37" s="379"/>
      <c r="D37" s="331">
        <v>0.19</v>
      </c>
      <c r="E37" s="406">
        <v>1.6E-2</v>
      </c>
      <c r="F37" s="433">
        <v>0.11</v>
      </c>
      <c r="G37" s="389">
        <f>277385/10000000</f>
        <v>2.7738499999999999E-2</v>
      </c>
      <c r="H37" s="314">
        <f>(G37-E37)/E37*100</f>
        <v>73.365624999999994</v>
      </c>
      <c r="I37" s="314">
        <f>(G37-F37)/F37*100</f>
        <v>-74.783181818181816</v>
      </c>
      <c r="K37" s="6">
        <f>2529951</f>
        <v>2529951</v>
      </c>
      <c r="L37" s="6">
        <f>137+380+6133+16000+1</f>
        <v>22651</v>
      </c>
      <c r="M37" s="5">
        <v>2529951</v>
      </c>
      <c r="N37" s="5">
        <f>1466782</f>
        <v>1466782</v>
      </c>
      <c r="Q37" s="172">
        <v>0.1038307</v>
      </c>
      <c r="R37" s="5" t="s">
        <v>28</v>
      </c>
    </row>
    <row r="38" spans="1:18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>
        <v>0</v>
      </c>
      <c r="G38" s="134">
        <v>0</v>
      </c>
      <c r="H38" s="314" t="s">
        <v>221</v>
      </c>
      <c r="I38" s="314">
        <v>0</v>
      </c>
      <c r="J38" s="5">
        <f>K38/10000000</f>
        <v>7.3051000000000003E-9</v>
      </c>
      <c r="K38" s="30">
        <f>M39/10000000</f>
        <v>7.3051000000000005E-2</v>
      </c>
      <c r="L38" s="30">
        <f>L37/10000000</f>
        <v>2.2650999999999999E-3</v>
      </c>
      <c r="M38" s="5">
        <f>711113+100000+786319+183250+18759</f>
        <v>1799441</v>
      </c>
      <c r="N38" s="5">
        <f>5007+1294+1000+1198041</f>
        <v>1205342</v>
      </c>
      <c r="Q38" s="172">
        <v>1.3424E-2</v>
      </c>
      <c r="R38" s="5" t="s">
        <v>4</v>
      </c>
    </row>
    <row r="39" spans="1:18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492">
        <v>0</v>
      </c>
      <c r="G39" s="79">
        <v>0</v>
      </c>
      <c r="H39" s="314" t="s">
        <v>221</v>
      </c>
      <c r="I39" s="314">
        <v>0</v>
      </c>
      <c r="M39" s="5">
        <f>M37-M38</f>
        <v>730510</v>
      </c>
      <c r="N39" s="5">
        <f>N37-N38</f>
        <v>261440</v>
      </c>
      <c r="O39" s="5">
        <f>N39/10000000</f>
        <v>2.6144000000000001E-2</v>
      </c>
      <c r="Q39" s="172">
        <v>0</v>
      </c>
      <c r="R39" s="5" t="s">
        <v>29</v>
      </c>
    </row>
    <row r="40" spans="1:18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134">
        <v>7.2999999999999995E-2</v>
      </c>
      <c r="G40" s="283">
        <v>2.6100000000000002E-2</v>
      </c>
      <c r="H40" s="314"/>
      <c r="I40" s="314">
        <f>(G40-F40)/F40*100</f>
        <v>-64.246575342465746</v>
      </c>
      <c r="Q40" s="172">
        <v>0</v>
      </c>
      <c r="R40" s="5" t="s">
        <v>64</v>
      </c>
    </row>
    <row r="41" spans="1:18" ht="15" x14ac:dyDescent="0.35">
      <c r="A41" s="2020"/>
      <c r="B41" s="2021" t="s">
        <v>390</v>
      </c>
      <c r="C41" s="2022"/>
      <c r="D41" s="2022"/>
      <c r="E41" s="2022"/>
      <c r="F41" s="2022"/>
      <c r="G41" s="2022"/>
      <c r="H41" s="2022"/>
      <c r="I41" s="2023"/>
      <c r="K41" s="383">
        <v>43831</v>
      </c>
      <c r="L41" s="383">
        <v>44197</v>
      </c>
      <c r="M41" s="5" t="s">
        <v>350</v>
      </c>
      <c r="N41" s="5" t="s">
        <v>351</v>
      </c>
      <c r="Q41" s="172">
        <v>2.9382100000000001E-2</v>
      </c>
      <c r="R41" s="5" t="s">
        <v>3</v>
      </c>
    </row>
    <row r="42" spans="1:18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2.7589999999999999</v>
      </c>
      <c r="G42" s="264">
        <v>9.3120999999999995E-2</v>
      </c>
      <c r="H42" s="314" t="s">
        <v>221</v>
      </c>
      <c r="I42" s="314">
        <f>(G42-F42)/F42*100</f>
        <v>-96.624827836172528</v>
      </c>
      <c r="J42" s="12">
        <f>K42/1000000</f>
        <v>0</v>
      </c>
      <c r="L42" s="41">
        <v>93121</v>
      </c>
      <c r="M42" s="12">
        <f>L42/1000000</f>
        <v>9.3120999999999995E-2</v>
      </c>
      <c r="N42" s="42">
        <f>L42/100000</f>
        <v>0.93120999999999998</v>
      </c>
      <c r="R42" s="5" t="s">
        <v>31</v>
      </c>
    </row>
    <row r="43" spans="1:18" ht="15.4" x14ac:dyDescent="0.4">
      <c r="A43" s="2020"/>
      <c r="B43" s="2069" t="s">
        <v>15</v>
      </c>
      <c r="C43" s="320" t="s">
        <v>166</v>
      </c>
      <c r="D43" s="2067"/>
      <c r="E43" s="2065"/>
      <c r="F43" s="134">
        <v>2.41</v>
      </c>
      <c r="G43" s="264">
        <v>1.2258E-2</v>
      </c>
      <c r="H43" s="2027" t="s">
        <v>221</v>
      </c>
      <c r="I43" s="314">
        <f>(G43-F43)/F43*100</f>
        <v>-99.491369294605803</v>
      </c>
      <c r="J43" s="12">
        <f>K43/1000000</f>
        <v>0</v>
      </c>
      <c r="L43" s="41">
        <v>12258</v>
      </c>
      <c r="M43" s="12">
        <f>L43/1000000</f>
        <v>1.2258E-2</v>
      </c>
      <c r="N43" s="42">
        <f>L43/100000</f>
        <v>0.12257999999999999</v>
      </c>
    </row>
    <row r="44" spans="1:18" ht="15.4" x14ac:dyDescent="0.4">
      <c r="A44" s="2020"/>
      <c r="B44" s="2070"/>
      <c r="C44" s="320" t="s">
        <v>228</v>
      </c>
      <c r="D44" s="2068"/>
      <c r="E44" s="2066"/>
      <c r="F44" s="134">
        <v>0.95799999999999996</v>
      </c>
      <c r="G44" s="323">
        <v>0.70935099999999995</v>
      </c>
      <c r="H44" s="2029"/>
      <c r="I44" s="314">
        <f>(G44-F44)/F44*100</f>
        <v>-25.95501043841336</v>
      </c>
      <c r="J44" s="12">
        <f>K44/1000000</f>
        <v>0</v>
      </c>
      <c r="K44" s="319"/>
      <c r="L44" s="319">
        <v>709351</v>
      </c>
      <c r="M44" s="12">
        <f>L44/1000000</f>
        <v>0.70935099999999995</v>
      </c>
      <c r="N44" s="42">
        <f>L44/100000</f>
        <v>7.0935100000000002</v>
      </c>
    </row>
    <row r="45" spans="1:18" ht="15" x14ac:dyDescent="0.35">
      <c r="A45" s="2020">
        <v>6</v>
      </c>
      <c r="B45" s="2021" t="s">
        <v>406</v>
      </c>
      <c r="C45" s="2022"/>
      <c r="D45" s="2022"/>
      <c r="E45" s="2022"/>
      <c r="F45" s="2022"/>
      <c r="G45" s="2022"/>
      <c r="H45" s="2022"/>
      <c r="I45" s="2023"/>
      <c r="L45" s="12"/>
      <c r="M45" s="12">
        <f>SUM(M42:M44)</f>
        <v>0.81472999999999995</v>
      </c>
      <c r="N45" s="12">
        <f>SUM(N42:N44)</f>
        <v>8.1472999999999995</v>
      </c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/>
      <c r="G46" s="78"/>
      <c r="H46" s="2027" t="s">
        <v>221</v>
      </c>
      <c r="I46" s="314" t="e">
        <f>(G46-F46)/F46*100</f>
        <v>#DIV/0!</v>
      </c>
      <c r="L46" s="5">
        <v>3.51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78"/>
      <c r="G47" s="78"/>
      <c r="H47" s="2028"/>
      <c r="I47" s="314" t="e">
        <f>(G47-F47)/F47*100</f>
        <v>#DIV/0!</v>
      </c>
      <c r="L47" s="5">
        <f>L46-0.88</f>
        <v>2.63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78"/>
      <c r="G48" s="78"/>
      <c r="H48" s="2029"/>
      <c r="I48" s="314" t="e">
        <f>(G48-F48)/F48*100</f>
        <v>#DIV/0!</v>
      </c>
      <c r="K48" s="319"/>
      <c r="L48" s="319">
        <v>748015</v>
      </c>
    </row>
    <row r="49" spans="2:17" s="5" customFormat="1" ht="14.25" x14ac:dyDescent="0.35">
      <c r="B49" s="300"/>
      <c r="D49" s="84"/>
      <c r="E49" s="35"/>
      <c r="F49" s="319"/>
      <c r="G49" s="319">
        <v>993759</v>
      </c>
      <c r="H49" s="11"/>
      <c r="I49" s="82"/>
    </row>
    <row r="50" spans="2:17" s="5" customFormat="1" ht="13.5" x14ac:dyDescent="0.35">
      <c r="B50" s="300"/>
      <c r="D50" s="84"/>
      <c r="E50" s="84"/>
      <c r="H50" s="11"/>
      <c r="M50" s="5">
        <f>D36*10000000</f>
        <v>1100000</v>
      </c>
      <c r="N50" s="13">
        <f>M50/10000000</f>
        <v>0.11</v>
      </c>
      <c r="O50" s="5">
        <f>M50/100000</f>
        <v>11</v>
      </c>
      <c r="Q50" s="5">
        <f>35606/100000</f>
        <v>0.35605999999999999</v>
      </c>
    </row>
    <row r="51" spans="2:17" s="5" customFormat="1" thickBot="1" x14ac:dyDescent="0.45">
      <c r="B51" s="300"/>
      <c r="C51" s="5">
        <f>F42*1000000</f>
        <v>2759000</v>
      </c>
      <c r="D51" s="84">
        <f>C51/100000</f>
        <v>27.59</v>
      </c>
      <c r="E51" s="84">
        <f>G42*1000000</f>
        <v>93121</v>
      </c>
      <c r="F51" s="5">
        <f>E51/100000</f>
        <v>0.93120999999999998</v>
      </c>
      <c r="H51" s="11"/>
      <c r="I51" s="497">
        <v>22.73</v>
      </c>
      <c r="J51" s="498">
        <v>27.98</v>
      </c>
      <c r="K51" s="499">
        <v>61.73</v>
      </c>
      <c r="L51" s="314">
        <f>(K51-I51)/I51*100</f>
        <v>171.57941047074351</v>
      </c>
      <c r="M51" s="314">
        <f>M50/12</f>
        <v>91666.666666666672</v>
      </c>
      <c r="N51" s="13">
        <f>M51/10000000</f>
        <v>9.1666666666666667E-3</v>
      </c>
      <c r="O51" s="11">
        <f>M51/100000</f>
        <v>0.91666666666666674</v>
      </c>
    </row>
    <row r="52" spans="2:17" s="5" customFormat="1" ht="13.5" x14ac:dyDescent="0.35">
      <c r="B52" s="300"/>
      <c r="C52" s="5">
        <f>F43*1000000</f>
        <v>2410000</v>
      </c>
      <c r="D52" s="84">
        <f>C52/100000</f>
        <v>24.1</v>
      </c>
      <c r="E52" s="84">
        <f>G43*1000000</f>
        <v>12258</v>
      </c>
      <c r="F52" s="5">
        <f>E52/100000</f>
        <v>0.12257999999999999</v>
      </c>
      <c r="H52" s="11"/>
      <c r="M52" s="5">
        <f>M51*11</f>
        <v>1008333.3333333334</v>
      </c>
      <c r="N52" s="13">
        <f>M52/10000000</f>
        <v>0.10083333333333333</v>
      </c>
      <c r="O52" s="12">
        <f>M52/100000</f>
        <v>10.083333333333334</v>
      </c>
    </row>
    <row r="53" spans="2:17" s="5" customFormat="1" ht="13.5" x14ac:dyDescent="0.35">
      <c r="B53" s="300"/>
      <c r="C53" s="5">
        <f>F44*1000000</f>
        <v>958000</v>
      </c>
      <c r="D53" s="84">
        <f>C53/100000</f>
        <v>9.58</v>
      </c>
      <c r="E53" s="84">
        <f>G44*1000000</f>
        <v>709351</v>
      </c>
      <c r="F53" s="5">
        <f>E53/100000</f>
        <v>7.0935100000000002</v>
      </c>
      <c r="G53" s="495"/>
      <c r="H53" s="11"/>
      <c r="I53" s="82"/>
      <c r="O53" s="5">
        <f>M53/100000</f>
        <v>0</v>
      </c>
    </row>
    <row r="54" spans="2:17" s="5" customFormat="1" ht="13.5" x14ac:dyDescent="0.35">
      <c r="C54" s="12"/>
      <c r="D54" s="84"/>
      <c r="E54" s="84"/>
      <c r="F54" s="495"/>
      <c r="G54" s="495"/>
      <c r="H54" s="11"/>
    </row>
    <row r="55" spans="2:17" s="5" customFormat="1" ht="13.5" x14ac:dyDescent="0.35">
      <c r="B55" s="300"/>
      <c r="D55" s="84"/>
      <c r="E55" s="84"/>
      <c r="F55" s="12"/>
      <c r="H55" s="11"/>
      <c r="I55" s="82"/>
      <c r="M55" s="5">
        <v>1100000</v>
      </c>
      <c r="N55" s="13">
        <f>M55/10000000</f>
        <v>0.11</v>
      </c>
      <c r="O55" s="5">
        <f>M55/100000</f>
        <v>11</v>
      </c>
    </row>
    <row r="56" spans="2:17" s="5" customFormat="1" ht="13.5" x14ac:dyDescent="0.35">
      <c r="B56" s="300"/>
      <c r="D56" s="84"/>
      <c r="E56" s="84"/>
      <c r="F56" s="12"/>
      <c r="H56" s="11"/>
      <c r="I56" s="82"/>
      <c r="M56" s="5">
        <f>M55/12</f>
        <v>91666.666666666672</v>
      </c>
      <c r="N56" s="13">
        <f>M56/10000000</f>
        <v>9.1666666666666667E-3</v>
      </c>
      <c r="O56" s="42">
        <f>M56/100000</f>
        <v>0.91666666666666674</v>
      </c>
    </row>
    <row r="57" spans="2:17" s="5" customFormat="1" ht="13.5" x14ac:dyDescent="0.35">
      <c r="B57" s="300"/>
      <c r="D57" s="323"/>
      <c r="E57" s="323"/>
      <c r="F57" s="12"/>
      <c r="G57" s="12"/>
      <c r="H57" s="11"/>
      <c r="I57" s="11">
        <f>G57/100000</f>
        <v>0</v>
      </c>
      <c r="M57" s="5">
        <f>M56*10</f>
        <v>916666.66666666674</v>
      </c>
      <c r="N57" s="13">
        <f>M57/10000000</f>
        <v>9.1666666666666674E-2</v>
      </c>
      <c r="O57" s="12">
        <f>M57/100000</f>
        <v>9.1666666666666679</v>
      </c>
    </row>
    <row r="58" spans="2:17" s="5" customFormat="1" ht="13.5" x14ac:dyDescent="0.35">
      <c r="B58" s="300"/>
      <c r="D58" s="323"/>
      <c r="E58" s="323"/>
      <c r="F58" s="12"/>
      <c r="G58" s="12"/>
      <c r="H58" s="11"/>
      <c r="I58" s="11">
        <f>G58/100000</f>
        <v>0</v>
      </c>
    </row>
    <row r="59" spans="2:17" s="5" customFormat="1" ht="13.5" x14ac:dyDescent="0.35">
      <c r="B59" s="300"/>
      <c r="D59" s="323"/>
      <c r="E59" s="323"/>
      <c r="F59" s="12"/>
      <c r="G59" s="12"/>
      <c r="H59" s="11"/>
      <c r="I59" s="11">
        <f>G59/100000</f>
        <v>0</v>
      </c>
      <c r="M59" s="5">
        <f>2.43*10000000</f>
        <v>24300000</v>
      </c>
    </row>
    <row r="60" spans="2:17" s="5" customFormat="1" ht="13.5" x14ac:dyDescent="0.35">
      <c r="B60" s="300"/>
      <c r="D60" s="84"/>
      <c r="E60" s="35"/>
      <c r="H60" s="11"/>
      <c r="I60" s="82"/>
      <c r="M60" s="41">
        <f>M59/100000</f>
        <v>243</v>
      </c>
    </row>
    <row r="61" spans="2:17" s="5" customFormat="1" ht="13.5" x14ac:dyDescent="0.35">
      <c r="B61" s="300"/>
      <c r="D61" s="84"/>
      <c r="E61" s="35"/>
      <c r="H61" s="11"/>
      <c r="I61" s="82"/>
      <c r="M61" s="5">
        <f>M60*100000</f>
        <v>24300000</v>
      </c>
      <c r="N61" s="13">
        <f>M61/10000000</f>
        <v>2.4300000000000002</v>
      </c>
      <c r="O61" s="5">
        <f>M61/100000</f>
        <v>243</v>
      </c>
    </row>
    <row r="62" spans="2:17" s="5" customFormat="1" ht="13.5" x14ac:dyDescent="0.35">
      <c r="B62" s="300"/>
      <c r="D62" s="84"/>
      <c r="E62" s="35"/>
      <c r="H62" s="11"/>
      <c r="I62" s="82"/>
      <c r="M62" s="5">
        <f>M61/12</f>
        <v>2025000</v>
      </c>
      <c r="N62" s="13">
        <f>M62/10000000</f>
        <v>0.20250000000000001</v>
      </c>
      <c r="O62" s="12">
        <f>M62/100000</f>
        <v>20.25</v>
      </c>
    </row>
    <row r="63" spans="2:17" s="5" customFormat="1" ht="13.5" x14ac:dyDescent="0.35">
      <c r="B63" s="300"/>
      <c r="D63" s="84"/>
      <c r="E63" s="35"/>
      <c r="H63" s="11"/>
      <c r="I63" s="82"/>
      <c r="M63" s="5">
        <f>M62*10</f>
        <v>20250000</v>
      </c>
      <c r="N63" s="13">
        <f>M63/10000000</f>
        <v>2.0249999999999999</v>
      </c>
      <c r="O63" s="12">
        <f>M63/100000</f>
        <v>202.5</v>
      </c>
    </row>
    <row r="64" spans="2:17" s="5" customFormat="1" ht="13.5" x14ac:dyDescent="0.35">
      <c r="H64" s="11">
        <f>60000/100000</f>
        <v>0.6</v>
      </c>
    </row>
    <row r="65" spans="14:14" s="5" customFormat="1" ht="13.5" x14ac:dyDescent="0.35">
      <c r="N65" s="13">
        <f>N62+N51+N56</f>
        <v>0.22083333333333333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75" bottom="0.75" header="0.3" footer="0.3"/>
  <pageSetup paperSize="9" scale="40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M64"/>
  <sheetViews>
    <sheetView zoomScale="90" zoomScaleNormal="90" workbookViewId="0">
      <selection activeCell="F4" sqref="F4"/>
    </sheetView>
  </sheetViews>
  <sheetFormatPr defaultColWidth="9.1328125" defaultRowHeight="16.899999999999999" x14ac:dyDescent="0.35"/>
  <cols>
    <col min="1" max="1" width="4.73046875" style="376" customWidth="1"/>
    <col min="2" max="2" width="40.3984375" style="300" customWidth="1"/>
    <col min="3" max="3" width="6.73046875" style="5" customWidth="1"/>
    <col min="4" max="4" width="9.86328125" style="35" customWidth="1"/>
    <col min="5" max="5" width="12.59765625" style="35" customWidth="1"/>
    <col min="6" max="6" width="13.86328125" style="301" customWidth="1"/>
    <col min="7" max="7" width="14.3984375" style="301" customWidth="1"/>
    <col min="8" max="8" width="11.265625" style="11" customWidth="1"/>
    <col min="9" max="9" width="12.265625" style="523" customWidth="1"/>
    <col min="10" max="16384" width="9.1328125" style="5"/>
  </cols>
  <sheetData>
    <row r="1" spans="1:13" ht="14.25" customHeight="1" x14ac:dyDescent="0.35">
      <c r="A1" s="2031" t="s">
        <v>398</v>
      </c>
      <c r="B1" s="2031"/>
      <c r="C1" s="2031"/>
      <c r="D1" s="2031"/>
      <c r="E1" s="2031"/>
      <c r="F1" s="2031"/>
      <c r="G1" s="2031"/>
      <c r="H1" s="2031"/>
      <c r="I1" s="2031"/>
    </row>
    <row r="2" spans="1:13" s="301" customFormat="1" ht="29.25" customHeight="1" thickBot="1" x14ac:dyDescent="0.5">
      <c r="A2" s="2239" t="s">
        <v>413</v>
      </c>
      <c r="B2" s="2240"/>
      <c r="C2" s="2240"/>
      <c r="D2" s="2240"/>
      <c r="E2" s="2240"/>
      <c r="F2" s="2240"/>
      <c r="G2" s="2240"/>
      <c r="H2" s="2240"/>
      <c r="I2" s="2241"/>
    </row>
    <row r="3" spans="1:13" ht="15.4" thickTop="1" x14ac:dyDescent="0.4">
      <c r="A3" s="2035" t="s">
        <v>144</v>
      </c>
      <c r="B3" s="2045" t="s">
        <v>7</v>
      </c>
      <c r="C3" s="2046"/>
      <c r="D3" s="2244" t="s">
        <v>9</v>
      </c>
      <c r="E3" s="527" t="s">
        <v>8</v>
      </c>
      <c r="F3" s="2242" t="s">
        <v>10</v>
      </c>
      <c r="G3" s="2243"/>
      <c r="H3" s="2039" t="s">
        <v>11</v>
      </c>
      <c r="I3" s="2040"/>
    </row>
    <row r="4" spans="1:13" s="35" customFormat="1" ht="30" x14ac:dyDescent="0.45">
      <c r="A4" s="2035"/>
      <c r="B4" s="2047"/>
      <c r="C4" s="2048"/>
      <c r="D4" s="2245"/>
      <c r="E4" s="383" t="str">
        <f>G4</f>
        <v>Upto
 FEB-21</v>
      </c>
      <c r="F4" s="383" t="s">
        <v>407</v>
      </c>
      <c r="G4" s="383" t="s">
        <v>408</v>
      </c>
      <c r="H4" s="2041" t="s">
        <v>12</v>
      </c>
      <c r="I4" s="2041" t="s">
        <v>13</v>
      </c>
    </row>
    <row r="5" spans="1:13" ht="15" x14ac:dyDescent="0.3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</row>
    <row r="6" spans="1:13" ht="25.5" customHeight="1" x14ac:dyDescent="0.35">
      <c r="A6" s="372">
        <v>1</v>
      </c>
      <c r="B6" s="2049" t="s">
        <v>279</v>
      </c>
      <c r="C6" s="2049"/>
      <c r="D6" s="304">
        <v>231.56</v>
      </c>
      <c r="E6" s="305">
        <f>'UPTO JAN2021'!E6+'FEB-21'!E6</f>
        <v>183.04000000000002</v>
      </c>
      <c r="F6" s="305">
        <f>'UPTO JAN2021'!F6+'FEB-21'!F6</f>
        <v>839.51375193199999</v>
      </c>
      <c r="G6" s="305">
        <f>'UPTO JAN2021'!G6+'FEB-21'!G6</f>
        <v>158.30134854800002</v>
      </c>
      <c r="H6" s="306">
        <f>(G6-E6)/E6*100</f>
        <v>-13.515434578234265</v>
      </c>
      <c r="I6" s="306">
        <f>(G6-F6)/F6*100</f>
        <v>-81.143686070216731</v>
      </c>
    </row>
    <row r="7" spans="1:13" ht="25.5" customHeight="1" x14ac:dyDescent="0.35">
      <c r="A7" s="373">
        <v>2</v>
      </c>
      <c r="B7" s="2050" t="s">
        <v>281</v>
      </c>
      <c r="C7" s="2051"/>
      <c r="D7" s="307">
        <v>177.3</v>
      </c>
      <c r="E7" s="434">
        <f>'UPTO JAN2021'!E7+'FEB-21'!E7</f>
        <v>168.45</v>
      </c>
      <c r="F7" s="434">
        <f>'UPTO JAN2021'!F7+'FEB-21'!F7</f>
        <v>185.20840840000002</v>
      </c>
      <c r="G7" s="434">
        <f>'UPTO JAN2021'!G7+'FEB-21'!G7</f>
        <v>107.09361940000001</v>
      </c>
      <c r="H7" s="517">
        <f>(G7-E7)/E7*100</f>
        <v>-36.424090590679718</v>
      </c>
      <c r="I7" s="308">
        <f>(G7-F7)/F7*100</f>
        <v>-42.176696876144639</v>
      </c>
    </row>
    <row r="8" spans="1:13" ht="25.5" customHeight="1" x14ac:dyDescent="0.35">
      <c r="A8" s="374">
        <v>3</v>
      </c>
      <c r="B8" s="2117" t="s">
        <v>282</v>
      </c>
      <c r="C8" s="2118"/>
      <c r="D8" s="364">
        <v>23.29</v>
      </c>
      <c r="E8" s="305">
        <f>'UPTO JAN2021'!E8+'FEB-21'!E8</f>
        <v>21.290000000000003</v>
      </c>
      <c r="F8" s="305">
        <v>75.8</v>
      </c>
      <c r="G8" s="305">
        <f>'UPTO JAN2021'!G8+'FEB-21'!G8</f>
        <v>18.860303800000001</v>
      </c>
      <c r="H8" s="306">
        <f>(G8-E8)/E8*100</f>
        <v>-11.41238233912636</v>
      </c>
      <c r="I8" s="365">
        <f>(G8-F8)/F8*100</f>
        <v>-75.118332717678101</v>
      </c>
    </row>
    <row r="9" spans="1:13" ht="25.5" customHeight="1" x14ac:dyDescent="0.35">
      <c r="A9" s="373">
        <v>4</v>
      </c>
      <c r="B9" s="2052" t="s">
        <v>283</v>
      </c>
      <c r="C9" s="2053"/>
      <c r="D9" s="307">
        <v>2.73</v>
      </c>
      <c r="E9" s="434">
        <f>E35+E36+E37</f>
        <v>2.5057070000000001</v>
      </c>
      <c r="F9" s="434">
        <f>'UPTO JAN2021'!F9+'FEB-21'!F9</f>
        <v>9.2164693999999994</v>
      </c>
      <c r="G9" s="434">
        <f>'UPTO JAN2021'!G9+'FEB-21'!G9</f>
        <v>1.2987098000000001</v>
      </c>
      <c r="H9" s="517">
        <f>(G9-E9)/E9*100</f>
        <v>-48.169925693626588</v>
      </c>
      <c r="I9" s="308">
        <f>(G9-F9)/F9*100</f>
        <v>-85.908814496796353</v>
      </c>
    </row>
    <row r="10" spans="1:13" ht="25.5" customHeight="1" x14ac:dyDescent="0.35">
      <c r="A10" s="374">
        <v>5</v>
      </c>
      <c r="B10" s="2117" t="s">
        <v>284</v>
      </c>
      <c r="C10" s="2118"/>
      <c r="D10" s="321">
        <f>SUM(D6:D9)</f>
        <v>434.88000000000005</v>
      </c>
      <c r="E10" s="321">
        <f>SUM(E6:E9)</f>
        <v>375.285707</v>
      </c>
      <c r="F10" s="322">
        <f>SUM(F6:F9)</f>
        <v>1109.7386297319999</v>
      </c>
      <c r="G10" s="321">
        <f>SUM(G6:G9)</f>
        <v>285.55398154800002</v>
      </c>
      <c r="H10" s="306">
        <f>(G10-E10)/E10*100</f>
        <v>-23.910243256879479</v>
      </c>
      <c r="I10" s="322">
        <f>(G10-F10)/F10*100</f>
        <v>-74.268357079994516</v>
      </c>
      <c r="J10" s="5">
        <f>458.64</f>
        <v>458.64</v>
      </c>
      <c r="K10" s="5">
        <v>2.73</v>
      </c>
      <c r="L10" s="5">
        <f>J10-K10</f>
        <v>455.90999999999997</v>
      </c>
      <c r="M10" s="5">
        <f>26.49-2.73</f>
        <v>23.759999999999998</v>
      </c>
    </row>
    <row r="11" spans="1:13" ht="14.25" thickBot="1" x14ac:dyDescent="0.4">
      <c r="A11" s="2099"/>
      <c r="B11" s="2100"/>
      <c r="C11" s="2100"/>
      <c r="D11" s="2100"/>
      <c r="E11" s="2100"/>
      <c r="F11" s="2100"/>
      <c r="G11" s="2100"/>
      <c r="H11" s="2100"/>
      <c r="I11" s="2101"/>
    </row>
    <row r="12" spans="1:13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472" t="s">
        <v>221</v>
      </c>
      <c r="F12" s="520">
        <f>F42+F43+F44</f>
        <v>71.328000000000003</v>
      </c>
      <c r="G12" s="520">
        <f>G42+G43+G44</f>
        <v>2.9699689999999999</v>
      </c>
      <c r="H12" s="473" t="s">
        <v>221</v>
      </c>
      <c r="I12" s="311">
        <f>(G12-F12)/F12*100</f>
        <v>-95.836180742485411</v>
      </c>
    </row>
    <row r="13" spans="1:13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3" ht="24" customHeight="1" x14ac:dyDescent="0.35">
      <c r="A14" s="2003">
        <v>1</v>
      </c>
      <c r="B14" s="2227" t="s">
        <v>301</v>
      </c>
      <c r="C14" s="2228"/>
      <c r="D14" s="2228"/>
      <c r="E14" s="2228"/>
      <c r="F14" s="2228"/>
      <c r="G14" s="2228"/>
      <c r="H14" s="2228"/>
      <c r="I14" s="2229"/>
    </row>
    <row r="15" spans="1:13" ht="24" customHeight="1" x14ac:dyDescent="0.35">
      <c r="A15" s="2004"/>
      <c r="B15" s="2218" t="s">
        <v>16</v>
      </c>
      <c r="C15" s="2223"/>
      <c r="D15" s="332"/>
      <c r="E15" s="315">
        <v>0.1</v>
      </c>
      <c r="F15" s="315">
        <f>'UPTO SEP 2020'!F15+'OCT-2020'!F15+'NOV-20'!F15+'DEC-20'!F15+'JAN-2021'!F15+'FEB-21'!F15</f>
        <v>18.467869931999999</v>
      </c>
      <c r="G15" s="315">
        <f>'UPTO SEP 2020'!G15+'OCT-2020'!G15+'NOV-20'!G15+'DEC-20'!G15+'JAN-2021'!G15+'FEB-21'!G15</f>
        <v>0.15278834800000002</v>
      </c>
      <c r="H15" s="496">
        <f>(G15-E15)/E15*100</f>
        <v>52.788348000000006</v>
      </c>
      <c r="I15" s="316">
        <f>(G15-F15)/F15*100</f>
        <v>-99.172680181512121</v>
      </c>
      <c r="L15" s="5">
        <v>18.467869931999999</v>
      </c>
    </row>
    <row r="16" spans="1:13" ht="24" customHeight="1" x14ac:dyDescent="0.35">
      <c r="A16" s="2004"/>
      <c r="B16" s="2224" t="s">
        <v>15</v>
      </c>
      <c r="C16" s="535" t="s">
        <v>166</v>
      </c>
      <c r="D16" s="2064"/>
      <c r="E16" s="2154">
        <v>182.94</v>
      </c>
      <c r="F16" s="315">
        <f>'UPTO SEP 2020'!F16+'OCT-2020'!F16+'NOV-20'!F16+'DEC-20'!F16+'JAN-2021'!F16+'FEB-21'!F16</f>
        <v>178.84999999999997</v>
      </c>
      <c r="G16" s="315">
        <f>'UPTO SEP 2020'!G16+'OCT-2020'!G16+'NOV-20'!G16+'DEC-20'!G16+'JAN-2021'!G16+'FEB-21'!G16</f>
        <v>13.972591800000002</v>
      </c>
      <c r="H16" s="2027">
        <f>((G16+G17)-E16)/E16*100</f>
        <v>-13.551678036514691</v>
      </c>
      <c r="I16" s="316">
        <f>(G16-F16)/F16*100</f>
        <v>-92.187536035784163</v>
      </c>
      <c r="L16" s="5">
        <v>178.84999999999997</v>
      </c>
    </row>
    <row r="17" spans="1:12" ht="24" customHeight="1" x14ac:dyDescent="0.35">
      <c r="A17" s="2005"/>
      <c r="B17" s="2225"/>
      <c r="C17" s="535" t="s">
        <v>228</v>
      </c>
      <c r="D17" s="2064"/>
      <c r="E17" s="2155"/>
      <c r="F17" s="315">
        <f>'UPTO SEP 2020'!F17+'OCT-2020'!F17+'NOV-20'!F17+'DEC-20'!F17+'JAN-2021'!F17+'FEB-21'!F17</f>
        <v>642.19588199999998</v>
      </c>
      <c r="G17" s="315">
        <f>'UPTO SEP 2020'!G17+'OCT-2020'!G17+'NOV-20'!G17+'DEC-20'!G17+'JAN-2021'!G17+'FEB-21'!G17</f>
        <v>144.17596840000002</v>
      </c>
      <c r="H17" s="2029"/>
      <c r="I17" s="316">
        <f>(G17-F17)/F17*100</f>
        <v>-77.549533959795781</v>
      </c>
      <c r="L17" s="5">
        <v>642.19588199999998</v>
      </c>
    </row>
    <row r="18" spans="1:12" ht="24" customHeight="1" x14ac:dyDescent="0.35">
      <c r="A18" s="2003">
        <v>2</v>
      </c>
      <c r="B18" s="2227" t="s">
        <v>302</v>
      </c>
      <c r="C18" s="2228"/>
      <c r="D18" s="2228"/>
      <c r="E18" s="2228"/>
      <c r="F18" s="2228"/>
      <c r="G18" s="2228"/>
      <c r="H18" s="2228"/>
      <c r="I18" s="2229"/>
    </row>
    <row r="19" spans="1:12" ht="24" customHeight="1" x14ac:dyDescent="0.4">
      <c r="A19" s="2004"/>
      <c r="B19" s="2230" t="s">
        <v>230</v>
      </c>
      <c r="C19" s="2233" t="s">
        <v>231</v>
      </c>
      <c r="D19" s="2234"/>
      <c r="E19" s="2235"/>
      <c r="F19" s="315">
        <f>'APRIL 2020'!F19+'MAY 2020'!F19+'JUNE-2020'!F19+'JULY-2020'!F19+'AUG-2020'!F19+'SEP-2020'!F19+'OCT-2020'!F19+'NOV-20'!F19+'DEC-20'!F19+'JAN-2021'!F19+'FEB-21'!F19</f>
        <v>90.493103699999992</v>
      </c>
      <c r="G19" s="315">
        <v>49.24</v>
      </c>
      <c r="H19" s="316" t="s">
        <v>221</v>
      </c>
      <c r="I19" s="316">
        <f t="shared" ref="I19:I25" si="0">(G19-F19)/F19*100</f>
        <v>-45.587013831198711</v>
      </c>
      <c r="L19" s="5">
        <v>32.378999999999998</v>
      </c>
    </row>
    <row r="20" spans="1:12" ht="24" customHeight="1" x14ac:dyDescent="0.4">
      <c r="A20" s="2004"/>
      <c r="B20" s="2231"/>
      <c r="C20" s="2233" t="s">
        <v>232</v>
      </c>
      <c r="D20" s="2234"/>
      <c r="E20" s="2235"/>
      <c r="F20" s="315">
        <f>'APRIL 2020'!F20+'MAY 2020'!F20+'JUNE-2020'!F20+'JULY-2020'!F20+'AUG-2020'!F20+'SEP-2020'!F20+'OCT-2020'!F20+'NOV-20'!F20+'DEC-20'!F20+'JAN-2021'!F20+'FEB-21'!F20</f>
        <v>69.604699100000005</v>
      </c>
      <c r="G20" s="315">
        <f>'APRIL 2020'!G20+'MAY 2020'!G20+'JUNE-2020'!G20+'JULY-2020'!G20+'AUG-2020'!G20+'SEP-2020'!G20+'OCT-2020'!G20+'NOV-20'!G20+'DEC-20'!G20+'JAN-2021'!G20+'FEB-21'!G20</f>
        <v>32.0346318</v>
      </c>
      <c r="H20" s="316" t="s">
        <v>221</v>
      </c>
      <c r="I20" s="316">
        <f t="shared" si="0"/>
        <v>-53.976337497018221</v>
      </c>
      <c r="L20" s="5">
        <v>28.47</v>
      </c>
    </row>
    <row r="21" spans="1:12" ht="24" customHeight="1" x14ac:dyDescent="0.4">
      <c r="A21" s="2004"/>
      <c r="B21" s="2231"/>
      <c r="C21" s="2233" t="s">
        <v>239</v>
      </c>
      <c r="D21" s="2234"/>
      <c r="E21" s="2235"/>
      <c r="F21" s="315">
        <f>'APRIL 2020'!F21+'MAY 2020'!F21+'JUNE-2020'!F21+'JULY-2020'!F21+'AUG-2020'!F21+'SEP-2020'!F21+'OCT-2020'!F21+'NOV-20'!F21+'DEC-20'!F21+'JAN-2021'!F21+'FEB-21'!F21</f>
        <v>8.0016637999999993</v>
      </c>
      <c r="G21" s="315">
        <f>'APRIL 2020'!G21+'MAY 2020'!G21+'JUNE-2020'!G21+'JULY-2020'!G21+'AUG-2020'!G21+'SEP-2020'!G21+'OCT-2020'!G21+'NOV-20'!G21+'DEC-20'!G21+'JAN-2021'!G21+'FEB-21'!G21</f>
        <v>16.028216399999998</v>
      </c>
      <c r="H21" s="316" t="s">
        <v>221</v>
      </c>
      <c r="I21" s="316">
        <f t="shared" si="0"/>
        <v>100.31104531035157</v>
      </c>
      <c r="L21" s="5">
        <v>10.479000000000001</v>
      </c>
    </row>
    <row r="22" spans="1:12" ht="24" customHeight="1" x14ac:dyDescent="0.4">
      <c r="A22" s="2004"/>
      <c r="B22" s="2231"/>
      <c r="C22" s="2233" t="s">
        <v>233</v>
      </c>
      <c r="D22" s="2234"/>
      <c r="E22" s="2235"/>
      <c r="F22" s="315">
        <f>'APRIL 2020'!F22+'MAY 2020'!F22+'JUNE-2020'!F22+'JULY-2020'!F22+'AUG-2020'!F22+'SEP-2020'!F22+'OCT-2020'!F22+'NOV-20'!F22+'DEC-20'!F22+'JAN-2021'!F22+'FEB-21'!F22</f>
        <v>13.4302262</v>
      </c>
      <c r="G22" s="315">
        <v>9.15</v>
      </c>
      <c r="H22" s="316" t="s">
        <v>221</v>
      </c>
      <c r="I22" s="316">
        <f t="shared" si="0"/>
        <v>-31.870097616077381</v>
      </c>
    </row>
    <row r="23" spans="1:12" ht="24" customHeight="1" x14ac:dyDescent="0.4">
      <c r="A23" s="2004"/>
      <c r="B23" s="2231"/>
      <c r="C23" s="2233" t="s">
        <v>234</v>
      </c>
      <c r="D23" s="2234"/>
      <c r="E23" s="2235"/>
      <c r="F23" s="315">
        <f>'APRIL 2020'!F23+'MAY 2020'!F23+'JUNE-2020'!F23+'JULY-2020'!F23+'AUG-2020'!F23+'SEP-2020'!F23+'OCT-2020'!F23+'NOV-20'!F23+'DEC-20'!F23+'JAN-2021'!F23+'FEB-21'!F23</f>
        <v>3.5821971999999995</v>
      </c>
      <c r="G23" s="315">
        <f>'APRIL 2020'!G23+'MAY 2020'!G23+'JUNE-2020'!G23+'JULY-2020'!G23+'AUG-2020'!G23+'SEP-2020'!G23+'OCT-2020'!G23+'NOV-20'!G23+'DEC-20'!G23+'JAN-2021'!G23+'FEB-21'!G23</f>
        <v>0.08</v>
      </c>
      <c r="H23" s="316" t="s">
        <v>221</v>
      </c>
      <c r="I23" s="316">
        <f t="shared" si="0"/>
        <v>-97.766733780038678</v>
      </c>
    </row>
    <row r="24" spans="1:12" ht="24" customHeight="1" x14ac:dyDescent="0.4">
      <c r="A24" s="2004"/>
      <c r="B24" s="2231"/>
      <c r="C24" s="2233" t="s">
        <v>235</v>
      </c>
      <c r="D24" s="2234"/>
      <c r="E24" s="2235"/>
      <c r="F24" s="315">
        <f>'APRIL 2020'!F24+'MAY 2020'!F24+'JUNE-2020'!F24+'JULY-2020'!F24+'AUG-2020'!F24+'SEP-2020'!F24+'OCT-2020'!F24+'NOV-20'!F24+'DEC-20'!F24+'JAN-2021'!F24+'FEB-21'!F24</f>
        <v>4.8587400000000003E-2</v>
      </c>
      <c r="G24" s="315">
        <v>0.49</v>
      </c>
      <c r="H24" s="316"/>
      <c r="I24" s="316">
        <f t="shared" si="0"/>
        <v>908.49191354137076</v>
      </c>
    </row>
    <row r="25" spans="1:12" ht="43.5" customHeight="1" x14ac:dyDescent="0.4">
      <c r="A25" s="2005"/>
      <c r="B25" s="2232"/>
      <c r="C25" s="2236" t="s">
        <v>412</v>
      </c>
      <c r="D25" s="2237"/>
      <c r="E25" s="2238"/>
      <c r="F25" s="315">
        <f>'APRIL 2020'!F25+'MAY 2020'!F25+'JUNE-2020'!F25+'JULY-2020'!F25+'AUG-2020'!F25+'SEP-2020'!F25+'OCT-2020'!F25+'NOV-20'!F25+'DEC-20'!F25+'JAN-2021'!F25+'FEB-21'!F25</f>
        <v>3.41208E-2</v>
      </c>
      <c r="G25" s="315">
        <f>'APRIL 2020'!G25+'MAY 2020'!G25+'JUNE-2020'!G25+'JULY-2020'!G25+'AUG-2020'!G25+'SEP-2020'!G25+'OCT-2020'!G25+'NOV-20'!G25+'DEC-20'!G25+'JAN-2021'!G25+'FEB-21'!G25</f>
        <v>7.6638700000000004E-2</v>
      </c>
      <c r="H25" s="316" t="s">
        <v>221</v>
      </c>
      <c r="I25" s="316">
        <f t="shared" si="0"/>
        <v>124.60991535954608</v>
      </c>
    </row>
    <row r="26" spans="1:12" ht="24" customHeight="1" x14ac:dyDescent="0.35">
      <c r="A26" s="2014">
        <v>3</v>
      </c>
      <c r="B26" s="2220" t="s">
        <v>303</v>
      </c>
      <c r="C26" s="2221"/>
      <c r="D26" s="2221"/>
      <c r="E26" s="2221"/>
      <c r="F26" s="2221"/>
      <c r="G26" s="2221"/>
      <c r="H26" s="2221"/>
      <c r="I26" s="2222"/>
    </row>
    <row r="27" spans="1:12" ht="24" customHeight="1" x14ac:dyDescent="0.35">
      <c r="A27" s="2015"/>
      <c r="B27" s="2218" t="s">
        <v>2</v>
      </c>
      <c r="C27" s="2223"/>
      <c r="D27" s="307">
        <v>0.42</v>
      </c>
      <c r="E27" s="307">
        <f>'JAN-2021'!E27+'FEB-21'!E27</f>
        <v>0.26400000000000001</v>
      </c>
      <c r="F27" s="315">
        <v>17.84</v>
      </c>
      <c r="G27" s="315">
        <f>'UPTO SEP 2020'!G27+'OCT-2020'!G27+'NOV-20'!G27+'DEC-20'!G27+'JAN-2021'!G27+'FEB-21'!G27</f>
        <v>0.57152250000000004</v>
      </c>
      <c r="H27" s="496">
        <f>(G27-E27)/E27*100</f>
        <v>116.48579545454547</v>
      </c>
      <c r="I27" s="316">
        <f t="shared" ref="I27:I33" si="1">(G27-F27)/F27*100</f>
        <v>-96.796398542600897</v>
      </c>
    </row>
    <row r="28" spans="1:12" ht="24" customHeight="1" x14ac:dyDescent="0.35">
      <c r="A28" s="2015"/>
      <c r="B28" s="2218" t="s">
        <v>23</v>
      </c>
      <c r="C28" s="2223"/>
      <c r="D28" s="332" t="s">
        <v>221</v>
      </c>
      <c r="E28" s="307" t="s">
        <v>221</v>
      </c>
      <c r="F28" s="315">
        <f>'UPTO SEP 2020'!F28+'OCT-2020'!F28+'NOV-20'!F28+'DEC-20'!F28+'JAN-2021'!F28+'FEB-21'!F28</f>
        <v>21.679601899999998</v>
      </c>
      <c r="G28" s="315">
        <f>'UPTO SEP 2020'!G28+'OCT-2020'!G28+'NOV-20'!G28+'DEC-20'!G28+'JAN-2021'!G28+'FEB-21'!G28</f>
        <v>9.4975670999999995</v>
      </c>
      <c r="H28" s="316" t="s">
        <v>221</v>
      </c>
      <c r="I28" s="316">
        <f t="shared" si="1"/>
        <v>-56.191229231012777</v>
      </c>
    </row>
    <row r="29" spans="1:12" ht="24" customHeight="1" x14ac:dyDescent="0.35">
      <c r="A29" s="2015"/>
      <c r="B29" s="2218" t="s">
        <v>1</v>
      </c>
      <c r="C29" s="2223"/>
      <c r="D29" s="332" t="s">
        <v>221</v>
      </c>
      <c r="E29" s="307" t="s">
        <v>221</v>
      </c>
      <c r="F29" s="315">
        <f>'UPTO SEP 2020'!F29+'OCT-2020'!F29+'NOV-20'!F29+'DEC-20'!F29+'JAN-2021'!F29+'FEB-21'!F29</f>
        <v>1.3446755000000001</v>
      </c>
      <c r="G29" s="315">
        <f>'UPTO SEP 2020'!G29+'OCT-2020'!G29+'NOV-20'!G29+'DEC-20'!G29+'JAN-2021'!G29+'FEB-21'!G29</f>
        <v>0.2500481</v>
      </c>
      <c r="H29" s="316" t="s">
        <v>221</v>
      </c>
      <c r="I29" s="316">
        <f t="shared" si="1"/>
        <v>-81.404576791947221</v>
      </c>
    </row>
    <row r="30" spans="1:12" ht="24" customHeight="1" x14ac:dyDescent="0.35">
      <c r="A30" s="2015"/>
      <c r="B30" s="2218" t="s">
        <v>24</v>
      </c>
      <c r="C30" s="2223"/>
      <c r="D30" s="332" t="s">
        <v>221</v>
      </c>
      <c r="E30" s="308" t="s">
        <v>221</v>
      </c>
      <c r="F30" s="315">
        <f>'UPTO SEP 2020'!F30+'OCT-2020'!F30+'NOV-20'!F30+'DEC-20'!F30+'JAN-2021'!F30+'FEB-21'!F30</f>
        <v>1.8429419999999996</v>
      </c>
      <c r="G30" s="315">
        <f>'UPTO SEP 2020'!G30+'OCT-2020'!G30+'NOV-20'!G30+'DEC-20'!G30+'JAN-2021'!G30+'FEB-21'!G30</f>
        <v>0</v>
      </c>
      <c r="H30" s="316" t="s">
        <v>221</v>
      </c>
      <c r="I30" s="316">
        <f t="shared" si="1"/>
        <v>-100</v>
      </c>
    </row>
    <row r="31" spans="1:12" ht="24" customHeight="1" x14ac:dyDescent="0.35">
      <c r="A31" s="2015"/>
      <c r="B31" s="2218" t="s">
        <v>25</v>
      </c>
      <c r="C31" s="2223"/>
      <c r="D31" s="332" t="s">
        <v>221</v>
      </c>
      <c r="E31" s="308" t="s">
        <v>221</v>
      </c>
      <c r="F31" s="315">
        <v>2.5</v>
      </c>
      <c r="G31" s="315">
        <f>'UPTO SEP 2020'!G31+'OCT-2020'!G31+'NOV-20'!G31+'DEC-20'!G31+'JAN-2021'!G31+'FEB-21'!G31</f>
        <v>0</v>
      </c>
      <c r="H31" s="316" t="s">
        <v>221</v>
      </c>
      <c r="I31" s="316">
        <f t="shared" si="1"/>
        <v>-100</v>
      </c>
    </row>
    <row r="32" spans="1:12" ht="24" customHeight="1" x14ac:dyDescent="0.35">
      <c r="A32" s="2016"/>
      <c r="B32" s="2218" t="s">
        <v>241</v>
      </c>
      <c r="C32" s="2223"/>
      <c r="D32" s="332" t="s">
        <v>221</v>
      </c>
      <c r="E32" s="308" t="s">
        <v>221</v>
      </c>
      <c r="F32" s="315">
        <v>30.3</v>
      </c>
      <c r="G32" s="315">
        <f>'UPTO SEP 2020'!G32+'OCT-2020'!G32+'NOV-20'!G32+'DEC-20'!G32+'JAN-2021'!G32+'FEB-21'!G32</f>
        <v>8.5121551000000011</v>
      </c>
      <c r="H32" s="316" t="s">
        <v>221</v>
      </c>
      <c r="I32" s="316">
        <f t="shared" si="1"/>
        <v>-71.907078877887784</v>
      </c>
    </row>
    <row r="33" spans="1:9" ht="24" customHeight="1" x14ac:dyDescent="0.35">
      <c r="A33" s="403"/>
      <c r="B33" s="536" t="s">
        <v>266</v>
      </c>
      <c r="C33" s="537"/>
      <c r="D33" s="332" t="s">
        <v>221</v>
      </c>
      <c r="E33" s="308" t="s">
        <v>221</v>
      </c>
      <c r="F33" s="315">
        <f>'UPTO SEP 2020'!F33+'OCT-2020'!F33+'NOV-20'!F33+'DEC-20'!F33+'JAN-2021'!F33+'FEB-21'!F33</f>
        <v>1.3158425999999999</v>
      </c>
      <c r="G33" s="315">
        <f>'UPTO SEP 2020'!G33+'OCT-2020'!G33+'NOV-20'!G33+'DEC-20'!G33+'JAN-2021'!G33+'FEB-21'!G33</f>
        <v>2.5921700000000002E-2</v>
      </c>
      <c r="H33" s="316" t="s">
        <v>221</v>
      </c>
      <c r="I33" s="316">
        <f t="shared" si="1"/>
        <v>-98.030030339495013</v>
      </c>
    </row>
    <row r="34" spans="1:9" ht="24" customHeight="1" x14ac:dyDescent="0.35">
      <c r="A34" s="2020">
        <v>4</v>
      </c>
      <c r="B34" s="2220" t="s">
        <v>304</v>
      </c>
      <c r="C34" s="2221"/>
      <c r="D34" s="2221"/>
      <c r="E34" s="2221"/>
      <c r="F34" s="2221"/>
      <c r="G34" s="2221"/>
      <c r="H34" s="2221"/>
      <c r="I34" s="2222"/>
    </row>
    <row r="35" spans="1:9" ht="24" customHeight="1" x14ac:dyDescent="0.35">
      <c r="A35" s="2020"/>
      <c r="B35" s="2218" t="s">
        <v>27</v>
      </c>
      <c r="C35" s="2223"/>
      <c r="D35" s="332">
        <v>2.4300000000000002</v>
      </c>
      <c r="E35" s="307">
        <v>2.2275</v>
      </c>
      <c r="F35" s="315">
        <f>'UPTO SEP 2020'!F35+'OCT-2020'!F35+'NOV-20'!F35+'DEC-20'!F35+'JAN-2021'!F35+'FEB-21'!F35</f>
        <v>5.5568548000000009</v>
      </c>
      <c r="G35" s="315">
        <f>'UPTO SEP 2020'!G35+'OCT-2020'!G35+'NOV-20'!G35+'DEC-20'!G35+'JAN-2021'!G35+'FEB-21'!G35</f>
        <v>0.81621540000000004</v>
      </c>
      <c r="H35" s="316">
        <f>(G35-E35)/E35*100</f>
        <v>-63.35733333333333</v>
      </c>
      <c r="I35" s="316">
        <f>(G35-F35)/F35*100</f>
        <v>-85.311557897823789</v>
      </c>
    </row>
    <row r="36" spans="1:9" ht="24" customHeight="1" x14ac:dyDescent="0.35">
      <c r="A36" s="2020"/>
      <c r="B36" s="2218" t="s">
        <v>28</v>
      </c>
      <c r="C36" s="2223"/>
      <c r="D36" s="332">
        <v>0.1135</v>
      </c>
      <c r="E36" s="307">
        <v>0.10403999999999999</v>
      </c>
      <c r="F36" s="315">
        <f>'UPTO SEP 2020'!F36+'OCT-2020'!F36+'NOV-20'!F36+'DEC-20'!F36+'JAN-2021'!F36+'FEB-21'!F36</f>
        <v>2.0232943000000003</v>
      </c>
      <c r="G36" s="315">
        <v>0.1221</v>
      </c>
      <c r="H36" s="316">
        <f>(G36-E36)/E36*100</f>
        <v>17.358708189158023</v>
      </c>
      <c r="I36" s="316">
        <f>(G36-F36)/F36*100</f>
        <v>-93.965287205128774</v>
      </c>
    </row>
    <row r="37" spans="1:9" ht="24" customHeight="1" x14ac:dyDescent="0.35">
      <c r="A37" s="2020"/>
      <c r="B37" s="538" t="s">
        <v>224</v>
      </c>
      <c r="C37" s="539"/>
      <c r="D37" s="332">
        <v>0.19</v>
      </c>
      <c r="E37" s="406">
        <v>0.17416699999999999</v>
      </c>
      <c r="F37" s="315">
        <f>'UPTO SEP 2020'!F37+'OCT-2020'!F37+'NOV-20'!F37+'DEC-20'!F37+'JAN-2021'!F37+'FEB-21'!F37</f>
        <v>1.3488614000000001</v>
      </c>
      <c r="G37" s="404">
        <f>'UPTO SEP 2020'!G37+'OCT-2020'!G37+'NOV-20'!G37+'DEC-20'!G37+'JAN-2021'!G37+'FEB-21'!G37</f>
        <v>0.16538259999999999</v>
      </c>
      <c r="H37" s="316">
        <f>(G37-E37)/E37*100</f>
        <v>-5.0436649882009785</v>
      </c>
      <c r="I37" s="316">
        <f>(G37-F37)/F37*100</f>
        <v>-87.73909609986616</v>
      </c>
    </row>
    <row r="38" spans="1:9" ht="24" customHeight="1" x14ac:dyDescent="0.35">
      <c r="A38" s="2020"/>
      <c r="B38" s="2218" t="s">
        <v>64</v>
      </c>
      <c r="C38" s="2223"/>
      <c r="D38" s="332" t="s">
        <v>221</v>
      </c>
      <c r="E38" s="307" t="s">
        <v>221</v>
      </c>
      <c r="F38" s="315">
        <f>'UPTO SEP 2020'!F38+'OCT-2020'!F38+'NOV-20'!F38+'DEC-20'!F38+'JAN-2021'!F38+'FEB-21'!F38</f>
        <v>0</v>
      </c>
      <c r="G38" s="315">
        <f>'UPTO SEP 2020'!G38+'OCT-2020'!G38+'NOV-20'!G38+'DEC-20'!G38+'JAN-2021'!G38+'FEB-21'!G38</f>
        <v>0</v>
      </c>
      <c r="H38" s="316" t="s">
        <v>221</v>
      </c>
      <c r="I38" s="316">
        <v>0</v>
      </c>
    </row>
    <row r="39" spans="1:9" ht="24" customHeight="1" x14ac:dyDescent="0.35">
      <c r="A39" s="2020"/>
      <c r="B39" s="2218" t="s">
        <v>4</v>
      </c>
      <c r="C39" s="2223"/>
      <c r="D39" s="332" t="s">
        <v>221</v>
      </c>
      <c r="E39" s="307" t="s">
        <v>221</v>
      </c>
      <c r="F39" s="315">
        <f>'UPTO SEP 2020'!F39+'OCT-2020'!F39+'NOV-20'!F39+'DEC-20'!F39+'JAN-2021'!F39+'FEB-21'!F39</f>
        <v>3.0324999999999998E-2</v>
      </c>
      <c r="G39" s="315">
        <f>'UPTO SEP 2020'!G39+'OCT-2020'!G39+'NOV-20'!G39+'DEC-20'!G39+'JAN-2021'!G39+'FEB-21'!G39</f>
        <v>1.0732000000000001E-3</v>
      </c>
      <c r="H39" s="316" t="s">
        <v>221</v>
      </c>
      <c r="I39" s="316">
        <f>(G39-F39)/F39*100</f>
        <v>-96.461005770816158</v>
      </c>
    </row>
    <row r="40" spans="1:9" ht="24" customHeight="1" x14ac:dyDescent="0.35">
      <c r="A40" s="373"/>
      <c r="B40" s="2218" t="s">
        <v>259</v>
      </c>
      <c r="C40" s="2219"/>
      <c r="D40" s="332" t="s">
        <v>221</v>
      </c>
      <c r="E40" s="307" t="s">
        <v>221</v>
      </c>
      <c r="F40" s="404">
        <f>'UPTO SEP 2020'!F40+'OCT-2020'!F40+'NOV-20'!F40+'DEC-20'!F40+'JAN-2021'!F40+'FEB-21'!F40</f>
        <v>0.2584167</v>
      </c>
      <c r="G40" s="404">
        <f>'UPTO SEP 2020'!G40+'OCT-2020'!G40+'NOV-20'!G40+'DEC-20'!G40+'JAN-2021'!G40+'FEB-21'!G40</f>
        <v>0.19385580000000002</v>
      </c>
      <c r="H40" s="316" t="s">
        <v>221</v>
      </c>
      <c r="I40" s="316">
        <f>(G40-F40)/F40*100</f>
        <v>-24.983253791260385</v>
      </c>
    </row>
    <row r="41" spans="1:9" ht="24" customHeight="1" x14ac:dyDescent="0.35">
      <c r="A41" s="2020"/>
      <c r="B41" s="2220" t="s">
        <v>411</v>
      </c>
      <c r="C41" s="2221"/>
      <c r="D41" s="2221"/>
      <c r="E41" s="2221"/>
      <c r="F41" s="2221"/>
      <c r="G41" s="2221"/>
      <c r="H41" s="2221"/>
      <c r="I41" s="2222"/>
    </row>
    <row r="42" spans="1:9" ht="24" customHeight="1" x14ac:dyDescent="0.35">
      <c r="A42" s="2020"/>
      <c r="B42" s="2218" t="s">
        <v>16</v>
      </c>
      <c r="C42" s="2223"/>
      <c r="D42" s="332" t="s">
        <v>221</v>
      </c>
      <c r="E42" s="307" t="s">
        <v>221</v>
      </c>
      <c r="F42" s="315">
        <f>'UPTO JAN2021'!F42+'FEB-21'!F42</f>
        <v>32.378999999999998</v>
      </c>
      <c r="G42" s="315">
        <f>'UPTO JAN2021'!G42+'FEB-21'!G42</f>
        <v>0.32589800000000002</v>
      </c>
      <c r="H42" s="316" t="s">
        <v>221</v>
      </c>
      <c r="I42" s="316">
        <f>(G42-F42)/F42*100</f>
        <v>-98.993489607461612</v>
      </c>
    </row>
    <row r="43" spans="1:9" ht="24" customHeight="1" x14ac:dyDescent="0.35">
      <c r="A43" s="2020"/>
      <c r="B43" s="2224" t="s">
        <v>15</v>
      </c>
      <c r="C43" s="535" t="s">
        <v>166</v>
      </c>
      <c r="D43" s="2067" t="s">
        <v>221</v>
      </c>
      <c r="E43" s="2065" t="s">
        <v>221</v>
      </c>
      <c r="F43" s="315">
        <f>'UPTO JAN2021'!F43+'FEB-21'!F43</f>
        <v>28.47</v>
      </c>
      <c r="G43" s="315">
        <f>'UPTO JAN2021'!G43+'FEB-21'!G43</f>
        <v>0.21151599999999998</v>
      </c>
      <c r="H43" s="2027" t="s">
        <v>221</v>
      </c>
      <c r="I43" s="316">
        <f>(G43-F43)/F43*100</f>
        <v>-99.257056550755181</v>
      </c>
    </row>
    <row r="44" spans="1:9" ht="24" customHeight="1" x14ac:dyDescent="0.35">
      <c r="A44" s="2020"/>
      <c r="B44" s="2225"/>
      <c r="C44" s="535" t="s">
        <v>228</v>
      </c>
      <c r="D44" s="2068"/>
      <c r="E44" s="2066"/>
      <c r="F44" s="315">
        <f>'UPTO JAN2021'!F44+'FEB-21'!F44</f>
        <v>10.479000000000001</v>
      </c>
      <c r="G44" s="315">
        <f>'UPTO JAN2021'!G44+'FEB-21'!G44</f>
        <v>2.4325549999999998</v>
      </c>
      <c r="H44" s="2029"/>
      <c r="I44" s="316">
        <f>(G44-F44)/F44*100</f>
        <v>-76.786382288386307</v>
      </c>
    </row>
    <row r="45" spans="1:9" ht="24" customHeight="1" x14ac:dyDescent="0.35">
      <c r="A45" s="2020">
        <v>6</v>
      </c>
      <c r="B45" s="2220" t="s">
        <v>410</v>
      </c>
      <c r="C45" s="2221"/>
      <c r="D45" s="2221"/>
      <c r="E45" s="2221"/>
      <c r="F45" s="2221"/>
      <c r="G45" s="2221"/>
      <c r="H45" s="2221"/>
      <c r="I45" s="2222"/>
    </row>
    <row r="46" spans="1:9" ht="24" customHeight="1" x14ac:dyDescent="0.35">
      <c r="A46" s="2020"/>
      <c r="B46" s="2218" t="s">
        <v>36</v>
      </c>
      <c r="C46" s="2223"/>
      <c r="D46" s="540" t="s">
        <v>221</v>
      </c>
      <c r="E46" s="2162" t="s">
        <v>221</v>
      </c>
      <c r="F46" s="315">
        <v>230.6</v>
      </c>
      <c r="G46" s="315">
        <v>130.06</v>
      </c>
      <c r="H46" s="2027" t="s">
        <v>221</v>
      </c>
      <c r="I46" s="316">
        <f>(G46-F46)/F46*100</f>
        <v>-43.599306157849085</v>
      </c>
    </row>
    <row r="47" spans="1:9" ht="24" customHeight="1" x14ac:dyDescent="0.35">
      <c r="A47" s="2020"/>
      <c r="B47" s="2218" t="s">
        <v>37</v>
      </c>
      <c r="C47" s="2223"/>
      <c r="D47" s="540" t="s">
        <v>221</v>
      </c>
      <c r="E47" s="2226"/>
      <c r="F47" s="315">
        <v>34.01</v>
      </c>
      <c r="G47" s="315">
        <v>31.68</v>
      </c>
      <c r="H47" s="2028"/>
      <c r="I47" s="316">
        <f>(G47-F47)/F47*100</f>
        <v>-6.8509261981770031</v>
      </c>
    </row>
    <row r="48" spans="1:9" ht="24" customHeight="1" x14ac:dyDescent="0.35">
      <c r="A48" s="2020"/>
      <c r="B48" s="2218" t="s">
        <v>38</v>
      </c>
      <c r="C48" s="2223"/>
      <c r="D48" s="540" t="s">
        <v>221</v>
      </c>
      <c r="E48" s="2163"/>
      <c r="F48" s="315">
        <f>SUM(F46:F47)</f>
        <v>264.61</v>
      </c>
      <c r="G48" s="315">
        <f>SUM(G46:G47)</f>
        <v>161.74</v>
      </c>
      <c r="H48" s="2029"/>
      <c r="I48" s="316">
        <f>(G48-F48)/F48*100</f>
        <v>-38.876081780733912</v>
      </c>
    </row>
    <row r="49" spans="2:10" s="5" customFormat="1" ht="15" x14ac:dyDescent="0.35">
      <c r="B49" s="300"/>
      <c r="D49" s="35"/>
      <c r="E49" s="524"/>
      <c r="F49" s="524"/>
      <c r="G49" s="524"/>
      <c r="H49" s="525"/>
      <c r="I49" s="525"/>
    </row>
    <row r="50" spans="2:10" s="5" customFormat="1" ht="13.5" x14ac:dyDescent="0.35">
      <c r="B50" s="300"/>
      <c r="D50" s="301"/>
      <c r="E50" s="428"/>
      <c r="F50" s="301"/>
      <c r="G50" s="522"/>
      <c r="H50" s="11"/>
      <c r="I50" s="526">
        <f>D50/100000</f>
        <v>0</v>
      </c>
    </row>
    <row r="51" spans="2:10" s="5" customFormat="1" ht="13.5" x14ac:dyDescent="0.35">
      <c r="B51" s="300"/>
      <c r="D51" s="301"/>
      <c r="E51" s="428">
        <f>G42*1000000</f>
        <v>325898</v>
      </c>
      <c r="F51" s="526">
        <f>E51/100000</f>
        <v>3.2589800000000002</v>
      </c>
      <c r="G51" s="522"/>
      <c r="H51" s="11"/>
      <c r="I51" s="526">
        <f>D51/100000</f>
        <v>0</v>
      </c>
    </row>
    <row r="52" spans="2:10" s="5" customFormat="1" ht="13.5" x14ac:dyDescent="0.35">
      <c r="B52" s="300"/>
      <c r="D52" s="301"/>
      <c r="E52" s="428">
        <f>G43*1000000</f>
        <v>211515.99999999997</v>
      </c>
      <c r="F52" s="301">
        <f>E52/100000</f>
        <v>2.1151599999999999</v>
      </c>
      <c r="G52" s="522"/>
      <c r="H52" s="11"/>
      <c r="I52" s="526">
        <f>D52/100000</f>
        <v>0</v>
      </c>
    </row>
    <row r="53" spans="2:10" s="5" customFormat="1" ht="13.5" x14ac:dyDescent="0.35">
      <c r="B53" s="300"/>
      <c r="D53" s="301"/>
      <c r="E53" s="428">
        <f>G44*1000000</f>
        <v>2432555</v>
      </c>
      <c r="F53" s="301">
        <f>E53/100000</f>
        <v>24.32555</v>
      </c>
      <c r="G53" s="301"/>
      <c r="H53" s="11"/>
      <c r="I53" s="526">
        <f>D53/100000</f>
        <v>0</v>
      </c>
      <c r="J53" s="5">
        <v>29.46</v>
      </c>
    </row>
    <row r="54" spans="2:10" s="5" customFormat="1" ht="13.5" x14ac:dyDescent="0.35">
      <c r="C54" s="12"/>
      <c r="D54" s="35"/>
      <c r="E54" s="428"/>
      <c r="F54" s="522"/>
      <c r="G54" s="522"/>
      <c r="H54" s="11"/>
      <c r="I54" s="526">
        <f>D54/100000</f>
        <v>0</v>
      </c>
    </row>
    <row r="56" spans="2:10" s="5" customFormat="1" ht="15.4" x14ac:dyDescent="0.35">
      <c r="B56" s="300">
        <v>227.5</v>
      </c>
      <c r="D56" s="528"/>
      <c r="E56" s="316"/>
      <c r="F56" s="316"/>
      <c r="G56" s="301"/>
      <c r="H56" s="11"/>
      <c r="I56" s="523"/>
    </row>
    <row r="57" spans="2:10" s="5" customFormat="1" ht="13.5" x14ac:dyDescent="0.35">
      <c r="B57" s="300"/>
      <c r="D57" s="5">
        <f>D35*10000000</f>
        <v>24300000</v>
      </c>
      <c r="E57" s="35">
        <f>D57/100000</f>
        <v>243</v>
      </c>
      <c r="F57" s="301">
        <f>F56/100000</f>
        <v>0</v>
      </c>
      <c r="G57" s="301"/>
      <c r="H57" s="11"/>
      <c r="I57" s="523"/>
    </row>
    <row r="58" spans="2:10" s="5" customFormat="1" ht="13.5" x14ac:dyDescent="0.35">
      <c r="B58" s="300"/>
      <c r="D58" s="35">
        <f>D57/12</f>
        <v>2025000</v>
      </c>
      <c r="E58" s="35">
        <f>D58/100000</f>
        <v>20.25</v>
      </c>
      <c r="F58" s="301"/>
      <c r="G58" s="301">
        <f>10732/100000</f>
        <v>0.10732</v>
      </c>
      <c r="H58" s="11"/>
      <c r="I58" s="523"/>
    </row>
    <row r="59" spans="2:10" s="5" customFormat="1" ht="13.5" x14ac:dyDescent="0.35">
      <c r="B59" s="300"/>
      <c r="D59" s="35">
        <f>D58*11</f>
        <v>22275000</v>
      </c>
      <c r="E59" s="35">
        <f>D59/100000</f>
        <v>222.75</v>
      </c>
      <c r="F59" s="301"/>
      <c r="G59" s="301"/>
      <c r="H59" s="11"/>
      <c r="I59" s="523"/>
    </row>
    <row r="60" spans="2:10" s="5" customFormat="1" ht="13.5" x14ac:dyDescent="0.35">
      <c r="B60" s="300"/>
      <c r="D60" s="35"/>
      <c r="E60" s="35">
        <f>D60/100000</f>
        <v>0</v>
      </c>
      <c r="F60" s="301"/>
      <c r="G60" s="301"/>
      <c r="H60" s="11"/>
      <c r="I60" s="523"/>
    </row>
    <row r="62" spans="2:10" s="5" customFormat="1" thickBot="1" x14ac:dyDescent="0.4">
      <c r="B62" s="300"/>
      <c r="D62" s="35">
        <v>22.75</v>
      </c>
      <c r="E62" s="529">
        <v>190896</v>
      </c>
      <c r="F62" s="530">
        <v>409214</v>
      </c>
      <c r="G62" s="301"/>
      <c r="H62" s="301">
        <f>(E62-F62)/F62*100</f>
        <v>-53.350569628605079</v>
      </c>
      <c r="I62" s="523"/>
    </row>
    <row r="63" spans="2:10" s="5" customFormat="1" thickBot="1" x14ac:dyDescent="0.4">
      <c r="B63" s="300"/>
      <c r="D63" s="35"/>
      <c r="E63" s="529">
        <v>4108</v>
      </c>
      <c r="F63" s="530">
        <v>32918</v>
      </c>
      <c r="G63" s="301"/>
      <c r="H63" s="301">
        <f>(E63-F63)/F63*100</f>
        <v>-87.520505498511454</v>
      </c>
      <c r="I63" s="523"/>
    </row>
    <row r="64" spans="2:10" s="5" customFormat="1" thickBot="1" x14ac:dyDescent="0.4">
      <c r="D64" s="301"/>
      <c r="E64" s="531">
        <v>195004</v>
      </c>
      <c r="F64" s="532">
        <v>442132</v>
      </c>
      <c r="G64" s="301"/>
      <c r="H64" s="301">
        <f>(E64-F64)/F64*100</f>
        <v>-55.894619706332051</v>
      </c>
      <c r="I64" s="301"/>
    </row>
  </sheetData>
  <mergeCells count="64">
    <mergeCell ref="A11:I11"/>
    <mergeCell ref="A1:I1"/>
    <mergeCell ref="A2:I2"/>
    <mergeCell ref="A3:A5"/>
    <mergeCell ref="B3:C5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D3:D4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</mergeCells>
  <printOptions horizontalCentered="1"/>
  <pageMargins left="0.19685039370078741" right="0.19685039370078741" top="0.27559055118110237" bottom="0.23622047244094491" header="0.31496062992125984" footer="0.31496062992125984"/>
  <pageSetup paperSize="9" scale="73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3:P35"/>
  <sheetViews>
    <sheetView workbookViewId="0">
      <selection activeCell="O36" sqref="O36"/>
    </sheetView>
  </sheetViews>
  <sheetFormatPr defaultColWidth="9.1328125" defaultRowHeight="13.15" x14ac:dyDescent="0.4"/>
  <cols>
    <col min="1" max="1" width="6.86328125" style="960" customWidth="1"/>
    <col min="2" max="2" width="16.265625" style="946" customWidth="1"/>
    <col min="3" max="4" width="9.1328125" style="946"/>
    <col min="5" max="5" width="8.1328125" style="946" customWidth="1"/>
    <col min="6" max="6" width="9.1328125" style="946"/>
    <col min="7" max="8" width="9.1328125" style="963"/>
    <col min="9" max="9" width="11.3984375" style="946" bestFit="1" customWidth="1"/>
    <col min="10" max="10" width="10.3984375" style="946" bestFit="1" customWidth="1"/>
    <col min="11" max="15" width="9.1328125" style="946"/>
    <col min="16" max="16" width="12.86328125" style="946" bestFit="1" customWidth="1"/>
    <col min="17" max="16384" width="9.1328125" style="946"/>
  </cols>
  <sheetData>
    <row r="3" spans="1:10" ht="12.75" customHeight="1" x14ac:dyDescent="0.4">
      <c r="A3" s="2246" t="s">
        <v>630</v>
      </c>
      <c r="B3" s="2246" t="s">
        <v>631</v>
      </c>
      <c r="C3" s="2249" t="s">
        <v>628</v>
      </c>
      <c r="D3" s="2249"/>
      <c r="E3" s="2249"/>
      <c r="F3" s="2250" t="s">
        <v>643</v>
      </c>
      <c r="G3" s="2250"/>
      <c r="H3" s="2250"/>
      <c r="I3" s="2248" t="s">
        <v>629</v>
      </c>
      <c r="J3" s="2248"/>
    </row>
    <row r="4" spans="1:10" x14ac:dyDescent="0.4">
      <c r="A4" s="2247"/>
      <c r="B4" s="2247"/>
      <c r="C4" s="947" t="s">
        <v>77</v>
      </c>
      <c r="D4" s="948" t="s">
        <v>249</v>
      </c>
      <c r="E4" s="947" t="s">
        <v>632</v>
      </c>
      <c r="F4" s="947" t="s">
        <v>8</v>
      </c>
      <c r="G4" s="962" t="s">
        <v>438</v>
      </c>
      <c r="H4" s="962" t="s">
        <v>249</v>
      </c>
      <c r="I4" s="947" t="s">
        <v>249</v>
      </c>
      <c r="J4" s="947" t="s">
        <v>8</v>
      </c>
    </row>
    <row r="5" spans="1:10" ht="26.25" customHeight="1" x14ac:dyDescent="0.4">
      <c r="A5" s="949">
        <v>1</v>
      </c>
      <c r="B5" s="950" t="s">
        <v>638</v>
      </c>
      <c r="C5" s="951">
        <v>19.41</v>
      </c>
      <c r="D5" s="952">
        <v>0.21</v>
      </c>
      <c r="E5" s="953">
        <f t="shared" ref="E5:E10" si="0">(D5-C5)/C5*100</f>
        <v>-98.918083462132927</v>
      </c>
      <c r="F5" s="951">
        <v>1.06</v>
      </c>
      <c r="G5" s="961">
        <v>1.25</v>
      </c>
      <c r="H5" s="961">
        <v>0.11</v>
      </c>
      <c r="I5" s="953">
        <f t="shared" ref="I5:I10" si="1">(G5-H5)/H5*100</f>
        <v>1036.3636363636363</v>
      </c>
      <c r="J5" s="953">
        <f>(G5-F5)/F5*100</f>
        <v>17.924528301886784</v>
      </c>
    </row>
    <row r="6" spans="1:10" ht="27.75" customHeight="1" x14ac:dyDescent="0.4">
      <c r="A6" s="949">
        <v>2</v>
      </c>
      <c r="B6" s="950" t="s">
        <v>636</v>
      </c>
      <c r="C6" s="951">
        <v>189.96</v>
      </c>
      <c r="D6" s="954">
        <v>14.03</v>
      </c>
      <c r="E6" s="953">
        <f t="shared" si="0"/>
        <v>-92.614234575700152</v>
      </c>
      <c r="F6" s="951"/>
      <c r="G6" s="961">
        <v>1.0900000000000001</v>
      </c>
      <c r="H6" s="961">
        <v>13.94</v>
      </c>
      <c r="I6" s="953">
        <f t="shared" si="1"/>
        <v>-92.180774748923966</v>
      </c>
      <c r="J6" s="951"/>
    </row>
    <row r="7" spans="1:10" s="965" customFormat="1" x14ac:dyDescent="0.4">
      <c r="A7" s="955">
        <v>3</v>
      </c>
      <c r="B7" s="956" t="s">
        <v>633</v>
      </c>
      <c r="C7" s="947">
        <f>C5+C6</f>
        <v>209.37</v>
      </c>
      <c r="D7" s="947">
        <f>D5+D6</f>
        <v>14.24</v>
      </c>
      <c r="E7" s="964">
        <f t="shared" si="0"/>
        <v>-93.198643549696698</v>
      </c>
      <c r="F7" s="947">
        <f>F5+F6</f>
        <v>1.06</v>
      </c>
      <c r="G7" s="962">
        <f>G5+G6</f>
        <v>2.34</v>
      </c>
      <c r="H7" s="962">
        <f>H5+H6</f>
        <v>14.049999999999999</v>
      </c>
      <c r="I7" s="964">
        <f t="shared" si="1"/>
        <v>-83.345195729537366</v>
      </c>
      <c r="J7" s="947"/>
    </row>
    <row r="8" spans="1:10" x14ac:dyDescent="0.4">
      <c r="A8" s="949">
        <v>4</v>
      </c>
      <c r="B8" s="950" t="s">
        <v>228</v>
      </c>
      <c r="C8" s="951">
        <v>663.77</v>
      </c>
      <c r="D8" s="954">
        <v>188.3</v>
      </c>
      <c r="E8" s="953">
        <f t="shared" si="0"/>
        <v>-71.631739909908561</v>
      </c>
      <c r="F8" s="951"/>
      <c r="G8" s="961">
        <v>472.49</v>
      </c>
      <c r="H8" s="961">
        <v>101.54</v>
      </c>
      <c r="I8" s="953">
        <f t="shared" si="1"/>
        <v>365.32401024226903</v>
      </c>
      <c r="J8" s="951"/>
    </row>
    <row r="9" spans="1:10" ht="26.25" x14ac:dyDescent="0.4">
      <c r="A9" s="947" t="s">
        <v>640</v>
      </c>
      <c r="B9" s="956" t="s">
        <v>639</v>
      </c>
      <c r="C9" s="956">
        <f>C8+C6</f>
        <v>853.73</v>
      </c>
      <c r="D9" s="956">
        <f>D8+D6</f>
        <v>202.33</v>
      </c>
      <c r="E9" s="964">
        <f t="shared" si="0"/>
        <v>-76.300469703536251</v>
      </c>
      <c r="F9" s="947">
        <v>449.93</v>
      </c>
      <c r="G9" s="956">
        <f>G8+G6</f>
        <v>473.58</v>
      </c>
      <c r="H9" s="956">
        <f>H8+H6</f>
        <v>115.48</v>
      </c>
      <c r="I9" s="964">
        <f t="shared" si="1"/>
        <v>310.09698649116729</v>
      </c>
      <c r="J9" s="964">
        <f>(G9-F9)/F9*100</f>
        <v>5.2563732136110008</v>
      </c>
    </row>
    <row r="10" spans="1:10" s="965" customFormat="1" ht="38.25" customHeight="1" x14ac:dyDescent="0.4">
      <c r="A10" s="947" t="s">
        <v>641</v>
      </c>
      <c r="B10" s="956" t="s">
        <v>642</v>
      </c>
      <c r="C10" s="959">
        <f>C9+C5</f>
        <v>873.14</v>
      </c>
      <c r="D10" s="959">
        <f>D9+D5</f>
        <v>202.54000000000002</v>
      </c>
      <c r="E10" s="964">
        <f t="shared" si="0"/>
        <v>-76.803261790778095</v>
      </c>
      <c r="F10" s="947">
        <v>450.99</v>
      </c>
      <c r="G10" s="959">
        <f>G9+G5</f>
        <v>474.83</v>
      </c>
      <c r="H10" s="959">
        <f>H9+H5</f>
        <v>115.59</v>
      </c>
      <c r="I10" s="964">
        <f t="shared" si="1"/>
        <v>310.78813046111253</v>
      </c>
      <c r="J10" s="964">
        <f>(G10-F10)/F10*100</f>
        <v>5.2861482516241987</v>
      </c>
    </row>
    <row r="13" spans="1:10" ht="25.5" customHeight="1" x14ac:dyDescent="0.4">
      <c r="A13" s="2246" t="s">
        <v>630</v>
      </c>
      <c r="B13" s="2246" t="s">
        <v>631</v>
      </c>
      <c r="C13" s="2248" t="s">
        <v>628</v>
      </c>
      <c r="D13" s="2248"/>
      <c r="E13" s="2248"/>
      <c r="F13" s="2248" t="s">
        <v>643</v>
      </c>
      <c r="G13" s="2248"/>
      <c r="H13" s="2248"/>
      <c r="I13" s="2248" t="s">
        <v>629</v>
      </c>
      <c r="J13" s="2248"/>
    </row>
    <row r="14" spans="1:10" x14ac:dyDescent="0.4">
      <c r="A14" s="2247"/>
      <c r="B14" s="2247"/>
      <c r="C14" s="947" t="s">
        <v>77</v>
      </c>
      <c r="D14" s="947" t="s">
        <v>249</v>
      </c>
      <c r="E14" s="947" t="s">
        <v>632</v>
      </c>
      <c r="F14" s="947" t="s">
        <v>8</v>
      </c>
      <c r="G14" s="962" t="s">
        <v>438</v>
      </c>
      <c r="H14" s="962" t="s">
        <v>249</v>
      </c>
      <c r="I14" s="947" t="s">
        <v>249</v>
      </c>
      <c r="J14" s="947" t="s">
        <v>8</v>
      </c>
    </row>
    <row r="15" spans="1:10" x14ac:dyDescent="0.4">
      <c r="A15" s="951">
        <v>1</v>
      </c>
      <c r="B15" s="951" t="s">
        <v>635</v>
      </c>
      <c r="C15" s="951">
        <v>355.17</v>
      </c>
      <c r="D15" s="951">
        <v>4.7</v>
      </c>
      <c r="E15" s="953">
        <f t="shared" ref="E15:E20" si="2">(D15-C15)/C15*100</f>
        <v>-98.676690035757531</v>
      </c>
      <c r="F15" s="951" t="s">
        <v>221</v>
      </c>
      <c r="G15" s="961">
        <f>'actual fig'!L72/100000</f>
        <v>44.567050000000002</v>
      </c>
      <c r="H15" s="961">
        <v>2.33</v>
      </c>
      <c r="I15" s="953">
        <f t="shared" ref="I15:I20" si="3">(G15-H15)/H15*100</f>
        <v>1812.7489270386268</v>
      </c>
      <c r="J15" s="951" t="s">
        <v>221</v>
      </c>
    </row>
    <row r="16" spans="1:10" x14ac:dyDescent="0.4">
      <c r="A16" s="951">
        <v>2</v>
      </c>
      <c r="B16" s="951" t="s">
        <v>636</v>
      </c>
      <c r="C16" s="951">
        <v>309.75</v>
      </c>
      <c r="D16" s="951">
        <v>2.6</v>
      </c>
      <c r="E16" s="953">
        <f t="shared" si="2"/>
        <v>-99.160613397901528</v>
      </c>
      <c r="F16" s="951" t="s">
        <v>221</v>
      </c>
      <c r="G16" s="961">
        <f>'actual fig'!M72/100000</f>
        <v>11.91597</v>
      </c>
      <c r="H16" s="961">
        <v>1.99</v>
      </c>
      <c r="I16" s="953">
        <f t="shared" si="3"/>
        <v>498.79246231155776</v>
      </c>
      <c r="J16" s="951" t="s">
        <v>221</v>
      </c>
    </row>
    <row r="17" spans="1:16" x14ac:dyDescent="0.4">
      <c r="A17" s="947">
        <v>3</v>
      </c>
      <c r="B17" s="947" t="s">
        <v>633</v>
      </c>
      <c r="C17" s="947">
        <f>C15+C16</f>
        <v>664.92000000000007</v>
      </c>
      <c r="D17" s="947">
        <f>D15+D16</f>
        <v>7.3000000000000007</v>
      </c>
      <c r="E17" s="957">
        <f t="shared" si="2"/>
        <v>-98.902123563736993</v>
      </c>
      <c r="F17" s="947" t="s">
        <v>221</v>
      </c>
      <c r="G17" s="962">
        <f>G15+G16</f>
        <v>56.483020000000003</v>
      </c>
      <c r="H17" s="962">
        <f>H15+H16</f>
        <v>4.32</v>
      </c>
      <c r="I17" s="957">
        <f t="shared" si="3"/>
        <v>1207.4773148148149</v>
      </c>
      <c r="J17" s="958" t="s">
        <v>221</v>
      </c>
    </row>
    <row r="18" spans="1:16" x14ac:dyDescent="0.4">
      <c r="A18" s="951">
        <v>4</v>
      </c>
      <c r="B18" s="951" t="s">
        <v>228</v>
      </c>
      <c r="C18" s="951">
        <v>107.74</v>
      </c>
      <c r="D18" s="951">
        <v>31.5</v>
      </c>
      <c r="E18" s="953">
        <f t="shared" si="2"/>
        <v>-70.762947837386307</v>
      </c>
      <c r="F18" s="951" t="s">
        <v>221</v>
      </c>
      <c r="G18" s="961">
        <f>'actual fig'!O72/100000</f>
        <v>166.11402000000001</v>
      </c>
      <c r="H18" s="961">
        <v>17.23</v>
      </c>
      <c r="I18" s="953">
        <f t="shared" si="3"/>
        <v>864.09762042948353</v>
      </c>
      <c r="J18" s="951" t="s">
        <v>221</v>
      </c>
    </row>
    <row r="19" spans="1:16" ht="41.25" customHeight="1" x14ac:dyDescent="0.4">
      <c r="A19" s="947" t="s">
        <v>640</v>
      </c>
      <c r="B19" s="958" t="s">
        <v>637</v>
      </c>
      <c r="C19" s="947">
        <f>C18+C16</f>
        <v>417.49</v>
      </c>
      <c r="D19" s="947">
        <f>D18+D16</f>
        <v>34.1</v>
      </c>
      <c r="E19" s="957">
        <f t="shared" si="2"/>
        <v>-91.832139691968663</v>
      </c>
      <c r="F19" s="958" t="s">
        <v>221</v>
      </c>
      <c r="G19" s="962">
        <f>G18+G16</f>
        <v>178.02999</v>
      </c>
      <c r="H19" s="947">
        <f>H18+H16</f>
        <v>19.22</v>
      </c>
      <c r="I19" s="957">
        <f t="shared" si="3"/>
        <v>826.27466181061402</v>
      </c>
      <c r="J19" s="958" t="s">
        <v>221</v>
      </c>
    </row>
    <row r="20" spans="1:16" ht="26.25" x14ac:dyDescent="0.4">
      <c r="A20" s="947" t="s">
        <v>641</v>
      </c>
      <c r="B20" s="947" t="s">
        <v>634</v>
      </c>
      <c r="C20" s="962">
        <f>C19+C15</f>
        <v>772.66000000000008</v>
      </c>
      <c r="D20" s="962">
        <f>D19+D15</f>
        <v>38.800000000000004</v>
      </c>
      <c r="E20" s="957">
        <f t="shared" si="2"/>
        <v>-94.9783863536355</v>
      </c>
      <c r="F20" s="958" t="s">
        <v>221</v>
      </c>
      <c r="G20" s="962">
        <f>G19+G15</f>
        <v>222.59703999999999</v>
      </c>
      <c r="H20" s="962">
        <f>H19+H15</f>
        <v>21.549999999999997</v>
      </c>
      <c r="I20" s="957">
        <f t="shared" si="3"/>
        <v>932.9329002320186</v>
      </c>
      <c r="J20" s="958" t="s">
        <v>221</v>
      </c>
    </row>
    <row r="22" spans="1:16" x14ac:dyDescent="0.4">
      <c r="N22" s="946" t="s">
        <v>127</v>
      </c>
      <c r="O22" s="946" t="s">
        <v>648</v>
      </c>
      <c r="P22" s="946" t="s">
        <v>647</v>
      </c>
    </row>
    <row r="23" spans="1:16" x14ac:dyDescent="0.4">
      <c r="N23" s="970">
        <v>44287</v>
      </c>
      <c r="O23" s="946">
        <v>0.5</v>
      </c>
      <c r="P23" s="971">
        <v>0.2564168</v>
      </c>
    </row>
    <row r="24" spans="1:16" x14ac:dyDescent="0.4">
      <c r="N24" s="970">
        <v>44317</v>
      </c>
      <c r="O24" s="946">
        <v>0.5</v>
      </c>
      <c r="P24" s="971">
        <v>0.17418420000000001</v>
      </c>
    </row>
    <row r="25" spans="1:16" x14ac:dyDescent="0.4">
      <c r="N25" s="970">
        <v>44348</v>
      </c>
      <c r="O25" s="946">
        <v>0.5</v>
      </c>
      <c r="P25" s="971">
        <v>0.2937554</v>
      </c>
    </row>
    <row r="26" spans="1:16" x14ac:dyDescent="0.4">
      <c r="N26" s="970">
        <v>44378</v>
      </c>
      <c r="O26" s="946">
        <v>0.5</v>
      </c>
      <c r="P26" s="971">
        <v>0.38526060000000001</v>
      </c>
    </row>
    <row r="27" spans="1:16" x14ac:dyDescent="0.4">
      <c r="N27" s="970">
        <v>44409</v>
      </c>
      <c r="O27" s="946">
        <v>0.5</v>
      </c>
      <c r="P27" s="971">
        <v>0.44109789999999999</v>
      </c>
    </row>
    <row r="28" spans="1:16" x14ac:dyDescent="0.4">
      <c r="N28" s="970">
        <v>44440</v>
      </c>
      <c r="O28" s="946">
        <v>0.5</v>
      </c>
      <c r="P28" s="971">
        <v>0.56586069999999999</v>
      </c>
    </row>
    <row r="29" spans="1:16" x14ac:dyDescent="0.4">
      <c r="N29" s="970">
        <v>44470</v>
      </c>
      <c r="O29" s="946">
        <v>0.5</v>
      </c>
      <c r="P29" s="971">
        <v>0.97747280000000003</v>
      </c>
    </row>
    <row r="30" spans="1:16" x14ac:dyDescent="0.4">
      <c r="N30" s="970">
        <v>44501</v>
      </c>
      <c r="O30" s="946">
        <v>0.5</v>
      </c>
      <c r="P30" s="971">
        <v>1.4049898999999999</v>
      </c>
    </row>
    <row r="31" spans="1:16" x14ac:dyDescent="0.4">
      <c r="N31" s="970">
        <v>44531</v>
      </c>
      <c r="O31" s="946">
        <v>0.5</v>
      </c>
      <c r="P31" s="971">
        <v>1.4544739</v>
      </c>
    </row>
    <row r="32" spans="1:16" x14ac:dyDescent="0.4">
      <c r="N32" s="970">
        <v>44562</v>
      </c>
      <c r="O32" s="946">
        <v>0.5</v>
      </c>
      <c r="P32" s="971">
        <v>1.4294363999999999</v>
      </c>
    </row>
    <row r="33" spans="14:16" x14ac:dyDescent="0.4">
      <c r="N33" s="970">
        <v>44593</v>
      </c>
      <c r="O33" s="946">
        <v>0.5</v>
      </c>
      <c r="P33" s="971">
        <v>1.5930512999999999</v>
      </c>
    </row>
    <row r="34" spans="14:16" x14ac:dyDescent="0.4">
      <c r="N34" s="970" t="s">
        <v>215</v>
      </c>
      <c r="O34" s="946">
        <f>SUM(O23:O33)</f>
        <v>5.5</v>
      </c>
      <c r="P34" s="971">
        <f>SUM(P23:P33)</f>
        <v>8.9759999000000015</v>
      </c>
    </row>
    <row r="35" spans="14:16" x14ac:dyDescent="0.4">
      <c r="O35" s="963"/>
      <c r="P35" s="963"/>
    </row>
  </sheetData>
  <mergeCells count="10">
    <mergeCell ref="F13:H13"/>
    <mergeCell ref="I13:J13"/>
    <mergeCell ref="C3:E3"/>
    <mergeCell ref="F3:H3"/>
    <mergeCell ref="I3:J3"/>
    <mergeCell ref="B3:B4"/>
    <mergeCell ref="A3:A4"/>
    <mergeCell ref="A13:A14"/>
    <mergeCell ref="B13:B14"/>
    <mergeCell ref="C13:E13"/>
  </mergeCells>
  <pageMargins left="0.7" right="0.7" top="0.75" bottom="0.75" header="0.3" footer="0.3"/>
  <pageSetup paperSize="9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U65"/>
  <sheetViews>
    <sheetView workbookViewId="0">
      <selection activeCell="H27" sqref="H27:H29"/>
    </sheetView>
  </sheetViews>
  <sheetFormatPr defaultColWidth="9.1328125" defaultRowHeight="16.899999999999999" x14ac:dyDescent="0.35"/>
  <cols>
    <col min="1" max="1" width="5.3984375" style="376" customWidth="1"/>
    <col min="2" max="2" width="37.73046875" style="300" customWidth="1"/>
    <col min="3" max="3" width="13" style="5" customWidth="1"/>
    <col min="4" max="4" width="9" style="84" customWidth="1"/>
    <col min="5" max="5" width="10.86328125" style="35" customWidth="1"/>
    <col min="6" max="6" width="11" style="5" customWidth="1"/>
    <col min="7" max="7" width="12" style="5" customWidth="1"/>
    <col min="8" max="8" width="7.73046875" style="11" customWidth="1"/>
    <col min="9" max="9" width="10.73046875" style="82" customWidth="1"/>
    <col min="10" max="10" width="9.59765625" style="5" bestFit="1" customWidth="1"/>
    <col min="11" max="11" width="14.265625" style="5" customWidth="1"/>
    <col min="12" max="12" width="13.1328125" style="5" customWidth="1"/>
    <col min="13" max="13" width="11.86328125" style="5" customWidth="1"/>
    <col min="14" max="14" width="11.86328125" style="5" bestFit="1" customWidth="1"/>
    <col min="15" max="15" width="10.59765625" style="5" bestFit="1" customWidth="1"/>
    <col min="16" max="16" width="11.86328125" style="5" bestFit="1" customWidth="1"/>
    <col min="17" max="17" width="11.265625" style="5" bestFit="1" customWidth="1"/>
    <col min="18" max="18" width="25.1328125" style="5" bestFit="1" customWidth="1"/>
    <col min="19" max="16384" width="9.1328125" style="5"/>
  </cols>
  <sheetData>
    <row r="1" spans="1:18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8" s="301" customFormat="1" ht="17.25" thickBot="1" x14ac:dyDescent="0.5">
      <c r="A2" s="2092" t="s">
        <v>418</v>
      </c>
      <c r="B2" s="2093"/>
      <c r="C2" s="2093"/>
      <c r="D2" s="2093"/>
      <c r="E2" s="2093"/>
      <c r="F2" s="2093"/>
      <c r="G2" s="2093"/>
      <c r="H2" s="2093"/>
      <c r="I2" s="2094"/>
    </row>
    <row r="3" spans="1:18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8" s="35" customFormat="1" ht="15" x14ac:dyDescent="0.45">
      <c r="A4" s="2035"/>
      <c r="B4" s="2047"/>
      <c r="C4" s="2048"/>
      <c r="D4" s="366" t="s">
        <v>9</v>
      </c>
      <c r="E4" s="383">
        <f>G4</f>
        <v>44256</v>
      </c>
      <c r="F4" s="383">
        <v>43891</v>
      </c>
      <c r="G4" s="383">
        <v>44256</v>
      </c>
      <c r="H4" s="2041" t="s">
        <v>12</v>
      </c>
      <c r="I4" s="2041" t="s">
        <v>13</v>
      </c>
    </row>
    <row r="5" spans="1:18" s="516" customFormat="1" ht="14.25" hidden="1" x14ac:dyDescent="0.45">
      <c r="A5" s="2036"/>
      <c r="B5" s="2047"/>
      <c r="C5" s="2048"/>
      <c r="D5" s="2216" t="s">
        <v>249</v>
      </c>
      <c r="E5" s="2217"/>
      <c r="F5" s="515" t="s">
        <v>77</v>
      </c>
      <c r="G5" s="515" t="s">
        <v>249</v>
      </c>
      <c r="H5" s="2042"/>
      <c r="I5" s="2042"/>
    </row>
    <row r="6" spans="1:18" x14ac:dyDescent="0.45">
      <c r="A6" s="372">
        <v>1</v>
      </c>
      <c r="B6" s="2049" t="s">
        <v>279</v>
      </c>
      <c r="C6" s="2049"/>
      <c r="D6" s="304" t="s">
        <v>221</v>
      </c>
      <c r="E6" s="592">
        <f>E15+E16</f>
        <v>48.52</v>
      </c>
      <c r="F6" s="305">
        <f>F15+F16+F17</f>
        <v>43.564651099999999</v>
      </c>
      <c r="G6" s="305">
        <f>G15+G16+G17</f>
        <v>46.168593763000004</v>
      </c>
      <c r="H6" s="306">
        <f>(G6-E6)/E6*100</f>
        <v>-4.8462618239901047</v>
      </c>
      <c r="I6" s="306">
        <f>(G6-F6)/F6*100</f>
        <v>5.9771915928416677</v>
      </c>
      <c r="K6" s="319"/>
      <c r="L6"/>
      <c r="M6" s="5">
        <f>128*20</f>
        <v>2560</v>
      </c>
      <c r="N6" s="5">
        <f>50</f>
        <v>50</v>
      </c>
    </row>
    <row r="7" spans="1:18" x14ac:dyDescent="0.35">
      <c r="A7" s="373">
        <v>2</v>
      </c>
      <c r="B7" s="2050" t="s">
        <v>281</v>
      </c>
      <c r="C7" s="2051"/>
      <c r="D7" s="307" t="s">
        <v>221</v>
      </c>
      <c r="E7" s="592">
        <v>5.71</v>
      </c>
      <c r="F7" s="307">
        <f>F19+F20+F21+F22+F23+F24+F25</f>
        <v>9.7407443999999987</v>
      </c>
      <c r="G7" s="307">
        <f>G19+G20+G21+G22+G23+G24+G25</f>
        <v>23.328543100000001</v>
      </c>
      <c r="H7" s="306">
        <f>(G7-E7)/E7*100</f>
        <v>308.55592119089317</v>
      </c>
      <c r="I7" s="308">
        <f>(G7-F7)/F7*100</f>
        <v>139.4944589655797</v>
      </c>
      <c r="N7" s="5">
        <f>N6*20</f>
        <v>1000</v>
      </c>
      <c r="Q7" s="5">
        <f>158+32.32</f>
        <v>190.32</v>
      </c>
    </row>
    <row r="8" spans="1:18" x14ac:dyDescent="0.35">
      <c r="A8" s="374">
        <v>3</v>
      </c>
      <c r="B8" s="2021" t="s">
        <v>282</v>
      </c>
      <c r="C8" s="2023"/>
      <c r="D8" s="364" t="s">
        <v>221</v>
      </c>
      <c r="E8" s="593">
        <v>1.29</v>
      </c>
      <c r="F8" s="364">
        <f>F27+F28+F29+F30+F31+F32+F33</f>
        <v>7.1079384999999995</v>
      </c>
      <c r="G8" s="364">
        <f>G27+G28+G29+G30+G31+G32+G33</f>
        <v>3.8622177000000004</v>
      </c>
      <c r="H8" s="306">
        <f>(G8-E8)/E8*100</f>
        <v>199.39672093023256</v>
      </c>
      <c r="I8" s="365">
        <f>(G8-F8)/F8*100</f>
        <v>-45.663321369480045</v>
      </c>
    </row>
    <row r="9" spans="1:18" x14ac:dyDescent="0.35">
      <c r="A9" s="373">
        <v>4</v>
      </c>
      <c r="B9" s="2052" t="s">
        <v>283</v>
      </c>
      <c r="C9" s="2053"/>
      <c r="D9" s="307" t="s">
        <v>221</v>
      </c>
      <c r="E9" s="592">
        <f>E35+E36+E37</f>
        <v>0.22750000000000004</v>
      </c>
      <c r="F9" s="307">
        <f>F35+F36+F37+F38+F39+F40</f>
        <v>9.3645300000000001E-2</v>
      </c>
      <c r="G9" s="307">
        <f>G35+G36+G37+G38+G39+G40</f>
        <v>0.29543919999999996</v>
      </c>
      <c r="H9" s="306">
        <f>(G9-E9)/E9*100</f>
        <v>29.863384615384575</v>
      </c>
      <c r="I9" s="308">
        <f>(G9-F9)/F9*100</f>
        <v>215.48748308777905</v>
      </c>
      <c r="K9" s="5">
        <f>48*10000000</f>
        <v>480000000</v>
      </c>
    </row>
    <row r="10" spans="1:18" ht="17.649999999999999" x14ac:dyDescent="0.35">
      <c r="A10" s="374">
        <v>5</v>
      </c>
      <c r="B10" s="2117" t="s">
        <v>284</v>
      </c>
      <c r="C10" s="2118"/>
      <c r="D10" s="321" t="s">
        <v>221</v>
      </c>
      <c r="E10" s="594">
        <f>SUM(E6:E9)</f>
        <v>55.747500000000002</v>
      </c>
      <c r="F10" s="446">
        <f>SUM(F6:F9)</f>
        <v>60.50697929999999</v>
      </c>
      <c r="G10" s="446">
        <f>SUM(G6:G9)</f>
        <v>73.654793763000015</v>
      </c>
      <c r="H10" s="306">
        <f>(G10-E10)/E10*100</f>
        <v>32.122146756356805</v>
      </c>
      <c r="I10" s="322">
        <f>(G10-F10)/F10*100</f>
        <v>21.729418019385456</v>
      </c>
      <c r="K10" s="12">
        <f>K9/100000</f>
        <v>4800</v>
      </c>
    </row>
    <row r="11" spans="1:18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  <c r="Q11" s="590">
        <v>322414491</v>
      </c>
    </row>
    <row r="12" spans="1:18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3.5497719999999999</v>
      </c>
      <c r="G12" s="447">
        <f>G42+G43+G44</f>
        <v>0.90999999999999992</v>
      </c>
      <c r="H12" s="310" t="s">
        <v>221</v>
      </c>
      <c r="I12" s="311">
        <f>(G12-F12)/F12*100</f>
        <v>-74.364550737343123</v>
      </c>
    </row>
    <row r="13" spans="1:18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M13" s="5">
        <v>0.02</v>
      </c>
      <c r="N13" s="5">
        <f>M13*10000000</f>
        <v>200000</v>
      </c>
      <c r="O13" s="5">
        <f>N13/100000</f>
        <v>2</v>
      </c>
    </row>
    <row r="14" spans="1:18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K14" s="383">
        <f>F4</f>
        <v>43891</v>
      </c>
      <c r="L14" s="383">
        <v>44197</v>
      </c>
    </row>
    <row r="15" spans="1:18" ht="15.4" x14ac:dyDescent="0.4">
      <c r="A15" s="2004"/>
      <c r="B15" s="2006" t="s">
        <v>16</v>
      </c>
      <c r="C15" s="2007"/>
      <c r="D15" s="331" t="s">
        <v>221</v>
      </c>
      <c r="E15" s="596">
        <v>0.02</v>
      </c>
      <c r="F15" s="264">
        <f>K15/10000000</f>
        <v>0.92284940000000004</v>
      </c>
      <c r="G15" s="323">
        <v>6.0005963000000002E-2</v>
      </c>
      <c r="H15" s="314">
        <f>(G15-E15)/E15*100</f>
        <v>200.02981500000004</v>
      </c>
      <c r="I15" s="314">
        <f>(G15-F15)/F15*100</f>
        <v>-93.497751312402642</v>
      </c>
      <c r="J15" s="12">
        <f>K15/10000000</f>
        <v>0.92284940000000004</v>
      </c>
      <c r="K15" s="7">
        <f>3922029+5306465</f>
        <v>9228494</v>
      </c>
      <c r="L15" s="476"/>
      <c r="M15" s="518">
        <f>L15/10000000</f>
        <v>0</v>
      </c>
      <c r="N15" s="323">
        <f>L15/100000</f>
        <v>0</v>
      </c>
      <c r="R15" s="590"/>
    </row>
    <row r="16" spans="1:18" ht="15.4" x14ac:dyDescent="0.4">
      <c r="A16" s="2004"/>
      <c r="B16" s="2069" t="s">
        <v>15</v>
      </c>
      <c r="C16" s="320" t="s">
        <v>166</v>
      </c>
      <c r="D16" s="2064" t="s">
        <v>221</v>
      </c>
      <c r="E16" s="2251">
        <v>48.5</v>
      </c>
      <c r="F16" s="134">
        <f>K16/10000000</f>
        <v>12.1418017</v>
      </c>
      <c r="G16" s="433">
        <v>5.1194400000000001E-2</v>
      </c>
      <c r="H16" s="2027">
        <f>((G16+G17)-E16)/E16*100</f>
        <v>-4.9307468041237072</v>
      </c>
      <c r="I16" s="314">
        <f>(G16-F16)/F16*100</f>
        <v>-99.578362410580297</v>
      </c>
      <c r="J16" s="12">
        <f>K16/10000000</f>
        <v>12.1418017</v>
      </c>
      <c r="K16" s="7">
        <f>58579188+62838829</f>
        <v>121418017</v>
      </c>
      <c r="L16" s="476"/>
      <c r="M16" s="518">
        <f>L16/10000000</f>
        <v>0</v>
      </c>
      <c r="N16" s="323">
        <f>L16/100000</f>
        <v>0</v>
      </c>
      <c r="O16" s="12">
        <v>48</v>
      </c>
      <c r="P16" s="12">
        <f>G16+G17</f>
        <v>46.108587800000002</v>
      </c>
      <c r="Q16" s="5">
        <f>(P16-O16)/O16*100</f>
        <v>-3.9404420833333287</v>
      </c>
    </row>
    <row r="17" spans="1:21" ht="15.75" x14ac:dyDescent="0.45">
      <c r="A17" s="2005"/>
      <c r="B17" s="2070"/>
      <c r="C17" s="320" t="s">
        <v>228</v>
      </c>
      <c r="D17" s="2064"/>
      <c r="E17" s="2252"/>
      <c r="F17" s="475">
        <v>30.5</v>
      </c>
      <c r="G17" s="264">
        <v>46.057393400000002</v>
      </c>
      <c r="H17" s="2029"/>
      <c r="I17" s="314">
        <f>(G17-F17)/F17*100</f>
        <v>51.007847213114765</v>
      </c>
      <c r="J17" s="12">
        <f>K17/10000000</f>
        <v>0</v>
      </c>
      <c r="K17" s="519"/>
      <c r="L17" s="319"/>
      <c r="M17" s="518">
        <f>L17/10000000</f>
        <v>0</v>
      </c>
      <c r="N17" s="323">
        <f>L17/100000</f>
        <v>0</v>
      </c>
      <c r="P17">
        <v>605916594</v>
      </c>
    </row>
    <row r="18" spans="1:21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  <c r="K18" s="590">
        <v>305021839</v>
      </c>
      <c r="L18" s="7">
        <f>SUM(L15:L17)</f>
        <v>0</v>
      </c>
      <c r="M18" s="323">
        <f>SUM(M15:M17)</f>
        <v>0</v>
      </c>
      <c r="N18" s="323">
        <f>SUM(N15:N17)</f>
        <v>0</v>
      </c>
    </row>
    <row r="19" spans="1:21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f>11749698/10000000</f>
        <v>1.1749698</v>
      </c>
      <c r="G19" s="264">
        <f>187415530/10000000</f>
        <v>18.741553</v>
      </c>
      <c r="H19" s="316" t="s">
        <v>221</v>
      </c>
      <c r="I19" s="314">
        <f>(G19-F19)/F19*100</f>
        <v>1495.0667838441466</v>
      </c>
      <c r="L19"/>
      <c r="N19" s="323"/>
    </row>
    <row r="20" spans="1:21" ht="15.4" x14ac:dyDescent="0.4">
      <c r="A20" s="2004"/>
      <c r="B20" s="2009"/>
      <c r="C20" s="2000" t="s">
        <v>232</v>
      </c>
      <c r="D20" s="2001"/>
      <c r="E20" s="2002"/>
      <c r="F20" s="264">
        <f>67456817/10000000</f>
        <v>6.7456816999999996</v>
      </c>
      <c r="G20" s="264">
        <f>7092057/10000000</f>
        <v>0.70920570000000005</v>
      </c>
      <c r="H20" s="316" t="s">
        <v>221</v>
      </c>
      <c r="I20" s="314">
        <f t="shared" ref="I20:I25" si="0">(G20-F20)/F20*100</f>
        <v>-89.48652291139085</v>
      </c>
      <c r="L20" s="319"/>
    </row>
    <row r="21" spans="1:21" ht="15.4" x14ac:dyDescent="0.4">
      <c r="A21" s="2004"/>
      <c r="B21" s="2009"/>
      <c r="C21" s="2000" t="s">
        <v>239</v>
      </c>
      <c r="D21" s="2001"/>
      <c r="E21" s="2002"/>
      <c r="F21" s="264">
        <f>3525704/10000000</f>
        <v>0.35257040000000001</v>
      </c>
      <c r="G21" s="264">
        <f>27923013/10000000</f>
        <v>2.7923013000000001</v>
      </c>
      <c r="H21" s="316" t="s">
        <v>221</v>
      </c>
      <c r="I21" s="314">
        <f>(G21-F21)/F21*100</f>
        <v>691.98404063415421</v>
      </c>
    </row>
    <row r="22" spans="1:21" ht="15.4" x14ac:dyDescent="0.4">
      <c r="A22" s="2004"/>
      <c r="B22" s="2009"/>
      <c r="C22" s="2000" t="s">
        <v>233</v>
      </c>
      <c r="D22" s="2001"/>
      <c r="E22" s="2002"/>
      <c r="F22" s="264">
        <f>11640649/10000000</f>
        <v>1.1640649000000001</v>
      </c>
      <c r="G22" s="264">
        <f>10343907/10000000</f>
        <v>1.0343907000000001</v>
      </c>
      <c r="H22" s="316" t="s">
        <v>221</v>
      </c>
      <c r="I22" s="314">
        <f t="shared" si="0"/>
        <v>-11.139774079606726</v>
      </c>
      <c r="M22" s="5" t="s">
        <v>277</v>
      </c>
    </row>
    <row r="23" spans="1:21" ht="15.4" x14ac:dyDescent="0.4">
      <c r="A23" s="2004"/>
      <c r="B23" s="2009"/>
      <c r="C23" s="2000" t="s">
        <v>234</v>
      </c>
      <c r="D23" s="2001"/>
      <c r="E23" s="2002"/>
      <c r="F23" s="264">
        <f>1977432/10000000</f>
        <v>0.19774320000000001</v>
      </c>
      <c r="G23" s="492">
        <f>0</f>
        <v>0</v>
      </c>
      <c r="H23" s="316" t="s">
        <v>221</v>
      </c>
      <c r="I23" s="314">
        <v>0</v>
      </c>
      <c r="M23" s="5">
        <v>25461</v>
      </c>
      <c r="N23" s="5">
        <v>3030</v>
      </c>
    </row>
    <row r="24" spans="1:21" ht="15.4" x14ac:dyDescent="0.4">
      <c r="A24" s="2004"/>
      <c r="B24" s="2009"/>
      <c r="C24" s="2000" t="s">
        <v>235</v>
      </c>
      <c r="D24" s="2001"/>
      <c r="E24" s="2002"/>
      <c r="F24" s="264">
        <f>623263/10000000</f>
        <v>6.2326300000000001E-2</v>
      </c>
      <c r="G24" s="264">
        <v>0</v>
      </c>
      <c r="H24" s="316"/>
      <c r="I24" s="314">
        <v>0</v>
      </c>
    </row>
    <row r="25" spans="1:21" ht="17.25" customHeight="1" x14ac:dyDescent="0.4">
      <c r="A25" s="2005"/>
      <c r="B25" s="2010"/>
      <c r="C25" s="2011" t="s">
        <v>266</v>
      </c>
      <c r="D25" s="2012"/>
      <c r="E25" s="2013"/>
      <c r="F25" s="264">
        <f>433881/10000000</f>
        <v>4.3388099999999999E-2</v>
      </c>
      <c r="G25" s="264">
        <f>510924/10000000</f>
        <v>5.1092400000000003E-2</v>
      </c>
      <c r="H25" s="316" t="s">
        <v>221</v>
      </c>
      <c r="I25" s="314">
        <f t="shared" si="0"/>
        <v>17.756712093869069</v>
      </c>
    </row>
    <row r="26" spans="1:21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  <c r="Q26" s="5">
        <v>10652</v>
      </c>
      <c r="R26" s="5">
        <v>41.9</v>
      </c>
    </row>
    <row r="27" spans="1:21" ht="15.4" x14ac:dyDescent="0.4">
      <c r="A27" s="2015"/>
      <c r="B27" s="2006" t="s">
        <v>2</v>
      </c>
      <c r="C27" s="2007"/>
      <c r="D27" s="333"/>
      <c r="E27" s="307">
        <v>0.1</v>
      </c>
      <c r="F27" s="134">
        <f>14967045/10000000</f>
        <v>1.4967045000000001</v>
      </c>
      <c r="G27" s="134">
        <f>1225470/10000000</f>
        <v>0.122547</v>
      </c>
      <c r="H27" s="314">
        <f>(G27-E27)/E27*100</f>
        <v>22.546999999999997</v>
      </c>
      <c r="I27" s="314">
        <f t="shared" ref="I27:I33" si="1">(G27-F27)/F27*100</f>
        <v>-91.812211428508434</v>
      </c>
      <c r="K27" s="6" t="s">
        <v>126</v>
      </c>
      <c r="L27" s="6" t="s">
        <v>299</v>
      </c>
      <c r="M27" s="5" t="s">
        <v>277</v>
      </c>
      <c r="O27" s="5" t="s">
        <v>203</v>
      </c>
      <c r="P27" s="5">
        <f>14038042</f>
        <v>14038042</v>
      </c>
      <c r="Q27" s="5">
        <f>535575+1372420+7636415+159650</f>
        <v>9704060</v>
      </c>
      <c r="R27" s="5">
        <f>50*28</f>
        <v>1400</v>
      </c>
    </row>
    <row r="28" spans="1:21" ht="15.75" x14ac:dyDescent="0.45">
      <c r="A28" s="2015"/>
      <c r="B28" s="2006" t="s">
        <v>23</v>
      </c>
      <c r="C28" s="2007"/>
      <c r="D28" s="331" t="s">
        <v>221</v>
      </c>
      <c r="E28" s="307">
        <v>2</v>
      </c>
      <c r="F28" s="134">
        <f>14478360/10000000</f>
        <v>1.4478359999999999</v>
      </c>
      <c r="G28" s="134">
        <f>21429631/10000000</f>
        <v>2.1429630999999998</v>
      </c>
      <c r="H28" s="314">
        <f>(G28-E28)/E28*100</f>
        <v>7.1481549999999894</v>
      </c>
      <c r="I28" s="314">
        <f t="shared" si="1"/>
        <v>48.011452954616402</v>
      </c>
      <c r="J28" s="5" t="s">
        <v>388</v>
      </c>
      <c r="K28" s="6"/>
      <c r="L28"/>
      <c r="M28" s="41"/>
      <c r="N28" s="12">
        <v>558215</v>
      </c>
      <c r="O28" s="11">
        <v>437025</v>
      </c>
      <c r="P28" s="11">
        <f>610749+211890+10649975+1085760+858583+61749</f>
        <v>13478706</v>
      </c>
      <c r="Q28" s="5">
        <f>10660628</f>
        <v>10660628</v>
      </c>
    </row>
    <row r="29" spans="1:21" ht="15.4" x14ac:dyDescent="0.4">
      <c r="A29" s="2015"/>
      <c r="B29" s="2006" t="s">
        <v>1</v>
      </c>
      <c r="C29" s="2007"/>
      <c r="D29" s="331" t="s">
        <v>221</v>
      </c>
      <c r="E29" s="307">
        <v>0.4</v>
      </c>
      <c r="F29" s="283">
        <f>998040/10000000</f>
        <v>9.9804000000000004E-2</v>
      </c>
      <c r="G29" s="283">
        <f>901268/10000000</f>
        <v>9.0126800000000007E-2</v>
      </c>
      <c r="H29" s="314">
        <f>(G29-E29)/E29*100</f>
        <v>-77.468299999999999</v>
      </c>
      <c r="I29" s="314">
        <f t="shared" si="1"/>
        <v>-9.6962045609394387</v>
      </c>
      <c r="N29" s="12">
        <f>6784+202501+103617+3200</f>
        <v>316102</v>
      </c>
      <c r="O29" s="11">
        <f>31626+99276</f>
        <v>130902</v>
      </c>
      <c r="P29" s="595">
        <f>P27-P28</f>
        <v>559336</v>
      </c>
      <c r="Q29" s="5">
        <f>Q28-Q27</f>
        <v>956568</v>
      </c>
    </row>
    <row r="30" spans="1:21" ht="15.75" x14ac:dyDescent="0.45">
      <c r="A30" s="2015"/>
      <c r="B30" s="2006" t="s">
        <v>24</v>
      </c>
      <c r="C30" s="2007"/>
      <c r="D30" s="332" t="s">
        <v>221</v>
      </c>
      <c r="E30" s="308" t="s">
        <v>221</v>
      </c>
      <c r="F30" s="134">
        <v>3.8594000000000003E-2</v>
      </c>
      <c r="G30" s="79">
        <v>0</v>
      </c>
      <c r="H30" s="316" t="s">
        <v>221</v>
      </c>
      <c r="I30" s="314">
        <f t="shared" si="1"/>
        <v>-100</v>
      </c>
      <c r="L30"/>
      <c r="N30" s="12">
        <f>N28-N29</f>
        <v>242113</v>
      </c>
      <c r="O30" s="11">
        <f>O28-O29</f>
        <v>306123</v>
      </c>
      <c r="Q30" s="5">
        <f>Q29/10000000</f>
        <v>9.56568E-2</v>
      </c>
      <c r="S30" s="5">
        <v>7.29</v>
      </c>
      <c r="T30" s="5">
        <v>6.7</v>
      </c>
      <c r="U30" s="5">
        <f>S30-T30</f>
        <v>0.58999999999999986</v>
      </c>
    </row>
    <row r="31" spans="1:21" ht="15.75" thickBot="1" x14ac:dyDescent="0.45">
      <c r="A31" s="2015"/>
      <c r="B31" s="2017" t="s">
        <v>25</v>
      </c>
      <c r="C31" s="2030"/>
      <c r="D31" s="332" t="s">
        <v>221</v>
      </c>
      <c r="E31" s="308" t="s">
        <v>221</v>
      </c>
      <c r="F31" s="134">
        <v>0</v>
      </c>
      <c r="G31" s="492">
        <v>0</v>
      </c>
      <c r="H31" s="316" t="s">
        <v>221</v>
      </c>
      <c r="I31" s="314" t="e">
        <f t="shared" si="1"/>
        <v>#DIV/0!</v>
      </c>
      <c r="K31" s="591"/>
      <c r="L31" s="319"/>
      <c r="N31" s="12">
        <f>N30+O30</f>
        <v>548236</v>
      </c>
      <c r="Q31" s="11">
        <f>P29+Q30</f>
        <v>559336.09565679997</v>
      </c>
    </row>
    <row r="32" spans="1:21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134">
        <v>3.97</v>
      </c>
      <c r="G32" s="264">
        <f>15048182/10000000</f>
        <v>1.5048182000000001</v>
      </c>
      <c r="H32" s="316" t="s">
        <v>221</v>
      </c>
      <c r="I32" s="314">
        <f t="shared" si="1"/>
        <v>-62.095259445843823</v>
      </c>
      <c r="K32"/>
      <c r="L32"/>
      <c r="N32" s="12">
        <f>N31/10000000</f>
        <v>5.48236E-2</v>
      </c>
      <c r="Q32" s="5">
        <f>Q31/10000000</f>
        <v>5.5933609565679998E-2</v>
      </c>
    </row>
    <row r="33" spans="1:18" x14ac:dyDescent="0.4">
      <c r="A33" s="403"/>
      <c r="B33" s="402" t="s">
        <v>266</v>
      </c>
      <c r="C33" s="409"/>
      <c r="D33" s="332"/>
      <c r="E33" s="308"/>
      <c r="F33" s="134">
        <v>5.5E-2</v>
      </c>
      <c r="G33" s="493">
        <v>1.7626E-3</v>
      </c>
      <c r="H33" s="316"/>
      <c r="I33" s="314">
        <f t="shared" si="1"/>
        <v>-96.795272727272717</v>
      </c>
      <c r="N33" s="12"/>
    </row>
    <row r="34" spans="1:18" ht="15" x14ac:dyDescent="0.35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  <c r="N34" s="12"/>
    </row>
    <row r="35" spans="1:18" ht="15.4" x14ac:dyDescent="0.4">
      <c r="A35" s="2020"/>
      <c r="B35" s="2006" t="s">
        <v>27</v>
      </c>
      <c r="C35" s="2007"/>
      <c r="D35" s="331">
        <v>2.4300000000000002</v>
      </c>
      <c r="E35" s="307">
        <v>0.20250000000000001</v>
      </c>
      <c r="F35" s="264">
        <f>388217/10000000</f>
        <v>3.8821700000000001E-2</v>
      </c>
      <c r="G35" s="283">
        <f>2667169/10000000</f>
        <v>0.26671689999999998</v>
      </c>
      <c r="H35" s="314">
        <f>(G35-E35)/E35*100</f>
        <v>31.712049382716028</v>
      </c>
      <c r="I35" s="314">
        <f>(G35-F35)/F35*100</f>
        <v>587.03044946511864</v>
      </c>
      <c r="K35" s="432" t="s">
        <v>203</v>
      </c>
      <c r="L35" s="432"/>
      <c r="N35" s="491"/>
      <c r="Q35" s="6" t="s">
        <v>126</v>
      </c>
    </row>
    <row r="36" spans="1:18" ht="15.4" x14ac:dyDescent="0.4">
      <c r="A36" s="2020"/>
      <c r="B36" s="2006" t="s">
        <v>28</v>
      </c>
      <c r="C36" s="2007"/>
      <c r="D36" s="333">
        <v>0.11</v>
      </c>
      <c r="E36" s="307">
        <v>8.9999999999999993E-3</v>
      </c>
      <c r="F36" s="433"/>
      <c r="G36" s="283"/>
      <c r="H36" s="314">
        <f>(G36-E36)/E36*100</f>
        <v>-100</v>
      </c>
      <c r="I36" s="314" t="e">
        <f>(G36-F36)/F36*100</f>
        <v>#DIV/0!</v>
      </c>
      <c r="K36" s="5" t="s">
        <v>126</v>
      </c>
      <c r="L36" s="5" t="s">
        <v>299</v>
      </c>
      <c r="Q36" s="172">
        <v>0.57431169999999998</v>
      </c>
      <c r="R36" s="5" t="s">
        <v>27</v>
      </c>
    </row>
    <row r="37" spans="1:18" ht="15.4" x14ac:dyDescent="0.4">
      <c r="A37" s="2020"/>
      <c r="B37" s="378" t="s">
        <v>224</v>
      </c>
      <c r="C37" s="379"/>
      <c r="D37" s="331">
        <v>0.19</v>
      </c>
      <c r="E37" s="406">
        <v>1.6E-2</v>
      </c>
      <c r="F37" s="433"/>
      <c r="G37" s="389"/>
      <c r="H37" s="314">
        <f>(G37-E37)/E37*100</f>
        <v>-100</v>
      </c>
      <c r="I37" s="314" t="e">
        <f>(G37-F37)/F37*100</f>
        <v>#DIV/0!</v>
      </c>
      <c r="K37" s="6"/>
      <c r="L37" s="6"/>
      <c r="M37" s="5">
        <f>1344147</f>
        <v>1344147</v>
      </c>
      <c r="N37" s="5">
        <v>485232</v>
      </c>
      <c r="O37" s="5">
        <v>13000096</v>
      </c>
      <c r="P37" s="5">
        <f>14442441</f>
        <v>14442441</v>
      </c>
      <c r="Q37" s="172">
        <v>0.1038307</v>
      </c>
      <c r="R37" s="5" t="s">
        <v>28</v>
      </c>
    </row>
    <row r="38" spans="1:18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264"/>
      <c r="G38" s="134"/>
      <c r="H38" s="314" t="s">
        <v>221</v>
      </c>
      <c r="I38" s="314">
        <v>0</v>
      </c>
      <c r="K38" s="30"/>
      <c r="L38" s="30"/>
      <c r="M38" s="5">
        <f>1062018</f>
        <v>1062018</v>
      </c>
      <c r="N38" s="5">
        <f>422203</f>
        <v>422203</v>
      </c>
      <c r="O38" s="5">
        <f>6021553+780334+170690+6021553</f>
        <v>12994130</v>
      </c>
      <c r="P38" s="5">
        <f>6649273+925280+206955+6649273</f>
        <v>14430781</v>
      </c>
      <c r="Q38" s="172">
        <v>1.3424E-2</v>
      </c>
      <c r="R38" s="5" t="s">
        <v>4</v>
      </c>
    </row>
    <row r="39" spans="1:18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492">
        <f>0</f>
        <v>0</v>
      </c>
      <c r="G39" s="79">
        <f>5094/10000000</f>
        <v>5.0940000000000002E-4</v>
      </c>
      <c r="H39" s="314" t="s">
        <v>221</v>
      </c>
      <c r="I39" s="314">
        <v>0</v>
      </c>
      <c r="M39" s="5">
        <f>M37-M38</f>
        <v>282129</v>
      </c>
      <c r="N39" s="5">
        <f>N37-N38</f>
        <v>63029</v>
      </c>
      <c r="O39" s="5">
        <f>O37-O38</f>
        <v>5966</v>
      </c>
      <c r="P39" s="5">
        <f>P37-P38</f>
        <v>11660</v>
      </c>
      <c r="Q39" s="172">
        <v>0</v>
      </c>
      <c r="R39" s="5" t="s">
        <v>29</v>
      </c>
    </row>
    <row r="40" spans="1:18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134">
        <v>5.48236E-2</v>
      </c>
      <c r="G40" s="283">
        <f>M39/10000000</f>
        <v>2.8212899999999999E-2</v>
      </c>
      <c r="H40" s="314"/>
      <c r="I40" s="314">
        <f>(G40-F40)/F40*100</f>
        <v>-48.538767975835228</v>
      </c>
      <c r="M40" s="5">
        <f>M39+N39</f>
        <v>345158</v>
      </c>
      <c r="N40" s="5">
        <f>M40/10000000</f>
        <v>3.4515799999999999E-2</v>
      </c>
      <c r="P40" s="5">
        <f>P39+O39</f>
        <v>17626</v>
      </c>
      <c r="Q40" s="172">
        <v>0</v>
      </c>
      <c r="R40" s="5" t="s">
        <v>64</v>
      </c>
    </row>
    <row r="41" spans="1:18" ht="15" x14ac:dyDescent="0.35">
      <c r="A41" s="2020"/>
      <c r="B41" s="2021" t="s">
        <v>390</v>
      </c>
      <c r="C41" s="2022"/>
      <c r="D41" s="2022"/>
      <c r="E41" s="2022"/>
      <c r="F41" s="2022"/>
      <c r="G41" s="2022"/>
      <c r="H41" s="2022"/>
      <c r="I41" s="2023"/>
      <c r="K41" s="383">
        <v>43831</v>
      </c>
      <c r="L41" s="383">
        <v>44197</v>
      </c>
      <c r="M41" s="5" t="s">
        <v>350</v>
      </c>
      <c r="N41" s="5" t="s">
        <v>351</v>
      </c>
      <c r="P41" s="5">
        <f>P40/10000000</f>
        <v>1.7626E-3</v>
      </c>
      <c r="Q41" s="172">
        <v>2.9382100000000001E-2</v>
      </c>
      <c r="R41" s="5" t="s">
        <v>3</v>
      </c>
    </row>
    <row r="42" spans="1:18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1.6434820000000001</v>
      </c>
      <c r="G42" s="264">
        <v>0.14000000000000001</v>
      </c>
      <c r="H42" s="314" t="s">
        <v>221</v>
      </c>
      <c r="I42" s="314">
        <f>(G42-F42)/F42*100</f>
        <v>-91.481500862193798</v>
      </c>
      <c r="J42" s="12">
        <f>K42/1000000</f>
        <v>1.6434820000000001</v>
      </c>
      <c r="K42" s="5">
        <f>941802+701680</f>
        <v>1643482</v>
      </c>
      <c r="L42" s="41"/>
      <c r="M42" s="12">
        <f>L42/1000000</f>
        <v>0</v>
      </c>
      <c r="N42" s="42">
        <f>L42/100000</f>
        <v>0</v>
      </c>
      <c r="R42" s="5" t="s">
        <v>31</v>
      </c>
    </row>
    <row r="43" spans="1:18" ht="15.4" x14ac:dyDescent="0.4">
      <c r="A43" s="2020"/>
      <c r="B43" s="2069" t="s">
        <v>15</v>
      </c>
      <c r="C43" s="320" t="s">
        <v>166</v>
      </c>
      <c r="D43" s="2067"/>
      <c r="E43" s="2065"/>
      <c r="F43" s="134">
        <v>1.4862899999999999</v>
      </c>
      <c r="G43" s="264">
        <v>0.05</v>
      </c>
      <c r="H43" s="2027" t="s">
        <v>221</v>
      </c>
      <c r="I43" s="314">
        <f>(G43-F43)/F43*100</f>
        <v>-96.63591896601605</v>
      </c>
      <c r="J43" s="12">
        <f>K43/1000000</f>
        <v>1.4862899999999999</v>
      </c>
      <c r="K43" s="5">
        <f>677012+809278</f>
        <v>1486290</v>
      </c>
      <c r="L43" s="41"/>
      <c r="M43" s="12">
        <f>L43/1000000</f>
        <v>0</v>
      </c>
      <c r="N43" s="42">
        <f>L43/100000</f>
        <v>0</v>
      </c>
    </row>
    <row r="44" spans="1:18" ht="15.75" thickBot="1" x14ac:dyDescent="0.45">
      <c r="A44" s="2020"/>
      <c r="B44" s="2070"/>
      <c r="C44" s="320" t="s">
        <v>228</v>
      </c>
      <c r="D44" s="2068"/>
      <c r="E44" s="2066"/>
      <c r="F44" s="134">
        <v>0.42</v>
      </c>
      <c r="G44" s="323">
        <v>0.72</v>
      </c>
      <c r="H44" s="2029"/>
      <c r="I44" s="314">
        <f>(G44-F44)/F44*100</f>
        <v>71.428571428571431</v>
      </c>
      <c r="J44" s="12">
        <f>K44/1000000</f>
        <v>0.42203000000000002</v>
      </c>
      <c r="K44" s="590">
        <v>422030</v>
      </c>
      <c r="L44" s="591">
        <v>508417</v>
      </c>
      <c r="M44" s="12">
        <f>L44/1000000</f>
        <v>0.50841700000000001</v>
      </c>
      <c r="N44" s="42">
        <f>L44/100000</f>
        <v>5.0841700000000003</v>
      </c>
      <c r="P44" s="591">
        <v>508417</v>
      </c>
    </row>
    <row r="45" spans="1:18" ht="15" x14ac:dyDescent="0.35">
      <c r="A45" s="2020">
        <v>6</v>
      </c>
      <c r="B45" s="2021" t="s">
        <v>406</v>
      </c>
      <c r="C45" s="2022"/>
      <c r="D45" s="2022"/>
      <c r="E45" s="2022"/>
      <c r="F45" s="2022"/>
      <c r="G45" s="2022"/>
      <c r="H45" s="2022"/>
      <c r="I45" s="2023"/>
      <c r="L45" s="12"/>
      <c r="M45" s="12">
        <f>SUM(M42:M44)</f>
        <v>0.50841700000000001</v>
      </c>
      <c r="N45" s="12">
        <f>SUM(N42:N44)</f>
        <v>5.0841700000000003</v>
      </c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/>
      <c r="G46" s="78"/>
      <c r="H46" s="2027" t="s">
        <v>221</v>
      </c>
      <c r="I46" s="314" t="e">
        <f>(G46-F46)/F46*100</f>
        <v>#DIV/0!</v>
      </c>
      <c r="L46" s="5">
        <v>3.51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78"/>
      <c r="G47" s="78"/>
      <c r="H47" s="2028"/>
      <c r="I47" s="314" t="e">
        <f>(G47-F47)/F47*100</f>
        <v>#DIV/0!</v>
      </c>
      <c r="L47" s="5">
        <f>L46-0.88</f>
        <v>2.63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78"/>
      <c r="G48" s="78"/>
      <c r="H48" s="2029"/>
      <c r="I48" s="314" t="e">
        <f>(G48-F48)/F48*100</f>
        <v>#DIV/0!</v>
      </c>
      <c r="K48" s="319"/>
      <c r="L48" s="319">
        <v>748015</v>
      </c>
    </row>
    <row r="49" spans="2:17" s="5" customFormat="1" ht="14.25" x14ac:dyDescent="0.35">
      <c r="B49" s="300"/>
      <c r="D49" s="84"/>
      <c r="E49" s="35"/>
      <c r="F49" s="319"/>
      <c r="G49" s="319">
        <v>993759</v>
      </c>
      <c r="H49" s="11"/>
      <c r="I49" s="82"/>
    </row>
    <row r="50" spans="2:17" s="5" customFormat="1" ht="13.5" x14ac:dyDescent="0.35">
      <c r="B50" s="300"/>
      <c r="D50" s="84"/>
      <c r="E50" s="84"/>
      <c r="H50" s="11"/>
      <c r="M50" s="5">
        <f>D36*10000000</f>
        <v>1100000</v>
      </c>
      <c r="N50" s="13">
        <f>M50/10000000</f>
        <v>0.11</v>
      </c>
      <c r="O50" s="5">
        <f>M50/100000</f>
        <v>11</v>
      </c>
      <c r="Q50" s="5">
        <f>35606/100000</f>
        <v>0.35605999999999999</v>
      </c>
    </row>
    <row r="51" spans="2:17" s="5" customFormat="1" thickBot="1" x14ac:dyDescent="0.45">
      <c r="B51" s="300"/>
      <c r="D51" s="84"/>
      <c r="E51" s="84"/>
      <c r="H51" s="11"/>
      <c r="I51" s="497"/>
      <c r="J51" s="498"/>
      <c r="K51" s="499"/>
      <c r="L51" s="314" t="e">
        <f>(K51-I51)/I51*100</f>
        <v>#DIV/0!</v>
      </c>
      <c r="M51" s="314">
        <f>M50/12</f>
        <v>91666.666666666672</v>
      </c>
      <c r="N51" s="13">
        <f>M51/10000000</f>
        <v>9.1666666666666667E-3</v>
      </c>
      <c r="O51" s="11">
        <f>M51/100000</f>
        <v>0.91666666666666674</v>
      </c>
    </row>
    <row r="52" spans="2:17" s="5" customFormat="1" ht="13.5" x14ac:dyDescent="0.35">
      <c r="B52" s="300"/>
      <c r="D52" s="84">
        <v>0.19</v>
      </c>
      <c r="E52" s="84"/>
      <c r="H52" s="11"/>
      <c r="M52" s="5">
        <f>M51*11</f>
        <v>1008333.3333333334</v>
      </c>
      <c r="N52" s="13">
        <f>M52/10000000</f>
        <v>0.10083333333333333</v>
      </c>
      <c r="O52" s="12">
        <f>M52/100000</f>
        <v>10.083333333333334</v>
      </c>
    </row>
    <row r="53" spans="2:17" s="5" customFormat="1" ht="13.5" x14ac:dyDescent="0.35">
      <c r="B53" s="300"/>
      <c r="D53" s="84">
        <f>D52/12</f>
        <v>1.5833333333333335E-2</v>
      </c>
      <c r="E53" s="84">
        <f>D53/31</f>
        <v>5.1075268817204306E-4</v>
      </c>
      <c r="F53" s="5">
        <f>E53*20</f>
        <v>1.0215053763440861E-2</v>
      </c>
      <c r="G53" s="495"/>
      <c r="H53" s="11"/>
      <c r="I53" s="82"/>
      <c r="O53" s="5">
        <f>M53/100000</f>
        <v>0</v>
      </c>
    </row>
    <row r="54" spans="2:17" s="5" customFormat="1" ht="13.5" x14ac:dyDescent="0.35">
      <c r="C54" s="12"/>
      <c r="D54" s="84"/>
      <c r="E54" s="84"/>
      <c r="F54" s="495"/>
      <c r="G54" s="495"/>
      <c r="H54" s="11"/>
    </row>
    <row r="55" spans="2:17" s="5" customFormat="1" ht="13.5" x14ac:dyDescent="0.35">
      <c r="B55" s="300"/>
      <c r="D55" s="84"/>
      <c r="E55" s="84"/>
      <c r="F55" s="12"/>
      <c r="H55" s="11"/>
      <c r="I55" s="82"/>
      <c r="M55" s="5">
        <v>1100000</v>
      </c>
      <c r="N55" s="13">
        <f>M55/10000000</f>
        <v>0.11</v>
      </c>
      <c r="O55" s="5">
        <f>M55/100000</f>
        <v>11</v>
      </c>
    </row>
    <row r="56" spans="2:17" s="5" customFormat="1" ht="13.5" x14ac:dyDescent="0.35">
      <c r="B56" s="300"/>
      <c r="D56" s="84"/>
      <c r="E56" s="84"/>
      <c r="F56" s="12"/>
      <c r="H56" s="11"/>
      <c r="I56" s="82"/>
      <c r="M56" s="5">
        <f>M55/12</f>
        <v>91666.666666666672</v>
      </c>
      <c r="N56" s="13">
        <f>M56/10000000</f>
        <v>9.1666666666666667E-3</v>
      </c>
      <c r="O56" s="42">
        <f>M56/100000</f>
        <v>0.91666666666666674</v>
      </c>
    </row>
    <row r="57" spans="2:17" s="5" customFormat="1" ht="13.5" x14ac:dyDescent="0.35">
      <c r="B57" s="300"/>
      <c r="D57" s="323"/>
      <c r="E57" s="323"/>
      <c r="F57" s="12"/>
      <c r="G57" s="12"/>
      <c r="H57" s="11"/>
      <c r="I57" s="11"/>
      <c r="M57" s="5">
        <f>M56*10</f>
        <v>916666.66666666674</v>
      </c>
      <c r="N57" s="13">
        <f>M57/10000000</f>
        <v>9.1666666666666674E-2</v>
      </c>
      <c r="O57" s="12">
        <f>M57/100000</f>
        <v>9.1666666666666679</v>
      </c>
    </row>
    <row r="58" spans="2:17" s="5" customFormat="1" ht="13.5" x14ac:dyDescent="0.35">
      <c r="B58" s="300"/>
      <c r="D58" s="323"/>
      <c r="E58" s="323"/>
      <c r="F58" s="12"/>
      <c r="G58" s="12"/>
      <c r="H58" s="11"/>
      <c r="I58" s="11"/>
    </row>
    <row r="59" spans="2:17" s="5" customFormat="1" ht="13.5" x14ac:dyDescent="0.35">
      <c r="B59" s="300"/>
      <c r="D59" s="323"/>
      <c r="E59" s="323"/>
      <c r="F59" s="12"/>
      <c r="G59" s="12"/>
      <c r="H59" s="11"/>
      <c r="I59" s="11"/>
      <c r="J59" s="11"/>
      <c r="M59" s="5">
        <f>2.43*10000000</f>
        <v>24300000</v>
      </c>
    </row>
    <row r="60" spans="2:17" s="5" customFormat="1" ht="13.5" x14ac:dyDescent="0.35">
      <c r="B60" s="300"/>
      <c r="D60" s="84"/>
      <c r="E60" s="35"/>
      <c r="H60" s="11"/>
      <c r="I60" s="11"/>
      <c r="J60" s="11"/>
      <c r="M60" s="41">
        <f>M59/100000</f>
        <v>243</v>
      </c>
    </row>
    <row r="61" spans="2:17" s="5" customFormat="1" ht="13.5" x14ac:dyDescent="0.35">
      <c r="B61" s="300"/>
      <c r="D61" s="84"/>
      <c r="E61" s="35"/>
      <c r="H61" s="11"/>
      <c r="I61" s="82"/>
      <c r="M61" s="5">
        <f>M60*100000</f>
        <v>24300000</v>
      </c>
      <c r="N61" s="13">
        <f>M61/10000000</f>
        <v>2.4300000000000002</v>
      </c>
      <c r="O61" s="5">
        <f>M61/100000</f>
        <v>243</v>
      </c>
    </row>
    <row r="62" spans="2:17" s="5" customFormat="1" ht="13.5" x14ac:dyDescent="0.35">
      <c r="B62" s="300"/>
      <c r="D62" s="84"/>
      <c r="E62" s="35"/>
      <c r="H62" s="11"/>
      <c r="I62" s="82"/>
      <c r="M62" s="5">
        <f>M61/12</f>
        <v>2025000</v>
      </c>
      <c r="N62" s="13">
        <f>M62/10000000</f>
        <v>0.20250000000000001</v>
      </c>
      <c r="O62" s="12">
        <f>M62/100000</f>
        <v>20.25</v>
      </c>
    </row>
    <row r="63" spans="2:17" s="5" customFormat="1" ht="13.5" x14ac:dyDescent="0.35">
      <c r="B63" s="300"/>
      <c r="D63" s="84"/>
      <c r="E63" s="35"/>
      <c r="H63" s="11"/>
      <c r="I63" s="82"/>
      <c r="M63" s="5">
        <f>M62*10</f>
        <v>20250000</v>
      </c>
      <c r="N63" s="13">
        <f>M63/10000000</f>
        <v>2.0249999999999999</v>
      </c>
      <c r="O63" s="12">
        <f>M63/100000</f>
        <v>202.5</v>
      </c>
    </row>
    <row r="64" spans="2:17" s="5" customFormat="1" ht="13.5" x14ac:dyDescent="0.35">
      <c r="H64" s="11">
        <f>60000/100000</f>
        <v>0.6</v>
      </c>
    </row>
    <row r="65" spans="14:14" s="5" customFormat="1" ht="13.5" x14ac:dyDescent="0.35">
      <c r="N65" s="13">
        <f>N62+N51+N56</f>
        <v>0.22083333333333333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75" bottom="0.75" header="0.3" footer="0.3"/>
  <pageSetup paperSize="9" scale="37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3:AO65"/>
  <sheetViews>
    <sheetView workbookViewId="0">
      <selection activeCell="J13" sqref="J13"/>
    </sheetView>
  </sheetViews>
  <sheetFormatPr defaultRowHeight="14.25" x14ac:dyDescent="0.45"/>
  <cols>
    <col min="1" max="1" width="15.1328125" customWidth="1"/>
    <col min="2" max="2" width="11.86328125" bestFit="1" customWidth="1"/>
    <col min="3" max="3" width="9" bestFit="1" customWidth="1"/>
    <col min="4" max="4" width="9.86328125" bestFit="1" customWidth="1"/>
    <col min="5" max="5" width="10.1328125" bestFit="1" customWidth="1"/>
    <col min="6" max="6" width="11.3984375" customWidth="1"/>
    <col min="7" max="7" width="11.59765625" bestFit="1" customWidth="1"/>
    <col min="8" max="8" width="4.265625" customWidth="1"/>
    <col min="9" max="9" width="12.59765625" customWidth="1"/>
    <col min="10" max="10" width="11.86328125" customWidth="1"/>
    <col min="11" max="11" width="9" customWidth="1"/>
    <col min="12" max="12" width="9.86328125" customWidth="1"/>
    <col min="13" max="13" width="10.1328125" customWidth="1"/>
    <col min="14" max="14" width="9.1328125" customWidth="1"/>
    <col min="15" max="15" width="5" customWidth="1"/>
    <col min="16" max="16" width="12.59765625" bestFit="1" customWidth="1"/>
    <col min="17" max="17" width="12.86328125" customWidth="1"/>
    <col min="21" max="21" width="10.59765625" customWidth="1"/>
  </cols>
  <sheetData>
    <row r="3" spans="1:34" ht="14.65" thickBot="1" x14ac:dyDescent="0.5">
      <c r="A3" s="2264" t="s">
        <v>524</v>
      </c>
      <c r="B3" s="2264"/>
      <c r="C3" s="2264"/>
      <c r="D3" s="2264"/>
      <c r="E3" s="2264"/>
      <c r="F3" s="2264"/>
      <c r="G3" s="2264"/>
      <c r="I3" s="2272" t="s">
        <v>550</v>
      </c>
      <c r="J3" s="2273"/>
      <c r="K3" s="2273"/>
      <c r="L3" s="2273"/>
      <c r="M3" s="2273"/>
      <c r="N3" s="2274"/>
      <c r="P3" s="2264" t="s">
        <v>524</v>
      </c>
      <c r="Q3" s="2264"/>
      <c r="R3" s="2264"/>
      <c r="S3" s="2264"/>
      <c r="T3" s="2264"/>
      <c r="U3" s="2264"/>
      <c r="V3" s="2264"/>
      <c r="W3" s="2264"/>
      <c r="X3" s="2264"/>
      <c r="Y3" s="2264"/>
      <c r="Z3" s="2264"/>
      <c r="AA3" s="2264"/>
      <c r="AB3" s="2264"/>
    </row>
    <row r="4" spans="1:34" ht="14.65" thickBot="1" x14ac:dyDescent="0.5">
      <c r="A4" s="2278" t="s">
        <v>127</v>
      </c>
      <c r="B4" s="2280" t="s">
        <v>237</v>
      </c>
      <c r="C4" s="2281"/>
      <c r="D4" s="2282"/>
      <c r="E4" s="2283" t="s">
        <v>370</v>
      </c>
      <c r="F4" s="2285" t="s">
        <v>371</v>
      </c>
      <c r="G4" s="2283" t="s">
        <v>63</v>
      </c>
      <c r="I4" s="2271" t="s">
        <v>127</v>
      </c>
      <c r="J4" s="2275" t="s">
        <v>203</v>
      </c>
      <c r="K4" s="2276"/>
      <c r="L4" s="2276"/>
      <c r="M4" s="2276"/>
      <c r="N4" s="2277"/>
      <c r="P4" s="2265" t="s">
        <v>127</v>
      </c>
      <c r="Q4" s="2267" t="s">
        <v>237</v>
      </c>
      <c r="R4" s="2259"/>
      <c r="S4" s="2261"/>
      <c r="T4" s="2267" t="s">
        <v>492</v>
      </c>
      <c r="U4" s="2259"/>
      <c r="V4" s="2259"/>
      <c r="W4" s="2261"/>
      <c r="X4" s="2267" t="s">
        <v>494</v>
      </c>
      <c r="Y4" s="2259"/>
      <c r="Z4" s="2261"/>
      <c r="AC4" s="2268" t="s">
        <v>370</v>
      </c>
      <c r="AD4" s="2260" t="s">
        <v>492</v>
      </c>
      <c r="AE4" s="2270" t="s">
        <v>371</v>
      </c>
      <c r="AF4" s="2258" t="s">
        <v>492</v>
      </c>
      <c r="AG4" s="2262" t="s">
        <v>495</v>
      </c>
      <c r="AH4" s="2262" t="s">
        <v>496</v>
      </c>
    </row>
    <row r="5" spans="1:34" ht="25.9" thickBot="1" x14ac:dyDescent="0.5">
      <c r="A5" s="2279"/>
      <c r="B5" s="667" t="s">
        <v>94</v>
      </c>
      <c r="C5" s="668" t="s">
        <v>97</v>
      </c>
      <c r="D5" s="669" t="s">
        <v>63</v>
      </c>
      <c r="E5" s="2284"/>
      <c r="F5" s="2286"/>
      <c r="G5" s="2284"/>
      <c r="I5" s="2271"/>
      <c r="J5" s="693" t="s">
        <v>490</v>
      </c>
      <c r="K5" s="693" t="s">
        <v>355</v>
      </c>
      <c r="L5" s="693" t="s">
        <v>447</v>
      </c>
      <c r="M5" s="693" t="s">
        <v>448</v>
      </c>
      <c r="N5" s="98" t="s">
        <v>63</v>
      </c>
      <c r="P5" s="2266"/>
      <c r="Q5" s="711" t="s">
        <v>94</v>
      </c>
      <c r="R5" s="690" t="s">
        <v>97</v>
      </c>
      <c r="S5" s="706" t="s">
        <v>63</v>
      </c>
      <c r="T5" s="721" t="s">
        <v>94</v>
      </c>
      <c r="U5" s="908" t="s">
        <v>493</v>
      </c>
      <c r="V5" s="694" t="s">
        <v>228</v>
      </c>
      <c r="W5" s="719" t="s">
        <v>63</v>
      </c>
      <c r="X5" s="711" t="s">
        <v>94</v>
      </c>
      <c r="Y5" s="690" t="s">
        <v>97</v>
      </c>
      <c r="Z5" s="706" t="s">
        <v>63</v>
      </c>
      <c r="AC5" s="2269"/>
      <c r="AD5" s="2261"/>
      <c r="AE5" s="2270"/>
      <c r="AF5" s="2259"/>
      <c r="AG5" s="2263"/>
      <c r="AH5" s="2259"/>
    </row>
    <row r="6" spans="1:34" x14ac:dyDescent="0.45">
      <c r="A6" s="670" t="s">
        <v>131</v>
      </c>
      <c r="B6" s="671">
        <v>0.16</v>
      </c>
      <c r="C6" s="852">
        <v>68.09</v>
      </c>
      <c r="D6" s="673">
        <f>SUM(B6:C6)</f>
        <v>68.25</v>
      </c>
      <c r="E6" s="674">
        <v>11.57</v>
      </c>
      <c r="F6" s="674">
        <v>5.0999999999999996</v>
      </c>
      <c r="G6" s="674">
        <f>SUM(D6:F6)</f>
        <v>84.919999999999987</v>
      </c>
      <c r="I6" s="672" t="s">
        <v>131</v>
      </c>
      <c r="J6" s="907">
        <v>0.33700000000000002</v>
      </c>
      <c r="K6" s="695">
        <v>0.21340000000000001</v>
      </c>
      <c r="L6" s="695">
        <v>0.12833</v>
      </c>
      <c r="M6" s="696"/>
      <c r="N6" s="103">
        <f>J6+K6+L6+M6</f>
        <v>0.67873000000000006</v>
      </c>
      <c r="P6" s="675" t="s">
        <v>131</v>
      </c>
      <c r="Q6" s="712">
        <v>0.16</v>
      </c>
      <c r="R6" s="704">
        <v>68.09</v>
      </c>
      <c r="S6" s="707">
        <f>SUM(Q6:R6)</f>
        <v>68.25</v>
      </c>
      <c r="T6" s="712">
        <f>'actual fig'!L44/10000000</f>
        <v>3.9327188999999999E-2</v>
      </c>
      <c r="U6" s="704">
        <f>'actual fig'!M44/10000000</f>
        <v>3.6509699999999999E-2</v>
      </c>
      <c r="V6" s="704">
        <f>'actual fig'!N44/10000000</f>
        <v>32.656234300000001</v>
      </c>
      <c r="W6" s="703">
        <f>SUM(T6:V6)</f>
        <v>32.732071189000003</v>
      </c>
      <c r="X6" s="103">
        <f>(T6-Q6)/Q6*100</f>
        <v>-75.420506875000001</v>
      </c>
      <c r="Y6" s="103">
        <f>((U6+V6)-R6)/R6*100</f>
        <v>-51.985983257453363</v>
      </c>
      <c r="Z6" s="103">
        <f>(W6-S6)/S6*100</f>
        <v>-52.040921334798526</v>
      </c>
      <c r="AC6" s="712">
        <v>11.57</v>
      </c>
      <c r="AD6" s="707">
        <f>'APRIL-21'!G7</f>
        <v>19.54</v>
      </c>
      <c r="AE6" s="705">
        <v>5.0999999999999996</v>
      </c>
      <c r="AF6" s="704">
        <f>'APRIL-21'!G8</f>
        <v>5.9256177999999995</v>
      </c>
      <c r="AG6" s="704">
        <f>S6+AC6+AE6</f>
        <v>84.919999999999987</v>
      </c>
      <c r="AH6" s="229">
        <f>W6+AD6+AF6</f>
        <v>58.197688989</v>
      </c>
    </row>
    <row r="7" spans="1:34" x14ac:dyDescent="0.45">
      <c r="A7" s="675" t="s">
        <v>132</v>
      </c>
      <c r="B7" s="676">
        <v>0.18</v>
      </c>
      <c r="C7" s="704">
        <v>75.430000000000007</v>
      </c>
      <c r="D7" s="673">
        <f>SUM(B7:C7)</f>
        <v>75.610000000000014</v>
      </c>
      <c r="E7" s="675">
        <v>12.42</v>
      </c>
      <c r="F7" s="675">
        <v>8.61</v>
      </c>
      <c r="G7" s="675">
        <f t="shared" ref="G7:G27" si="0">SUM(D7:F7)</f>
        <v>96.640000000000015</v>
      </c>
      <c r="I7" s="677" t="s">
        <v>132</v>
      </c>
      <c r="J7" s="907">
        <v>0.33700000000000002</v>
      </c>
      <c r="K7" s="695">
        <v>0.21340000000000001</v>
      </c>
      <c r="L7" s="213">
        <v>0.12833</v>
      </c>
      <c r="M7" s="98"/>
      <c r="N7" s="103">
        <f t="shared" ref="N7:N27" si="1">J7+K7+L7+M7</f>
        <v>0.67873000000000006</v>
      </c>
      <c r="P7" s="675" t="s">
        <v>132</v>
      </c>
      <c r="Q7" s="712">
        <v>0.18</v>
      </c>
      <c r="R7" s="704">
        <v>75.430000000000007</v>
      </c>
      <c r="S7" s="707">
        <f>SUM(Q7:R7)</f>
        <v>75.610000000000014</v>
      </c>
      <c r="T7" s="712">
        <f>'actual fig'!L45/10000000</f>
        <v>3.6307567999999998E-2</v>
      </c>
      <c r="U7" s="704">
        <f>'actual fig'!M45/10000000</f>
        <v>2.4538000000000001E-2</v>
      </c>
      <c r="V7" s="704">
        <f>'actual fig'!N45/10000000</f>
        <v>15.4465646</v>
      </c>
      <c r="W7" s="703">
        <f>SUM(T7:V7)</f>
        <v>15.507410168</v>
      </c>
      <c r="X7" s="103">
        <f t="shared" ref="X7:X28" si="2">(T7-Q7)/Q7*100</f>
        <v>-79.829128888888874</v>
      </c>
      <c r="Y7" s="103">
        <f t="shared" ref="Y7:Y28" si="3">((U7+V7)-R7)/R7*100</f>
        <v>-79.489456979981441</v>
      </c>
      <c r="Z7" s="103">
        <f t="shared" ref="Z7:Z28" si="4">(W7-S7)/S7*100</f>
        <v>-79.490265615659311</v>
      </c>
      <c r="AC7" s="712">
        <v>12.42</v>
      </c>
      <c r="AD7" s="707">
        <f>'MAY-21'!G7</f>
        <v>20.642501600000003</v>
      </c>
      <c r="AE7" s="705">
        <v>8.61</v>
      </c>
      <c r="AF7" s="704">
        <f>'MAY-21'!G8</f>
        <v>3.6509244000000005</v>
      </c>
      <c r="AG7" s="704">
        <f>S7+AC7+AE7</f>
        <v>96.640000000000015</v>
      </c>
      <c r="AH7" s="229">
        <f>W7+AD7+AF7</f>
        <v>39.800836168000004</v>
      </c>
    </row>
    <row r="8" spans="1:34" x14ac:dyDescent="0.45">
      <c r="A8" s="679" t="s">
        <v>204</v>
      </c>
      <c r="B8" s="680">
        <f>SUM(B6:B7)</f>
        <v>0.33999999999999997</v>
      </c>
      <c r="C8" s="701">
        <f>SUM(C6:C7)</f>
        <v>143.52000000000001</v>
      </c>
      <c r="D8" s="682">
        <f>SUM(B8:C8)</f>
        <v>143.86000000000001</v>
      </c>
      <c r="E8" s="679">
        <f>SUM(E6:E7)</f>
        <v>23.990000000000002</v>
      </c>
      <c r="F8" s="679">
        <f>SUM(F6:F7)</f>
        <v>13.709999999999999</v>
      </c>
      <c r="G8" s="679">
        <f>SUM(G6:G7)</f>
        <v>181.56</v>
      </c>
      <c r="I8" s="681" t="s">
        <v>204</v>
      </c>
      <c r="J8" s="692">
        <f>SUM(J6:J7)</f>
        <v>0.67400000000000004</v>
      </c>
      <c r="K8" s="692">
        <f>SUM(K6:K7)</f>
        <v>0.42680000000000001</v>
      </c>
      <c r="L8" s="692">
        <f>SUM(L6:L7)</f>
        <v>0.25666</v>
      </c>
      <c r="M8" s="692">
        <f>SUM(M6:M7)</f>
        <v>0</v>
      </c>
      <c r="N8" s="600">
        <f t="shared" si="1"/>
        <v>1.3574600000000001</v>
      </c>
      <c r="P8" s="679" t="s">
        <v>204</v>
      </c>
      <c r="Q8" s="685">
        <f t="shared" ref="Q8:W8" si="5">SUM(Q6:Q7)</f>
        <v>0.33999999999999997</v>
      </c>
      <c r="R8" s="701">
        <f t="shared" si="5"/>
        <v>143.52000000000001</v>
      </c>
      <c r="S8" s="708">
        <f t="shared" si="5"/>
        <v>143.86000000000001</v>
      </c>
      <c r="T8" s="685">
        <f t="shared" si="5"/>
        <v>7.5634756999999997E-2</v>
      </c>
      <c r="U8" s="701">
        <f t="shared" si="5"/>
        <v>6.1047699999999996E-2</v>
      </c>
      <c r="V8" s="701">
        <f t="shared" si="5"/>
        <v>48.102798900000003</v>
      </c>
      <c r="W8" s="722">
        <f t="shared" si="5"/>
        <v>48.239481357000003</v>
      </c>
      <c r="X8" s="103">
        <f t="shared" si="2"/>
        <v>-77.754483235294117</v>
      </c>
      <c r="Y8" s="103">
        <f t="shared" si="3"/>
        <v>-66.441021042363431</v>
      </c>
      <c r="Z8" s="103">
        <f t="shared" si="4"/>
        <v>-66.467759379257615</v>
      </c>
      <c r="AC8" s="685">
        <f t="shared" ref="AC8:AH8" si="6">SUM(AC6:AC7)</f>
        <v>23.990000000000002</v>
      </c>
      <c r="AD8" s="708">
        <f t="shared" si="6"/>
        <v>40.182501600000002</v>
      </c>
      <c r="AE8" s="702">
        <f t="shared" si="6"/>
        <v>13.709999999999999</v>
      </c>
      <c r="AF8" s="701">
        <f t="shared" si="6"/>
        <v>9.5765422000000004</v>
      </c>
      <c r="AG8" s="701">
        <f t="shared" si="6"/>
        <v>181.56</v>
      </c>
      <c r="AH8" s="701">
        <f t="shared" si="6"/>
        <v>97.998525157000003</v>
      </c>
    </row>
    <row r="9" spans="1:34" x14ac:dyDescent="0.45">
      <c r="A9" s="675" t="s">
        <v>133</v>
      </c>
      <c r="B9" s="676">
        <v>0.17</v>
      </c>
      <c r="C9" s="704">
        <v>71.95</v>
      </c>
      <c r="D9" s="678">
        <f>SUM(B9:C9)</f>
        <v>72.12</v>
      </c>
      <c r="E9" s="675">
        <v>11.88</v>
      </c>
      <c r="F9" s="675">
        <v>3.22</v>
      </c>
      <c r="G9" s="675">
        <f t="shared" si="0"/>
        <v>87.22</v>
      </c>
      <c r="I9" s="677" t="s">
        <v>133</v>
      </c>
      <c r="J9" s="698">
        <v>0.33700000000000002</v>
      </c>
      <c r="K9" s="695">
        <v>0.21340000000000001</v>
      </c>
      <c r="L9" s="213">
        <v>0.12833</v>
      </c>
      <c r="M9" s="98"/>
      <c r="N9" s="103">
        <f t="shared" si="1"/>
        <v>0.67873000000000006</v>
      </c>
      <c r="P9" s="675" t="s">
        <v>133</v>
      </c>
      <c r="Q9" s="712">
        <v>0.17</v>
      </c>
      <c r="R9" s="704">
        <v>71.95</v>
      </c>
      <c r="S9" s="707">
        <f>SUM(Q9:R9)</f>
        <v>72.12</v>
      </c>
      <c r="T9" s="712">
        <f>'actual fig'!L46/10000000</f>
        <v>5.7094699999999998E-2</v>
      </c>
      <c r="U9" s="704">
        <f>'actual fig'!M46/10000000</f>
        <v>4.4491200000000002E-2</v>
      </c>
      <c r="V9" s="704">
        <f>'actual fig'!N46/10000000</f>
        <v>30.417207300000001</v>
      </c>
      <c r="W9" s="703">
        <f>SUM(T9:V9)</f>
        <v>30.518793200000001</v>
      </c>
      <c r="X9" s="103">
        <f t="shared" si="2"/>
        <v>-66.414882352941191</v>
      </c>
      <c r="Y9" s="103">
        <f t="shared" si="3"/>
        <v>-57.662684503127181</v>
      </c>
      <c r="Z9" s="103">
        <f t="shared" si="4"/>
        <v>-57.683315030504708</v>
      </c>
      <c r="AC9" s="712">
        <v>11.88</v>
      </c>
      <c r="AD9" s="707">
        <f>'JUNE-21'!G7</f>
        <v>13.885429799999999</v>
      </c>
      <c r="AE9" s="705">
        <v>3.22</v>
      </c>
      <c r="AF9" s="704">
        <f>'JUNE-21'!G8</f>
        <v>3.547342</v>
      </c>
      <c r="AG9" s="704">
        <f>S9+AC9+AE9</f>
        <v>87.22</v>
      </c>
      <c r="AH9" s="229">
        <f>W9+AD9+AF9</f>
        <v>47.951565000000002</v>
      </c>
    </row>
    <row r="10" spans="1:34" x14ac:dyDescent="0.45">
      <c r="A10" s="679" t="s">
        <v>205</v>
      </c>
      <c r="B10" s="680">
        <f t="shared" ref="B10:G10" si="7">SUM(B8:B9)</f>
        <v>0.51</v>
      </c>
      <c r="C10" s="701">
        <f t="shared" si="7"/>
        <v>215.47000000000003</v>
      </c>
      <c r="D10" s="683">
        <f t="shared" si="7"/>
        <v>215.98000000000002</v>
      </c>
      <c r="E10" s="679">
        <f t="shared" si="7"/>
        <v>35.870000000000005</v>
      </c>
      <c r="F10" s="679">
        <f t="shared" si="7"/>
        <v>16.93</v>
      </c>
      <c r="G10" s="679">
        <f t="shared" si="7"/>
        <v>268.77999999999997</v>
      </c>
      <c r="I10" s="681" t="s">
        <v>205</v>
      </c>
      <c r="J10" s="692">
        <f>SUM(J8:J9)</f>
        <v>1.0110000000000001</v>
      </c>
      <c r="K10" s="692">
        <f>SUM(K8:K9)</f>
        <v>0.64019999999999999</v>
      </c>
      <c r="L10" s="692">
        <f>SUM(L8:L9)</f>
        <v>0.38499</v>
      </c>
      <c r="M10" s="692">
        <f>SUM(M8:M9)</f>
        <v>0</v>
      </c>
      <c r="N10" s="600">
        <f t="shared" si="1"/>
        <v>2.0361900000000004</v>
      </c>
      <c r="P10" s="679" t="s">
        <v>205</v>
      </c>
      <c r="Q10" s="685">
        <f t="shared" ref="Q10:V10" si="8">SUM(Q8:Q9)</f>
        <v>0.51</v>
      </c>
      <c r="R10" s="701">
        <f t="shared" si="8"/>
        <v>215.47000000000003</v>
      </c>
      <c r="S10" s="708">
        <f t="shared" si="8"/>
        <v>215.98000000000002</v>
      </c>
      <c r="T10" s="685">
        <f t="shared" si="8"/>
        <v>0.132729457</v>
      </c>
      <c r="U10" s="701">
        <f t="shared" si="8"/>
        <v>0.10553889999999999</v>
      </c>
      <c r="V10" s="701">
        <f t="shared" si="8"/>
        <v>78.520006200000012</v>
      </c>
      <c r="W10" s="722">
        <f>SUM(W8:W9)</f>
        <v>78.758274557000007</v>
      </c>
      <c r="X10" s="103">
        <f t="shared" si="2"/>
        <v>-73.974616274509813</v>
      </c>
      <c r="Y10" s="103">
        <f t="shared" si="3"/>
        <v>-63.509748410451571</v>
      </c>
      <c r="Z10" s="103">
        <f t="shared" si="4"/>
        <v>-63.534459414297629</v>
      </c>
      <c r="AC10" s="685">
        <f t="shared" ref="AC10:AH10" si="9">SUM(AC8:AC9)</f>
        <v>35.870000000000005</v>
      </c>
      <c r="AD10" s="708">
        <f t="shared" si="9"/>
        <v>54.067931399999999</v>
      </c>
      <c r="AE10" s="702">
        <f t="shared" si="9"/>
        <v>16.93</v>
      </c>
      <c r="AF10" s="701">
        <f t="shared" si="9"/>
        <v>13.123884200000001</v>
      </c>
      <c r="AG10" s="701">
        <f t="shared" si="9"/>
        <v>268.77999999999997</v>
      </c>
      <c r="AH10" s="701">
        <f t="shared" si="9"/>
        <v>145.95009015700001</v>
      </c>
    </row>
    <row r="11" spans="1:34" x14ac:dyDescent="0.45">
      <c r="A11" s="675" t="s">
        <v>51</v>
      </c>
      <c r="B11" s="676">
        <v>0.17</v>
      </c>
      <c r="C11" s="704">
        <v>71.290000000000006</v>
      </c>
      <c r="D11" s="678">
        <f>SUM(B11:C11)</f>
        <v>71.460000000000008</v>
      </c>
      <c r="E11" s="675">
        <v>9.6300000000000008</v>
      </c>
      <c r="F11" s="675">
        <v>4.12</v>
      </c>
      <c r="G11" s="675">
        <f t="shared" si="0"/>
        <v>85.210000000000008</v>
      </c>
      <c r="I11" s="677" t="s">
        <v>51</v>
      </c>
      <c r="J11" s="698">
        <v>0.33700000000000002</v>
      </c>
      <c r="K11" s="695">
        <v>0.21340000000000001</v>
      </c>
      <c r="L11" s="213">
        <v>0.12833</v>
      </c>
      <c r="M11" s="98"/>
      <c r="N11" s="103">
        <f t="shared" si="1"/>
        <v>0.67873000000000006</v>
      </c>
      <c r="P11" s="675" t="s">
        <v>51</v>
      </c>
      <c r="Q11" s="712">
        <v>0.17</v>
      </c>
      <c r="R11" s="704">
        <v>71.290000000000006</v>
      </c>
      <c r="S11" s="707">
        <f>SUM(Q11:R11)</f>
        <v>71.460000000000008</v>
      </c>
      <c r="T11" s="712">
        <f>'actual fig'!L47/10000000</f>
        <v>6.56606E-2</v>
      </c>
      <c r="U11" s="704">
        <f>'actual fig'!M47/10000000</f>
        <v>5.0837E-2</v>
      </c>
      <c r="V11" s="704">
        <f>'actual fig'!N47/10000000</f>
        <v>45.107382000000001</v>
      </c>
      <c r="W11" s="703">
        <f>SUM(T11:V11)</f>
        <v>45.223879600000004</v>
      </c>
      <c r="X11" s="103">
        <f t="shared" si="2"/>
        <v>-61.376117647058827</v>
      </c>
      <c r="Y11" s="103">
        <f t="shared" si="3"/>
        <v>-36.655605274232009</v>
      </c>
      <c r="Z11" s="103">
        <f t="shared" si="4"/>
        <v>-36.714414217744192</v>
      </c>
      <c r="AC11" s="712">
        <v>9.6300000000000008</v>
      </c>
      <c r="AD11" s="707"/>
      <c r="AE11" s="705">
        <v>4.12</v>
      </c>
      <c r="AF11" s="704"/>
      <c r="AG11" s="704">
        <f>S11+AC11+AE11</f>
        <v>85.210000000000008</v>
      </c>
      <c r="AH11" s="229">
        <f>W11+AD11+AF11</f>
        <v>45.223879600000004</v>
      </c>
    </row>
    <row r="12" spans="1:34" x14ac:dyDescent="0.45">
      <c r="A12" s="679" t="s">
        <v>207</v>
      </c>
      <c r="B12" s="680">
        <f t="shared" ref="B12:G12" si="10">SUM(B10:B11)</f>
        <v>0.68</v>
      </c>
      <c r="C12" s="701">
        <f t="shared" si="10"/>
        <v>286.76000000000005</v>
      </c>
      <c r="D12" s="683">
        <f t="shared" si="10"/>
        <v>287.44000000000005</v>
      </c>
      <c r="E12" s="679">
        <f t="shared" si="10"/>
        <v>45.500000000000007</v>
      </c>
      <c r="F12" s="679">
        <f t="shared" si="10"/>
        <v>21.05</v>
      </c>
      <c r="G12" s="679">
        <f t="shared" si="10"/>
        <v>353.99</v>
      </c>
      <c r="I12" s="681" t="s">
        <v>207</v>
      </c>
      <c r="J12" s="692">
        <f>SUM(J10:J11)</f>
        <v>1.3480000000000001</v>
      </c>
      <c r="K12" s="692">
        <f>SUM(K10:K11)</f>
        <v>0.85360000000000003</v>
      </c>
      <c r="L12" s="692">
        <f>SUM(L10:L11)</f>
        <v>0.51332</v>
      </c>
      <c r="M12" s="692">
        <f>SUM(M10:M11)</f>
        <v>0</v>
      </c>
      <c r="N12" s="600">
        <f t="shared" si="1"/>
        <v>2.7149200000000002</v>
      </c>
      <c r="P12" s="679" t="s">
        <v>207</v>
      </c>
      <c r="Q12" s="685">
        <f t="shared" ref="Q12:W12" si="11">SUM(Q10:Q11)</f>
        <v>0.68</v>
      </c>
      <c r="R12" s="701">
        <f t="shared" si="11"/>
        <v>286.76000000000005</v>
      </c>
      <c r="S12" s="708">
        <f t="shared" si="11"/>
        <v>287.44000000000005</v>
      </c>
      <c r="T12" s="685">
        <f t="shared" si="11"/>
        <v>0.19839005700000001</v>
      </c>
      <c r="U12" s="701">
        <f t="shared" si="11"/>
        <v>0.15637589999999998</v>
      </c>
      <c r="V12" s="701">
        <f t="shared" si="11"/>
        <v>123.62738820000001</v>
      </c>
      <c r="W12" s="722">
        <f t="shared" si="11"/>
        <v>123.98215415700001</v>
      </c>
      <c r="X12" s="103">
        <f t="shared" si="2"/>
        <v>-70.824991617647058</v>
      </c>
      <c r="Y12" s="103">
        <f t="shared" si="3"/>
        <v>-56.83367132793974</v>
      </c>
      <c r="Z12" s="103">
        <f t="shared" si="4"/>
        <v>-56.866770749721681</v>
      </c>
      <c r="AC12" s="685">
        <f>SUM(AC10:AC11)</f>
        <v>45.500000000000007</v>
      </c>
      <c r="AD12" s="708"/>
      <c r="AE12" s="702">
        <f>SUM(AE10:AE11)</f>
        <v>21.05</v>
      </c>
      <c r="AF12" s="701"/>
      <c r="AG12" s="701">
        <f>SUM(AG10:AG11)</f>
        <v>353.99</v>
      </c>
      <c r="AH12" s="701">
        <f>SUM(AH10:AH11)</f>
        <v>191.17396975700001</v>
      </c>
    </row>
    <row r="13" spans="1:34" x14ac:dyDescent="0.45">
      <c r="A13" s="675" t="s">
        <v>134</v>
      </c>
      <c r="B13" s="676">
        <v>0.14000000000000001</v>
      </c>
      <c r="C13" s="704">
        <v>62.13</v>
      </c>
      <c r="D13" s="678">
        <f>SUM(B13:C13)</f>
        <v>62.27</v>
      </c>
      <c r="E13" s="675">
        <v>8.61</v>
      </c>
      <c r="F13" s="675">
        <v>5.48</v>
      </c>
      <c r="G13" s="675">
        <f t="shared" si="0"/>
        <v>76.36</v>
      </c>
      <c r="I13" s="677" t="s">
        <v>134</v>
      </c>
      <c r="J13" s="698">
        <v>0.33700000000000002</v>
      </c>
      <c r="K13" s="695">
        <v>0.21340000000000001</v>
      </c>
      <c r="L13" s="213">
        <v>0.12833</v>
      </c>
      <c r="M13" s="98"/>
      <c r="N13" s="103">
        <f t="shared" si="1"/>
        <v>0.67873000000000006</v>
      </c>
      <c r="P13" s="675" t="s">
        <v>134</v>
      </c>
      <c r="Q13" s="712">
        <v>0.14000000000000001</v>
      </c>
      <c r="R13" s="704">
        <v>62.13</v>
      </c>
      <c r="S13" s="707">
        <f>SUM(Q13:R13)</f>
        <v>62.27</v>
      </c>
      <c r="T13" s="712"/>
      <c r="U13" s="704"/>
      <c r="V13" s="704">
        <f>SUM(T13:U13)</f>
        <v>0</v>
      </c>
      <c r="W13" s="703"/>
      <c r="X13" s="103">
        <f t="shared" si="2"/>
        <v>-100</v>
      </c>
      <c r="Y13" s="103">
        <f t="shared" si="3"/>
        <v>-100</v>
      </c>
      <c r="Z13" s="103">
        <f t="shared" si="4"/>
        <v>-100</v>
      </c>
      <c r="AC13" s="712">
        <v>8.61</v>
      </c>
      <c r="AD13" s="707"/>
      <c r="AE13" s="705">
        <v>5.48</v>
      </c>
      <c r="AF13" s="704"/>
      <c r="AG13" s="704">
        <f>S13+AC13+AE13</f>
        <v>76.36</v>
      </c>
      <c r="AH13" s="229">
        <f>W13+AD13+AF13</f>
        <v>0</v>
      </c>
    </row>
    <row r="14" spans="1:34" x14ac:dyDescent="0.45">
      <c r="A14" s="679" t="s">
        <v>208</v>
      </c>
      <c r="B14" s="680">
        <f t="shared" ref="B14:G14" si="12">SUM(B12:B13)</f>
        <v>0.82000000000000006</v>
      </c>
      <c r="C14" s="701">
        <f t="shared" si="12"/>
        <v>348.89000000000004</v>
      </c>
      <c r="D14" s="683">
        <f t="shared" si="12"/>
        <v>349.71000000000004</v>
      </c>
      <c r="E14" s="679">
        <f t="shared" si="12"/>
        <v>54.110000000000007</v>
      </c>
      <c r="F14" s="679">
        <f t="shared" si="12"/>
        <v>26.53</v>
      </c>
      <c r="G14" s="679">
        <f t="shared" si="12"/>
        <v>430.35</v>
      </c>
      <c r="I14" s="681" t="s">
        <v>208</v>
      </c>
      <c r="J14" s="692">
        <f>SUM(J12:J13)</f>
        <v>1.6850000000000001</v>
      </c>
      <c r="K14" s="692">
        <f>SUM(K12:K13)</f>
        <v>1.0669999999999999</v>
      </c>
      <c r="L14" s="692">
        <f>SUM(L12:L13)</f>
        <v>0.64165000000000005</v>
      </c>
      <c r="M14" s="692">
        <f>SUM(M12:M13)</f>
        <v>0</v>
      </c>
      <c r="N14" s="600">
        <f t="shared" si="1"/>
        <v>3.3936500000000001</v>
      </c>
      <c r="P14" s="679" t="s">
        <v>208</v>
      </c>
      <c r="Q14" s="685">
        <f t="shared" ref="Q14:W14" si="13">SUM(Q12:Q13)</f>
        <v>0.82000000000000006</v>
      </c>
      <c r="R14" s="701">
        <f t="shared" si="13"/>
        <v>348.89000000000004</v>
      </c>
      <c r="S14" s="708">
        <f t="shared" si="13"/>
        <v>349.71000000000004</v>
      </c>
      <c r="T14" s="685">
        <f t="shared" si="13"/>
        <v>0.19839005700000001</v>
      </c>
      <c r="U14" s="701">
        <f t="shared" si="13"/>
        <v>0.15637589999999998</v>
      </c>
      <c r="V14" s="701">
        <f t="shared" si="13"/>
        <v>123.62738820000001</v>
      </c>
      <c r="W14" s="722">
        <f t="shared" si="13"/>
        <v>123.98215415700001</v>
      </c>
      <c r="X14" s="103">
        <f t="shared" si="2"/>
        <v>-75.806090609756097</v>
      </c>
      <c r="Y14" s="103">
        <f t="shared" si="3"/>
        <v>-64.520690160222415</v>
      </c>
      <c r="Z14" s="103">
        <f t="shared" si="4"/>
        <v>-64.547152166938318</v>
      </c>
      <c r="AC14" s="685">
        <f>SUM(AC12:AC13)</f>
        <v>54.110000000000007</v>
      </c>
      <c r="AD14" s="708"/>
      <c r="AE14" s="702">
        <f>SUM(AE12:AE13)</f>
        <v>26.53</v>
      </c>
      <c r="AF14" s="701"/>
      <c r="AG14" s="701">
        <f>SUM(AG12:AG13)</f>
        <v>430.35</v>
      </c>
      <c r="AH14" s="701">
        <f>SUM(AH12:AH13)</f>
        <v>191.17396975700001</v>
      </c>
    </row>
    <row r="15" spans="1:34" x14ac:dyDescent="0.45">
      <c r="A15" s="675" t="s">
        <v>135</v>
      </c>
      <c r="B15" s="676">
        <v>0.16</v>
      </c>
      <c r="C15" s="704">
        <v>66.77</v>
      </c>
      <c r="D15" s="678">
        <f>SUM(B15:C15)</f>
        <v>66.929999999999993</v>
      </c>
      <c r="E15" s="675">
        <v>7.99</v>
      </c>
      <c r="F15" s="675">
        <v>5</v>
      </c>
      <c r="G15" s="675">
        <f t="shared" si="0"/>
        <v>79.919999999999987</v>
      </c>
      <c r="I15" s="677" t="s">
        <v>135</v>
      </c>
      <c r="J15" s="698">
        <v>0.33700000000000002</v>
      </c>
      <c r="K15" s="695">
        <v>0.21340000000000001</v>
      </c>
      <c r="L15" s="213">
        <v>0.12833</v>
      </c>
      <c r="M15" s="98"/>
      <c r="N15" s="103">
        <f t="shared" si="1"/>
        <v>0.67873000000000006</v>
      </c>
      <c r="P15" s="675" t="s">
        <v>135</v>
      </c>
      <c r="Q15" s="712">
        <v>0.16</v>
      </c>
      <c r="R15" s="704">
        <v>66.77</v>
      </c>
      <c r="S15" s="707">
        <f>SUM(Q15:R15)</f>
        <v>66.929999999999993</v>
      </c>
      <c r="T15" s="712"/>
      <c r="U15" s="704"/>
      <c r="V15" s="704">
        <f>SUM(T15:U15)</f>
        <v>0</v>
      </c>
      <c r="W15" s="703"/>
      <c r="X15" s="103">
        <f t="shared" si="2"/>
        <v>-100</v>
      </c>
      <c r="Y15" s="103">
        <f t="shared" si="3"/>
        <v>-100</v>
      </c>
      <c r="Z15" s="103">
        <f t="shared" si="4"/>
        <v>-100</v>
      </c>
      <c r="AC15" s="712">
        <v>7.99</v>
      </c>
      <c r="AD15" s="707"/>
      <c r="AE15" s="705">
        <v>5</v>
      </c>
      <c r="AF15" s="704"/>
      <c r="AG15" s="704">
        <f>S15+AC15+AE15</f>
        <v>79.919999999999987</v>
      </c>
      <c r="AH15" s="229">
        <f>W15+AD15+AF15</f>
        <v>0</v>
      </c>
    </row>
    <row r="16" spans="1:34" x14ac:dyDescent="0.45">
      <c r="A16" s="679" t="s">
        <v>209</v>
      </c>
      <c r="B16" s="680">
        <f t="shared" ref="B16:G16" si="14">SUM(B14:B15)</f>
        <v>0.98000000000000009</v>
      </c>
      <c r="C16" s="701">
        <f t="shared" si="14"/>
        <v>415.66</v>
      </c>
      <c r="D16" s="683">
        <f t="shared" si="14"/>
        <v>416.64000000000004</v>
      </c>
      <c r="E16" s="679">
        <f t="shared" si="14"/>
        <v>62.100000000000009</v>
      </c>
      <c r="F16" s="679">
        <f t="shared" si="14"/>
        <v>31.53</v>
      </c>
      <c r="G16" s="679">
        <f t="shared" si="14"/>
        <v>510.27</v>
      </c>
      <c r="I16" s="681" t="s">
        <v>209</v>
      </c>
      <c r="J16" s="692">
        <f>SUM(J14:J15)</f>
        <v>2.0220000000000002</v>
      </c>
      <c r="K16" s="692">
        <f>SUM(K14:K15)</f>
        <v>1.2804</v>
      </c>
      <c r="L16" s="692">
        <f>SUM(L14:L15)</f>
        <v>0.76998000000000011</v>
      </c>
      <c r="M16" s="692">
        <f>SUM(M14:M15)</f>
        <v>0</v>
      </c>
      <c r="N16" s="600">
        <f t="shared" si="1"/>
        <v>4.0723800000000008</v>
      </c>
      <c r="P16" s="679" t="s">
        <v>209</v>
      </c>
      <c r="Q16" s="685">
        <f t="shared" ref="Q16:W16" si="15">SUM(Q14:Q15)</f>
        <v>0.98000000000000009</v>
      </c>
      <c r="R16" s="701">
        <f t="shared" si="15"/>
        <v>415.66</v>
      </c>
      <c r="S16" s="708">
        <f t="shared" si="15"/>
        <v>416.64000000000004</v>
      </c>
      <c r="T16" s="685">
        <f t="shared" si="15"/>
        <v>0.19839005700000001</v>
      </c>
      <c r="U16" s="701">
        <f t="shared" si="15"/>
        <v>0.15637589999999998</v>
      </c>
      <c r="V16" s="701">
        <f t="shared" si="15"/>
        <v>123.62738820000001</v>
      </c>
      <c r="W16" s="722">
        <f t="shared" si="15"/>
        <v>123.98215415700001</v>
      </c>
      <c r="X16" s="103">
        <f t="shared" si="2"/>
        <v>-79.756116632653061</v>
      </c>
      <c r="Y16" s="103">
        <f t="shared" si="3"/>
        <v>-70.219948010393097</v>
      </c>
      <c r="Z16" s="103">
        <f t="shared" si="4"/>
        <v>-70.242378514544924</v>
      </c>
      <c r="AC16" s="685">
        <f>SUM(AC14:AC15)</f>
        <v>62.100000000000009</v>
      </c>
      <c r="AD16" s="708"/>
      <c r="AE16" s="702">
        <f>SUM(AE14:AE15)</f>
        <v>31.53</v>
      </c>
      <c r="AF16" s="701"/>
      <c r="AG16" s="701">
        <f>SUM(AG14:AG15)</f>
        <v>510.27</v>
      </c>
      <c r="AH16" s="701">
        <f>SUM(AH14:AH15)</f>
        <v>191.17396975700001</v>
      </c>
    </row>
    <row r="17" spans="1:41" x14ac:dyDescent="0.45">
      <c r="A17" s="675" t="s">
        <v>136</v>
      </c>
      <c r="B17" s="676">
        <v>0.12</v>
      </c>
      <c r="C17" s="704">
        <v>52.5</v>
      </c>
      <c r="D17" s="678">
        <f>SUM(B17:C17)</f>
        <v>52.62</v>
      </c>
      <c r="E17" s="675">
        <v>8.0500000000000007</v>
      </c>
      <c r="F17" s="675">
        <v>4.63</v>
      </c>
      <c r="G17" s="675">
        <f t="shared" si="0"/>
        <v>65.3</v>
      </c>
      <c r="I17" s="677" t="s">
        <v>136</v>
      </c>
      <c r="J17" s="698">
        <v>0.33700000000000002</v>
      </c>
      <c r="K17" s="695">
        <v>0.21340000000000001</v>
      </c>
      <c r="L17" s="213">
        <v>0.12833</v>
      </c>
      <c r="M17" s="98"/>
      <c r="N17" s="103">
        <f t="shared" si="1"/>
        <v>0.67873000000000006</v>
      </c>
      <c r="P17" s="675" t="s">
        <v>136</v>
      </c>
      <c r="Q17" s="712">
        <v>0.12</v>
      </c>
      <c r="R17" s="704">
        <v>52.5</v>
      </c>
      <c r="S17" s="707">
        <f>SUM(Q17:R17)</f>
        <v>52.62</v>
      </c>
      <c r="T17" s="712"/>
      <c r="U17" s="704"/>
      <c r="V17" s="704">
        <f>SUM(T17:U17)</f>
        <v>0</v>
      </c>
      <c r="W17" s="703"/>
      <c r="X17" s="103">
        <f t="shared" si="2"/>
        <v>-100</v>
      </c>
      <c r="Y17" s="103">
        <f t="shared" si="3"/>
        <v>-100</v>
      </c>
      <c r="Z17" s="103">
        <f t="shared" si="4"/>
        <v>-100</v>
      </c>
      <c r="AC17" s="712">
        <v>8.0500000000000007</v>
      </c>
      <c r="AD17" s="707"/>
      <c r="AE17" s="705">
        <v>4.63</v>
      </c>
      <c r="AF17" s="704"/>
      <c r="AG17" s="704">
        <f>S17+AC17+AE17</f>
        <v>65.3</v>
      </c>
      <c r="AH17" s="229">
        <f>W17+AD17+AF17</f>
        <v>0</v>
      </c>
    </row>
    <row r="18" spans="1:41" x14ac:dyDescent="0.45">
      <c r="A18" s="679" t="s">
        <v>210</v>
      </c>
      <c r="B18" s="680">
        <f t="shared" ref="B18:G18" si="16">SUM(B16:B17)</f>
        <v>1.1000000000000001</v>
      </c>
      <c r="C18" s="701">
        <f t="shared" si="16"/>
        <v>468.16</v>
      </c>
      <c r="D18" s="683">
        <f t="shared" si="16"/>
        <v>469.26000000000005</v>
      </c>
      <c r="E18" s="679">
        <f t="shared" si="16"/>
        <v>70.150000000000006</v>
      </c>
      <c r="F18" s="679">
        <f t="shared" si="16"/>
        <v>36.160000000000004</v>
      </c>
      <c r="G18" s="679">
        <f t="shared" si="16"/>
        <v>575.56999999999994</v>
      </c>
      <c r="I18" s="681" t="s">
        <v>210</v>
      </c>
      <c r="J18" s="692">
        <f>SUM(J16:J17)</f>
        <v>2.3590000000000004</v>
      </c>
      <c r="K18" s="692">
        <f>SUM(K16:K17)</f>
        <v>1.4938</v>
      </c>
      <c r="L18" s="692">
        <f>SUM(L16:L17)</f>
        <v>0.89831000000000016</v>
      </c>
      <c r="M18" s="692">
        <f>SUM(M16:M17)</f>
        <v>0</v>
      </c>
      <c r="N18" s="600">
        <f t="shared" si="1"/>
        <v>4.7511100000000006</v>
      </c>
      <c r="P18" s="679" t="s">
        <v>210</v>
      </c>
      <c r="Q18" s="685">
        <f t="shared" ref="Q18:W18" si="17">SUM(Q16:Q17)</f>
        <v>1.1000000000000001</v>
      </c>
      <c r="R18" s="701">
        <f t="shared" si="17"/>
        <v>468.16</v>
      </c>
      <c r="S18" s="708">
        <f t="shared" si="17"/>
        <v>469.26000000000005</v>
      </c>
      <c r="T18" s="685">
        <f t="shared" si="17"/>
        <v>0.19839005700000001</v>
      </c>
      <c r="U18" s="701">
        <f t="shared" si="17"/>
        <v>0.15637589999999998</v>
      </c>
      <c r="V18" s="701">
        <f t="shared" si="17"/>
        <v>123.62738820000001</v>
      </c>
      <c r="W18" s="722">
        <f t="shared" si="17"/>
        <v>123.98215415700001</v>
      </c>
      <c r="X18" s="103">
        <f t="shared" si="2"/>
        <v>-81.964540272727277</v>
      </c>
      <c r="Y18" s="103">
        <f t="shared" si="3"/>
        <v>-73.559517237696497</v>
      </c>
      <c r="Z18" s="103">
        <f t="shared" si="4"/>
        <v>-73.579219588927245</v>
      </c>
      <c r="AC18" s="685">
        <f>SUM(AC16:AC17)</f>
        <v>70.150000000000006</v>
      </c>
      <c r="AD18" s="708"/>
      <c r="AE18" s="702">
        <f>SUM(AE16:AE17)</f>
        <v>36.160000000000004</v>
      </c>
      <c r="AF18" s="701"/>
      <c r="AG18" s="701">
        <f>SUM(AG16:AG17)</f>
        <v>575.56999999999994</v>
      </c>
      <c r="AH18" s="701">
        <f>SUM(AH16:AH17)</f>
        <v>191.17396975700001</v>
      </c>
    </row>
    <row r="19" spans="1:41" x14ac:dyDescent="0.45">
      <c r="A19" s="675" t="s">
        <v>137</v>
      </c>
      <c r="B19" s="676">
        <v>0.14000000000000001</v>
      </c>
      <c r="C19" s="704">
        <v>58.73</v>
      </c>
      <c r="D19" s="678">
        <f>SUM(B19:C19)</f>
        <v>58.87</v>
      </c>
      <c r="E19" s="675">
        <v>8.7799999999999994</v>
      </c>
      <c r="F19" s="675">
        <v>4.82</v>
      </c>
      <c r="G19" s="675">
        <f t="shared" si="0"/>
        <v>72.47</v>
      </c>
      <c r="I19" s="677" t="s">
        <v>137</v>
      </c>
      <c r="J19" s="698">
        <v>0.33700000000000002</v>
      </c>
      <c r="K19" s="695">
        <v>0.21340000000000001</v>
      </c>
      <c r="L19" s="213">
        <v>0.12833</v>
      </c>
      <c r="M19" s="98"/>
      <c r="N19" s="103">
        <f t="shared" si="1"/>
        <v>0.67873000000000006</v>
      </c>
      <c r="P19" s="675" t="s">
        <v>137</v>
      </c>
      <c r="Q19" s="712">
        <v>0.14000000000000001</v>
      </c>
      <c r="R19" s="704">
        <v>58.73</v>
      </c>
      <c r="S19" s="707">
        <f>SUM(Q19:R19)</f>
        <v>58.87</v>
      </c>
      <c r="T19" s="712"/>
      <c r="U19" s="704"/>
      <c r="V19" s="704">
        <f>SUM(T19:U19)</f>
        <v>0</v>
      </c>
      <c r="W19" s="703"/>
      <c r="X19" s="103">
        <f t="shared" si="2"/>
        <v>-100</v>
      </c>
      <c r="Y19" s="103">
        <f t="shared" si="3"/>
        <v>-100</v>
      </c>
      <c r="Z19" s="103">
        <f t="shared" si="4"/>
        <v>-100</v>
      </c>
      <c r="AC19" s="712">
        <v>8.7799999999999994</v>
      </c>
      <c r="AD19" s="707"/>
      <c r="AE19" s="705">
        <v>4.82</v>
      </c>
      <c r="AF19" s="704"/>
      <c r="AG19" s="704">
        <f>S19+AC19+AE19</f>
        <v>72.47</v>
      </c>
      <c r="AH19" s="229">
        <f>W19+AD19+AF19</f>
        <v>0</v>
      </c>
    </row>
    <row r="20" spans="1:41" x14ac:dyDescent="0.45">
      <c r="A20" s="679" t="s">
        <v>211</v>
      </c>
      <c r="B20" s="680">
        <f t="shared" ref="B20:G20" si="18">SUM(B18:B19)</f>
        <v>1.2400000000000002</v>
      </c>
      <c r="C20" s="701">
        <f t="shared" si="18"/>
        <v>526.89</v>
      </c>
      <c r="D20" s="683">
        <f t="shared" si="18"/>
        <v>528.13</v>
      </c>
      <c r="E20" s="679">
        <f t="shared" si="18"/>
        <v>78.930000000000007</v>
      </c>
      <c r="F20" s="679">
        <f t="shared" si="18"/>
        <v>40.980000000000004</v>
      </c>
      <c r="G20" s="679">
        <f t="shared" si="18"/>
        <v>648.04</v>
      </c>
      <c r="I20" s="681" t="s">
        <v>211</v>
      </c>
      <c r="J20" s="692">
        <f>SUM(J18:J19)</f>
        <v>2.6960000000000006</v>
      </c>
      <c r="K20" s="692">
        <f>SUM(K18:K19)</f>
        <v>1.7072000000000001</v>
      </c>
      <c r="L20" s="692">
        <f>SUM(L18:L19)</f>
        <v>1.0266400000000002</v>
      </c>
      <c r="M20" s="692">
        <f>SUM(M18:M19)</f>
        <v>0</v>
      </c>
      <c r="N20" s="600">
        <f t="shared" si="1"/>
        <v>5.4298400000000013</v>
      </c>
      <c r="P20" s="679" t="s">
        <v>211</v>
      </c>
      <c r="Q20" s="685">
        <f t="shared" ref="Q20:W20" si="19">SUM(Q18:Q19)</f>
        <v>1.2400000000000002</v>
      </c>
      <c r="R20" s="701">
        <f t="shared" si="19"/>
        <v>526.89</v>
      </c>
      <c r="S20" s="708">
        <f t="shared" si="19"/>
        <v>528.13</v>
      </c>
      <c r="T20" s="685">
        <f t="shared" si="19"/>
        <v>0.19839005700000001</v>
      </c>
      <c r="U20" s="701">
        <f t="shared" si="19"/>
        <v>0.15637589999999998</v>
      </c>
      <c r="V20" s="701">
        <f t="shared" si="19"/>
        <v>123.62738820000001</v>
      </c>
      <c r="W20" s="722">
        <f t="shared" si="19"/>
        <v>123.98215415700001</v>
      </c>
      <c r="X20" s="103">
        <f t="shared" si="2"/>
        <v>-84.000801854838699</v>
      </c>
      <c r="Y20" s="103">
        <f t="shared" si="3"/>
        <v>-76.506715993850719</v>
      </c>
      <c r="Z20" s="103">
        <f t="shared" si="4"/>
        <v>-76.524311408744055</v>
      </c>
      <c r="AC20" s="685">
        <f>SUM(AC18:AC19)</f>
        <v>78.930000000000007</v>
      </c>
      <c r="AD20" s="708"/>
      <c r="AE20" s="702">
        <f>SUM(AE18:AE19)</f>
        <v>40.980000000000004</v>
      </c>
      <c r="AF20" s="701"/>
      <c r="AG20" s="701">
        <f>SUM(AG18:AG19)</f>
        <v>648.04</v>
      </c>
      <c r="AH20" s="701">
        <f>SUM(AH18:AH19)</f>
        <v>191.17396975700001</v>
      </c>
    </row>
    <row r="21" spans="1:41" x14ac:dyDescent="0.45">
      <c r="A21" s="675" t="s">
        <v>138</v>
      </c>
      <c r="B21" s="676">
        <v>0.14000000000000001</v>
      </c>
      <c r="C21" s="704">
        <v>58.26</v>
      </c>
      <c r="D21" s="707">
        <f>SUM(B21:C21)</f>
        <v>58.4</v>
      </c>
      <c r="E21" s="675">
        <v>10.32</v>
      </c>
      <c r="F21" s="675">
        <v>3.58</v>
      </c>
      <c r="G21" s="675">
        <f t="shared" si="0"/>
        <v>72.3</v>
      </c>
      <c r="I21" s="677" t="s">
        <v>138</v>
      </c>
      <c r="J21" s="698">
        <v>0.33700000000000002</v>
      </c>
      <c r="K21" s="695">
        <v>0.21340000000000001</v>
      </c>
      <c r="L21" s="213">
        <v>0.12833</v>
      </c>
      <c r="M21" s="98"/>
      <c r="N21" s="103">
        <f t="shared" si="1"/>
        <v>0.67873000000000006</v>
      </c>
      <c r="P21" s="675" t="s">
        <v>138</v>
      </c>
      <c r="Q21" s="712">
        <v>0.14000000000000001</v>
      </c>
      <c r="R21" s="704">
        <v>58.26</v>
      </c>
      <c r="S21" s="707">
        <f>SUM(Q21:R21)</f>
        <v>58.4</v>
      </c>
      <c r="T21" s="712"/>
      <c r="U21" s="704"/>
      <c r="V21" s="704">
        <f>SUM(T21:U21)</f>
        <v>0</v>
      </c>
      <c r="W21" s="703"/>
      <c r="X21" s="103">
        <f t="shared" si="2"/>
        <v>-100</v>
      </c>
      <c r="Y21" s="103">
        <f t="shared" si="3"/>
        <v>-100</v>
      </c>
      <c r="Z21" s="103">
        <f t="shared" si="4"/>
        <v>-100</v>
      </c>
      <c r="AC21" s="712">
        <v>10.32</v>
      </c>
      <c r="AD21" s="707"/>
      <c r="AE21" s="705">
        <v>3.58</v>
      </c>
      <c r="AF21" s="704"/>
      <c r="AG21" s="704">
        <f>S21+AC21+AE21</f>
        <v>72.3</v>
      </c>
      <c r="AH21" s="229">
        <f>W21+AD21+AF21</f>
        <v>0</v>
      </c>
    </row>
    <row r="22" spans="1:41" x14ac:dyDescent="0.45">
      <c r="A22" s="679" t="s">
        <v>212</v>
      </c>
      <c r="B22" s="680">
        <f t="shared" ref="B22:G22" si="20">SUM(B20:B21)</f>
        <v>1.3800000000000003</v>
      </c>
      <c r="C22" s="701">
        <f t="shared" si="20"/>
        <v>585.15</v>
      </c>
      <c r="D22" s="683">
        <f t="shared" si="20"/>
        <v>586.53</v>
      </c>
      <c r="E22" s="679">
        <f t="shared" si="20"/>
        <v>89.25</v>
      </c>
      <c r="F22" s="679">
        <f t="shared" si="20"/>
        <v>44.56</v>
      </c>
      <c r="G22" s="679">
        <f t="shared" si="20"/>
        <v>720.33999999999992</v>
      </c>
      <c r="I22" s="681" t="s">
        <v>212</v>
      </c>
      <c r="J22" s="692">
        <f>SUM(J20:J21)</f>
        <v>3.0330000000000008</v>
      </c>
      <c r="K22" s="692">
        <f>SUM(K20:K21)</f>
        <v>1.9206000000000001</v>
      </c>
      <c r="L22" s="692">
        <f>SUM(L20:L21)</f>
        <v>1.1549700000000003</v>
      </c>
      <c r="M22" s="692">
        <f>SUM(M20:M21)</f>
        <v>0</v>
      </c>
      <c r="N22" s="600">
        <f t="shared" si="1"/>
        <v>6.1085700000000012</v>
      </c>
      <c r="P22" s="679" t="s">
        <v>212</v>
      </c>
      <c r="Q22" s="685">
        <f t="shared" ref="Q22:W22" si="21">SUM(Q20:Q21)</f>
        <v>1.3800000000000003</v>
      </c>
      <c r="R22" s="701">
        <f t="shared" si="21"/>
        <v>585.15</v>
      </c>
      <c r="S22" s="708">
        <f t="shared" si="21"/>
        <v>586.53</v>
      </c>
      <c r="T22" s="685">
        <f t="shared" si="21"/>
        <v>0.19839005700000001</v>
      </c>
      <c r="U22" s="701">
        <f t="shared" si="21"/>
        <v>0.15637589999999998</v>
      </c>
      <c r="V22" s="701">
        <f t="shared" si="21"/>
        <v>123.62738820000001</v>
      </c>
      <c r="W22" s="722">
        <f t="shared" si="21"/>
        <v>123.98215415700001</v>
      </c>
      <c r="X22" s="103">
        <f t="shared" si="2"/>
        <v>-85.623908913043479</v>
      </c>
      <c r="Y22" s="103">
        <f t="shared" si="3"/>
        <v>-78.845806357344273</v>
      </c>
      <c r="Z22" s="103">
        <f t="shared" si="4"/>
        <v>-78.861754018208785</v>
      </c>
      <c r="AC22" s="685">
        <f>SUM(AC20:AC21)</f>
        <v>89.25</v>
      </c>
      <c r="AD22" s="708"/>
      <c r="AE22" s="702">
        <f>SUM(AE20:AE21)</f>
        <v>44.56</v>
      </c>
      <c r="AF22" s="701"/>
      <c r="AG22" s="701">
        <f>SUM(AG20:AG21)</f>
        <v>720.33999999999992</v>
      </c>
      <c r="AH22" s="701">
        <f>SUM(AH20:AH21)</f>
        <v>191.17396975700001</v>
      </c>
    </row>
    <row r="23" spans="1:41" x14ac:dyDescent="0.45">
      <c r="A23" s="675" t="s">
        <v>139</v>
      </c>
      <c r="B23" s="676">
        <v>0.23</v>
      </c>
      <c r="C23" s="704">
        <v>96.82</v>
      </c>
      <c r="D23" s="678">
        <f>SUM(B23:C23)</f>
        <v>97.05</v>
      </c>
      <c r="E23" s="675">
        <v>15.63</v>
      </c>
      <c r="F23" s="675">
        <v>6.14</v>
      </c>
      <c r="G23" s="675">
        <f t="shared" si="0"/>
        <v>118.82</v>
      </c>
      <c r="I23" s="677" t="s">
        <v>139</v>
      </c>
      <c r="J23" s="698">
        <v>0.33700000000000002</v>
      </c>
      <c r="K23" s="695">
        <v>0.21340000000000001</v>
      </c>
      <c r="L23" s="213">
        <v>0.12833</v>
      </c>
      <c r="M23" s="98"/>
      <c r="N23" s="103">
        <f t="shared" si="1"/>
        <v>0.67873000000000006</v>
      </c>
      <c r="P23" s="675" t="s">
        <v>139</v>
      </c>
      <c r="Q23" s="712">
        <v>0.23</v>
      </c>
      <c r="R23" s="704">
        <v>96.82</v>
      </c>
      <c r="S23" s="707">
        <f>SUM(Q23:R23)</f>
        <v>97.05</v>
      </c>
      <c r="T23" s="712"/>
      <c r="U23" s="704"/>
      <c r="V23" s="704">
        <f>SUM(T23:U23)</f>
        <v>0</v>
      </c>
      <c r="W23" s="703"/>
      <c r="X23" s="103">
        <f t="shared" si="2"/>
        <v>-100</v>
      </c>
      <c r="Y23" s="103">
        <f t="shared" si="3"/>
        <v>-100</v>
      </c>
      <c r="Z23" s="103">
        <f t="shared" si="4"/>
        <v>-100</v>
      </c>
      <c r="AC23" s="712">
        <v>15.63</v>
      </c>
      <c r="AD23" s="707"/>
      <c r="AE23" s="705">
        <v>6.14</v>
      </c>
      <c r="AF23" s="704"/>
      <c r="AG23" s="704">
        <f>S23+AC23+AE23</f>
        <v>118.82</v>
      </c>
      <c r="AH23" s="229">
        <f>W23+AD23+AF23</f>
        <v>0</v>
      </c>
    </row>
    <row r="24" spans="1:41" x14ac:dyDescent="0.45">
      <c r="A24" s="679" t="s">
        <v>206</v>
      </c>
      <c r="B24" s="680">
        <f t="shared" ref="B24:G24" si="22">SUM(B22:B23)</f>
        <v>1.6100000000000003</v>
      </c>
      <c r="C24" s="701">
        <f t="shared" si="22"/>
        <v>681.97</v>
      </c>
      <c r="D24" s="683">
        <f t="shared" si="22"/>
        <v>683.57999999999993</v>
      </c>
      <c r="E24" s="679">
        <f t="shared" si="22"/>
        <v>104.88</v>
      </c>
      <c r="F24" s="679">
        <f t="shared" si="22"/>
        <v>50.7</v>
      </c>
      <c r="G24" s="679">
        <f t="shared" si="22"/>
        <v>839.15999999999985</v>
      </c>
      <c r="I24" s="681" t="s">
        <v>206</v>
      </c>
      <c r="J24" s="692">
        <f>SUM(J22:J23)</f>
        <v>3.370000000000001</v>
      </c>
      <c r="K24" s="692">
        <f>SUM(K22:K23)</f>
        <v>2.1339999999999999</v>
      </c>
      <c r="L24" s="692">
        <f>SUM(L22:L23)</f>
        <v>1.2833000000000003</v>
      </c>
      <c r="M24" s="692">
        <f>SUM(M22:M23)</f>
        <v>0</v>
      </c>
      <c r="N24" s="600">
        <f t="shared" si="1"/>
        <v>6.7873000000000019</v>
      </c>
      <c r="P24" s="679" t="s">
        <v>206</v>
      </c>
      <c r="Q24" s="685">
        <f t="shared" ref="Q24:W24" si="23">SUM(Q22:Q23)</f>
        <v>1.6100000000000003</v>
      </c>
      <c r="R24" s="701">
        <f t="shared" si="23"/>
        <v>681.97</v>
      </c>
      <c r="S24" s="708">
        <f t="shared" si="23"/>
        <v>683.57999999999993</v>
      </c>
      <c r="T24" s="685">
        <f t="shared" si="23"/>
        <v>0.19839005700000001</v>
      </c>
      <c r="U24" s="701">
        <f t="shared" si="23"/>
        <v>0.15637589999999998</v>
      </c>
      <c r="V24" s="701">
        <f t="shared" si="23"/>
        <v>123.62738820000001</v>
      </c>
      <c r="W24" s="722">
        <f t="shared" si="23"/>
        <v>123.98215415700001</v>
      </c>
      <c r="X24" s="103">
        <f t="shared" si="2"/>
        <v>-87.677636211180115</v>
      </c>
      <c r="Y24" s="103">
        <f t="shared" si="3"/>
        <v>-81.849089534730268</v>
      </c>
      <c r="Z24" s="103">
        <f t="shared" si="4"/>
        <v>-81.862817203984903</v>
      </c>
      <c r="AC24" s="685">
        <f>SUM(AC22:AC23)</f>
        <v>104.88</v>
      </c>
      <c r="AD24" s="708"/>
      <c r="AE24" s="702">
        <f>SUM(AE22:AE23)</f>
        <v>50.7</v>
      </c>
      <c r="AF24" s="701"/>
      <c r="AG24" s="701">
        <f>SUM(AG22:AG23)</f>
        <v>839.15999999999985</v>
      </c>
      <c r="AH24" s="701">
        <f>SUM(AH22:AH23)</f>
        <v>191.17396975700001</v>
      </c>
    </row>
    <row r="25" spans="1:41" x14ac:dyDescent="0.45">
      <c r="A25" s="675" t="s">
        <v>140</v>
      </c>
      <c r="B25" s="676">
        <v>0.23</v>
      </c>
      <c r="C25" s="704">
        <v>90.74</v>
      </c>
      <c r="D25" s="678">
        <f>SUM(B25:C25)</f>
        <v>90.97</v>
      </c>
      <c r="E25" s="675">
        <v>14.85</v>
      </c>
      <c r="F25" s="675">
        <v>6.35</v>
      </c>
      <c r="G25" s="675">
        <f t="shared" si="0"/>
        <v>112.16999999999999</v>
      </c>
      <c r="I25" s="677" t="s">
        <v>140</v>
      </c>
      <c r="J25" s="698">
        <v>0.33700000000000002</v>
      </c>
      <c r="K25" s="695">
        <v>0.21340000000000001</v>
      </c>
      <c r="L25" s="213">
        <v>0.12833</v>
      </c>
      <c r="M25" s="98"/>
      <c r="N25" s="103">
        <f t="shared" si="1"/>
        <v>0.67873000000000006</v>
      </c>
      <c r="P25" s="675" t="s">
        <v>140</v>
      </c>
      <c r="Q25" s="712">
        <v>0.23</v>
      </c>
      <c r="R25" s="704">
        <v>90.74</v>
      </c>
      <c r="S25" s="707">
        <f>SUM(Q25:R25)</f>
        <v>90.97</v>
      </c>
      <c r="T25" s="712"/>
      <c r="U25" s="704"/>
      <c r="V25" s="704">
        <f>SUM(T25:U25)</f>
        <v>0</v>
      </c>
      <c r="W25" s="703"/>
      <c r="X25" s="103">
        <f t="shared" si="2"/>
        <v>-100</v>
      </c>
      <c r="Y25" s="103">
        <f t="shared" si="3"/>
        <v>-100</v>
      </c>
      <c r="Z25" s="103">
        <f t="shared" si="4"/>
        <v>-100</v>
      </c>
      <c r="AC25" s="712">
        <v>14.85</v>
      </c>
      <c r="AD25" s="707"/>
      <c r="AE25" s="705">
        <v>6.35</v>
      </c>
      <c r="AF25" s="704"/>
      <c r="AG25" s="704">
        <f>S25+AC25+AE25</f>
        <v>112.16999999999999</v>
      </c>
      <c r="AH25" s="229">
        <f>W25+AD25+AF25</f>
        <v>0</v>
      </c>
    </row>
    <row r="26" spans="1:41" ht="14.65" thickBot="1" x14ac:dyDescent="0.5">
      <c r="A26" s="679" t="s">
        <v>215</v>
      </c>
      <c r="B26" s="685">
        <f t="shared" ref="B26:G26" si="24">SUM(B24:B25)</f>
        <v>1.8400000000000003</v>
      </c>
      <c r="C26" s="701">
        <f t="shared" si="24"/>
        <v>772.71</v>
      </c>
      <c r="D26" s="683">
        <f t="shared" si="24"/>
        <v>774.55</v>
      </c>
      <c r="E26" s="679">
        <f t="shared" si="24"/>
        <v>119.72999999999999</v>
      </c>
      <c r="F26" s="679">
        <f t="shared" si="24"/>
        <v>57.050000000000004</v>
      </c>
      <c r="G26" s="679">
        <f t="shared" si="24"/>
        <v>951.32999999999981</v>
      </c>
      <c r="I26" s="681" t="s">
        <v>215</v>
      </c>
      <c r="J26" s="692">
        <f>SUM(J24:J25)</f>
        <v>3.7070000000000012</v>
      </c>
      <c r="K26" s="692">
        <f>SUM(K24:K25)</f>
        <v>2.3473999999999999</v>
      </c>
      <c r="L26" s="692">
        <f>SUM(L24:L25)</f>
        <v>1.4116300000000004</v>
      </c>
      <c r="M26" s="692">
        <f>SUM(M24:M25)</f>
        <v>0</v>
      </c>
      <c r="N26" s="600">
        <f t="shared" si="1"/>
        <v>7.4660300000000017</v>
      </c>
      <c r="P26" s="716" t="s">
        <v>215</v>
      </c>
      <c r="Q26" s="685">
        <f t="shared" ref="Q26:W26" si="25">SUM(Q24:Q25)</f>
        <v>1.8400000000000003</v>
      </c>
      <c r="R26" s="701">
        <f t="shared" si="25"/>
        <v>772.71</v>
      </c>
      <c r="S26" s="708">
        <f t="shared" si="25"/>
        <v>774.55</v>
      </c>
      <c r="T26" s="685">
        <f t="shared" si="25"/>
        <v>0.19839005700000001</v>
      </c>
      <c r="U26" s="701">
        <f t="shared" si="25"/>
        <v>0.15637589999999998</v>
      </c>
      <c r="V26" s="701">
        <f t="shared" si="25"/>
        <v>123.62738820000001</v>
      </c>
      <c r="W26" s="722">
        <f t="shared" si="25"/>
        <v>123.98215415700001</v>
      </c>
      <c r="X26" s="103">
        <f t="shared" si="2"/>
        <v>-89.217931684782599</v>
      </c>
      <c r="Y26" s="103">
        <f t="shared" si="3"/>
        <v>-83.980566564429097</v>
      </c>
      <c r="Z26" s="103">
        <f t="shared" si="4"/>
        <v>-83.993008307146084</v>
      </c>
      <c r="AC26" s="685">
        <f>SUM(AC24:AC25)</f>
        <v>119.72999999999999</v>
      </c>
      <c r="AD26" s="708"/>
      <c r="AE26" s="702">
        <f>SUM(AE24:AE25)</f>
        <v>57.050000000000004</v>
      </c>
      <c r="AF26" s="701"/>
      <c r="AG26" s="701">
        <f>SUM(AG24:AG25)</f>
        <v>951.32999999999981</v>
      </c>
      <c r="AH26" s="701">
        <f>SUM(AH24:AH25)</f>
        <v>191.17396975700001</v>
      </c>
    </row>
    <row r="27" spans="1:41" ht="14.65" thickBot="1" x14ac:dyDescent="0.5">
      <c r="A27" s="675" t="s">
        <v>141</v>
      </c>
      <c r="B27" s="676">
        <v>0.08</v>
      </c>
      <c r="C27" s="704">
        <v>36.07</v>
      </c>
      <c r="D27" s="678">
        <f>SUM(B27:C27)</f>
        <v>36.15</v>
      </c>
      <c r="E27" s="675">
        <v>13.16</v>
      </c>
      <c r="F27" s="675">
        <v>6.16</v>
      </c>
      <c r="G27" s="675">
        <f t="shared" si="0"/>
        <v>55.47</v>
      </c>
      <c r="I27" s="677" t="s">
        <v>141</v>
      </c>
      <c r="J27" s="698">
        <v>0.33700000000000002</v>
      </c>
      <c r="K27" s="695">
        <v>0.21340000000000001</v>
      </c>
      <c r="L27" s="213">
        <v>0.12833</v>
      </c>
      <c r="M27" s="98"/>
      <c r="N27" s="103">
        <f t="shared" si="1"/>
        <v>0.67873000000000006</v>
      </c>
      <c r="P27" s="718" t="s">
        <v>141</v>
      </c>
      <c r="Q27" s="713">
        <v>0.08</v>
      </c>
      <c r="R27" s="714">
        <v>36.07</v>
      </c>
      <c r="S27" s="715">
        <f>SUM(Q27:R27)</f>
        <v>36.15</v>
      </c>
      <c r="T27" s="713"/>
      <c r="U27" s="714"/>
      <c r="V27" s="714">
        <f>SUM(T27:U27)</f>
        <v>0</v>
      </c>
      <c r="W27" s="723"/>
      <c r="X27" s="103">
        <f t="shared" si="2"/>
        <v>-100</v>
      </c>
      <c r="Y27" s="103">
        <f t="shared" si="3"/>
        <v>-100</v>
      </c>
      <c r="Z27" s="103">
        <f t="shared" si="4"/>
        <v>-100</v>
      </c>
      <c r="AC27" s="712">
        <v>13.16</v>
      </c>
      <c r="AD27" s="707"/>
      <c r="AE27" s="705">
        <v>6.16</v>
      </c>
      <c r="AF27" s="704"/>
      <c r="AG27" s="704">
        <f>S27+AC27+AE27</f>
        <v>55.47</v>
      </c>
      <c r="AH27" s="229">
        <f>W27+AD27+AF27</f>
        <v>0</v>
      </c>
    </row>
    <row r="28" spans="1:41" ht="14.65" thickBot="1" x14ac:dyDescent="0.5">
      <c r="A28" s="686" t="s">
        <v>240</v>
      </c>
      <c r="B28" s="687">
        <f t="shared" ref="B28:G28" si="26">SUM(B26:B27)</f>
        <v>1.9200000000000004</v>
      </c>
      <c r="C28" s="688">
        <f t="shared" si="26"/>
        <v>808.78000000000009</v>
      </c>
      <c r="D28" s="697">
        <f t="shared" si="26"/>
        <v>810.69999999999993</v>
      </c>
      <c r="E28" s="686">
        <f t="shared" si="26"/>
        <v>132.88999999999999</v>
      </c>
      <c r="F28" s="686">
        <f t="shared" si="26"/>
        <v>63.210000000000008</v>
      </c>
      <c r="G28" s="686">
        <f t="shared" si="26"/>
        <v>1006.7999999999998</v>
      </c>
      <c r="I28" s="681" t="s">
        <v>240</v>
      </c>
      <c r="J28" s="692">
        <f>SUM(J26:J27)</f>
        <v>4.0440000000000014</v>
      </c>
      <c r="K28" s="692">
        <f>SUM(K26:K27)</f>
        <v>2.5608</v>
      </c>
      <c r="L28" s="692">
        <f>SUM(L26:L27)</f>
        <v>1.5399600000000004</v>
      </c>
      <c r="M28" s="692">
        <f>SUM(M26:M27)</f>
        <v>0</v>
      </c>
      <c r="N28" s="600">
        <f>J28+K28+L28+M28</f>
        <v>8.1447600000000016</v>
      </c>
      <c r="P28" s="717" t="s">
        <v>240</v>
      </c>
      <c r="Q28" s="709">
        <f t="shared" ref="Q28:W28" si="27">SUM(Q26:Q27)</f>
        <v>1.9200000000000004</v>
      </c>
      <c r="R28" s="710">
        <f t="shared" si="27"/>
        <v>808.78000000000009</v>
      </c>
      <c r="S28" s="710">
        <f t="shared" si="27"/>
        <v>810.69999999999993</v>
      </c>
      <c r="T28" s="710">
        <f t="shared" si="27"/>
        <v>0.19839005700000001</v>
      </c>
      <c r="U28" s="710">
        <f t="shared" si="27"/>
        <v>0.15637589999999998</v>
      </c>
      <c r="V28" s="710">
        <f t="shared" si="27"/>
        <v>123.62738820000001</v>
      </c>
      <c r="W28" s="724">
        <f t="shared" si="27"/>
        <v>123.98215415700001</v>
      </c>
      <c r="X28" s="103">
        <f t="shared" si="2"/>
        <v>-89.667184531250001</v>
      </c>
      <c r="Y28" s="103">
        <f t="shared" si="3"/>
        <v>-84.695001842280973</v>
      </c>
      <c r="Z28" s="103">
        <f t="shared" si="4"/>
        <v>-84.706777580239304</v>
      </c>
      <c r="AC28" s="720">
        <f>SUM(AC26:AC27)</f>
        <v>132.88999999999999</v>
      </c>
      <c r="AD28" s="697"/>
      <c r="AE28" s="702">
        <f>SUM(AE26:AE27)</f>
        <v>63.210000000000008</v>
      </c>
      <c r="AF28" s="701"/>
      <c r="AG28" s="701">
        <f>SUM(AG26:AG27)</f>
        <v>1006.7999999999998</v>
      </c>
      <c r="AH28" s="701">
        <f>SUM(AH26:AH27)</f>
        <v>191.17396975700001</v>
      </c>
    </row>
    <row r="30" spans="1:41" x14ac:dyDescent="0.45">
      <c r="L30">
        <f>154/12</f>
        <v>12.833333333333334</v>
      </c>
    </row>
    <row r="31" spans="1:41" ht="14.65" thickBot="1" x14ac:dyDescent="0.5">
      <c r="A31" s="2264" t="s">
        <v>551</v>
      </c>
      <c r="B31" s="2264"/>
      <c r="C31" s="2264"/>
      <c r="D31" s="2264"/>
      <c r="L31">
        <f>L30*10</f>
        <v>128.33333333333334</v>
      </c>
      <c r="P31" s="2264" t="s">
        <v>529</v>
      </c>
      <c r="Q31" s="2264"/>
      <c r="R31" s="2264"/>
      <c r="S31" s="2264"/>
      <c r="U31" s="229"/>
    </row>
    <row r="32" spans="1:41" ht="16.899999999999999" thickBot="1" x14ac:dyDescent="0.5">
      <c r="A32" s="2271" t="s">
        <v>127</v>
      </c>
      <c r="B32" s="2271" t="s">
        <v>487</v>
      </c>
      <c r="C32" s="2271"/>
      <c r="D32" s="2271"/>
      <c r="E32" s="909"/>
      <c r="F32" s="2271" t="s">
        <v>127</v>
      </c>
      <c r="G32" s="2287" t="s">
        <v>491</v>
      </c>
      <c r="H32" s="909"/>
      <c r="I32" s="909"/>
      <c r="J32" s="909"/>
      <c r="K32" s="909"/>
      <c r="L32" s="909"/>
      <c r="M32" s="909"/>
      <c r="N32" s="909"/>
      <c r="O32" s="909"/>
      <c r="P32" s="2271" t="s">
        <v>127</v>
      </c>
      <c r="Q32" s="2271" t="s">
        <v>525</v>
      </c>
      <c r="R32" s="2271"/>
      <c r="S32" s="2271"/>
      <c r="AJ32" s="839"/>
      <c r="AK32" s="2253" t="s">
        <v>573</v>
      </c>
      <c r="AL32" s="2254"/>
      <c r="AM32" s="2255"/>
      <c r="AN32" s="2256" t="s">
        <v>574</v>
      </c>
      <c r="AO32" s="2257"/>
    </row>
    <row r="33" spans="1:41" ht="33.4" thickBot="1" x14ac:dyDescent="0.5">
      <c r="A33" s="2271"/>
      <c r="B33" s="855" t="s">
        <v>488</v>
      </c>
      <c r="C33" s="855" t="s">
        <v>489</v>
      </c>
      <c r="D33" s="855" t="s">
        <v>63</v>
      </c>
      <c r="E33" s="909"/>
      <c r="F33" s="2271"/>
      <c r="G33" s="2287"/>
      <c r="H33" s="909"/>
      <c r="I33" s="909"/>
      <c r="J33" s="909"/>
      <c r="K33" s="909"/>
      <c r="L33" s="909"/>
      <c r="M33" s="909"/>
      <c r="N33" s="909"/>
      <c r="O33" s="909"/>
      <c r="P33" s="2271"/>
      <c r="Q33" s="855" t="s">
        <v>526</v>
      </c>
      <c r="R33" s="855" t="s">
        <v>372</v>
      </c>
      <c r="S33" s="855"/>
      <c r="AJ33" s="840" t="s">
        <v>353</v>
      </c>
      <c r="AK33" s="497" t="s">
        <v>8</v>
      </c>
      <c r="AL33" s="841" t="s">
        <v>249</v>
      </c>
      <c r="AM33" s="497" t="s">
        <v>77</v>
      </c>
      <c r="AN33" s="842" t="s">
        <v>194</v>
      </c>
      <c r="AO33" s="842" t="s">
        <v>195</v>
      </c>
    </row>
    <row r="34" spans="1:41" ht="16.899999999999999" thickBot="1" x14ac:dyDescent="0.5">
      <c r="A34" s="677" t="s">
        <v>131</v>
      </c>
      <c r="B34" s="124">
        <v>2</v>
      </c>
      <c r="C34" s="103">
        <v>0.3</v>
      </c>
      <c r="D34" s="103">
        <f>B34+C34</f>
        <v>2.2999999999999998</v>
      </c>
      <c r="F34" s="677" t="s">
        <v>131</v>
      </c>
      <c r="G34" s="98">
        <v>0.2225</v>
      </c>
      <c r="I34" s="913">
        <v>2150</v>
      </c>
      <c r="J34" s="530">
        <v>1901</v>
      </c>
      <c r="K34" s="216">
        <f>(J34-I34)/I34*100</f>
        <v>-11.581395348837209</v>
      </c>
      <c r="P34" s="677" t="s">
        <v>131</v>
      </c>
      <c r="Q34" s="124">
        <v>12.166666666666666</v>
      </c>
      <c r="R34" s="98">
        <v>0.5</v>
      </c>
      <c r="S34" s="103"/>
      <c r="T34" s="259">
        <f>Q34*1000</f>
        <v>12166.666666666666</v>
      </c>
      <c r="U34">
        <f>(R34*10000000)/100000</f>
        <v>50</v>
      </c>
      <c r="V34">
        <v>12167</v>
      </c>
      <c r="W34" s="280">
        <v>5874</v>
      </c>
      <c r="X34" s="216">
        <f>(W34-V34)/V34*100</f>
        <v>-51.721870633681263</v>
      </c>
      <c r="Y34" s="216">
        <v>50</v>
      </c>
      <c r="Z34" s="782">
        <v>25.641680000000001</v>
      </c>
      <c r="AJ34" s="843" t="s">
        <v>575</v>
      </c>
      <c r="AK34" s="532">
        <f>33.7*7</f>
        <v>235.90000000000003</v>
      </c>
      <c r="AL34" s="845">
        <v>213.4</v>
      </c>
      <c r="AM34" s="846">
        <v>19.059999999999999</v>
      </c>
      <c r="AN34" s="844">
        <f t="shared" ref="AN34:AN39" si="28">(AL34-AK34)/AK34*100</f>
        <v>-9.5379398050021305</v>
      </c>
      <c r="AO34" s="844">
        <f t="shared" ref="AO34:AO39" si="29">(AL34-AM34)/AM34*100</f>
        <v>1019.6222455403989</v>
      </c>
    </row>
    <row r="35" spans="1:41" ht="16.899999999999999" thickBot="1" x14ac:dyDescent="0.5">
      <c r="A35" s="677" t="s">
        <v>132</v>
      </c>
      <c r="B35" s="124">
        <v>2.5</v>
      </c>
      <c r="C35" s="103">
        <v>0.3</v>
      </c>
      <c r="D35" s="103">
        <f t="shared" ref="D35:D55" si="30">B35+C35</f>
        <v>2.8</v>
      </c>
      <c r="F35" s="677" t="s">
        <v>132</v>
      </c>
      <c r="G35" s="98">
        <v>0.2225</v>
      </c>
      <c r="I35" s="480">
        <v>265</v>
      </c>
      <c r="J35" s="530">
        <v>86.54</v>
      </c>
      <c r="K35" s="216">
        <f>(J35-I35)/I35*100</f>
        <v>-67.343396226415081</v>
      </c>
      <c r="P35" s="677" t="s">
        <v>132</v>
      </c>
      <c r="Q35" s="124">
        <v>12.166666666666666</v>
      </c>
      <c r="R35" s="98">
        <v>0.5</v>
      </c>
      <c r="S35" s="103"/>
      <c r="T35" s="259">
        <f t="shared" ref="T35:T56" si="31">Q35*1000</f>
        <v>12166.666666666666</v>
      </c>
      <c r="U35">
        <f t="shared" ref="U35:U56" si="32">(R35*10000000)/100000</f>
        <v>50</v>
      </c>
      <c r="V35">
        <v>12167</v>
      </c>
      <c r="W35" s="280">
        <v>3783</v>
      </c>
      <c r="X35" s="216">
        <f>(W35-V35)/V35*100</f>
        <v>-68.907701158872356</v>
      </c>
      <c r="Y35" s="216"/>
      <c r="Z35" s="782">
        <v>17.418420000000001</v>
      </c>
      <c r="AJ35" s="843" t="s">
        <v>3</v>
      </c>
      <c r="AK35" s="532">
        <f>12.8*7</f>
        <v>89.600000000000009</v>
      </c>
      <c r="AL35" s="847">
        <v>15.95</v>
      </c>
      <c r="AM35" s="844">
        <v>10.4</v>
      </c>
      <c r="AN35" s="844">
        <f t="shared" si="28"/>
        <v>-82.198660714285708</v>
      </c>
      <c r="AO35" s="844">
        <f t="shared" si="29"/>
        <v>53.365384615384606</v>
      </c>
    </row>
    <row r="36" spans="1:41" ht="16.899999999999999" thickBot="1" x14ac:dyDescent="0.5">
      <c r="A36" s="681" t="s">
        <v>204</v>
      </c>
      <c r="B36" s="691">
        <f>SUM(B34:B35)</f>
        <v>4.5</v>
      </c>
      <c r="C36" s="692">
        <f>SUM(C34:C35)</f>
        <v>0.6</v>
      </c>
      <c r="D36" s="692">
        <f t="shared" si="30"/>
        <v>5.0999999999999996</v>
      </c>
      <c r="F36" s="681" t="s">
        <v>204</v>
      </c>
      <c r="G36" s="692">
        <f>SUM(G34:G35)</f>
        <v>0.44500000000000001</v>
      </c>
      <c r="I36" s="914">
        <v>2415</v>
      </c>
      <c r="J36" s="532">
        <v>1987.54</v>
      </c>
      <c r="K36" s="216">
        <f>(J36-I36)/I36*100</f>
        <v>-17.700207039337474</v>
      </c>
      <c r="P36" s="681" t="s">
        <v>204</v>
      </c>
      <c r="Q36" s="692">
        <f>SUM(Q34:Q35)</f>
        <v>24.333333333333332</v>
      </c>
      <c r="R36" s="692">
        <f>SUM(R34:R35)</f>
        <v>1</v>
      </c>
      <c r="S36" s="692"/>
      <c r="T36" s="781">
        <f t="shared" si="31"/>
        <v>24333.333333333332</v>
      </c>
      <c r="U36">
        <f t="shared" si="32"/>
        <v>100</v>
      </c>
      <c r="V36">
        <v>12167</v>
      </c>
      <c r="W36" s="280">
        <v>7699</v>
      </c>
      <c r="X36" s="216">
        <f>(W36-V36)/V36*100</f>
        <v>-36.722281581326541</v>
      </c>
      <c r="Y36" s="216"/>
      <c r="Z36" s="782">
        <v>29.375540000000001</v>
      </c>
      <c r="AJ36" s="843" t="s">
        <v>30</v>
      </c>
      <c r="AK36" s="532">
        <v>0</v>
      </c>
      <c r="AL36" s="847">
        <v>0</v>
      </c>
      <c r="AM36" s="844">
        <v>0</v>
      </c>
      <c r="AN36" s="844" t="e">
        <f t="shared" si="28"/>
        <v>#DIV/0!</v>
      </c>
      <c r="AO36" s="844" t="e">
        <f t="shared" si="29"/>
        <v>#DIV/0!</v>
      </c>
    </row>
    <row r="37" spans="1:41" ht="16.899999999999999" thickBot="1" x14ac:dyDescent="0.5">
      <c r="A37" s="677" t="s">
        <v>133</v>
      </c>
      <c r="B37" s="124">
        <v>2</v>
      </c>
      <c r="C37" s="103">
        <v>0.3</v>
      </c>
      <c r="D37" s="103">
        <f t="shared" si="30"/>
        <v>2.2999999999999998</v>
      </c>
      <c r="F37" s="677" t="s">
        <v>133</v>
      </c>
      <c r="G37" s="98">
        <v>0.2225</v>
      </c>
      <c r="P37" s="677" t="s">
        <v>133</v>
      </c>
      <c r="Q37" s="124">
        <v>12.166666666666666</v>
      </c>
      <c r="R37" s="98">
        <v>0.5</v>
      </c>
      <c r="S37" s="103"/>
      <c r="T37" s="259">
        <f t="shared" si="31"/>
        <v>12166.666666666666</v>
      </c>
      <c r="U37">
        <f t="shared" si="32"/>
        <v>50</v>
      </c>
      <c r="V37">
        <v>12167</v>
      </c>
      <c r="W37" s="280">
        <v>10172</v>
      </c>
      <c r="X37" s="216">
        <f>(W37-V37)/V37*100</f>
        <v>-16.396811046272706</v>
      </c>
      <c r="Y37" s="216"/>
      <c r="Z37" s="782">
        <v>38.526060000000001</v>
      </c>
      <c r="AJ37" s="843" t="s">
        <v>576</v>
      </c>
      <c r="AK37" s="532">
        <f>21.3*7</f>
        <v>149.1</v>
      </c>
      <c r="AL37" s="847">
        <v>15.08</v>
      </c>
      <c r="AM37" s="844">
        <v>0</v>
      </c>
      <c r="AN37" s="844">
        <f t="shared" si="28"/>
        <v>-89.88598256203889</v>
      </c>
      <c r="AO37" s="844" t="e">
        <f t="shared" si="29"/>
        <v>#DIV/0!</v>
      </c>
    </row>
    <row r="38" spans="1:41" ht="16.899999999999999" thickBot="1" x14ac:dyDescent="0.5">
      <c r="A38" s="681" t="s">
        <v>205</v>
      </c>
      <c r="B38" s="691">
        <f>SUM(B36:B37)</f>
        <v>6.5</v>
      </c>
      <c r="C38" s="692">
        <f>SUM(C36:C37)</f>
        <v>0.89999999999999991</v>
      </c>
      <c r="D38" s="692">
        <f>B38+C38</f>
        <v>7.4</v>
      </c>
      <c r="F38" s="681" t="s">
        <v>205</v>
      </c>
      <c r="G38" s="692">
        <f>SUM(G36:G37)</f>
        <v>0.66749999999999998</v>
      </c>
      <c r="P38" s="681" t="s">
        <v>205</v>
      </c>
      <c r="Q38" s="692">
        <f>SUM(Q36:Q37)</f>
        <v>36.5</v>
      </c>
      <c r="R38" s="692">
        <f>SUM(R36:R37)</f>
        <v>1.5</v>
      </c>
      <c r="S38" s="692"/>
      <c r="T38" s="259">
        <f t="shared" si="31"/>
        <v>36500</v>
      </c>
      <c r="U38">
        <f t="shared" si="32"/>
        <v>150</v>
      </c>
      <c r="AJ38" s="843" t="s">
        <v>4</v>
      </c>
      <c r="AK38" s="532">
        <v>0</v>
      </c>
      <c r="AL38" s="847">
        <v>4</v>
      </c>
      <c r="AM38" s="844">
        <v>0</v>
      </c>
      <c r="AN38" s="844" t="e">
        <f t="shared" si="28"/>
        <v>#DIV/0!</v>
      </c>
      <c r="AO38" s="844" t="e">
        <f t="shared" si="29"/>
        <v>#DIV/0!</v>
      </c>
    </row>
    <row r="39" spans="1:41" ht="16.899999999999999" thickBot="1" x14ac:dyDescent="0.5">
      <c r="A39" s="677" t="s">
        <v>51</v>
      </c>
      <c r="B39" s="124">
        <v>1.5</v>
      </c>
      <c r="C39" s="103">
        <v>0.25</v>
      </c>
      <c r="D39" s="103">
        <f t="shared" si="30"/>
        <v>1.75</v>
      </c>
      <c r="F39" s="677" t="s">
        <v>51</v>
      </c>
      <c r="G39" s="98">
        <v>0.2225</v>
      </c>
      <c r="P39" s="677" t="s">
        <v>51</v>
      </c>
      <c r="Q39" s="124">
        <v>12.166666666666666</v>
      </c>
      <c r="R39" s="98">
        <v>0.5</v>
      </c>
      <c r="S39" s="103"/>
      <c r="T39" s="259">
        <f t="shared" si="31"/>
        <v>12166.666666666666</v>
      </c>
      <c r="U39">
        <f t="shared" si="32"/>
        <v>50</v>
      </c>
      <c r="AJ39" s="843" t="s">
        <v>63</v>
      </c>
      <c r="AK39" s="532">
        <f>SUM(AK34:AK38)</f>
        <v>474.6</v>
      </c>
      <c r="AL39" s="847">
        <v>248.43</v>
      </c>
      <c r="AM39" s="844">
        <v>29.46</v>
      </c>
      <c r="AN39" s="844">
        <f t="shared" si="28"/>
        <v>-47.654867256637168</v>
      </c>
      <c r="AO39" s="844">
        <f t="shared" si="29"/>
        <v>743.27902240325864</v>
      </c>
    </row>
    <row r="40" spans="1:41" x14ac:dyDescent="0.45">
      <c r="A40" s="681" t="s">
        <v>207</v>
      </c>
      <c r="B40" s="691">
        <f>SUM(B38:B39)</f>
        <v>8</v>
      </c>
      <c r="C40" s="692">
        <f>SUM(C38:C39)</f>
        <v>1.1499999999999999</v>
      </c>
      <c r="D40" s="692">
        <f>B40+C40</f>
        <v>9.15</v>
      </c>
      <c r="F40" s="681" t="s">
        <v>207</v>
      </c>
      <c r="G40" s="692">
        <f>SUM(G38:G39)</f>
        <v>0.89</v>
      </c>
      <c r="P40" s="681" t="s">
        <v>207</v>
      </c>
      <c r="Q40" s="692">
        <f>SUM(Q38:Q39)</f>
        <v>48.666666666666664</v>
      </c>
      <c r="R40" s="692">
        <f>SUM(R38:R39)</f>
        <v>2</v>
      </c>
      <c r="S40" s="692"/>
      <c r="T40" s="781">
        <f t="shared" si="31"/>
        <v>48666.666666666664</v>
      </c>
      <c r="U40" s="89">
        <f t="shared" si="32"/>
        <v>200</v>
      </c>
    </row>
    <row r="41" spans="1:41" x14ac:dyDescent="0.45">
      <c r="A41" s="677" t="s">
        <v>134</v>
      </c>
      <c r="B41" s="124">
        <v>1.5</v>
      </c>
      <c r="C41" s="103">
        <v>0.25</v>
      </c>
      <c r="D41" s="103">
        <f t="shared" si="30"/>
        <v>1.75</v>
      </c>
      <c r="F41" s="677" t="s">
        <v>134</v>
      </c>
      <c r="G41" s="98">
        <v>0.2225</v>
      </c>
      <c r="P41" s="677" t="s">
        <v>134</v>
      </c>
      <c r="Q41" s="124">
        <v>12.166666666666666</v>
      </c>
      <c r="R41" s="98">
        <v>0.5</v>
      </c>
      <c r="S41" s="103"/>
      <c r="T41" s="259">
        <f>Q41*1000</f>
        <v>12166.666666666666</v>
      </c>
      <c r="U41" s="89">
        <f t="shared" si="32"/>
        <v>50</v>
      </c>
    </row>
    <row r="42" spans="1:41" x14ac:dyDescent="0.45">
      <c r="A42" s="681" t="s">
        <v>208</v>
      </c>
      <c r="B42" s="691">
        <f>SUM(B40:B41)</f>
        <v>9.5</v>
      </c>
      <c r="C42" s="692">
        <f>SUM(C40:C41)</f>
        <v>1.4</v>
      </c>
      <c r="D42" s="692">
        <f>B42+C42</f>
        <v>10.9</v>
      </c>
      <c r="F42" s="681" t="s">
        <v>208</v>
      </c>
      <c r="G42" s="692">
        <f>SUM(G40:G41)</f>
        <v>1.1125</v>
      </c>
      <c r="P42" s="681" t="s">
        <v>208</v>
      </c>
      <c r="Q42" s="692">
        <f>SUM(Q40:Q41)</f>
        <v>60.833333333333329</v>
      </c>
      <c r="R42" s="692">
        <f>SUM(R40:R41)</f>
        <v>2.5</v>
      </c>
      <c r="S42" s="692"/>
      <c r="T42" s="259">
        <f t="shared" si="31"/>
        <v>60833.333333333328</v>
      </c>
      <c r="U42" s="89">
        <f>(R42*10000000)/100000</f>
        <v>250</v>
      </c>
    </row>
    <row r="43" spans="1:41" x14ac:dyDescent="0.45">
      <c r="A43" s="677" t="s">
        <v>135</v>
      </c>
      <c r="B43" s="124">
        <v>1.5</v>
      </c>
      <c r="C43" s="103">
        <v>0.25</v>
      </c>
      <c r="D43" s="103">
        <f t="shared" si="30"/>
        <v>1.75</v>
      </c>
      <c r="F43" s="677" t="s">
        <v>135</v>
      </c>
      <c r="G43" s="98">
        <v>0.2225</v>
      </c>
      <c r="P43" s="677" t="s">
        <v>135</v>
      </c>
      <c r="Q43" s="124">
        <v>12.166666666666666</v>
      </c>
      <c r="R43" s="98">
        <v>0.5</v>
      </c>
      <c r="S43" s="103"/>
      <c r="T43" s="259">
        <f t="shared" si="31"/>
        <v>12166.666666666666</v>
      </c>
      <c r="U43" s="89">
        <f t="shared" si="32"/>
        <v>50</v>
      </c>
    </row>
    <row r="44" spans="1:41" x14ac:dyDescent="0.45">
      <c r="A44" s="681" t="s">
        <v>209</v>
      </c>
      <c r="B44" s="691">
        <f>SUM(B42:B43)</f>
        <v>11</v>
      </c>
      <c r="C44" s="692">
        <f>SUM(C42:C43)</f>
        <v>1.65</v>
      </c>
      <c r="D44" s="692">
        <f>B44+C44</f>
        <v>12.65</v>
      </c>
      <c r="F44" s="681" t="s">
        <v>209</v>
      </c>
      <c r="G44" s="692">
        <f>SUM(G42:G43)</f>
        <v>1.335</v>
      </c>
      <c r="I44">
        <f>C45*10000000</f>
        <v>3000000</v>
      </c>
      <c r="J44">
        <f>I44/100000</f>
        <v>30</v>
      </c>
      <c r="P44" s="681" t="s">
        <v>209</v>
      </c>
      <c r="Q44" s="692">
        <f>SUM(Q42:Q43)</f>
        <v>73</v>
      </c>
      <c r="R44" s="692">
        <f>SUM(R42:R43)</f>
        <v>3</v>
      </c>
      <c r="S44" s="692"/>
      <c r="T44" s="259">
        <f t="shared" si="31"/>
        <v>73000</v>
      </c>
      <c r="U44" s="89">
        <f t="shared" si="32"/>
        <v>300</v>
      </c>
    </row>
    <row r="45" spans="1:41" x14ac:dyDescent="0.45">
      <c r="A45" s="677" t="s">
        <v>136</v>
      </c>
      <c r="B45" s="124">
        <v>2.5</v>
      </c>
      <c r="C45" s="103">
        <v>0.3</v>
      </c>
      <c r="D45" s="103">
        <f t="shared" si="30"/>
        <v>2.8</v>
      </c>
      <c r="F45" s="677" t="s">
        <v>136</v>
      </c>
      <c r="G45" s="98">
        <v>0.2225</v>
      </c>
      <c r="I45">
        <f>C46*10000000</f>
        <v>19500000</v>
      </c>
      <c r="J45">
        <f>I45/100000</f>
        <v>195</v>
      </c>
      <c r="P45" s="677" t="s">
        <v>136</v>
      </c>
      <c r="Q45" s="124">
        <v>12.166666666666666</v>
      </c>
      <c r="R45" s="98">
        <v>0.5</v>
      </c>
      <c r="S45" s="103"/>
      <c r="T45" s="259">
        <f t="shared" si="31"/>
        <v>12166.666666666666</v>
      </c>
      <c r="U45" s="89">
        <f t="shared" si="32"/>
        <v>50</v>
      </c>
    </row>
    <row r="46" spans="1:41" x14ac:dyDescent="0.45">
      <c r="A46" s="681" t="s">
        <v>210</v>
      </c>
      <c r="B46" s="692">
        <f>SUM(B44:B45)</f>
        <v>13.5</v>
      </c>
      <c r="C46" s="692">
        <f>SUM(C44:C45)</f>
        <v>1.95</v>
      </c>
      <c r="D46" s="692">
        <f>B46+C46</f>
        <v>15.45</v>
      </c>
      <c r="F46" s="681" t="s">
        <v>210</v>
      </c>
      <c r="G46" s="692">
        <f>SUM(G44:G45)</f>
        <v>1.5574999999999999</v>
      </c>
      <c r="P46" s="681" t="s">
        <v>210</v>
      </c>
      <c r="Q46" s="692">
        <f>SUM(Q44:Q45)</f>
        <v>85.166666666666671</v>
      </c>
      <c r="R46" s="692">
        <f>SUM(R44:R45)</f>
        <v>3.5</v>
      </c>
      <c r="S46" s="692"/>
      <c r="T46" s="259">
        <f t="shared" si="31"/>
        <v>85166.666666666672</v>
      </c>
      <c r="U46" s="89">
        <f t="shared" si="32"/>
        <v>350</v>
      </c>
    </row>
    <row r="47" spans="1:41" x14ac:dyDescent="0.45">
      <c r="A47" s="677" t="s">
        <v>137</v>
      </c>
      <c r="B47" s="124">
        <v>2.5</v>
      </c>
      <c r="C47" s="103">
        <v>0.35</v>
      </c>
      <c r="D47" s="103">
        <f t="shared" si="30"/>
        <v>2.85</v>
      </c>
      <c r="F47" s="677" t="s">
        <v>137</v>
      </c>
      <c r="G47" s="98">
        <v>0.2225</v>
      </c>
      <c r="P47" s="677" t="s">
        <v>137</v>
      </c>
      <c r="Q47" s="124">
        <v>12.166666666666666</v>
      </c>
      <c r="R47" s="98">
        <v>0.5</v>
      </c>
      <c r="S47" s="103"/>
      <c r="T47" s="259">
        <f>Q47*1000</f>
        <v>12166.666666666666</v>
      </c>
      <c r="U47" s="89">
        <f t="shared" si="32"/>
        <v>50</v>
      </c>
    </row>
    <row r="48" spans="1:41" x14ac:dyDescent="0.45">
      <c r="A48" s="681" t="s">
        <v>211</v>
      </c>
      <c r="B48" s="691">
        <f>SUM(B46:B47)</f>
        <v>16</v>
      </c>
      <c r="C48" s="692">
        <f>SUM(C46:C47)</f>
        <v>2.2999999999999998</v>
      </c>
      <c r="D48" s="692">
        <f>B48+C48</f>
        <v>18.3</v>
      </c>
      <c r="F48" s="681" t="s">
        <v>211</v>
      </c>
      <c r="G48" s="692">
        <f>SUM(G46:G47)</f>
        <v>1.7799999999999998</v>
      </c>
      <c r="P48" s="681" t="s">
        <v>211</v>
      </c>
      <c r="Q48" s="692">
        <f>SUM(Q46:Q47)</f>
        <v>97.333333333333343</v>
      </c>
      <c r="R48" s="692">
        <f>SUM(R46:R47)</f>
        <v>4</v>
      </c>
      <c r="S48" s="692"/>
      <c r="T48" s="259">
        <f>Q48*1000</f>
        <v>97333.333333333343</v>
      </c>
      <c r="U48" s="89">
        <f t="shared" si="32"/>
        <v>400</v>
      </c>
    </row>
    <row r="49" spans="1:25" x14ac:dyDescent="0.45">
      <c r="A49" s="677" t="s">
        <v>138</v>
      </c>
      <c r="B49" s="124">
        <v>5.5</v>
      </c>
      <c r="C49" s="103">
        <v>0.35</v>
      </c>
      <c r="D49" s="103">
        <f t="shared" si="30"/>
        <v>5.85</v>
      </c>
      <c r="F49" s="677" t="s">
        <v>138</v>
      </c>
      <c r="G49" s="98">
        <v>0.2225</v>
      </c>
      <c r="P49" s="677" t="s">
        <v>138</v>
      </c>
      <c r="Q49" s="124">
        <v>12.166666666666666</v>
      </c>
      <c r="R49" s="98">
        <v>0.5</v>
      </c>
      <c r="S49" s="103"/>
      <c r="T49" s="259">
        <f t="shared" si="31"/>
        <v>12166.666666666666</v>
      </c>
      <c r="U49" s="89">
        <f t="shared" si="32"/>
        <v>50</v>
      </c>
    </row>
    <row r="50" spans="1:25" x14ac:dyDescent="0.45">
      <c r="A50" s="681" t="s">
        <v>212</v>
      </c>
      <c r="B50" s="691">
        <f>SUM(B48:B49)</f>
        <v>21.5</v>
      </c>
      <c r="C50" s="692">
        <f>SUM(C48:C49)</f>
        <v>2.65</v>
      </c>
      <c r="D50" s="692">
        <f>B50+C50</f>
        <v>24.15</v>
      </c>
      <c r="F50" s="681" t="s">
        <v>212</v>
      </c>
      <c r="G50" s="692">
        <f>SUM(G48:G49)</f>
        <v>2.0024999999999999</v>
      </c>
      <c r="P50" s="681" t="s">
        <v>212</v>
      </c>
      <c r="Q50" s="692">
        <f>SUM(Q48:Q49)</f>
        <v>109.50000000000001</v>
      </c>
      <c r="R50" s="692">
        <f>SUM(R48:R49)</f>
        <v>4.5</v>
      </c>
      <c r="S50" s="692"/>
      <c r="T50" s="259">
        <f>Q50*1000</f>
        <v>109500.00000000001</v>
      </c>
      <c r="U50" s="89">
        <f t="shared" si="32"/>
        <v>450</v>
      </c>
    </row>
    <row r="51" spans="1:25" x14ac:dyDescent="0.45">
      <c r="A51" s="677" t="s">
        <v>139</v>
      </c>
      <c r="B51" s="124">
        <v>2.5</v>
      </c>
      <c r="C51" s="103">
        <v>0.4</v>
      </c>
      <c r="D51" s="103">
        <f t="shared" si="30"/>
        <v>2.9</v>
      </c>
      <c r="F51" s="677" t="s">
        <v>139</v>
      </c>
      <c r="G51" s="98">
        <v>0.2225</v>
      </c>
      <c r="P51" s="677" t="s">
        <v>139</v>
      </c>
      <c r="Q51" s="124">
        <v>12.166666666666666</v>
      </c>
      <c r="R51" s="98">
        <v>0.5</v>
      </c>
      <c r="S51" s="103"/>
      <c r="T51" s="259">
        <f t="shared" si="31"/>
        <v>12166.666666666666</v>
      </c>
      <c r="U51" s="89">
        <f t="shared" si="32"/>
        <v>50</v>
      </c>
    </row>
    <row r="52" spans="1:25" x14ac:dyDescent="0.45">
      <c r="A52" s="681" t="s">
        <v>206</v>
      </c>
      <c r="B52" s="691">
        <f>SUM(B50:B51)</f>
        <v>24</v>
      </c>
      <c r="C52" s="692">
        <f>SUM(C50:C51)</f>
        <v>3.05</v>
      </c>
      <c r="D52" s="692">
        <f>B52+C52</f>
        <v>27.05</v>
      </c>
      <c r="F52" s="681" t="s">
        <v>206</v>
      </c>
      <c r="G52" s="692">
        <f>SUM(G50:G51)</f>
        <v>2.2250000000000001</v>
      </c>
      <c r="P52" s="681" t="s">
        <v>206</v>
      </c>
      <c r="Q52" s="692">
        <f>SUM(Q50:Q51)</f>
        <v>121.66666666666669</v>
      </c>
      <c r="R52" s="692">
        <f>SUM(R50:R51)</f>
        <v>5</v>
      </c>
      <c r="S52" s="692"/>
      <c r="T52" s="259">
        <f>Q52*1000</f>
        <v>121666.66666666669</v>
      </c>
      <c r="U52" s="89">
        <f t="shared" si="32"/>
        <v>500</v>
      </c>
    </row>
    <row r="53" spans="1:25" x14ac:dyDescent="0.45">
      <c r="A53" s="677" t="s">
        <v>140</v>
      </c>
      <c r="B53" s="124">
        <v>2.5</v>
      </c>
      <c r="C53" s="103">
        <v>0.28999999999999998</v>
      </c>
      <c r="D53" s="103">
        <f t="shared" si="30"/>
        <v>2.79</v>
      </c>
      <c r="F53" s="677" t="s">
        <v>140</v>
      </c>
      <c r="G53" s="98">
        <v>0.2225</v>
      </c>
      <c r="P53" s="677" t="s">
        <v>140</v>
      </c>
      <c r="Q53" s="124">
        <v>12.166666666666666</v>
      </c>
      <c r="R53" s="98">
        <v>0.5</v>
      </c>
      <c r="S53" s="103"/>
      <c r="T53" s="259">
        <f t="shared" si="31"/>
        <v>12166.666666666666</v>
      </c>
      <c r="U53" s="89">
        <f t="shared" si="32"/>
        <v>50</v>
      </c>
    </row>
    <row r="54" spans="1:25" x14ac:dyDescent="0.45">
      <c r="A54" s="681" t="s">
        <v>215</v>
      </c>
      <c r="B54" s="691">
        <f>SUM(B52:B53)</f>
        <v>26.5</v>
      </c>
      <c r="C54" s="692">
        <f>SUM(C52:C53)</f>
        <v>3.34</v>
      </c>
      <c r="D54" s="692">
        <f>B54+C54</f>
        <v>29.84</v>
      </c>
      <c r="F54" s="681" t="s">
        <v>215</v>
      </c>
      <c r="G54" s="692">
        <f>SUM(G52:G53)</f>
        <v>2.4475000000000002</v>
      </c>
      <c r="P54" s="681" t="s">
        <v>215</v>
      </c>
      <c r="Q54" s="692">
        <f>SUM(Q52:Q53)</f>
        <v>133.83333333333334</v>
      </c>
      <c r="R54" s="692">
        <f>SUM(R52:R53)</f>
        <v>5.5</v>
      </c>
      <c r="S54" s="692"/>
      <c r="T54" s="259">
        <f t="shared" si="31"/>
        <v>133833.33333333334</v>
      </c>
      <c r="U54" s="89">
        <f t="shared" si="32"/>
        <v>550</v>
      </c>
    </row>
    <row r="55" spans="1:25" x14ac:dyDescent="0.45">
      <c r="A55" s="677" t="s">
        <v>141</v>
      </c>
      <c r="B55" s="124">
        <v>2</v>
      </c>
      <c r="C55" s="103">
        <v>0.4</v>
      </c>
      <c r="D55" s="103">
        <f t="shared" si="30"/>
        <v>2.4</v>
      </c>
      <c r="F55" s="677" t="s">
        <v>141</v>
      </c>
      <c r="G55" s="98">
        <v>0.2225</v>
      </c>
      <c r="P55" s="677" t="s">
        <v>141</v>
      </c>
      <c r="Q55" s="124">
        <v>12.166666666666666</v>
      </c>
      <c r="R55" s="98">
        <v>0.5</v>
      </c>
      <c r="S55" s="103"/>
      <c r="T55" s="259">
        <f t="shared" si="31"/>
        <v>12166.666666666666</v>
      </c>
      <c r="U55" s="89">
        <f t="shared" si="32"/>
        <v>50</v>
      </c>
    </row>
    <row r="56" spans="1:25" x14ac:dyDescent="0.45">
      <c r="A56" s="681" t="s">
        <v>240</v>
      </c>
      <c r="B56" s="691">
        <f>SUM(B54:B55)</f>
        <v>28.5</v>
      </c>
      <c r="C56" s="692">
        <f>SUM(C54:C55)</f>
        <v>3.7399999999999998</v>
      </c>
      <c r="D56" s="692">
        <f>B56+C56</f>
        <v>32.24</v>
      </c>
      <c r="F56" s="681" t="s">
        <v>240</v>
      </c>
      <c r="G56" s="692">
        <f>SUM(G54:G55)</f>
        <v>2.6700000000000004</v>
      </c>
      <c r="P56" s="681" t="s">
        <v>240</v>
      </c>
      <c r="Q56" s="772">
        <f>SUM(Q54:Q55)</f>
        <v>146</v>
      </c>
      <c r="R56" s="692">
        <f>SUM(R54:R55)</f>
        <v>6</v>
      </c>
      <c r="S56" s="692"/>
      <c r="T56" s="259">
        <f t="shared" si="31"/>
        <v>146000</v>
      </c>
      <c r="U56" s="89">
        <f t="shared" si="32"/>
        <v>600</v>
      </c>
    </row>
    <row r="58" spans="1:25" x14ac:dyDescent="0.45">
      <c r="R58">
        <f>R56/12</f>
        <v>0.5</v>
      </c>
    </row>
    <row r="59" spans="1:25" x14ac:dyDescent="0.45">
      <c r="B59">
        <f>B42*10000000</f>
        <v>95000000</v>
      </c>
      <c r="C59">
        <f>C42*10000000</f>
        <v>14000000</v>
      </c>
      <c r="D59">
        <f>D42*10000000</f>
        <v>109000000</v>
      </c>
    </row>
    <row r="60" spans="1:25" ht="16.899999999999999" thickBot="1" x14ac:dyDescent="0.5">
      <c r="B60">
        <f>B59/100000</f>
        <v>950</v>
      </c>
      <c r="C60">
        <f>C59/100000</f>
        <v>140</v>
      </c>
      <c r="D60">
        <f>D59/100000</f>
        <v>1090</v>
      </c>
      <c r="N60">
        <f>B41/31</f>
        <v>4.8387096774193547E-2</v>
      </c>
      <c r="T60" s="830">
        <v>60833</v>
      </c>
      <c r="U60" s="480">
        <v>38491</v>
      </c>
      <c r="V60" s="481">
        <v>102</v>
      </c>
      <c r="X60" s="216">
        <f>(U60-T60)/T60*100</f>
        <v>-36.726776585077182</v>
      </c>
      <c r="Y60">
        <f>(U60-V60)/V60*100</f>
        <v>37636.274509803923</v>
      </c>
    </row>
    <row r="61" spans="1:25" ht="16.899999999999999" thickBot="1" x14ac:dyDescent="0.5">
      <c r="N61" s="229">
        <f>N60*25</f>
        <v>1.2096774193548387</v>
      </c>
      <c r="O61">
        <f>C41/31</f>
        <v>8.0645161290322578E-3</v>
      </c>
      <c r="Q61">
        <f>Q41/31</f>
        <v>0.39247311827956988</v>
      </c>
      <c r="R61">
        <f>R41/31</f>
        <v>1.6129032258064516E-2</v>
      </c>
      <c r="T61" s="831">
        <v>250</v>
      </c>
      <c r="U61" s="530">
        <v>155.07</v>
      </c>
      <c r="V61" s="481">
        <v>0.72</v>
      </c>
      <c r="X61" s="216">
        <f>(U61-T61)/T61*100</f>
        <v>-37.972000000000001</v>
      </c>
      <c r="Y61">
        <f>(U61-V61)/V61*100</f>
        <v>21437.5</v>
      </c>
    </row>
    <row r="62" spans="1:25" x14ac:dyDescent="0.45">
      <c r="O62" s="229">
        <f>O61*25</f>
        <v>0.20161290322580644</v>
      </c>
      <c r="R62">
        <f>R61*25</f>
        <v>0.40322580645161288</v>
      </c>
    </row>
    <row r="64" spans="1:25" x14ac:dyDescent="0.45">
      <c r="G64" s="273"/>
    </row>
    <row r="65" spans="7:7" x14ac:dyDescent="0.45">
      <c r="G65" s="273"/>
    </row>
  </sheetData>
  <mergeCells count="30">
    <mergeCell ref="P31:S31"/>
    <mergeCell ref="P32:P33"/>
    <mergeCell ref="Q32:S32"/>
    <mergeCell ref="G32:G33"/>
    <mergeCell ref="A31:D31"/>
    <mergeCell ref="I4:I5"/>
    <mergeCell ref="I3:N3"/>
    <mergeCell ref="J4:N4"/>
    <mergeCell ref="A32:A33"/>
    <mergeCell ref="B32:D32"/>
    <mergeCell ref="F32:F33"/>
    <mergeCell ref="A3:G3"/>
    <mergeCell ref="A4:A5"/>
    <mergeCell ref="B4:D4"/>
    <mergeCell ref="E4:E5"/>
    <mergeCell ref="F4:F5"/>
    <mergeCell ref="G4:G5"/>
    <mergeCell ref="P3:AB3"/>
    <mergeCell ref="P4:P5"/>
    <mergeCell ref="Q4:S4"/>
    <mergeCell ref="AC4:AC5"/>
    <mergeCell ref="AE4:AE5"/>
    <mergeCell ref="T4:W4"/>
    <mergeCell ref="X4:Z4"/>
    <mergeCell ref="AK32:AM32"/>
    <mergeCell ref="AN32:AO32"/>
    <mergeCell ref="AF4:AF5"/>
    <mergeCell ref="AD4:AD5"/>
    <mergeCell ref="AH4:AH5"/>
    <mergeCell ref="AG4:AG5"/>
  </mergeCells>
  <pageMargins left="0.2" right="0.22" top="0.2" bottom="0.2" header="0.3" footer="0.3"/>
  <pageSetup paperSize="9" scale="35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P64"/>
  <sheetViews>
    <sheetView workbookViewId="0">
      <selection activeCell="K19" sqref="K19"/>
    </sheetView>
  </sheetViews>
  <sheetFormatPr defaultColWidth="9.1328125" defaultRowHeight="16.899999999999999" x14ac:dyDescent="0.35"/>
  <cols>
    <col min="1" max="1" width="4.73046875" style="376" customWidth="1"/>
    <col min="2" max="2" width="40.3984375" style="300" customWidth="1"/>
    <col min="3" max="3" width="6.73046875" style="5" customWidth="1"/>
    <col min="4" max="4" width="13.265625" style="35" hidden="1" customWidth="1"/>
    <col min="5" max="5" width="19.1328125" style="35" customWidth="1"/>
    <col min="6" max="6" width="13" style="301" customWidth="1"/>
    <col min="7" max="7" width="12.86328125" style="301" customWidth="1"/>
    <col min="8" max="8" width="11.265625" style="11" customWidth="1"/>
    <col min="9" max="9" width="12.265625" style="523" customWidth="1"/>
    <col min="10" max="10" width="10.1328125" style="5" bestFit="1" customWidth="1"/>
    <col min="11" max="11" width="9.1328125" style="5"/>
    <col min="12" max="12" width="11.1328125" style="5" bestFit="1" customWidth="1"/>
    <col min="13" max="13" width="9.59765625" style="5" bestFit="1" customWidth="1"/>
    <col min="14" max="16384" width="9.1328125" style="5"/>
  </cols>
  <sheetData>
    <row r="1" spans="1:16" ht="14.25" customHeight="1" x14ac:dyDescent="0.35">
      <c r="A1" s="2031" t="s">
        <v>556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ht="20.25" customHeight="1" thickBot="1" x14ac:dyDescent="0.5">
      <c r="A2" s="2239" t="s">
        <v>456</v>
      </c>
      <c r="B2" s="2240"/>
      <c r="C2" s="2240"/>
      <c r="D2" s="2290"/>
      <c r="E2" s="2240"/>
      <c r="F2" s="2290"/>
      <c r="G2" s="2290"/>
      <c r="H2" s="2290"/>
      <c r="I2" s="2291"/>
    </row>
    <row r="3" spans="1:16" ht="15.75" thickTop="1" thickBot="1" x14ac:dyDescent="0.45">
      <c r="A3" s="2035" t="s">
        <v>144</v>
      </c>
      <c r="B3" s="2045" t="s">
        <v>7</v>
      </c>
      <c r="C3" s="2046"/>
      <c r="D3" s="606" t="s">
        <v>10</v>
      </c>
      <c r="E3" s="527" t="s">
        <v>8</v>
      </c>
      <c r="F3" s="2292" t="s">
        <v>10</v>
      </c>
      <c r="G3" s="2293"/>
      <c r="H3" s="2294" t="s">
        <v>11</v>
      </c>
      <c r="I3" s="2295"/>
    </row>
    <row r="4" spans="1:16" s="35" customFormat="1" ht="15" x14ac:dyDescent="0.45">
      <c r="A4" s="2035"/>
      <c r="B4" s="2047"/>
      <c r="C4" s="2048"/>
      <c r="D4" s="607" t="s">
        <v>66</v>
      </c>
      <c r="E4" s="612" t="str">
        <f>G4</f>
        <v>2020-21</v>
      </c>
      <c r="F4" s="616" t="s">
        <v>77</v>
      </c>
      <c r="G4" s="619" t="s">
        <v>249</v>
      </c>
      <c r="H4" s="2296" t="s">
        <v>12</v>
      </c>
      <c r="I4" s="2298" t="s">
        <v>13</v>
      </c>
    </row>
    <row r="5" spans="1:16" ht="15" hidden="1" x14ac:dyDescent="0.35">
      <c r="A5" s="2036"/>
      <c r="B5" s="2047"/>
      <c r="C5" s="2048"/>
      <c r="D5" s="2097"/>
      <c r="E5" s="2300"/>
      <c r="F5" s="617"/>
      <c r="G5" s="605"/>
      <c r="H5" s="2297"/>
      <c r="I5" s="2299"/>
    </row>
    <row r="6" spans="1:16" ht="25.5" customHeight="1" x14ac:dyDescent="0.35">
      <c r="A6" s="372">
        <v>1</v>
      </c>
      <c r="B6" s="2049" t="s">
        <v>279</v>
      </c>
      <c r="C6" s="2049"/>
      <c r="D6" s="304">
        <v>859.68</v>
      </c>
      <c r="E6" s="613">
        <f>'UPTO JAN2021'!E6+'FEB-21'!E6+'march-21'!E6</f>
        <v>231.56000000000003</v>
      </c>
      <c r="F6" s="613">
        <v>873.14</v>
      </c>
      <c r="G6" s="613">
        <v>202.54</v>
      </c>
      <c r="H6" s="621">
        <f>(G6-E6)/E6*100</f>
        <v>-12.532389013646586</v>
      </c>
      <c r="I6" s="608">
        <f>(G6-F6)/F6*100</f>
        <v>-76.803261790778109</v>
      </c>
      <c r="O6" s="5">
        <v>19.41</v>
      </c>
    </row>
    <row r="7" spans="1:16" ht="25.5" customHeight="1" x14ac:dyDescent="0.35">
      <c r="A7" s="373">
        <v>2</v>
      </c>
      <c r="B7" s="2050" t="s">
        <v>281</v>
      </c>
      <c r="C7" s="2051"/>
      <c r="D7" s="434">
        <v>198.16</v>
      </c>
      <c r="E7" s="614">
        <v>177.3</v>
      </c>
      <c r="F7" s="613">
        <f>'UPTO JAN2021'!F7+'FEB-21'!F7+'march-21'!F7</f>
        <v>194.94915280000004</v>
      </c>
      <c r="G7" s="613">
        <f>'UPTO JAN2021'!G7+'FEB-21'!G7+'march-21'!G7</f>
        <v>130.42216250000001</v>
      </c>
      <c r="H7" s="622">
        <f>(G7-E7)/E7*100</f>
        <v>-26.439840665538632</v>
      </c>
      <c r="I7" s="609">
        <f>(G7-F7)/F7*100</f>
        <v>-33.099395084932119</v>
      </c>
      <c r="O7" s="5">
        <v>189.96</v>
      </c>
    </row>
    <row r="8" spans="1:16" ht="25.5" customHeight="1" x14ac:dyDescent="0.35">
      <c r="A8" s="374">
        <v>3</v>
      </c>
      <c r="B8" s="2117" t="s">
        <v>282</v>
      </c>
      <c r="C8" s="2118"/>
      <c r="D8" s="364">
        <v>84.29</v>
      </c>
      <c r="E8" s="613">
        <v>23.29</v>
      </c>
      <c r="F8" s="613">
        <f>'UPTO JAN2021'!F8+'FEB-21'!F8+'march-21'!F8</f>
        <v>85.182228199999997</v>
      </c>
      <c r="G8" s="613">
        <f>'UPTO JAN2021'!G8+'FEB-21'!G8+'march-21'!G8</f>
        <v>22.722521499999999</v>
      </c>
      <c r="H8" s="621">
        <f>(G8-E8)/E8*100</f>
        <v>-2.4365757835981108</v>
      </c>
      <c r="I8" s="610">
        <f>(G8-F8)/F8*100</f>
        <v>-73.324809669630127</v>
      </c>
      <c r="O8" s="5">
        <v>663.77</v>
      </c>
    </row>
    <row r="9" spans="1:16" ht="25.5" customHeight="1" x14ac:dyDescent="0.35">
      <c r="A9" s="373">
        <v>4</v>
      </c>
      <c r="B9" s="2052" t="s">
        <v>283</v>
      </c>
      <c r="C9" s="2053"/>
      <c r="D9" s="434">
        <v>13.04</v>
      </c>
      <c r="E9" s="614">
        <v>2.73</v>
      </c>
      <c r="F9" s="613">
        <f>'UPTO JAN2021'!F9+'FEB-21'!F9+'march-21'!F9</f>
        <v>9.3101146999999997</v>
      </c>
      <c r="G9" s="613">
        <f>'UPTO JAN2021'!G9+'FEB-21'!G9+'march-21'!G9</f>
        <v>1.594149</v>
      </c>
      <c r="H9" s="622">
        <f>(G9-E9)/E9*100</f>
        <v>-41.606263736263735</v>
      </c>
      <c r="I9" s="609">
        <f>(G9-F9)/F9*100</f>
        <v>-82.877235658546724</v>
      </c>
    </row>
    <row r="10" spans="1:16" ht="25.5" customHeight="1" thickBot="1" x14ac:dyDescent="0.4">
      <c r="A10" s="374">
        <v>5</v>
      </c>
      <c r="B10" s="2117" t="s">
        <v>284</v>
      </c>
      <c r="C10" s="2118"/>
      <c r="D10" s="321">
        <f>SUM(D6:D9)</f>
        <v>1155.1699999999998</v>
      </c>
      <c r="E10" s="615">
        <f>SUM(E6:E9)</f>
        <v>434.88000000000005</v>
      </c>
      <c r="F10" s="618">
        <f>SUM(F6:F9)</f>
        <v>1162.5814957</v>
      </c>
      <c r="G10" s="620">
        <f>G6+G7+G8+G9</f>
        <v>357.27883299999996</v>
      </c>
      <c r="H10" s="623">
        <f>(G10-E10)/E10*100</f>
        <v>-17.844271293230335</v>
      </c>
      <c r="I10" s="611">
        <f>(G10-F10)/F10*100</f>
        <v>-69.268491342632331</v>
      </c>
      <c r="O10" s="5">
        <v>34.022481999999997</v>
      </c>
    </row>
    <row r="11" spans="1:16" ht="14.25" thickBot="1" x14ac:dyDescent="0.4">
      <c r="A11" s="2099"/>
      <c r="B11" s="2100"/>
      <c r="C11" s="2100"/>
      <c r="D11" s="2100"/>
      <c r="E11" s="2100"/>
      <c r="F11" s="2288"/>
      <c r="G11" s="2288"/>
      <c r="H11" s="2288"/>
      <c r="I11" s="2289"/>
      <c r="O11" s="5">
        <v>29.956289999999999</v>
      </c>
    </row>
    <row r="12" spans="1:16" ht="17.64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472" t="s">
        <v>221</v>
      </c>
      <c r="F12" s="305">
        <v>77.260000000000005</v>
      </c>
      <c r="G12" s="305">
        <f>'APRIL 2020'!G12+'MAY 2020'!G12+'JUNE-2020'!G12+'JULY-2020'!G12+'AUG-2020'!G12+'SEP-2020'!G12+'OCT-2020'!G12+'NOV-20'!G12+'DEC-20'!G12+'JAN-2021'!G12+'FEB-21'!G12+'march-21'!G12</f>
        <v>3.879969</v>
      </c>
      <c r="H12" s="473" t="s">
        <v>221</v>
      </c>
      <c r="I12" s="311">
        <f>(G12-F12)/F12*100</f>
        <v>-94.97803650012942</v>
      </c>
      <c r="O12" s="5">
        <v>10.899000000000001</v>
      </c>
    </row>
    <row r="13" spans="1:16" ht="16.5" customHeight="1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6" ht="21" customHeight="1" x14ac:dyDescent="0.35">
      <c r="A14" s="2003">
        <v>1</v>
      </c>
      <c r="B14" s="2227" t="s">
        <v>301</v>
      </c>
      <c r="C14" s="2228"/>
      <c r="D14" s="2228"/>
      <c r="E14" s="2228"/>
      <c r="F14" s="2228"/>
      <c r="G14" s="2228"/>
      <c r="H14" s="2228"/>
      <c r="I14" s="2229"/>
    </row>
    <row r="15" spans="1:16" ht="24" customHeight="1" x14ac:dyDescent="0.35">
      <c r="A15" s="2004"/>
      <c r="B15" s="2218" t="s">
        <v>16</v>
      </c>
      <c r="C15" s="2223"/>
      <c r="D15" s="332"/>
      <c r="E15" s="315">
        <f>'UPTO FEB-21'!E15+'march-21'!E15</f>
        <v>0.12000000000000001</v>
      </c>
      <c r="F15" s="315">
        <v>19.41</v>
      </c>
      <c r="G15" s="315">
        <f>'UPTO FEB-21'!G15+'march-21'!G15</f>
        <v>0.21279431100000001</v>
      </c>
      <c r="H15" s="496">
        <f>(G15-E15)/E15*100</f>
        <v>77.328592499999999</v>
      </c>
      <c r="I15" s="316">
        <f>(G15-F15)/F15*100</f>
        <v>-98.903687217928905</v>
      </c>
      <c r="P15" s="5">
        <v>19.41</v>
      </c>
    </row>
    <row r="16" spans="1:16" ht="24" customHeight="1" x14ac:dyDescent="0.35">
      <c r="A16" s="2004"/>
      <c r="B16" s="2224" t="s">
        <v>15</v>
      </c>
      <c r="C16" s="535" t="s">
        <v>166</v>
      </c>
      <c r="D16" s="2064"/>
      <c r="E16" s="2154">
        <f>'UPTO FEB-21'!E16:E17+'march-21'!E16</f>
        <v>231.44</v>
      </c>
      <c r="F16" s="315">
        <v>189.96</v>
      </c>
      <c r="G16" s="315">
        <f>'UPTO FEB-21'!G16+'march-21'!G16</f>
        <v>14.023786200000002</v>
      </c>
      <c r="H16" s="2027">
        <f>((G16+G17)-E16)/E16*100</f>
        <v>-12.697119685447635</v>
      </c>
      <c r="I16" s="316">
        <f>(G16-F16)/F16*100</f>
        <v>-92.617505685407465</v>
      </c>
      <c r="J16" s="12">
        <f>F16+F17</f>
        <v>853.73</v>
      </c>
      <c r="K16" s="12">
        <f>G16+G17</f>
        <v>202.05378619999999</v>
      </c>
      <c r="L16" s="5">
        <f>(K16-J16)/J16*100</f>
        <v>-76.332823468778187</v>
      </c>
      <c r="P16" s="5">
        <v>189.96</v>
      </c>
    </row>
    <row r="17" spans="1:16" ht="15.4" x14ac:dyDescent="0.45">
      <c r="A17" s="2005"/>
      <c r="B17" s="2225"/>
      <c r="C17" s="535" t="s">
        <v>228</v>
      </c>
      <c r="D17" s="2064"/>
      <c r="E17" s="2155"/>
      <c r="F17" s="315">
        <v>663.77</v>
      </c>
      <c r="G17" s="315">
        <v>188.03</v>
      </c>
      <c r="H17" s="2029"/>
      <c r="I17" s="316">
        <f>(G17-F17)/F17*100</f>
        <v>-71.672416650345767</v>
      </c>
      <c r="L17">
        <v>6190634590</v>
      </c>
      <c r="M17" s="5">
        <f>L17/10000000</f>
        <v>619.06345899999997</v>
      </c>
      <c r="P17" s="5">
        <v>663.77</v>
      </c>
    </row>
    <row r="18" spans="1:16" ht="15.4" x14ac:dyDescent="0.35">
      <c r="A18" s="2003">
        <v>2</v>
      </c>
      <c r="B18" s="2227" t="s">
        <v>302</v>
      </c>
      <c r="C18" s="2228"/>
      <c r="D18" s="2228"/>
      <c r="E18" s="2228"/>
      <c r="F18" s="2228"/>
      <c r="G18" s="2228"/>
      <c r="H18" s="2228"/>
      <c r="I18" s="2229"/>
    </row>
    <row r="19" spans="1:16" ht="15.4" x14ac:dyDescent="0.4">
      <c r="A19" s="2004"/>
      <c r="B19" s="2230" t="s">
        <v>230</v>
      </c>
      <c r="C19" s="2233" t="s">
        <v>231</v>
      </c>
      <c r="D19" s="2234"/>
      <c r="E19" s="2235"/>
      <c r="F19" s="315">
        <f>'UPTO FEB-21'!F19+'march-21'!F19</f>
        <v>91.668073499999991</v>
      </c>
      <c r="G19" s="315">
        <f>'UPTO FEB-21'!G19+'march-21'!G19</f>
        <v>67.981553000000005</v>
      </c>
      <c r="H19" s="316" t="s">
        <v>221</v>
      </c>
      <c r="I19" s="316">
        <f t="shared" ref="I19:I25" si="0">(G19-F19)/F19*100</f>
        <v>-25.83944398046064</v>
      </c>
    </row>
    <row r="20" spans="1:16" ht="15.4" x14ac:dyDescent="0.4">
      <c r="A20" s="2004"/>
      <c r="B20" s="2231"/>
      <c r="C20" s="2233" t="s">
        <v>232</v>
      </c>
      <c r="D20" s="2234"/>
      <c r="E20" s="2235"/>
      <c r="F20" s="315">
        <f>'UPTO FEB-21'!F20+'march-21'!F20</f>
        <v>76.350380800000011</v>
      </c>
      <c r="G20" s="315">
        <f>'UPTO FEB-21'!G20+'march-21'!G20</f>
        <v>32.743837499999998</v>
      </c>
      <c r="H20" s="316" t="s">
        <v>221</v>
      </c>
      <c r="I20" s="316">
        <f t="shared" si="0"/>
        <v>-57.113720774003006</v>
      </c>
      <c r="P20" s="5">
        <v>34.022481999999997</v>
      </c>
    </row>
    <row r="21" spans="1:16" ht="15.4" x14ac:dyDescent="0.4">
      <c r="A21" s="2004"/>
      <c r="B21" s="2231"/>
      <c r="C21" s="2233" t="s">
        <v>239</v>
      </c>
      <c r="D21" s="2234"/>
      <c r="E21" s="2235"/>
      <c r="F21" s="315">
        <f>'UPTO FEB-21'!F21+'march-21'!F21</f>
        <v>8.3542341999999987</v>
      </c>
      <c r="G21" s="315">
        <f>'UPTO FEB-21'!G21+'march-21'!G21</f>
        <v>18.820517699999996</v>
      </c>
      <c r="H21" s="316" t="s">
        <v>221</v>
      </c>
      <c r="I21" s="316">
        <f t="shared" si="0"/>
        <v>125.28118376188209</v>
      </c>
      <c r="P21" s="5">
        <v>29.956289999999999</v>
      </c>
    </row>
    <row r="22" spans="1:16" ht="15.4" x14ac:dyDescent="0.4">
      <c r="A22" s="2004"/>
      <c r="B22" s="2231"/>
      <c r="C22" s="2233" t="s">
        <v>233</v>
      </c>
      <c r="D22" s="2234"/>
      <c r="E22" s="2235"/>
      <c r="F22" s="315">
        <f>'UPTO FEB-21'!F22+'march-21'!F22</f>
        <v>14.5942911</v>
      </c>
      <c r="G22" s="315">
        <f>'UPTO FEB-21'!G22+'march-21'!G22</f>
        <v>10.1843907</v>
      </c>
      <c r="H22" s="316" t="s">
        <v>221</v>
      </c>
      <c r="I22" s="316">
        <f t="shared" si="0"/>
        <v>-30.216612576680753</v>
      </c>
      <c r="P22" s="5">
        <v>10.899000000000001</v>
      </c>
    </row>
    <row r="23" spans="1:16" ht="15.4" x14ac:dyDescent="0.4">
      <c r="A23" s="2004"/>
      <c r="B23" s="2231"/>
      <c r="C23" s="2233" t="s">
        <v>234</v>
      </c>
      <c r="D23" s="2234"/>
      <c r="E23" s="2235"/>
      <c r="F23" s="315">
        <f>'UPTO FEB-21'!F23+'march-21'!F23</f>
        <v>3.7799403999999996</v>
      </c>
      <c r="G23" s="315">
        <f>'UPTO FEB-21'!G23+'march-21'!G23</f>
        <v>0.08</v>
      </c>
      <c r="H23" s="316" t="s">
        <v>221</v>
      </c>
      <c r="I23" s="316">
        <f t="shared" si="0"/>
        <v>-97.883564513345235</v>
      </c>
    </row>
    <row r="24" spans="1:16" ht="15.4" x14ac:dyDescent="0.4">
      <c r="A24" s="2004"/>
      <c r="B24" s="2231"/>
      <c r="C24" s="2233" t="s">
        <v>235</v>
      </c>
      <c r="D24" s="2234"/>
      <c r="E24" s="2235"/>
      <c r="F24" s="315">
        <f>'UPTO FEB-21'!F24+'march-21'!F24</f>
        <v>0.1109137</v>
      </c>
      <c r="G24" s="315">
        <f>'UPTO FEB-21'!G24+'march-21'!G24</f>
        <v>0.49</v>
      </c>
      <c r="H24" s="316"/>
      <c r="I24" s="316">
        <f t="shared" si="0"/>
        <v>341.78491926606</v>
      </c>
    </row>
    <row r="25" spans="1:16" ht="15.4" x14ac:dyDescent="0.4">
      <c r="A25" s="2005"/>
      <c r="B25" s="2232"/>
      <c r="C25" s="2236" t="s">
        <v>412</v>
      </c>
      <c r="D25" s="2237"/>
      <c r="E25" s="2238"/>
      <c r="F25" s="315">
        <f>'UPTO FEB-21'!F25+'march-21'!F25</f>
        <v>7.7508899999999992E-2</v>
      </c>
      <c r="G25" s="315">
        <f>'UPTO FEB-21'!G25+'march-21'!G25</f>
        <v>0.12773110000000001</v>
      </c>
      <c r="H25" s="316" t="s">
        <v>221</v>
      </c>
      <c r="I25" s="316">
        <f t="shared" si="0"/>
        <v>64.795397689813711</v>
      </c>
    </row>
    <row r="26" spans="1:16" ht="15.4" x14ac:dyDescent="0.35">
      <c r="A26" s="2014">
        <v>3</v>
      </c>
      <c r="B26" s="2220" t="s">
        <v>303</v>
      </c>
      <c r="C26" s="2221"/>
      <c r="D26" s="2221"/>
      <c r="E26" s="2221"/>
      <c r="F26" s="2221"/>
      <c r="G26" s="2221"/>
      <c r="H26" s="2221"/>
      <c r="I26" s="2222"/>
    </row>
    <row r="27" spans="1:16" ht="15.4" x14ac:dyDescent="0.35">
      <c r="A27" s="2015"/>
      <c r="B27" s="2218" t="s">
        <v>2</v>
      </c>
      <c r="C27" s="2223"/>
      <c r="D27" s="307"/>
      <c r="E27" s="307">
        <v>0.42</v>
      </c>
      <c r="F27" s="315">
        <f>'UPTO FEB-21'!F27+'march-21'!F27</f>
        <v>19.3367045</v>
      </c>
      <c r="G27" s="315">
        <f>'UPTO FEB-21'!G27+'march-21'!G27</f>
        <v>0.69406950000000001</v>
      </c>
      <c r="H27" s="496">
        <f>(G27-E27)/E27*100</f>
        <v>65.254642857142869</v>
      </c>
      <c r="I27" s="316">
        <f>(G27-F27)/F27*100</f>
        <v>-96.410611229023019</v>
      </c>
      <c r="K27" s="11"/>
    </row>
    <row r="28" spans="1:16" ht="15.4" x14ac:dyDescent="0.35">
      <c r="A28" s="2015"/>
      <c r="B28" s="2218" t="s">
        <v>23</v>
      </c>
      <c r="C28" s="2223"/>
      <c r="D28" s="332" t="s">
        <v>221</v>
      </c>
      <c r="E28" s="307" t="s">
        <v>221</v>
      </c>
      <c r="F28" s="315">
        <f>'UPTO FEB-21'!F28+'march-21'!F28</f>
        <v>23.127437899999997</v>
      </c>
      <c r="G28" s="315">
        <f>'UPTO FEB-21'!G28+'march-21'!G28</f>
        <v>11.640530199999999</v>
      </c>
      <c r="H28" s="316" t="s">
        <v>221</v>
      </c>
      <c r="I28" s="316">
        <f t="shared" ref="I28:I33" si="1">(G28-F28)/F28*100</f>
        <v>-49.667878256415079</v>
      </c>
      <c r="K28" s="11"/>
    </row>
    <row r="29" spans="1:16" ht="15.4" x14ac:dyDescent="0.35">
      <c r="A29" s="2015"/>
      <c r="B29" s="2218" t="s">
        <v>1</v>
      </c>
      <c r="C29" s="2223"/>
      <c r="D29" s="332" t="s">
        <v>221</v>
      </c>
      <c r="E29" s="307" t="s">
        <v>221</v>
      </c>
      <c r="F29" s="315">
        <f>'UPTO FEB-21'!F29+'march-21'!F29</f>
        <v>1.4444795000000001</v>
      </c>
      <c r="G29" s="315">
        <f>'UPTO FEB-21'!G29+'march-21'!G29</f>
        <v>0.3401749</v>
      </c>
      <c r="H29" s="316" t="s">
        <v>221</v>
      </c>
      <c r="I29" s="316">
        <f t="shared" si="1"/>
        <v>-76.45000154034723</v>
      </c>
      <c r="K29" s="11"/>
    </row>
    <row r="30" spans="1:16" ht="15.4" x14ac:dyDescent="0.35">
      <c r="A30" s="2015"/>
      <c r="B30" s="2218" t="s">
        <v>24</v>
      </c>
      <c r="C30" s="2223"/>
      <c r="D30" s="332" t="s">
        <v>221</v>
      </c>
      <c r="E30" s="308" t="s">
        <v>221</v>
      </c>
      <c r="F30" s="315">
        <f>'UPTO FEB-21'!F30+'march-21'!F30</f>
        <v>1.8815359999999997</v>
      </c>
      <c r="G30" s="315">
        <f>'UPTO FEB-21'!G30+'march-21'!G30</f>
        <v>0</v>
      </c>
      <c r="H30" s="316" t="s">
        <v>221</v>
      </c>
      <c r="I30" s="316">
        <f t="shared" si="1"/>
        <v>-100</v>
      </c>
      <c r="K30" s="11"/>
    </row>
    <row r="31" spans="1:16" ht="15.4" x14ac:dyDescent="0.35">
      <c r="A31" s="2015"/>
      <c r="B31" s="2218" t="s">
        <v>25</v>
      </c>
      <c r="C31" s="2223"/>
      <c r="D31" s="332" t="s">
        <v>221</v>
      </c>
      <c r="E31" s="308" t="s">
        <v>221</v>
      </c>
      <c r="F31" s="315">
        <f>'UPTO FEB-21'!F31+'march-21'!F31</f>
        <v>2.5</v>
      </c>
      <c r="G31" s="315">
        <f>'UPTO FEB-21'!G31+'march-21'!G31</f>
        <v>0</v>
      </c>
      <c r="H31" s="316" t="s">
        <v>221</v>
      </c>
      <c r="I31" s="316">
        <f t="shared" si="1"/>
        <v>-100</v>
      </c>
      <c r="K31" s="11"/>
    </row>
    <row r="32" spans="1:16" ht="15.4" x14ac:dyDescent="0.35">
      <c r="A32" s="2016"/>
      <c r="B32" s="2218" t="s">
        <v>241</v>
      </c>
      <c r="C32" s="2223"/>
      <c r="D32" s="332" t="s">
        <v>221</v>
      </c>
      <c r="E32" s="308" t="s">
        <v>221</v>
      </c>
      <c r="F32" s="315">
        <f>'UPTO FEB-21'!F32+'march-21'!F32</f>
        <v>34.270000000000003</v>
      </c>
      <c r="G32" s="315">
        <f>'UPTO FEB-21'!G32+'march-21'!G32</f>
        <v>10.016973300000002</v>
      </c>
      <c r="H32" s="316" t="s">
        <v>221</v>
      </c>
      <c r="I32" s="316">
        <f t="shared" si="1"/>
        <v>-70.770430989203376</v>
      </c>
      <c r="K32" s="11"/>
    </row>
    <row r="33" spans="1:13" x14ac:dyDescent="0.35">
      <c r="A33" s="403"/>
      <c r="B33" s="536" t="s">
        <v>266</v>
      </c>
      <c r="C33" s="537"/>
      <c r="D33" s="332" t="s">
        <v>221</v>
      </c>
      <c r="E33" s="308" t="s">
        <v>221</v>
      </c>
      <c r="F33" s="315">
        <f>'UPTO FEB-21'!F33+'march-21'!F33</f>
        <v>1.3708425999999998</v>
      </c>
      <c r="G33" s="315">
        <f>'UPTO FEB-21'!G33+'march-21'!G33</f>
        <v>2.7684300000000002E-2</v>
      </c>
      <c r="H33" s="316" t="s">
        <v>221</v>
      </c>
      <c r="I33" s="316">
        <f t="shared" si="1"/>
        <v>-97.980490247385077</v>
      </c>
      <c r="K33" s="11"/>
    </row>
    <row r="34" spans="1:13" ht="15.4" x14ac:dyDescent="0.35">
      <c r="A34" s="2020">
        <v>4</v>
      </c>
      <c r="B34" s="2220" t="s">
        <v>304</v>
      </c>
      <c r="C34" s="2221"/>
      <c r="D34" s="2221"/>
      <c r="E34" s="2221"/>
      <c r="F34" s="2221"/>
      <c r="G34" s="2221"/>
      <c r="H34" s="2221"/>
      <c r="I34" s="2222"/>
    </row>
    <row r="35" spans="1:13" ht="15.4" x14ac:dyDescent="0.35">
      <c r="A35" s="2020"/>
      <c r="B35" s="2218" t="s">
        <v>27</v>
      </c>
      <c r="C35" s="2223"/>
      <c r="D35" s="332"/>
      <c r="E35" s="307">
        <v>2.4300000000000002</v>
      </c>
      <c r="F35" s="315">
        <f>'UPTO FEB-21'!F35+'march-21'!F35</f>
        <v>5.5956765000000006</v>
      </c>
      <c r="G35" s="315">
        <f>'UPTO FEB-21'!G35+'march-21'!G35</f>
        <v>1.0829323</v>
      </c>
      <c r="H35" s="316">
        <f>(G35-E35)/E35*100</f>
        <v>-55.434884773662553</v>
      </c>
      <c r="I35" s="316">
        <f>(G35-F35)/F35*100</f>
        <v>-80.646981647348625</v>
      </c>
      <c r="K35" s="12"/>
      <c r="L35" s="12">
        <f>F35*100</f>
        <v>559.56765000000007</v>
      </c>
      <c r="M35" s="12">
        <f>G35*100</f>
        <v>108.29322999999999</v>
      </c>
    </row>
    <row r="36" spans="1:13" ht="15.4" x14ac:dyDescent="0.35">
      <c r="A36" s="2020"/>
      <c r="B36" s="2218" t="s">
        <v>28</v>
      </c>
      <c r="C36" s="2223"/>
      <c r="D36" s="332"/>
      <c r="E36" s="307">
        <v>0.1135</v>
      </c>
      <c r="F36" s="315">
        <f>'UPTO FEB-21'!F36+'march-21'!F36</f>
        <v>2.0232943000000003</v>
      </c>
      <c r="G36" s="315">
        <f>'UPTO FEB-21'!G36+'march-21'!G36</f>
        <v>0.1221</v>
      </c>
      <c r="H36" s="316">
        <f>(G36-E36)/E36*100</f>
        <v>7.5770925110132126</v>
      </c>
      <c r="I36" s="316">
        <f>(G36-F36)/F36*100</f>
        <v>-93.965287205128774</v>
      </c>
      <c r="K36" s="12"/>
      <c r="L36" s="12">
        <f>F36*100</f>
        <v>202.32943000000003</v>
      </c>
      <c r="M36" s="12">
        <f>G36*100</f>
        <v>12.21</v>
      </c>
    </row>
    <row r="37" spans="1:13" ht="15.4" x14ac:dyDescent="0.35">
      <c r="A37" s="2020"/>
      <c r="B37" s="538" t="s">
        <v>224</v>
      </c>
      <c r="C37" s="539"/>
      <c r="D37" s="332"/>
      <c r="E37" s="307">
        <v>0.19</v>
      </c>
      <c r="F37" s="315">
        <f>'UPTO FEB-21'!F37+'march-21'!F37</f>
        <v>1.3488614000000001</v>
      </c>
      <c r="G37" s="315">
        <f>'UPTO FEB-21'!G37+'march-21'!G37</f>
        <v>0.16538259999999999</v>
      </c>
      <c r="H37" s="316">
        <f>(G37-E37)/E37*100</f>
        <v>-12.95652631578948</v>
      </c>
      <c r="I37" s="316">
        <f>(G37-F37)/F37*100</f>
        <v>-87.73909609986616</v>
      </c>
      <c r="K37" s="12"/>
      <c r="L37" s="12">
        <v>141.35</v>
      </c>
      <c r="M37" s="12">
        <v>19.649999999999999</v>
      </c>
    </row>
    <row r="38" spans="1:13" ht="15.4" x14ac:dyDescent="0.35">
      <c r="A38" s="2020"/>
      <c r="B38" s="2218" t="s">
        <v>64</v>
      </c>
      <c r="C38" s="2223"/>
      <c r="D38" s="332" t="s">
        <v>221</v>
      </c>
      <c r="E38" s="307" t="s">
        <v>221</v>
      </c>
      <c r="F38" s="315">
        <f>'UPTO FEB-21'!F38+'march-21'!F38</f>
        <v>0</v>
      </c>
      <c r="G38" s="315">
        <f>'UPTO FEB-21'!G38+'march-21'!G38</f>
        <v>0</v>
      </c>
      <c r="H38" s="316" t="s">
        <v>221</v>
      </c>
      <c r="I38" s="316">
        <v>0</v>
      </c>
      <c r="K38" s="12"/>
      <c r="L38" s="13">
        <f t="shared" ref="L38:M40" si="2">F38*100</f>
        <v>0</v>
      </c>
      <c r="M38" s="13">
        <f t="shared" si="2"/>
        <v>0</v>
      </c>
    </row>
    <row r="39" spans="1:13" ht="15.4" x14ac:dyDescent="0.35">
      <c r="A39" s="2020"/>
      <c r="B39" s="2218" t="s">
        <v>4</v>
      </c>
      <c r="C39" s="2223"/>
      <c r="D39" s="332" t="s">
        <v>221</v>
      </c>
      <c r="E39" s="307" t="s">
        <v>221</v>
      </c>
      <c r="F39" s="315">
        <f>'UPTO FEB-21'!F39+'march-21'!F39</f>
        <v>3.0324999999999998E-2</v>
      </c>
      <c r="G39" s="315">
        <f>'UPTO FEB-21'!G39+'march-21'!G39</f>
        <v>1.5826E-3</v>
      </c>
      <c r="H39" s="316" t="s">
        <v>221</v>
      </c>
      <c r="I39" s="316">
        <f>(G39-F39)/F39*100</f>
        <v>-94.781203627370161</v>
      </c>
      <c r="K39" s="12"/>
      <c r="L39" s="12">
        <f t="shared" si="2"/>
        <v>3.0324999999999998</v>
      </c>
      <c r="M39" s="12">
        <f t="shared" si="2"/>
        <v>0.15826000000000001</v>
      </c>
    </row>
    <row r="40" spans="1:13" x14ac:dyDescent="0.35">
      <c r="A40" s="373"/>
      <c r="B40" s="2218" t="s">
        <v>259</v>
      </c>
      <c r="C40" s="2219"/>
      <c r="D40" s="332" t="s">
        <v>221</v>
      </c>
      <c r="E40" s="307" t="s">
        <v>221</v>
      </c>
      <c r="F40" s="315">
        <f>'UPTO FEB-21'!F40+'march-21'!F40</f>
        <v>0.31324030000000003</v>
      </c>
      <c r="G40" s="315">
        <f>'UPTO FEB-21'!G40+'march-21'!G40</f>
        <v>0.22206870000000001</v>
      </c>
      <c r="H40" s="316" t="s">
        <v>221</v>
      </c>
      <c r="I40" s="316">
        <f>(G40-F40)/F40*100</f>
        <v>-29.105961142292358</v>
      </c>
      <c r="K40" s="12"/>
      <c r="L40" s="12">
        <f t="shared" si="2"/>
        <v>31.324030000000004</v>
      </c>
      <c r="M40" s="12">
        <f t="shared" si="2"/>
        <v>22.206870000000002</v>
      </c>
    </row>
    <row r="41" spans="1:13" ht="15.4" x14ac:dyDescent="0.4">
      <c r="A41" s="2020"/>
      <c r="B41" s="2220" t="s">
        <v>419</v>
      </c>
      <c r="C41" s="2221"/>
      <c r="D41" s="2221"/>
      <c r="E41" s="2221"/>
      <c r="F41" s="2221"/>
      <c r="G41" s="2221"/>
      <c r="H41" s="2221"/>
      <c r="I41" s="2222"/>
      <c r="L41" s="848">
        <f>SUM(L35:L40)</f>
        <v>937.60361000000012</v>
      </c>
      <c r="M41" s="848">
        <f>SUM(M35:M40)</f>
        <v>162.51836000000003</v>
      </c>
    </row>
    <row r="42" spans="1:13" ht="15.4" x14ac:dyDescent="0.4">
      <c r="A42" s="2020"/>
      <c r="B42" s="2218" t="s">
        <v>16</v>
      </c>
      <c r="C42" s="2223"/>
      <c r="D42" s="332" t="s">
        <v>221</v>
      </c>
      <c r="E42" s="307" t="s">
        <v>221</v>
      </c>
      <c r="F42" s="315">
        <f>'UPTO FEB-21'!F42+'march-21'!F42</f>
        <v>34.022481999999997</v>
      </c>
      <c r="G42" s="315">
        <f>'UPTO FEB-21'!G42+'march-21'!G42</f>
        <v>0.46589800000000003</v>
      </c>
      <c r="H42" s="316" t="s">
        <v>221</v>
      </c>
      <c r="I42" s="316">
        <f>(G42-F42)/F42*100</f>
        <v>-98.630617248912046</v>
      </c>
      <c r="L42" s="26"/>
      <c r="M42" s="26"/>
    </row>
    <row r="43" spans="1:13" ht="15.4" x14ac:dyDescent="0.35">
      <c r="A43" s="2020"/>
      <c r="B43" s="2224" t="s">
        <v>15</v>
      </c>
      <c r="C43" s="535" t="s">
        <v>166</v>
      </c>
      <c r="D43" s="2067" t="s">
        <v>221</v>
      </c>
      <c r="E43" s="2065" t="s">
        <v>221</v>
      </c>
      <c r="F43" s="315">
        <f>'UPTO FEB-21'!F43+'march-21'!F43</f>
        <v>29.956289999999999</v>
      </c>
      <c r="G43" s="315">
        <f>'UPTO FEB-21'!G43+'march-21'!G43</f>
        <v>0.26151599999999997</v>
      </c>
      <c r="H43" s="2027" t="s">
        <v>221</v>
      </c>
      <c r="I43" s="316">
        <f>(G43-F43)/F43*100</f>
        <v>-99.127008050729913</v>
      </c>
    </row>
    <row r="44" spans="1:13" ht="15.4" x14ac:dyDescent="0.35">
      <c r="A44" s="2020"/>
      <c r="B44" s="2225"/>
      <c r="C44" s="535" t="s">
        <v>228</v>
      </c>
      <c r="D44" s="2068"/>
      <c r="E44" s="2066"/>
      <c r="F44" s="315">
        <f>'UPTO FEB-21'!F44+'march-21'!F44</f>
        <v>10.899000000000001</v>
      </c>
      <c r="G44" s="315">
        <f>'UPTO FEB-21'!G44+'march-21'!G44</f>
        <v>3.1525549999999996</v>
      </c>
      <c r="H44" s="2029"/>
      <c r="I44" s="316">
        <f>(G44-F44)/F44*100</f>
        <v>-71.074823378291597</v>
      </c>
    </row>
    <row r="45" spans="1:13" ht="15" x14ac:dyDescent="0.35">
      <c r="A45" s="2020">
        <v>6</v>
      </c>
      <c r="B45" s="2021" t="s">
        <v>457</v>
      </c>
      <c r="C45" s="2022"/>
      <c r="D45" s="2022"/>
      <c r="E45" s="2022"/>
      <c r="F45" s="2022"/>
      <c r="G45" s="2022"/>
      <c r="H45" s="2022"/>
      <c r="I45" s="2023"/>
    </row>
    <row r="46" spans="1:13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1.72</v>
      </c>
      <c r="G46" s="313">
        <f>0.75</f>
        <v>0.75</v>
      </c>
      <c r="H46" s="2027" t="s">
        <v>221</v>
      </c>
      <c r="I46" s="314">
        <f>(G46-F46)/F46*100</f>
        <v>-56.395348837209305</v>
      </c>
    </row>
    <row r="47" spans="1:13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0.28999999999999998</v>
      </c>
      <c r="G47" s="313">
        <v>0.31</v>
      </c>
      <c r="H47" s="2028"/>
      <c r="I47" s="314">
        <f>(G47-F47)/F47*100</f>
        <v>6.8965517241379377</v>
      </c>
    </row>
    <row r="48" spans="1:13" ht="15.4" x14ac:dyDescent="0.4">
      <c r="A48" s="2020"/>
      <c r="B48" s="2006" t="s">
        <v>38</v>
      </c>
      <c r="C48" s="2007"/>
      <c r="D48" s="303" t="s">
        <v>221</v>
      </c>
      <c r="E48" s="2026"/>
      <c r="F48" s="313">
        <v>2.0099999999999998</v>
      </c>
      <c r="G48" s="313">
        <f>SUM(G46:G47)</f>
        <v>1.06</v>
      </c>
      <c r="H48" s="2029"/>
      <c r="I48" s="314">
        <f>(G48-F48)/F48*100</f>
        <v>-47.263681592039788</v>
      </c>
    </row>
    <row r="49" spans="2:10" s="5" customFormat="1" ht="15" x14ac:dyDescent="0.35">
      <c r="B49" s="300"/>
      <c r="D49" s="35"/>
      <c r="E49" s="524"/>
      <c r="F49" s="524"/>
      <c r="G49" s="524"/>
      <c r="H49" s="525"/>
      <c r="I49" s="525"/>
    </row>
    <row r="50" spans="2:10" s="5" customFormat="1" ht="14.25" x14ac:dyDescent="0.45">
      <c r="B50" s="300"/>
      <c r="D50" s="301"/>
      <c r="E50" s="428"/>
      <c r="F50">
        <v>10755912</v>
      </c>
      <c r="G50" s="522">
        <f>41.75-F44</f>
        <v>30.850999999999999</v>
      </c>
      <c r="H50" s="11"/>
      <c r="I50" s="526">
        <f>D50/100000</f>
        <v>0</v>
      </c>
    </row>
    <row r="51" spans="2:10" s="5" customFormat="1" ht="13.5" x14ac:dyDescent="0.35">
      <c r="B51" s="300"/>
      <c r="C51" s="5">
        <f>G42*1000000</f>
        <v>465898.00000000006</v>
      </c>
      <c r="D51" s="301"/>
      <c r="E51" s="428">
        <f>G42*1000000</f>
        <v>465898.00000000006</v>
      </c>
      <c r="F51" s="301">
        <f>E51/100000</f>
        <v>4.6589800000000006</v>
      </c>
      <c r="G51" s="522"/>
      <c r="H51" s="11"/>
      <c r="I51" s="526">
        <f>D51/100000</f>
        <v>0</v>
      </c>
    </row>
    <row r="52" spans="2:10" s="5" customFormat="1" ht="13.5" x14ac:dyDescent="0.35">
      <c r="B52" s="300"/>
      <c r="C52" s="12">
        <f>G43+G44</f>
        <v>3.4140709999999994</v>
      </c>
      <c r="D52" s="301"/>
      <c r="E52" s="428">
        <f>G43*1000000</f>
        <v>261515.99999999997</v>
      </c>
      <c r="F52" s="301">
        <f>E52/100000</f>
        <v>2.6151599999999999</v>
      </c>
      <c r="G52" s="522"/>
      <c r="H52" s="11"/>
      <c r="I52" s="526">
        <f>D52/100000</f>
        <v>0</v>
      </c>
    </row>
    <row r="53" spans="2:10" s="5" customFormat="1" ht="13.5" x14ac:dyDescent="0.35">
      <c r="B53" s="300"/>
      <c r="C53" s="5">
        <f>C52*1000000</f>
        <v>3414070.9999999995</v>
      </c>
      <c r="D53" s="301"/>
      <c r="E53" s="428">
        <f>G44*1000000</f>
        <v>3152554.9999999995</v>
      </c>
      <c r="F53" s="301">
        <f>E53/100000</f>
        <v>31.525549999999996</v>
      </c>
      <c r="G53" s="301"/>
      <c r="H53" s="11"/>
      <c r="I53" s="526">
        <f>D53/100000</f>
        <v>0</v>
      </c>
      <c r="J53" s="5">
        <v>29.46</v>
      </c>
    </row>
    <row r="54" spans="2:10" s="5" customFormat="1" ht="13.5" x14ac:dyDescent="0.35">
      <c r="C54" s="12">
        <f>C53/100000</f>
        <v>34.140709999999999</v>
      </c>
      <c r="D54" s="35"/>
      <c r="E54" s="428"/>
      <c r="F54" s="522"/>
      <c r="G54" s="522"/>
      <c r="H54" s="11"/>
      <c r="I54" s="526">
        <f>D54/100000</f>
        <v>0</v>
      </c>
    </row>
    <row r="56" spans="2:10" s="5" customFormat="1" ht="15.4" x14ac:dyDescent="0.35">
      <c r="B56" s="300">
        <v>227.5</v>
      </c>
      <c r="D56" s="528"/>
      <c r="E56" s="316"/>
      <c r="F56" s="316"/>
      <c r="G56" s="301"/>
      <c r="H56" s="11"/>
      <c r="I56" s="523"/>
    </row>
    <row r="57" spans="2:10" s="5" customFormat="1" ht="13.5" x14ac:dyDescent="0.35">
      <c r="B57" s="300"/>
      <c r="D57" s="5">
        <f>D35*10000000</f>
        <v>0</v>
      </c>
      <c r="E57" s="35">
        <f>D57/100000</f>
        <v>0</v>
      </c>
      <c r="F57" s="301">
        <f>F56/100000</f>
        <v>0</v>
      </c>
      <c r="G57" s="301"/>
      <c r="H57" s="11"/>
      <c r="I57" s="523"/>
    </row>
    <row r="58" spans="2:10" s="5" customFormat="1" ht="13.5" x14ac:dyDescent="0.35">
      <c r="B58" s="300"/>
      <c r="D58" s="35">
        <f>D57/12</f>
        <v>0</v>
      </c>
      <c r="E58" s="35">
        <f>D58/100000</f>
        <v>0</v>
      </c>
      <c r="F58" s="301"/>
      <c r="G58" s="301">
        <f>10732/100000</f>
        <v>0.10732</v>
      </c>
      <c r="H58" s="11"/>
      <c r="I58" s="523"/>
    </row>
    <row r="59" spans="2:10" s="5" customFormat="1" ht="13.5" x14ac:dyDescent="0.35">
      <c r="B59" s="300"/>
      <c r="D59" s="35">
        <f>D58*11</f>
        <v>0</v>
      </c>
      <c r="E59" s="35">
        <f>D59/100000</f>
        <v>0</v>
      </c>
      <c r="F59" s="301"/>
      <c r="G59" s="301"/>
      <c r="H59" s="11"/>
      <c r="I59" s="523"/>
    </row>
    <row r="60" spans="2:10" s="5" customFormat="1" ht="13.5" x14ac:dyDescent="0.35">
      <c r="B60" s="300"/>
      <c r="D60" s="35"/>
      <c r="E60" s="35">
        <f>D60/100000</f>
        <v>0</v>
      </c>
      <c r="F60" s="301"/>
      <c r="G60" s="301"/>
      <c r="H60" s="11"/>
      <c r="I60" s="523"/>
    </row>
    <row r="62" spans="2:10" s="5" customFormat="1" thickBot="1" x14ac:dyDescent="0.4">
      <c r="B62" s="300"/>
      <c r="D62" s="35">
        <v>22.75</v>
      </c>
      <c r="E62" s="529">
        <v>190896</v>
      </c>
      <c r="F62" s="530">
        <v>409214</v>
      </c>
      <c r="G62" s="301"/>
      <c r="H62" s="301">
        <f>(E62-F62)/F62*100</f>
        <v>-53.350569628605079</v>
      </c>
      <c r="I62" s="523"/>
    </row>
    <row r="63" spans="2:10" s="5" customFormat="1" thickBot="1" x14ac:dyDescent="0.4">
      <c r="B63" s="300"/>
      <c r="D63" s="35"/>
      <c r="E63" s="529">
        <v>4108</v>
      </c>
      <c r="F63" s="530">
        <v>32918</v>
      </c>
      <c r="G63" s="301"/>
      <c r="H63" s="301">
        <f>(E63-F63)/F63*100</f>
        <v>-87.520505498511454</v>
      </c>
      <c r="I63" s="523"/>
    </row>
    <row r="64" spans="2:10" s="5" customFormat="1" thickBot="1" x14ac:dyDescent="0.4">
      <c r="D64" s="301"/>
      <c r="E64" s="531">
        <v>195004</v>
      </c>
      <c r="F64" s="532">
        <v>442132</v>
      </c>
      <c r="G64" s="301"/>
      <c r="H64" s="301">
        <f>(E64-F64)/F64*100</f>
        <v>-55.894619706332051</v>
      </c>
      <c r="I64" s="301"/>
    </row>
  </sheetData>
  <mergeCells count="63">
    <mergeCell ref="A11:I11"/>
    <mergeCell ref="A1:I1"/>
    <mergeCell ref="A2:I2"/>
    <mergeCell ref="A3:A5"/>
    <mergeCell ref="B3:C5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75" bottom="0.75" header="0.3" footer="0.3"/>
  <pageSetup paperSize="9" scale="53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2:AE96"/>
  <sheetViews>
    <sheetView topLeftCell="A48" workbookViewId="0">
      <selection activeCell="D56" sqref="D56"/>
    </sheetView>
  </sheetViews>
  <sheetFormatPr defaultRowHeight="14.25" x14ac:dyDescent="0.45"/>
  <cols>
    <col min="1" max="1" width="13.3984375" customWidth="1"/>
    <col min="2" max="7" width="12.73046875" customWidth="1"/>
    <col min="8" max="8" width="3.59765625" customWidth="1"/>
    <col min="9" max="9" width="15.59765625" customWidth="1"/>
    <col min="10" max="10" width="11.59765625" customWidth="1"/>
    <col min="11" max="11" width="14.73046875" customWidth="1"/>
    <col min="12" max="12" width="10.1328125" customWidth="1"/>
    <col min="13" max="13" width="12" style="273" customWidth="1"/>
    <col min="14" max="14" width="11" style="229" customWidth="1"/>
    <col min="15" max="15" width="11.1328125" style="629" customWidth="1"/>
    <col min="20" max="20" width="12.59765625" bestFit="1" customWidth="1"/>
    <col min="21" max="21" width="13.59765625" customWidth="1"/>
    <col min="22" max="22" width="12.3984375" style="229" customWidth="1"/>
    <col min="23" max="23" width="12.3984375" customWidth="1"/>
    <col min="24" max="24" width="6.1328125" customWidth="1"/>
    <col min="25" max="25" width="12.59765625" customWidth="1"/>
  </cols>
  <sheetData>
    <row r="2" spans="1:28" x14ac:dyDescent="0.45">
      <c r="I2" s="2302" t="s">
        <v>278</v>
      </c>
      <c r="J2" s="2302"/>
      <c r="K2" s="2302"/>
      <c r="L2" s="2302"/>
      <c r="M2" s="2302"/>
      <c r="N2" s="2302"/>
      <c r="O2" s="2302"/>
      <c r="P2" s="2302"/>
      <c r="Q2" s="2302"/>
      <c r="R2" s="629" t="s">
        <v>611</v>
      </c>
      <c r="W2" s="629" t="s">
        <v>611</v>
      </c>
      <c r="AB2" s="629" t="s">
        <v>611</v>
      </c>
    </row>
    <row r="3" spans="1:28" x14ac:dyDescent="0.45">
      <c r="A3" s="2264" t="s">
        <v>524</v>
      </c>
      <c r="B3" s="2264"/>
      <c r="C3" s="2264"/>
      <c r="D3" s="2264"/>
      <c r="E3" s="2264"/>
      <c r="F3" s="2264"/>
      <c r="G3" s="2264"/>
      <c r="I3" s="2305" t="s">
        <v>610</v>
      </c>
      <c r="J3" s="2305"/>
      <c r="K3" s="2305"/>
      <c r="L3" s="2305"/>
      <c r="M3" s="2303" t="s">
        <v>492</v>
      </c>
      <c r="N3" s="2303"/>
      <c r="O3" s="2303"/>
      <c r="P3" s="2303" t="s">
        <v>612</v>
      </c>
      <c r="Q3" s="2303"/>
      <c r="R3" s="2303"/>
      <c r="T3" s="2303" t="s">
        <v>613</v>
      </c>
      <c r="U3" s="2303"/>
      <c r="V3" s="2303"/>
      <c r="W3" s="2304" t="s">
        <v>614</v>
      </c>
      <c r="Y3" s="2304" t="s">
        <v>616</v>
      </c>
      <c r="Z3" s="2303"/>
      <c r="AA3" s="2303"/>
      <c r="AB3" s="2304" t="s">
        <v>614</v>
      </c>
    </row>
    <row r="4" spans="1:28" ht="14.65" thickBot="1" x14ac:dyDescent="0.5">
      <c r="A4" s="2278" t="s">
        <v>127</v>
      </c>
      <c r="B4" s="2280" t="s">
        <v>237</v>
      </c>
      <c r="C4" s="2281"/>
      <c r="D4" s="2282"/>
      <c r="E4" s="2283" t="s">
        <v>370</v>
      </c>
      <c r="F4" s="2285" t="s">
        <v>371</v>
      </c>
      <c r="G4" s="2283" t="s">
        <v>63</v>
      </c>
      <c r="I4" s="2305"/>
      <c r="J4" s="2305"/>
      <c r="K4" s="2305"/>
      <c r="L4" s="2305"/>
      <c r="M4" s="2303"/>
      <c r="N4" s="2303"/>
      <c r="O4" s="2303"/>
      <c r="P4" s="2303"/>
      <c r="Q4" s="2303"/>
      <c r="R4" s="2303"/>
      <c r="T4" s="2303"/>
      <c r="U4" s="2303"/>
      <c r="V4" s="2303"/>
      <c r="W4" s="2304"/>
      <c r="Y4" s="2303"/>
      <c r="Z4" s="2303"/>
      <c r="AA4" s="2303"/>
      <c r="AB4" s="2304"/>
    </row>
    <row r="5" spans="1:28" ht="14.65" thickBot="1" x14ac:dyDescent="0.5">
      <c r="A5" s="2279"/>
      <c r="B5" s="667" t="s">
        <v>94</v>
      </c>
      <c r="C5" s="668" t="s">
        <v>97</v>
      </c>
      <c r="D5" s="669" t="s">
        <v>63</v>
      </c>
      <c r="E5" s="2284"/>
      <c r="F5" s="2286"/>
      <c r="G5" s="2284"/>
      <c r="I5" s="855" t="s">
        <v>127</v>
      </c>
      <c r="J5" s="690" t="s">
        <v>94</v>
      </c>
      <c r="K5" s="690" t="s">
        <v>97</v>
      </c>
      <c r="L5" s="690" t="s">
        <v>63</v>
      </c>
      <c r="M5" s="924" t="s">
        <v>94</v>
      </c>
      <c r="N5" s="925" t="s">
        <v>97</v>
      </c>
      <c r="O5" s="925" t="s">
        <v>63</v>
      </c>
      <c r="P5" s="926" t="s">
        <v>94</v>
      </c>
      <c r="Q5" s="927" t="s">
        <v>97</v>
      </c>
      <c r="R5" s="927" t="s">
        <v>63</v>
      </c>
      <c r="T5" s="855" t="s">
        <v>127</v>
      </c>
      <c r="U5" s="777" t="s">
        <v>83</v>
      </c>
      <c r="V5" s="930" t="s">
        <v>492</v>
      </c>
      <c r="W5" s="777"/>
      <c r="Y5" s="855" t="s">
        <v>127</v>
      </c>
      <c r="Z5" s="777" t="s">
        <v>83</v>
      </c>
      <c r="AA5" s="930" t="s">
        <v>492</v>
      </c>
      <c r="AB5" s="777"/>
    </row>
    <row r="6" spans="1:28" x14ac:dyDescent="0.45">
      <c r="A6" s="670" t="s">
        <v>131</v>
      </c>
      <c r="B6" s="671">
        <v>0.16</v>
      </c>
      <c r="C6" s="852">
        <v>68.09</v>
      </c>
      <c r="D6" s="673">
        <f>SUM(B6:C6)</f>
        <v>68.25</v>
      </c>
      <c r="E6" s="674">
        <v>11.57</v>
      </c>
      <c r="F6" s="674">
        <v>5.0999999999999996</v>
      </c>
      <c r="G6" s="674">
        <f>SUM(D6:F6)</f>
        <v>84.919999999999987</v>
      </c>
      <c r="I6" s="677" t="s">
        <v>131</v>
      </c>
      <c r="J6" s="677">
        <v>0.16</v>
      </c>
      <c r="K6" s="704">
        <v>68.09</v>
      </c>
      <c r="L6" s="677">
        <f>SUM(J6:K6)</f>
        <v>68.25</v>
      </c>
      <c r="M6" s="922">
        <v>3.9327188999999999E-2</v>
      </c>
      <c r="N6" s="704">
        <v>32.692743999999998</v>
      </c>
      <c r="O6" s="928">
        <f>SUM(M6:N6)</f>
        <v>32.732071188999996</v>
      </c>
      <c r="P6" s="124">
        <f>(M6-J6)/J6*100</f>
        <v>-75.420506875000001</v>
      </c>
      <c r="Q6" s="124">
        <f t="shared" ref="Q6:Q21" si="0">(N6-K6)/K6*100</f>
        <v>-51.98598325745337</v>
      </c>
      <c r="R6" s="124">
        <f t="shared" ref="R6:R21" si="1">(O6-L6)/L6*100</f>
        <v>-52.04092133479854</v>
      </c>
      <c r="T6" s="677" t="s">
        <v>131</v>
      </c>
      <c r="U6" s="677">
        <v>11.57</v>
      </c>
      <c r="V6" s="704">
        <v>19.541618</v>
      </c>
      <c r="W6" s="124">
        <f t="shared" ref="W6:W27" si="2">(V6-U6)/U6*100</f>
        <v>68.899031979256691</v>
      </c>
      <c r="Y6" s="677" t="s">
        <v>131</v>
      </c>
      <c r="Z6" s="674">
        <v>5.0999999999999996</v>
      </c>
      <c r="AA6" s="704">
        <v>5.9256178000000004</v>
      </c>
      <c r="AB6" s="124">
        <f t="shared" ref="AB6:AB22" si="3">(AA6-Z6)/Z6*100</f>
        <v>16.188584313725507</v>
      </c>
    </row>
    <row r="7" spans="1:28" x14ac:dyDescent="0.45">
      <c r="A7" s="675" t="s">
        <v>132</v>
      </c>
      <c r="B7" s="676">
        <v>0.18</v>
      </c>
      <c r="C7" s="704">
        <v>75.430000000000007</v>
      </c>
      <c r="D7" s="673">
        <f>SUM(B7:C7)</f>
        <v>75.610000000000014</v>
      </c>
      <c r="E7" s="675">
        <v>12.42</v>
      </c>
      <c r="F7" s="675">
        <v>8.61</v>
      </c>
      <c r="G7" s="675">
        <f t="shared" ref="G7:G27" si="4">SUM(D7:F7)</f>
        <v>96.640000000000015</v>
      </c>
      <c r="I7" s="677" t="s">
        <v>132</v>
      </c>
      <c r="J7" s="677">
        <v>0.18</v>
      </c>
      <c r="K7" s="704">
        <v>75.430000000000007</v>
      </c>
      <c r="L7" s="677">
        <f>SUM(J7:K7)</f>
        <v>75.610000000000014</v>
      </c>
      <c r="M7" s="922">
        <v>3.6307567999999998E-2</v>
      </c>
      <c r="N7" s="704">
        <v>15.4711026</v>
      </c>
      <c r="O7" s="928">
        <f>SUM(M7:N7)</f>
        <v>15.507410168</v>
      </c>
      <c r="P7" s="124">
        <f>(M7-J7)/J7*100</f>
        <v>-79.829128888888874</v>
      </c>
      <c r="Q7" s="124">
        <f t="shared" si="0"/>
        <v>-79.489456979981441</v>
      </c>
      <c r="R7" s="124">
        <f t="shared" si="1"/>
        <v>-79.490265615659311</v>
      </c>
      <c r="T7" s="677" t="s">
        <v>132</v>
      </c>
      <c r="U7" s="677">
        <v>12.42</v>
      </c>
      <c r="V7" s="704">
        <v>20.642501599999999</v>
      </c>
      <c r="W7" s="124">
        <f t="shared" si="2"/>
        <v>66.203716586151359</v>
      </c>
      <c r="Y7" s="677" t="s">
        <v>132</v>
      </c>
      <c r="Z7" s="675">
        <v>8.61</v>
      </c>
      <c r="AA7" s="704">
        <v>3.6509244000000001</v>
      </c>
      <c r="AB7" s="124">
        <f t="shared" si="3"/>
        <v>-57.596696864111493</v>
      </c>
    </row>
    <row r="8" spans="1:28" x14ac:dyDescent="0.45">
      <c r="A8" s="679" t="s">
        <v>204</v>
      </c>
      <c r="B8" s="680">
        <f>SUM(B6:B7)</f>
        <v>0.33999999999999997</v>
      </c>
      <c r="C8" s="701">
        <f>SUM(C6:C7)</f>
        <v>143.52000000000001</v>
      </c>
      <c r="D8" s="682">
        <f>SUM(B8:C8)</f>
        <v>143.86000000000001</v>
      </c>
      <c r="E8" s="679">
        <f>SUM(E6:E7)</f>
        <v>23.990000000000002</v>
      </c>
      <c r="F8" s="679">
        <f>SUM(F6:F7)</f>
        <v>13.709999999999999</v>
      </c>
      <c r="G8" s="679">
        <f>SUM(G6:G7)</f>
        <v>181.56</v>
      </c>
      <c r="I8" s="681" t="s">
        <v>204</v>
      </c>
      <c r="J8" s="681">
        <v>0.33999999999999997</v>
      </c>
      <c r="K8" s="701">
        <v>143.52000000000001</v>
      </c>
      <c r="L8" s="681">
        <f>SUM(J8:K8)</f>
        <v>143.86000000000001</v>
      </c>
      <c r="M8" s="923">
        <f>SUM(M6:M7)</f>
        <v>7.5634756999999997E-2</v>
      </c>
      <c r="N8" s="701">
        <f>SUM(N6:N7)</f>
        <v>48.163846599999999</v>
      </c>
      <c r="O8" s="701">
        <f>SUM(M8:N8)</f>
        <v>48.239481357000003</v>
      </c>
      <c r="P8" s="929">
        <f t="shared" ref="P8:P21" si="5">(M8-J8)/J8*100</f>
        <v>-77.754483235294117</v>
      </c>
      <c r="Q8" s="929">
        <f t="shared" si="0"/>
        <v>-66.441021042363431</v>
      </c>
      <c r="R8" s="929">
        <f t="shared" si="1"/>
        <v>-66.467759379257615</v>
      </c>
      <c r="T8" s="681" t="s">
        <v>204</v>
      </c>
      <c r="U8" s="681">
        <f>SUM(U6:U7)</f>
        <v>23.990000000000002</v>
      </c>
      <c r="V8" s="701">
        <f>SUM(V6:V7)</f>
        <v>40.184119600000002</v>
      </c>
      <c r="W8" s="929">
        <f t="shared" si="2"/>
        <v>67.503624843684861</v>
      </c>
      <c r="Y8" s="681" t="s">
        <v>204</v>
      </c>
      <c r="Z8" s="679">
        <f>SUM(Z6:Z7)</f>
        <v>13.709999999999999</v>
      </c>
      <c r="AA8" s="701">
        <f>SUM(AA6:AA7)</f>
        <v>9.5765422000000004</v>
      </c>
      <c r="AB8" s="929">
        <f t="shared" si="3"/>
        <v>-30.149218088986135</v>
      </c>
    </row>
    <row r="9" spans="1:28" x14ac:dyDescent="0.45">
      <c r="A9" s="675" t="s">
        <v>133</v>
      </c>
      <c r="B9" s="676">
        <v>0.17</v>
      </c>
      <c r="C9" s="704">
        <v>71.95</v>
      </c>
      <c r="D9" s="678">
        <f>SUM(B9:C9)</f>
        <v>72.12</v>
      </c>
      <c r="E9" s="675">
        <v>11.88</v>
      </c>
      <c r="F9" s="675">
        <v>3.22</v>
      </c>
      <c r="G9" s="675">
        <f t="shared" si="4"/>
        <v>87.22</v>
      </c>
      <c r="I9" s="677" t="s">
        <v>133</v>
      </c>
      <c r="J9" s="677">
        <v>0.17</v>
      </c>
      <c r="K9" s="704">
        <v>71.95</v>
      </c>
      <c r="L9" s="677">
        <f>SUM(J9:K9)</f>
        <v>72.12</v>
      </c>
      <c r="M9" s="922">
        <v>5.7094699999999998E-2</v>
      </c>
      <c r="N9" s="704">
        <v>30.461698500000001</v>
      </c>
      <c r="O9" s="928">
        <f>SUM(M9:N9)</f>
        <v>30.518793200000001</v>
      </c>
      <c r="P9" s="124">
        <f t="shared" si="5"/>
        <v>-66.414882352941191</v>
      </c>
      <c r="Q9" s="124">
        <f t="shared" si="0"/>
        <v>-57.662684503127181</v>
      </c>
      <c r="R9" s="124">
        <f t="shared" si="1"/>
        <v>-57.683315030504708</v>
      </c>
      <c r="T9" s="677" t="s">
        <v>133</v>
      </c>
      <c r="U9" s="677">
        <v>11.88</v>
      </c>
      <c r="V9" s="704">
        <v>13.885429800000001</v>
      </c>
      <c r="W9" s="124">
        <f t="shared" si="2"/>
        <v>16.880722222222218</v>
      </c>
      <c r="Y9" s="677" t="s">
        <v>133</v>
      </c>
      <c r="Z9" s="675">
        <v>3.22</v>
      </c>
      <c r="AA9" s="704">
        <v>3.547342</v>
      </c>
      <c r="AB9" s="124">
        <f t="shared" si="3"/>
        <v>10.165900621118006</v>
      </c>
    </row>
    <row r="10" spans="1:28" x14ac:dyDescent="0.45">
      <c r="A10" s="679" t="s">
        <v>205</v>
      </c>
      <c r="B10" s="680">
        <f t="shared" ref="B10:G10" si="6">SUM(B8:B9)</f>
        <v>0.51</v>
      </c>
      <c r="C10" s="701">
        <f t="shared" si="6"/>
        <v>215.47000000000003</v>
      </c>
      <c r="D10" s="683">
        <f t="shared" si="6"/>
        <v>215.98000000000002</v>
      </c>
      <c r="E10" s="679">
        <f t="shared" si="6"/>
        <v>35.870000000000005</v>
      </c>
      <c r="F10" s="679">
        <f t="shared" si="6"/>
        <v>16.93</v>
      </c>
      <c r="G10" s="679">
        <f t="shared" si="6"/>
        <v>268.77999999999997</v>
      </c>
      <c r="I10" s="681" t="s">
        <v>205</v>
      </c>
      <c r="J10" s="681">
        <v>0.51</v>
      </c>
      <c r="K10" s="701">
        <v>215.47000000000003</v>
      </c>
      <c r="L10" s="681">
        <f>SUM(L8:L9)</f>
        <v>215.98000000000002</v>
      </c>
      <c r="M10" s="923">
        <f>SUM(M8:M9)</f>
        <v>0.132729457</v>
      </c>
      <c r="N10" s="701">
        <f>SUM(N8:N9)</f>
        <v>78.625545099999997</v>
      </c>
      <c r="O10" s="701">
        <f>SUM(O8:O9)</f>
        <v>78.758274557000007</v>
      </c>
      <c r="P10" s="929">
        <f t="shared" si="5"/>
        <v>-73.974616274509813</v>
      </c>
      <c r="Q10" s="929">
        <f t="shared" si="0"/>
        <v>-63.509748410451571</v>
      </c>
      <c r="R10" s="929">
        <f t="shared" si="1"/>
        <v>-63.534459414297629</v>
      </c>
      <c r="T10" s="681" t="s">
        <v>205</v>
      </c>
      <c r="U10" s="681">
        <f>SUM(U8:U9)</f>
        <v>35.870000000000005</v>
      </c>
      <c r="V10" s="701">
        <f>SUM(V8:V9)</f>
        <v>54.0695494</v>
      </c>
      <c r="W10" s="929">
        <f t="shared" si="2"/>
        <v>50.737522720936703</v>
      </c>
      <c r="Y10" s="681" t="s">
        <v>205</v>
      </c>
      <c r="Z10" s="679">
        <f>SUM(Z8:Z9)</f>
        <v>16.93</v>
      </c>
      <c r="AA10" s="701">
        <f>SUM(AA8:AA9)</f>
        <v>13.123884200000001</v>
      </c>
      <c r="AB10" s="929">
        <f t="shared" si="3"/>
        <v>-22.481487300649729</v>
      </c>
    </row>
    <row r="11" spans="1:28" x14ac:dyDescent="0.45">
      <c r="A11" s="675" t="s">
        <v>51</v>
      </c>
      <c r="B11" s="676">
        <v>0.17</v>
      </c>
      <c r="C11" s="704">
        <v>71.290000000000006</v>
      </c>
      <c r="D11" s="678">
        <f>SUM(B11:C11)</f>
        <v>71.460000000000008</v>
      </c>
      <c r="E11" s="675">
        <v>9.6300000000000008</v>
      </c>
      <c r="F11" s="675">
        <v>4.12</v>
      </c>
      <c r="G11" s="675">
        <f t="shared" si="4"/>
        <v>85.210000000000008</v>
      </c>
      <c r="I11" s="677" t="s">
        <v>51</v>
      </c>
      <c r="J11" s="677">
        <v>0.17</v>
      </c>
      <c r="K11" s="704">
        <v>71.290000000000006</v>
      </c>
      <c r="L11" s="677">
        <f>SUM(J11:K11)</f>
        <v>71.460000000000008</v>
      </c>
      <c r="M11" s="922">
        <v>6.56606E-2</v>
      </c>
      <c r="N11" s="704">
        <v>45.158219000000003</v>
      </c>
      <c r="O11" s="928">
        <f>SUM(M11:N11)</f>
        <v>45.223879600000004</v>
      </c>
      <c r="P11" s="124">
        <f t="shared" si="5"/>
        <v>-61.376117647058827</v>
      </c>
      <c r="Q11" s="124">
        <f t="shared" si="0"/>
        <v>-36.655605274232009</v>
      </c>
      <c r="R11" s="124">
        <f t="shared" si="1"/>
        <v>-36.714414217744192</v>
      </c>
      <c r="T11" s="677" t="s">
        <v>51</v>
      </c>
      <c r="U11" s="677">
        <v>9.6300000000000008</v>
      </c>
      <c r="V11" s="704">
        <v>15.211028000000001</v>
      </c>
      <c r="W11" s="124">
        <f t="shared" si="2"/>
        <v>57.954600207684315</v>
      </c>
      <c r="Y11" s="677" t="s">
        <v>51</v>
      </c>
      <c r="Z11" s="675">
        <v>4.12</v>
      </c>
      <c r="AA11" s="704">
        <v>4.8137546000000002</v>
      </c>
      <c r="AB11" s="124">
        <f t="shared" si="3"/>
        <v>16.83870388349515</v>
      </c>
    </row>
    <row r="12" spans="1:28" x14ac:dyDescent="0.45">
      <c r="A12" s="679" t="s">
        <v>207</v>
      </c>
      <c r="B12" s="680">
        <f t="shared" ref="B12:G12" si="7">SUM(B10:B11)</f>
        <v>0.68</v>
      </c>
      <c r="C12" s="701">
        <f t="shared" si="7"/>
        <v>286.76000000000005</v>
      </c>
      <c r="D12" s="683">
        <f t="shared" si="7"/>
        <v>287.44000000000005</v>
      </c>
      <c r="E12" s="679">
        <f t="shared" si="7"/>
        <v>45.500000000000007</v>
      </c>
      <c r="F12" s="679">
        <f t="shared" si="7"/>
        <v>21.05</v>
      </c>
      <c r="G12" s="679">
        <f t="shared" si="7"/>
        <v>353.99</v>
      </c>
      <c r="I12" s="681" t="s">
        <v>207</v>
      </c>
      <c r="J12" s="681">
        <v>0.68</v>
      </c>
      <c r="K12" s="701">
        <v>286.76000000000005</v>
      </c>
      <c r="L12" s="681">
        <f>SUM(L10:L11)</f>
        <v>287.44000000000005</v>
      </c>
      <c r="M12" s="923">
        <f>SUM(M10:M11)</f>
        <v>0.19839005700000001</v>
      </c>
      <c r="N12" s="701">
        <f>SUM(N10:N11)</f>
        <v>123.7837641</v>
      </c>
      <c r="O12" s="701">
        <f>SUM(O10:O11)</f>
        <v>123.98215415700001</v>
      </c>
      <c r="P12" s="929">
        <f t="shared" si="5"/>
        <v>-70.824991617647058</v>
      </c>
      <c r="Q12" s="929">
        <f t="shared" si="0"/>
        <v>-56.833671327939747</v>
      </c>
      <c r="R12" s="929">
        <f t="shared" si="1"/>
        <v>-56.866770749721681</v>
      </c>
      <c r="T12" s="681" t="s">
        <v>207</v>
      </c>
      <c r="U12" s="681">
        <f>SUM(U10:U11)</f>
        <v>45.500000000000007</v>
      </c>
      <c r="V12" s="701">
        <f>SUM(V10:V11)</f>
        <v>69.280577399999999</v>
      </c>
      <c r="W12" s="929">
        <f t="shared" si="2"/>
        <v>52.265005274725254</v>
      </c>
      <c r="Y12" s="681" t="s">
        <v>207</v>
      </c>
      <c r="Z12" s="679">
        <f>SUM(Z10:Z11)</f>
        <v>21.05</v>
      </c>
      <c r="AA12" s="701">
        <f>SUM(AA10:AA11)</f>
        <v>17.937638800000002</v>
      </c>
      <c r="AB12" s="929">
        <f t="shared" si="3"/>
        <v>-14.785563895486931</v>
      </c>
    </row>
    <row r="13" spans="1:28" x14ac:dyDescent="0.45">
      <c r="A13" s="675" t="s">
        <v>134</v>
      </c>
      <c r="B13" s="676">
        <v>0.14000000000000001</v>
      </c>
      <c r="C13" s="704">
        <v>62.13</v>
      </c>
      <c r="D13" s="678">
        <f>SUM(B13:C13)</f>
        <v>62.27</v>
      </c>
      <c r="E13" s="675">
        <v>8.61</v>
      </c>
      <c r="F13" s="675">
        <v>5.48</v>
      </c>
      <c r="G13" s="675">
        <f t="shared" si="4"/>
        <v>76.36</v>
      </c>
      <c r="I13" s="677" t="s">
        <v>134</v>
      </c>
      <c r="J13" s="677">
        <v>0.14000000000000001</v>
      </c>
      <c r="K13" s="704">
        <v>62.13</v>
      </c>
      <c r="L13" s="677">
        <f>SUM(J13:K13)</f>
        <v>62.27</v>
      </c>
      <c r="M13" s="922">
        <v>8.4121825999999997E-2</v>
      </c>
      <c r="N13" s="704">
        <v>51.614201799999996</v>
      </c>
      <c r="O13" s="928">
        <f>SUM(M13:N13)</f>
        <v>51.698323625999997</v>
      </c>
      <c r="P13" s="124">
        <f t="shared" si="5"/>
        <v>-39.912981428571435</v>
      </c>
      <c r="Q13" s="124">
        <f t="shared" si="0"/>
        <v>-16.925475937550306</v>
      </c>
      <c r="R13" s="124">
        <f t="shared" si="1"/>
        <v>-16.977158140356522</v>
      </c>
      <c r="T13" s="677" t="s">
        <v>134</v>
      </c>
      <c r="U13" s="677">
        <v>8.61</v>
      </c>
      <c r="V13" s="704">
        <v>30.321334499999999</v>
      </c>
      <c r="W13" s="124">
        <f t="shared" si="2"/>
        <v>252.16416376306623</v>
      </c>
      <c r="Y13" s="677" t="s">
        <v>134</v>
      </c>
      <c r="Z13" s="675">
        <v>5.48</v>
      </c>
      <c r="AA13" s="704">
        <v>4.8645718000000002</v>
      </c>
      <c r="AB13" s="124">
        <f t="shared" si="3"/>
        <v>-11.230441605839419</v>
      </c>
    </row>
    <row r="14" spans="1:28" x14ac:dyDescent="0.45">
      <c r="A14" s="679" t="s">
        <v>208</v>
      </c>
      <c r="B14" s="680">
        <f t="shared" ref="B14:G14" si="8">SUM(B12:B13)</f>
        <v>0.82000000000000006</v>
      </c>
      <c r="C14" s="701">
        <f t="shared" si="8"/>
        <v>348.89000000000004</v>
      </c>
      <c r="D14" s="683">
        <f t="shared" si="8"/>
        <v>349.71000000000004</v>
      </c>
      <c r="E14" s="679">
        <f t="shared" si="8"/>
        <v>54.110000000000007</v>
      </c>
      <c r="F14" s="679">
        <f t="shared" si="8"/>
        <v>26.53</v>
      </c>
      <c r="G14" s="679">
        <f t="shared" si="8"/>
        <v>430.35</v>
      </c>
      <c r="I14" s="681" t="s">
        <v>208</v>
      </c>
      <c r="J14" s="681">
        <v>0.82000000000000006</v>
      </c>
      <c r="K14" s="701">
        <v>348.89000000000004</v>
      </c>
      <c r="L14" s="681">
        <f>SUM(L12:L13)</f>
        <v>349.71000000000004</v>
      </c>
      <c r="M14" s="923">
        <f>SUM(M12:M13)</f>
        <v>0.28251188300000002</v>
      </c>
      <c r="N14" s="701">
        <f>SUM(N12:N13)</f>
        <v>175.3979659</v>
      </c>
      <c r="O14" s="701">
        <f>SUM(O12:O13)</f>
        <v>175.68047778300001</v>
      </c>
      <c r="P14" s="929">
        <f t="shared" si="5"/>
        <v>-65.547331341463419</v>
      </c>
      <c r="Q14" s="929">
        <f t="shared" si="0"/>
        <v>-49.726857777523009</v>
      </c>
      <c r="R14" s="929">
        <f t="shared" si="1"/>
        <v>-49.763953623573819</v>
      </c>
      <c r="T14" s="681" t="s">
        <v>208</v>
      </c>
      <c r="U14" s="681">
        <f>SUM(U12:U13)</f>
        <v>54.110000000000007</v>
      </c>
      <c r="V14" s="701">
        <f>SUM(V12:V13)</f>
        <v>99.601911900000005</v>
      </c>
      <c r="W14" s="929">
        <f t="shared" si="2"/>
        <v>84.073021437811846</v>
      </c>
      <c r="Y14" s="681" t="s">
        <v>208</v>
      </c>
      <c r="Z14" s="679">
        <f>SUM(Z12:Z13)</f>
        <v>26.53</v>
      </c>
      <c r="AA14" s="701">
        <f>SUM(AA12:AA13)</f>
        <v>22.802210600000002</v>
      </c>
      <c r="AB14" s="929">
        <f t="shared" si="3"/>
        <v>-14.051222766679228</v>
      </c>
    </row>
    <row r="15" spans="1:28" x14ac:dyDescent="0.45">
      <c r="A15" s="675" t="s">
        <v>135</v>
      </c>
      <c r="B15" s="676">
        <v>0.16</v>
      </c>
      <c r="C15" s="704">
        <v>66.77</v>
      </c>
      <c r="D15" s="678">
        <f>SUM(B15:C15)</f>
        <v>66.929999999999993</v>
      </c>
      <c r="E15" s="675">
        <v>7.99</v>
      </c>
      <c r="F15" s="675">
        <v>5</v>
      </c>
      <c r="G15" s="675">
        <f t="shared" si="4"/>
        <v>79.919999999999987</v>
      </c>
      <c r="I15" s="677" t="s">
        <v>135</v>
      </c>
      <c r="J15" s="677">
        <v>0.16</v>
      </c>
      <c r="K15" s="704">
        <v>66.77</v>
      </c>
      <c r="L15" s="677">
        <f>SUM(J15:K15)</f>
        <v>66.929999999999993</v>
      </c>
      <c r="M15" s="922">
        <v>0.102888752</v>
      </c>
      <c r="N15" s="704">
        <v>58.511461948000004</v>
      </c>
      <c r="O15" s="928">
        <f>SUM(M15:N15)</f>
        <v>58.614350700000003</v>
      </c>
      <c r="P15" s="124">
        <f t="shared" si="5"/>
        <v>-35.69453</v>
      </c>
      <c r="Q15" s="124">
        <f t="shared" si="0"/>
        <v>-12.368635692676341</v>
      </c>
      <c r="R15" s="124">
        <f t="shared" si="1"/>
        <v>-12.424397579560722</v>
      </c>
      <c r="T15" s="677" t="s">
        <v>135</v>
      </c>
      <c r="U15" s="677">
        <v>7.99</v>
      </c>
      <c r="V15" s="704">
        <v>26.052749299999999</v>
      </c>
      <c r="W15" s="124">
        <f t="shared" si="2"/>
        <v>226.06694993742175</v>
      </c>
      <c r="Y15" s="677" t="s">
        <v>135</v>
      </c>
      <c r="Z15" s="675">
        <v>5</v>
      </c>
      <c r="AA15" s="704">
        <v>5.1427562</v>
      </c>
      <c r="AB15" s="124">
        <f t="shared" si="3"/>
        <v>2.855124</v>
      </c>
    </row>
    <row r="16" spans="1:28" x14ac:dyDescent="0.45">
      <c r="A16" s="679" t="s">
        <v>209</v>
      </c>
      <c r="B16" s="680">
        <f t="shared" ref="B16:G16" si="9">SUM(B14:B15)</f>
        <v>0.98000000000000009</v>
      </c>
      <c r="C16" s="701">
        <f t="shared" si="9"/>
        <v>415.66</v>
      </c>
      <c r="D16" s="683">
        <f t="shared" si="9"/>
        <v>416.64000000000004</v>
      </c>
      <c r="E16" s="679">
        <f t="shared" si="9"/>
        <v>62.100000000000009</v>
      </c>
      <c r="F16" s="679">
        <f t="shared" si="9"/>
        <v>31.53</v>
      </c>
      <c r="G16" s="679">
        <f t="shared" si="9"/>
        <v>510.27</v>
      </c>
      <c r="I16" s="681" t="s">
        <v>209</v>
      </c>
      <c r="J16" s="681">
        <v>0.98000000000000009</v>
      </c>
      <c r="K16" s="701">
        <v>415.66</v>
      </c>
      <c r="L16" s="681">
        <f>SUM(L14:L15)</f>
        <v>416.64000000000004</v>
      </c>
      <c r="M16" s="923">
        <f>SUM(M14:M15)</f>
        <v>0.38540063499999999</v>
      </c>
      <c r="N16" s="701">
        <f>SUM(N14:N15)</f>
        <v>233.90942784800001</v>
      </c>
      <c r="O16" s="701">
        <f>SUM(O14:O15)</f>
        <v>234.294828483</v>
      </c>
      <c r="P16" s="929">
        <f t="shared" si="5"/>
        <v>-60.673404591836743</v>
      </c>
      <c r="Q16" s="929">
        <f t="shared" si="0"/>
        <v>-43.725778798056105</v>
      </c>
      <c r="R16" s="929">
        <f t="shared" si="1"/>
        <v>-43.765642165178576</v>
      </c>
      <c r="T16" s="681" t="s">
        <v>209</v>
      </c>
      <c r="U16" s="681">
        <f>SUM(U14:U15)</f>
        <v>62.100000000000009</v>
      </c>
      <c r="V16" s="701">
        <f>SUM(V14:V15)</f>
        <v>125.65466120000001</v>
      </c>
      <c r="W16" s="929">
        <f t="shared" si="2"/>
        <v>102.3424495974235</v>
      </c>
      <c r="Y16" s="681" t="s">
        <v>209</v>
      </c>
      <c r="Z16" s="679">
        <f>SUM(Z14:Z15)</f>
        <v>31.53</v>
      </c>
      <c r="AA16" s="701">
        <f>SUM(AA14:AA15)</f>
        <v>27.944966800000003</v>
      </c>
      <c r="AB16" s="929">
        <f t="shared" si="3"/>
        <v>-11.370228988265138</v>
      </c>
    </row>
    <row r="17" spans="1:28" x14ac:dyDescent="0.45">
      <c r="A17" s="675" t="s">
        <v>136</v>
      </c>
      <c r="B17" s="676">
        <v>0.12</v>
      </c>
      <c r="C17" s="704">
        <v>52.5</v>
      </c>
      <c r="D17" s="678">
        <f>SUM(B17:C17)</f>
        <v>52.62</v>
      </c>
      <c r="E17" s="675">
        <v>8.0500000000000007</v>
      </c>
      <c r="F17" s="675">
        <v>4.63</v>
      </c>
      <c r="G17" s="675">
        <f t="shared" si="4"/>
        <v>65.3</v>
      </c>
      <c r="I17" s="677" t="s">
        <v>136</v>
      </c>
      <c r="J17" s="677">
        <v>0.12</v>
      </c>
      <c r="K17" s="704">
        <v>52.5</v>
      </c>
      <c r="L17" s="677">
        <f>SUM(J17:K17)</f>
        <v>52.62</v>
      </c>
      <c r="M17" s="922">
        <v>0.12636130000000001</v>
      </c>
      <c r="N17" s="704">
        <v>65.718717799999993</v>
      </c>
      <c r="O17" s="928">
        <f>SUM(M17:N17)</f>
        <v>65.845079099999992</v>
      </c>
      <c r="P17" s="124">
        <f t="shared" si="5"/>
        <v>5.3010833333333451</v>
      </c>
      <c r="Q17" s="124">
        <f t="shared" si="0"/>
        <v>25.178510095238082</v>
      </c>
      <c r="R17" s="124">
        <f t="shared" si="1"/>
        <v>25.133179589509684</v>
      </c>
      <c r="T17" s="677" t="s">
        <v>136</v>
      </c>
      <c r="U17" s="677">
        <v>8.0500000000000007</v>
      </c>
      <c r="V17" s="704">
        <v>33.418018699999998</v>
      </c>
      <c r="W17" s="124">
        <f t="shared" si="2"/>
        <v>315.13066708074524</v>
      </c>
      <c r="Y17" s="677" t="s">
        <v>136</v>
      </c>
      <c r="Z17" s="675">
        <v>4.63</v>
      </c>
      <c r="AA17" s="704">
        <v>7.4653605000000001</v>
      </c>
      <c r="AB17" s="124">
        <f t="shared" si="3"/>
        <v>61.238887688984889</v>
      </c>
    </row>
    <row r="18" spans="1:28" x14ac:dyDescent="0.45">
      <c r="A18" s="679" t="s">
        <v>210</v>
      </c>
      <c r="B18" s="680">
        <f t="shared" ref="B18:G18" si="10">SUM(B16:B17)</f>
        <v>1.1000000000000001</v>
      </c>
      <c r="C18" s="701">
        <f t="shared" si="10"/>
        <v>468.16</v>
      </c>
      <c r="D18" s="683">
        <f t="shared" si="10"/>
        <v>469.26000000000005</v>
      </c>
      <c r="E18" s="679">
        <f t="shared" si="10"/>
        <v>70.150000000000006</v>
      </c>
      <c r="F18" s="679">
        <f t="shared" si="10"/>
        <v>36.160000000000004</v>
      </c>
      <c r="G18" s="679">
        <f t="shared" si="10"/>
        <v>575.56999999999994</v>
      </c>
      <c r="I18" s="681" t="s">
        <v>210</v>
      </c>
      <c r="J18" s="681">
        <v>1.1000000000000001</v>
      </c>
      <c r="K18" s="701">
        <v>468.16</v>
      </c>
      <c r="L18" s="681">
        <f>SUM(L16:L17)</f>
        <v>469.26000000000005</v>
      </c>
      <c r="M18" s="923">
        <f>SUM(M16:M17)</f>
        <v>0.511761935</v>
      </c>
      <c r="N18" s="701">
        <f>SUM(N16:N17)</f>
        <v>299.62814564799999</v>
      </c>
      <c r="O18" s="701">
        <f>SUM(O16:O17)</f>
        <v>300.13990758299997</v>
      </c>
      <c r="P18" s="929">
        <f t="shared" si="5"/>
        <v>-53.47618772727273</v>
      </c>
      <c r="Q18" s="929">
        <f t="shared" si="0"/>
        <v>-35.998772717019826</v>
      </c>
      <c r="R18" s="929">
        <f t="shared" si="1"/>
        <v>-36.039741809870875</v>
      </c>
      <c r="T18" s="681" t="s">
        <v>210</v>
      </c>
      <c r="U18" s="681">
        <f>SUM(U16:U17)</f>
        <v>70.150000000000006</v>
      </c>
      <c r="V18" s="701">
        <f>SUM(V16:V17)</f>
        <v>159.0726799</v>
      </c>
      <c r="W18" s="929">
        <f t="shared" si="2"/>
        <v>126.76076963649321</v>
      </c>
      <c r="Y18" s="681" t="s">
        <v>210</v>
      </c>
      <c r="Z18" s="679">
        <f>SUM(Z16:Z17)</f>
        <v>36.160000000000004</v>
      </c>
      <c r="AA18" s="701">
        <f>SUM(AA16:AA17)</f>
        <v>35.410327300000006</v>
      </c>
      <c r="AB18" s="929">
        <f t="shared" si="3"/>
        <v>-2.073209900442472</v>
      </c>
    </row>
    <row r="19" spans="1:28" x14ac:dyDescent="0.45">
      <c r="A19" s="675" t="s">
        <v>137</v>
      </c>
      <c r="B19" s="676">
        <v>0.14000000000000001</v>
      </c>
      <c r="C19" s="704">
        <v>58.73</v>
      </c>
      <c r="D19" s="678">
        <f>SUM(B19:C19)</f>
        <v>58.87</v>
      </c>
      <c r="E19" s="675">
        <v>8.7799999999999994</v>
      </c>
      <c r="F19" s="675">
        <v>4.82</v>
      </c>
      <c r="G19" s="675">
        <f t="shared" si="4"/>
        <v>72.47</v>
      </c>
      <c r="I19" s="677" t="s">
        <v>137</v>
      </c>
      <c r="J19" s="677">
        <v>0.14000000000000001</v>
      </c>
      <c r="K19" s="704">
        <v>58.73</v>
      </c>
      <c r="L19" s="677">
        <f>SUM(J19:K19)</f>
        <v>58.87</v>
      </c>
      <c r="M19" s="922">
        <v>0.1958308</v>
      </c>
      <c r="N19" s="704">
        <v>62.062844499999997</v>
      </c>
      <c r="O19" s="928">
        <f>SUM(M19:N19)</f>
        <v>62.2586753</v>
      </c>
      <c r="P19" s="124">
        <f t="shared" si="5"/>
        <v>39.879142857142838</v>
      </c>
      <c r="Q19" s="124">
        <f t="shared" si="0"/>
        <v>5.6748586752937173</v>
      </c>
      <c r="R19" s="124">
        <f t="shared" si="1"/>
        <v>5.7562006115169071</v>
      </c>
      <c r="T19" s="677" t="s">
        <v>137</v>
      </c>
      <c r="U19" s="677">
        <v>8.7799999999999994</v>
      </c>
      <c r="V19" s="704">
        <v>25.9155318</v>
      </c>
      <c r="W19" s="124">
        <f t="shared" si="2"/>
        <v>195.16551025056953</v>
      </c>
      <c r="Y19" s="677" t="s">
        <v>137</v>
      </c>
      <c r="Z19" s="675">
        <v>4.82</v>
      </c>
      <c r="AA19" s="704">
        <v>7.5350447000000003</v>
      </c>
      <c r="AB19" s="124">
        <f t="shared" si="3"/>
        <v>56.328728215767633</v>
      </c>
    </row>
    <row r="20" spans="1:28" x14ac:dyDescent="0.45">
      <c r="A20" s="679" t="s">
        <v>211</v>
      </c>
      <c r="B20" s="680">
        <f t="shared" ref="B20:G20" si="11">SUM(B18:B19)</f>
        <v>1.2400000000000002</v>
      </c>
      <c r="C20" s="701">
        <f t="shared" si="11"/>
        <v>526.89</v>
      </c>
      <c r="D20" s="683">
        <f t="shared" si="11"/>
        <v>528.13</v>
      </c>
      <c r="E20" s="679">
        <f t="shared" si="11"/>
        <v>78.930000000000007</v>
      </c>
      <c r="F20" s="679">
        <f t="shared" si="11"/>
        <v>40.980000000000004</v>
      </c>
      <c r="G20" s="679">
        <f t="shared" si="11"/>
        <v>648.04</v>
      </c>
      <c r="I20" s="681" t="s">
        <v>211</v>
      </c>
      <c r="J20" s="681">
        <v>1.2400000000000002</v>
      </c>
      <c r="K20" s="701">
        <v>526.89</v>
      </c>
      <c r="L20" s="681">
        <f>SUM(L18:L19)</f>
        <v>528.13</v>
      </c>
      <c r="M20" s="923">
        <f>SUM(M18:M19)</f>
        <v>0.70759273499999997</v>
      </c>
      <c r="N20" s="701">
        <f>SUM(N18:N19)</f>
        <v>361.69099014799997</v>
      </c>
      <c r="O20" s="701">
        <f>SUM(O18:O19)</f>
        <v>362.39858288299996</v>
      </c>
      <c r="P20" s="929">
        <f t="shared" si="5"/>
        <v>-42.936069758064527</v>
      </c>
      <c r="Q20" s="929">
        <f t="shared" si="0"/>
        <v>-31.353605088728205</v>
      </c>
      <c r="R20" s="929">
        <f t="shared" si="1"/>
        <v>-31.380799635885108</v>
      </c>
      <c r="T20" s="681" t="s">
        <v>211</v>
      </c>
      <c r="U20" s="681">
        <f>SUM(U18:U19)</f>
        <v>78.930000000000007</v>
      </c>
      <c r="V20" s="701">
        <f>SUM(V18:V19)</f>
        <v>184.98821169999999</v>
      </c>
      <c r="W20" s="929">
        <f t="shared" si="2"/>
        <v>134.3699628784999</v>
      </c>
      <c r="Y20" s="681" t="s">
        <v>211</v>
      </c>
      <c r="Z20" s="679">
        <f>SUM(Z18:Z19)</f>
        <v>40.980000000000004</v>
      </c>
      <c r="AA20" s="701">
        <f>SUM(AA18:AA19)</f>
        <v>42.945372000000006</v>
      </c>
      <c r="AB20" s="929">
        <f t="shared" si="3"/>
        <v>4.7959297218155239</v>
      </c>
    </row>
    <row r="21" spans="1:28" x14ac:dyDescent="0.45">
      <c r="A21" s="675" t="s">
        <v>138</v>
      </c>
      <c r="B21" s="676">
        <v>0.14000000000000001</v>
      </c>
      <c r="C21" s="704">
        <v>58.26</v>
      </c>
      <c r="D21" s="707">
        <f>SUM(B21:C21)</f>
        <v>58.4</v>
      </c>
      <c r="E21" s="675">
        <v>10.32</v>
      </c>
      <c r="F21" s="675">
        <v>3.58</v>
      </c>
      <c r="G21" s="675">
        <f t="shared" si="4"/>
        <v>72.3</v>
      </c>
      <c r="I21" s="677" t="s">
        <v>138</v>
      </c>
      <c r="J21" s="677">
        <v>0.14000000000000001</v>
      </c>
      <c r="K21" s="704">
        <v>58.26</v>
      </c>
      <c r="L21" s="704">
        <f>SUM(J21:K21)</f>
        <v>58.4</v>
      </c>
      <c r="M21" s="922">
        <v>0.27969699999999997</v>
      </c>
      <c r="N21" s="704">
        <v>60.044612399999998</v>
      </c>
      <c r="O21" s="928">
        <f>SUM(M21:N21)</f>
        <v>60.324309399999997</v>
      </c>
      <c r="P21" s="124">
        <f t="shared" si="5"/>
        <v>99.783571428571392</v>
      </c>
      <c r="Q21" s="124">
        <f t="shared" si="0"/>
        <v>3.0631864057672509</v>
      </c>
      <c r="R21" s="124">
        <f t="shared" si="1"/>
        <v>3.2950503424657511</v>
      </c>
      <c r="T21" s="677" t="s">
        <v>138</v>
      </c>
      <c r="U21" s="677">
        <v>10.32</v>
      </c>
      <c r="V21" s="704">
        <v>30.849263199999999</v>
      </c>
      <c r="W21" s="124">
        <f t="shared" si="2"/>
        <v>198.92696899224805</v>
      </c>
      <c r="Y21" s="677" t="s">
        <v>138</v>
      </c>
      <c r="Z21" s="675">
        <v>3.58</v>
      </c>
      <c r="AA21" s="704">
        <v>7.3444962</v>
      </c>
      <c r="AB21" s="124">
        <f t="shared" si="3"/>
        <v>105.15352513966481</v>
      </c>
    </row>
    <row r="22" spans="1:28" x14ac:dyDescent="0.45">
      <c r="A22" s="679" t="s">
        <v>212</v>
      </c>
      <c r="B22" s="680">
        <f t="shared" ref="B22:G22" si="12">SUM(B20:B21)</f>
        <v>1.3800000000000003</v>
      </c>
      <c r="C22" s="701">
        <f t="shared" si="12"/>
        <v>585.15</v>
      </c>
      <c r="D22" s="683">
        <f t="shared" si="12"/>
        <v>586.53</v>
      </c>
      <c r="E22" s="679">
        <f t="shared" si="12"/>
        <v>89.25</v>
      </c>
      <c r="F22" s="679">
        <f t="shared" si="12"/>
        <v>44.56</v>
      </c>
      <c r="G22" s="679">
        <f t="shared" si="12"/>
        <v>720.33999999999992</v>
      </c>
      <c r="I22" s="681" t="s">
        <v>212</v>
      </c>
      <c r="J22" s="681">
        <v>1.3800000000000003</v>
      </c>
      <c r="K22" s="701">
        <v>585.15</v>
      </c>
      <c r="L22" s="681">
        <f>SUM(L20:L21)</f>
        <v>586.53</v>
      </c>
      <c r="M22" s="923">
        <f>SUM(M20:M21)</f>
        <v>0.98728973499999995</v>
      </c>
      <c r="N22" s="701">
        <f>SUM(N20:N21)</f>
        <v>421.73560254799997</v>
      </c>
      <c r="O22" s="701">
        <f>SUM(O20:O21)</f>
        <v>422.72289228299996</v>
      </c>
      <c r="P22" s="929">
        <f>(M22-J22)/J22*100</f>
        <v>-28.457265579710167</v>
      </c>
      <c r="Q22" s="929">
        <f>(N22-K22)/K22*100</f>
        <v>-27.926924284713323</v>
      </c>
      <c r="R22" s="929">
        <f>(O22-L22)/L22*100</f>
        <v>-27.928172082757918</v>
      </c>
      <c r="T22" s="681" t="s">
        <v>212</v>
      </c>
      <c r="U22" s="681">
        <f>SUM(U20:U21)</f>
        <v>89.25</v>
      </c>
      <c r="V22" s="701">
        <f>SUM(V20:V21)</f>
        <v>215.83747489999999</v>
      </c>
      <c r="W22" s="929">
        <f t="shared" si="2"/>
        <v>141.83470577030809</v>
      </c>
      <c r="Y22" s="681" t="s">
        <v>212</v>
      </c>
      <c r="Z22" s="679">
        <f>SUM(Z20:Z21)</f>
        <v>44.56</v>
      </c>
      <c r="AA22" s="701">
        <f>SUM(AA20:AA21)</f>
        <v>50.289868200000008</v>
      </c>
      <c r="AB22" s="929">
        <f t="shared" si="3"/>
        <v>12.858770646319581</v>
      </c>
    </row>
    <row r="23" spans="1:28" x14ac:dyDescent="0.45">
      <c r="A23" s="675" t="s">
        <v>139</v>
      </c>
      <c r="B23" s="676">
        <v>0.23</v>
      </c>
      <c r="C23" s="704">
        <v>96.82</v>
      </c>
      <c r="D23" s="678">
        <f>SUM(B23:C23)</f>
        <v>97.05</v>
      </c>
      <c r="E23" s="675">
        <v>15.63</v>
      </c>
      <c r="F23" s="675">
        <v>6.14</v>
      </c>
      <c r="G23" s="675">
        <f t="shared" si="4"/>
        <v>118.82</v>
      </c>
      <c r="I23" s="677" t="s">
        <v>139</v>
      </c>
      <c r="J23" s="677">
        <v>0.23</v>
      </c>
      <c r="K23" s="704">
        <v>96.82</v>
      </c>
      <c r="L23" s="677">
        <f>SUM(J23:K23)</f>
        <v>97.05</v>
      </c>
      <c r="M23" s="922"/>
      <c r="N23" s="704"/>
      <c r="O23" s="928">
        <f>SUM(M23:N23)</f>
        <v>0</v>
      </c>
      <c r="P23" s="124"/>
      <c r="Q23" s="124"/>
      <c r="R23" s="124"/>
      <c r="T23" s="677" t="s">
        <v>139</v>
      </c>
      <c r="U23" s="677">
        <v>15.63</v>
      </c>
      <c r="V23" s="704">
        <v>25.84</v>
      </c>
      <c r="W23" s="929">
        <f t="shared" si="2"/>
        <v>65.323096609085084</v>
      </c>
      <c r="Y23" s="677" t="s">
        <v>139</v>
      </c>
      <c r="Z23" s="675">
        <v>6.14</v>
      </c>
      <c r="AA23" s="704"/>
      <c r="AB23" s="98"/>
    </row>
    <row r="24" spans="1:28" x14ac:dyDescent="0.45">
      <c r="A24" s="679" t="s">
        <v>206</v>
      </c>
      <c r="B24" s="680">
        <f t="shared" ref="B24:G24" si="13">SUM(B22:B23)</f>
        <v>1.6100000000000003</v>
      </c>
      <c r="C24" s="701">
        <f t="shared" si="13"/>
        <v>681.97</v>
      </c>
      <c r="D24" s="683">
        <f t="shared" si="13"/>
        <v>683.57999999999993</v>
      </c>
      <c r="E24" s="679">
        <f t="shared" si="13"/>
        <v>104.88</v>
      </c>
      <c r="F24" s="679">
        <f t="shared" si="13"/>
        <v>50.7</v>
      </c>
      <c r="G24" s="679">
        <f t="shared" si="13"/>
        <v>839.15999999999985</v>
      </c>
      <c r="I24" s="681" t="s">
        <v>206</v>
      </c>
      <c r="J24" s="681">
        <v>1.6100000000000003</v>
      </c>
      <c r="K24" s="701">
        <v>681.97</v>
      </c>
      <c r="L24" s="681">
        <f>SUM(L22:L23)</f>
        <v>683.57999999999993</v>
      </c>
      <c r="M24" s="923">
        <f>SUM(M22:M23)</f>
        <v>0.98728973499999995</v>
      </c>
      <c r="N24" s="701">
        <f>SUM(N22:N23)</f>
        <v>421.73560254799997</v>
      </c>
      <c r="O24" s="701">
        <f>SUM(O22:O23)</f>
        <v>422.72289228299996</v>
      </c>
      <c r="P24" s="124"/>
      <c r="Q24" s="124"/>
      <c r="R24" s="124"/>
      <c r="T24" s="681" t="s">
        <v>206</v>
      </c>
      <c r="U24" s="681">
        <f>SUM(U22:U23)</f>
        <v>104.88</v>
      </c>
      <c r="V24" s="701">
        <f>SUM(V22:V23)</f>
        <v>241.67747489999999</v>
      </c>
      <c r="W24" s="929">
        <f>(V24-U24)/U24*100</f>
        <v>130.43237500000001</v>
      </c>
      <c r="Y24" s="681" t="s">
        <v>206</v>
      </c>
      <c r="Z24" s="679">
        <f>SUM(Z22:Z23)</f>
        <v>50.7</v>
      </c>
      <c r="AA24" s="701">
        <f>SUM(AA22:AA23)</f>
        <v>50.289868200000008</v>
      </c>
      <c r="AB24" s="98"/>
    </row>
    <row r="25" spans="1:28" x14ac:dyDescent="0.45">
      <c r="A25" s="675" t="s">
        <v>140</v>
      </c>
      <c r="B25" s="676">
        <v>0.23</v>
      </c>
      <c r="C25" s="704">
        <v>90.74</v>
      </c>
      <c r="D25" s="678">
        <f>SUM(B25:C25)</f>
        <v>90.97</v>
      </c>
      <c r="E25" s="675">
        <v>14.85</v>
      </c>
      <c r="F25" s="675">
        <v>6.35</v>
      </c>
      <c r="G25" s="675">
        <f t="shared" si="4"/>
        <v>112.16999999999999</v>
      </c>
      <c r="I25" s="677" t="s">
        <v>140</v>
      </c>
      <c r="J25" s="677">
        <v>0.23</v>
      </c>
      <c r="K25" s="704">
        <v>90.74</v>
      </c>
      <c r="L25" s="677">
        <f>SUM(J25:K25)</f>
        <v>90.97</v>
      </c>
      <c r="M25" s="922"/>
      <c r="N25" s="704"/>
      <c r="O25" s="928">
        <f>SUM(M25:N25)</f>
        <v>0</v>
      </c>
      <c r="P25" s="124"/>
      <c r="Q25" s="124"/>
      <c r="R25" s="124"/>
      <c r="T25" s="677" t="s">
        <v>140</v>
      </c>
      <c r="U25" s="677">
        <v>14.85</v>
      </c>
      <c r="V25" s="704"/>
      <c r="W25" s="929">
        <f t="shared" si="2"/>
        <v>-100</v>
      </c>
      <c r="Y25" s="677" t="s">
        <v>140</v>
      </c>
      <c r="Z25" s="675">
        <v>6.35</v>
      </c>
      <c r="AA25" s="704"/>
      <c r="AB25" s="98"/>
    </row>
    <row r="26" spans="1:28" x14ac:dyDescent="0.45">
      <c r="A26" s="679" t="s">
        <v>215</v>
      </c>
      <c r="B26" s="685">
        <f t="shared" ref="B26:G26" si="14">SUM(B24:B25)</f>
        <v>1.8400000000000003</v>
      </c>
      <c r="C26" s="701">
        <f t="shared" si="14"/>
        <v>772.71</v>
      </c>
      <c r="D26" s="683">
        <f t="shared" si="14"/>
        <v>774.55</v>
      </c>
      <c r="E26" s="679">
        <f t="shared" si="14"/>
        <v>119.72999999999999</v>
      </c>
      <c r="F26" s="679">
        <f t="shared" si="14"/>
        <v>57.050000000000004</v>
      </c>
      <c r="G26" s="679">
        <f t="shared" si="14"/>
        <v>951.32999999999981</v>
      </c>
      <c r="I26" s="681" t="s">
        <v>215</v>
      </c>
      <c r="J26" s="701">
        <v>1.8400000000000003</v>
      </c>
      <c r="K26" s="701">
        <v>772.71</v>
      </c>
      <c r="L26" s="681">
        <f>SUM(L24:L25)</f>
        <v>774.55</v>
      </c>
      <c r="M26" s="923">
        <f>SUM(M24:M25)</f>
        <v>0.98728973499999995</v>
      </c>
      <c r="N26" s="701">
        <f>SUM(N24:N25)</f>
        <v>421.73560254799997</v>
      </c>
      <c r="O26" s="701">
        <f>SUM(O24:O25)</f>
        <v>422.72289228299996</v>
      </c>
      <c r="P26" s="124"/>
      <c r="Q26" s="124"/>
      <c r="R26" s="124"/>
      <c r="T26" s="681" t="s">
        <v>215</v>
      </c>
      <c r="U26" s="681">
        <f>SUM(U24:U25)</f>
        <v>119.72999999999999</v>
      </c>
      <c r="V26" s="701">
        <f>SUM(V24:V25)</f>
        <v>241.67747489999999</v>
      </c>
      <c r="W26" s="929">
        <f t="shared" si="2"/>
        <v>101.85206289150589</v>
      </c>
      <c r="Y26" s="681" t="s">
        <v>215</v>
      </c>
      <c r="Z26" s="679">
        <f>SUM(Z24:Z25)</f>
        <v>57.050000000000004</v>
      </c>
      <c r="AA26" s="701">
        <f>SUM(AA24:AA25)</f>
        <v>50.289868200000008</v>
      </c>
      <c r="AB26" s="98"/>
    </row>
    <row r="27" spans="1:28" x14ac:dyDescent="0.45">
      <c r="A27" s="675" t="s">
        <v>141</v>
      </c>
      <c r="B27" s="676">
        <v>0.08</v>
      </c>
      <c r="C27" s="704">
        <v>36.07</v>
      </c>
      <c r="D27" s="678">
        <f>SUM(B27:C27)</f>
        <v>36.15</v>
      </c>
      <c r="E27" s="675">
        <v>13.16</v>
      </c>
      <c r="F27" s="675">
        <v>6.16</v>
      </c>
      <c r="G27" s="675">
        <f t="shared" si="4"/>
        <v>55.47</v>
      </c>
      <c r="I27" s="677" t="s">
        <v>141</v>
      </c>
      <c r="J27" s="677">
        <v>0.08</v>
      </c>
      <c r="K27" s="704">
        <v>36.07</v>
      </c>
      <c r="L27" s="677">
        <f>SUM(J27:K27)</f>
        <v>36.15</v>
      </c>
      <c r="M27" s="922"/>
      <c r="N27" s="704"/>
      <c r="O27" s="928">
        <f>SUM(M27:N27)</f>
        <v>0</v>
      </c>
      <c r="P27" s="124"/>
      <c r="Q27" s="124"/>
      <c r="R27" s="124"/>
      <c r="T27" s="677" t="s">
        <v>141</v>
      </c>
      <c r="U27" s="677">
        <v>13.16</v>
      </c>
      <c r="V27" s="704"/>
      <c r="W27" s="929">
        <f t="shared" si="2"/>
        <v>-100</v>
      </c>
      <c r="Y27" s="677" t="s">
        <v>141</v>
      </c>
      <c r="Z27" s="675">
        <v>6.16</v>
      </c>
      <c r="AA27" s="704"/>
      <c r="AB27" s="98"/>
    </row>
    <row r="28" spans="1:28" ht="14.65" thickBot="1" x14ac:dyDescent="0.5">
      <c r="A28" s="686" t="s">
        <v>240</v>
      </c>
      <c r="B28" s="687">
        <f t="shared" ref="B28:G28" si="15">SUM(B26:B27)</f>
        <v>1.9200000000000004</v>
      </c>
      <c r="C28" s="688">
        <f t="shared" si="15"/>
        <v>808.78000000000009</v>
      </c>
      <c r="D28" s="697">
        <f t="shared" si="15"/>
        <v>810.69999999999993</v>
      </c>
      <c r="E28" s="686">
        <f t="shared" si="15"/>
        <v>132.88999999999999</v>
      </c>
      <c r="F28" s="686">
        <f t="shared" si="15"/>
        <v>63.210000000000008</v>
      </c>
      <c r="G28" s="686">
        <f t="shared" si="15"/>
        <v>1006.7999999999998</v>
      </c>
      <c r="I28" s="681" t="s">
        <v>240</v>
      </c>
      <c r="J28" s="681">
        <v>1.9200000000000004</v>
      </c>
      <c r="K28" s="701">
        <v>808.78000000000009</v>
      </c>
      <c r="L28" s="701">
        <f>SUM(L26:L27)</f>
        <v>810.69999999999993</v>
      </c>
      <c r="M28" s="923">
        <f>SUM(M26:M27)</f>
        <v>0.98728973499999995</v>
      </c>
      <c r="N28" s="701">
        <f>SUM(N26:N27)</f>
        <v>421.73560254799997</v>
      </c>
      <c r="O28" s="701">
        <f>SUM(O26:O27)</f>
        <v>422.72289228299996</v>
      </c>
      <c r="P28" s="124"/>
      <c r="Q28" s="124"/>
      <c r="R28" s="124"/>
      <c r="T28" s="681" t="s">
        <v>240</v>
      </c>
      <c r="U28" s="681">
        <f>SUM(U26:U27)</f>
        <v>132.88999999999999</v>
      </c>
      <c r="V28" s="701">
        <f>SUM(V26:V27)</f>
        <v>241.67747489999999</v>
      </c>
      <c r="W28" s="98"/>
      <c r="Y28" s="681" t="s">
        <v>240</v>
      </c>
      <c r="Z28" s="686">
        <f>SUM(Z26:Z27)</f>
        <v>63.210000000000008</v>
      </c>
      <c r="AA28" s="701">
        <f>SUM(AA26:AA27)</f>
        <v>50.289868200000008</v>
      </c>
      <c r="AB28" s="98"/>
    </row>
    <row r="29" spans="1:28" x14ac:dyDescent="0.45">
      <c r="AA29" s="229"/>
    </row>
    <row r="30" spans="1:28" x14ac:dyDescent="0.45">
      <c r="Q30" s="2306" t="s">
        <v>611</v>
      </c>
      <c r="R30" s="2306"/>
      <c r="AA30" s="229"/>
    </row>
    <row r="31" spans="1:28" x14ac:dyDescent="0.45">
      <c r="A31" s="2301" t="s">
        <v>608</v>
      </c>
      <c r="B31" s="2301"/>
      <c r="C31" s="2301"/>
      <c r="D31" s="2301"/>
      <c r="E31" s="2301"/>
      <c r="F31" s="2301"/>
      <c r="G31" s="2301"/>
      <c r="I31" s="2305" t="s">
        <v>610</v>
      </c>
      <c r="J31" s="2305"/>
      <c r="K31" s="2305"/>
      <c r="L31" s="2305"/>
      <c r="M31" s="2303" t="s">
        <v>492</v>
      </c>
      <c r="N31" s="2303"/>
      <c r="O31" s="2303"/>
      <c r="P31" s="2303" t="s">
        <v>612</v>
      </c>
      <c r="Q31" s="2303"/>
      <c r="R31" s="2303"/>
      <c r="T31" s="2303" t="s">
        <v>613</v>
      </c>
      <c r="U31" s="2303"/>
      <c r="V31" s="2303"/>
      <c r="W31" s="2304" t="s">
        <v>614</v>
      </c>
      <c r="Y31" s="2304" t="s">
        <v>615</v>
      </c>
      <c r="Z31" s="2303"/>
      <c r="AA31" s="2303"/>
      <c r="AB31" s="2304" t="s">
        <v>614</v>
      </c>
    </row>
    <row r="32" spans="1:28" ht="14.65" thickBot="1" x14ac:dyDescent="0.5">
      <c r="A32" s="2278" t="s">
        <v>127</v>
      </c>
      <c r="B32" s="2280" t="s">
        <v>237</v>
      </c>
      <c r="C32" s="2281"/>
      <c r="D32" s="2282"/>
      <c r="E32" s="2283" t="s">
        <v>370</v>
      </c>
      <c r="F32" s="2285" t="s">
        <v>371</v>
      </c>
      <c r="G32" s="2283" t="s">
        <v>63</v>
      </c>
      <c r="I32" s="2271" t="s">
        <v>127</v>
      </c>
      <c r="J32" s="2271" t="s">
        <v>609</v>
      </c>
      <c r="K32" s="2271"/>
      <c r="L32" s="2271"/>
      <c r="M32" s="2271" t="s">
        <v>656</v>
      </c>
      <c r="N32" s="2271"/>
      <c r="O32" s="2271"/>
      <c r="P32" s="2303"/>
      <c r="Q32" s="2303"/>
      <c r="R32" s="2303"/>
      <c r="T32" s="2303"/>
      <c r="U32" s="2303"/>
      <c r="V32" s="2303"/>
      <c r="W32" s="2304"/>
      <c r="Y32" s="2303"/>
      <c r="Z32" s="2303"/>
      <c r="AA32" s="2303"/>
      <c r="AB32" s="2304"/>
    </row>
    <row r="33" spans="1:28" ht="14.65" thickBot="1" x14ac:dyDescent="0.5">
      <c r="A33" s="2279"/>
      <c r="B33" s="667" t="s">
        <v>94</v>
      </c>
      <c r="C33" s="668" t="s">
        <v>97</v>
      </c>
      <c r="D33" s="669" t="s">
        <v>63</v>
      </c>
      <c r="E33" s="2284"/>
      <c r="F33" s="2286"/>
      <c r="G33" s="2284"/>
      <c r="I33" s="2271"/>
      <c r="J33" s="855" t="s">
        <v>94</v>
      </c>
      <c r="K33" s="855" t="s">
        <v>97</v>
      </c>
      <c r="L33" s="855" t="s">
        <v>63</v>
      </c>
      <c r="M33" s="926" t="s">
        <v>94</v>
      </c>
      <c r="N33" s="927" t="s">
        <v>97</v>
      </c>
      <c r="O33" s="927" t="s">
        <v>63</v>
      </c>
      <c r="P33" s="926" t="s">
        <v>94</v>
      </c>
      <c r="Q33" s="927" t="s">
        <v>97</v>
      </c>
      <c r="R33" s="927" t="s">
        <v>63</v>
      </c>
      <c r="T33" s="855" t="s">
        <v>127</v>
      </c>
      <c r="U33" s="777" t="s">
        <v>83</v>
      </c>
      <c r="V33" s="930" t="s">
        <v>492</v>
      </c>
      <c r="W33" s="777"/>
      <c r="Y33" s="855" t="s">
        <v>127</v>
      </c>
      <c r="Z33" s="777" t="s">
        <v>83</v>
      </c>
      <c r="AA33" s="930" t="s">
        <v>492</v>
      </c>
      <c r="AB33" s="777"/>
    </row>
    <row r="34" spans="1:28" x14ac:dyDescent="0.45">
      <c r="A34" s="670" t="s">
        <v>131</v>
      </c>
      <c r="B34" s="671">
        <v>0.11</v>
      </c>
      <c r="C34" s="852">
        <v>44.92</v>
      </c>
      <c r="D34" s="673">
        <f>SUM(B34:C34)</f>
        <v>45.03</v>
      </c>
      <c r="E34" s="674">
        <v>14.65</v>
      </c>
      <c r="F34" s="674">
        <v>5.2</v>
      </c>
      <c r="G34" s="674">
        <f>SUM(D34:F34)</f>
        <v>64.88</v>
      </c>
      <c r="I34" s="976" t="s">
        <v>131</v>
      </c>
      <c r="J34" s="977">
        <v>0.11</v>
      </c>
      <c r="K34" s="978">
        <v>44.92</v>
      </c>
      <c r="L34" s="977">
        <f>SUM(J34:K34)</f>
        <v>45.03</v>
      </c>
      <c r="M34" s="978">
        <v>3.9327188999999999E-2</v>
      </c>
      <c r="N34" s="978">
        <v>32.692743999999998</v>
      </c>
      <c r="O34" s="927">
        <f>SUM(M34:N34)</f>
        <v>32.732071188999996</v>
      </c>
      <c r="P34" s="644">
        <f t="shared" ref="P34:R35" si="16">(M34-J34)/J34*100</f>
        <v>-64.248009999999994</v>
      </c>
      <c r="Q34" s="644">
        <f t="shared" si="16"/>
        <v>-27.220071237756017</v>
      </c>
      <c r="R34" s="644">
        <f t="shared" si="16"/>
        <v>-27.31052367532757</v>
      </c>
      <c r="T34" s="677" t="s">
        <v>131</v>
      </c>
      <c r="U34" s="677">
        <f>E34</f>
        <v>14.65</v>
      </c>
      <c r="V34" s="704">
        <v>19.541618</v>
      </c>
      <c r="W34" s="124">
        <f t="shared" ref="W34:W56" si="17">(V34-U34)/U34*100</f>
        <v>33.389883959044361</v>
      </c>
      <c r="Y34" s="677" t="s">
        <v>131</v>
      </c>
      <c r="Z34" s="674">
        <v>5.2</v>
      </c>
      <c r="AA34" s="704">
        <v>5.9256178000000004</v>
      </c>
      <c r="AB34" s="124">
        <f t="shared" ref="AB34:AB50" si="18">(AA34-Z34)/Z34*100</f>
        <v>13.954188461538465</v>
      </c>
    </row>
    <row r="35" spans="1:28" x14ac:dyDescent="0.45">
      <c r="A35" s="675" t="s">
        <v>132</v>
      </c>
      <c r="B35" s="676">
        <v>0.12</v>
      </c>
      <c r="C35" s="704">
        <v>49.76</v>
      </c>
      <c r="D35" s="673">
        <f>SUM(B35:C35)</f>
        <v>49.879999999999995</v>
      </c>
      <c r="E35" s="675">
        <v>15.72</v>
      </c>
      <c r="F35" s="675">
        <v>8.7799999999999994</v>
      </c>
      <c r="G35" s="675">
        <f>SUM(D35:F35)</f>
        <v>74.38</v>
      </c>
      <c r="I35" s="976" t="s">
        <v>132</v>
      </c>
      <c r="J35" s="977">
        <v>0.12</v>
      </c>
      <c r="K35" s="978">
        <v>49.76</v>
      </c>
      <c r="L35" s="977">
        <f>SUM(J35:K35)</f>
        <v>49.879999999999995</v>
      </c>
      <c r="M35" s="978">
        <v>3.6307567999999998E-2</v>
      </c>
      <c r="N35" s="978">
        <v>15.4711026</v>
      </c>
      <c r="O35" s="927">
        <f>SUM(M35:N35)</f>
        <v>15.507410168</v>
      </c>
      <c r="P35" s="644">
        <f t="shared" si="16"/>
        <v>-69.74369333333334</v>
      </c>
      <c r="Q35" s="644">
        <f t="shared" si="16"/>
        <v>-68.908555868167198</v>
      </c>
      <c r="R35" s="644">
        <f t="shared" si="16"/>
        <v>-68.910565020048111</v>
      </c>
      <c r="T35" s="677" t="s">
        <v>132</v>
      </c>
      <c r="U35" s="677">
        <f>E35</f>
        <v>15.72</v>
      </c>
      <c r="V35" s="704">
        <v>20.642501599999999</v>
      </c>
      <c r="W35" s="124">
        <f t="shared" si="17"/>
        <v>31.313623409669201</v>
      </c>
      <c r="Y35" s="677" t="s">
        <v>132</v>
      </c>
      <c r="Z35" s="675">
        <v>8.7799999999999994</v>
      </c>
      <c r="AA35" s="704">
        <v>3.6509244000000001</v>
      </c>
      <c r="AB35" s="124">
        <f t="shared" si="18"/>
        <v>-58.417717539863325</v>
      </c>
    </row>
    <row r="36" spans="1:28" x14ac:dyDescent="0.45">
      <c r="A36" s="679" t="s">
        <v>204</v>
      </c>
      <c r="B36" s="680">
        <f>SUM(B34:B35)</f>
        <v>0.22999999999999998</v>
      </c>
      <c r="C36" s="701">
        <f>SUM(C34:C35)</f>
        <v>94.68</v>
      </c>
      <c r="D36" s="682">
        <f>SUM(B36:C36)</f>
        <v>94.910000000000011</v>
      </c>
      <c r="E36" s="679">
        <f>SUM(E34:E35)</f>
        <v>30.37</v>
      </c>
      <c r="F36" s="679">
        <f>SUM(F34:F35)</f>
        <v>13.98</v>
      </c>
      <c r="G36" s="679">
        <f>SUM(G34:G35)</f>
        <v>139.26</v>
      </c>
      <c r="I36" s="979" t="s">
        <v>204</v>
      </c>
      <c r="J36" s="980">
        <f>SUM(J34:J35)</f>
        <v>0.22999999999999998</v>
      </c>
      <c r="K36" s="981">
        <f>SUM(K34:K35)</f>
        <v>94.68</v>
      </c>
      <c r="L36" s="980">
        <f>SUM(J36:K36)</f>
        <v>94.910000000000011</v>
      </c>
      <c r="M36" s="981">
        <f>SUM(M34:M35)</f>
        <v>7.5634756999999997E-2</v>
      </c>
      <c r="N36" s="981">
        <f>SUM(N34:N35)</f>
        <v>48.163846599999999</v>
      </c>
      <c r="O36" s="981">
        <f>SUM(M36:N36)</f>
        <v>48.239481357000003</v>
      </c>
      <c r="P36" s="982">
        <f t="shared" ref="P36:P48" si="19">(M36-J36)/J36*100</f>
        <v>-67.115323043478256</v>
      </c>
      <c r="Q36" s="982">
        <f t="shared" ref="Q36:Q49" si="20">(N36-K36)/K36*100</f>
        <v>-49.129862061681457</v>
      </c>
      <c r="R36" s="982">
        <f t="shared" ref="R36:R49" si="21">(O36-L36)/L36*100</f>
        <v>-49.173447100410918</v>
      </c>
      <c r="T36" s="681" t="s">
        <v>204</v>
      </c>
      <c r="U36" s="681">
        <f>SUM(U34:U35)</f>
        <v>30.37</v>
      </c>
      <c r="V36" s="701">
        <f>SUM(V34:V35)</f>
        <v>40.184119600000002</v>
      </c>
      <c r="W36" s="929">
        <f t="shared" si="17"/>
        <v>32.315178136318742</v>
      </c>
      <c r="Y36" s="681" t="s">
        <v>204</v>
      </c>
      <c r="Z36" s="679">
        <f>SUM(Z34:Z35)</f>
        <v>13.98</v>
      </c>
      <c r="AA36" s="701">
        <f>SUM(AA34:AA35)</f>
        <v>9.5765422000000004</v>
      </c>
      <c r="AB36" s="929">
        <f t="shared" si="18"/>
        <v>-31.498267525035768</v>
      </c>
    </row>
    <row r="37" spans="1:28" x14ac:dyDescent="0.45">
      <c r="A37" s="675" t="s">
        <v>133</v>
      </c>
      <c r="B37" s="676">
        <v>0.11</v>
      </c>
      <c r="C37" s="704">
        <v>47.47</v>
      </c>
      <c r="D37" s="678">
        <f>SUM(B37:C37)</f>
        <v>47.58</v>
      </c>
      <c r="E37" s="675">
        <v>15.04</v>
      </c>
      <c r="F37" s="675">
        <v>3.28</v>
      </c>
      <c r="G37" s="675">
        <f>SUM(D37:F37)</f>
        <v>65.899999999999991</v>
      </c>
      <c r="I37" s="976" t="s">
        <v>133</v>
      </c>
      <c r="J37" s="977">
        <v>0.11</v>
      </c>
      <c r="K37" s="978">
        <v>47.47</v>
      </c>
      <c r="L37" s="977">
        <f>SUM(J37:K37)</f>
        <v>47.58</v>
      </c>
      <c r="M37" s="978">
        <v>5.7094699999999998E-2</v>
      </c>
      <c r="N37" s="978">
        <v>30.461698500000001</v>
      </c>
      <c r="O37" s="927">
        <f>SUM(M37:N37)</f>
        <v>30.518793200000001</v>
      </c>
      <c r="P37" s="644">
        <f t="shared" si="19"/>
        <v>-48.095727272727274</v>
      </c>
      <c r="Q37" s="644">
        <f t="shared" si="20"/>
        <v>-35.829579734569201</v>
      </c>
      <c r="R37" s="644">
        <f t="shared" si="21"/>
        <v>-35.857937788986966</v>
      </c>
      <c r="T37" s="677" t="s">
        <v>133</v>
      </c>
      <c r="U37" s="677">
        <f>E37</f>
        <v>15.04</v>
      </c>
      <c r="V37" s="704">
        <v>13.885429800000001</v>
      </c>
      <c r="W37" s="124">
        <f t="shared" si="17"/>
        <v>-7.6766635638297771</v>
      </c>
      <c r="Y37" s="677" t="s">
        <v>133</v>
      </c>
      <c r="Z37" s="675">
        <v>3.28</v>
      </c>
      <c r="AA37" s="704">
        <v>3.547342</v>
      </c>
      <c r="AB37" s="124">
        <f t="shared" si="18"/>
        <v>8.1506707317073239</v>
      </c>
    </row>
    <row r="38" spans="1:28" x14ac:dyDescent="0.45">
      <c r="A38" s="679" t="s">
        <v>205</v>
      </c>
      <c r="B38" s="680">
        <f t="shared" ref="B38:G38" si="22">SUM(B36:B37)</f>
        <v>0.33999999999999997</v>
      </c>
      <c r="C38" s="701">
        <f t="shared" si="22"/>
        <v>142.15</v>
      </c>
      <c r="D38" s="683">
        <f t="shared" si="22"/>
        <v>142.49</v>
      </c>
      <c r="E38" s="679">
        <f t="shared" si="22"/>
        <v>45.41</v>
      </c>
      <c r="F38" s="679">
        <f t="shared" si="22"/>
        <v>17.260000000000002</v>
      </c>
      <c r="G38" s="679">
        <f t="shared" si="22"/>
        <v>205.15999999999997</v>
      </c>
      <c r="I38" s="979" t="s">
        <v>205</v>
      </c>
      <c r="J38" s="980">
        <f t="shared" ref="J38:O38" si="23">SUM(J36:J37)</f>
        <v>0.33999999999999997</v>
      </c>
      <c r="K38" s="981">
        <f t="shared" si="23"/>
        <v>142.15</v>
      </c>
      <c r="L38" s="980">
        <f t="shared" si="23"/>
        <v>142.49</v>
      </c>
      <c r="M38" s="981">
        <f t="shared" si="23"/>
        <v>0.132729457</v>
      </c>
      <c r="N38" s="981">
        <f t="shared" si="23"/>
        <v>78.625545099999997</v>
      </c>
      <c r="O38" s="981">
        <f t="shared" si="23"/>
        <v>78.758274557000007</v>
      </c>
      <c r="P38" s="982">
        <f t="shared" si="19"/>
        <v>-60.961924411764699</v>
      </c>
      <c r="Q38" s="982">
        <f t="shared" si="20"/>
        <v>-44.688325641927548</v>
      </c>
      <c r="R38" s="982">
        <f t="shared" si="21"/>
        <v>-44.727156602568598</v>
      </c>
      <c r="T38" s="681" t="s">
        <v>205</v>
      </c>
      <c r="U38" s="681">
        <f>SUM(U36:U37)</f>
        <v>45.41</v>
      </c>
      <c r="V38" s="701">
        <f>SUM(V36:V37)</f>
        <v>54.0695494</v>
      </c>
      <c r="W38" s="929">
        <f t="shared" si="17"/>
        <v>19.069696983043389</v>
      </c>
      <c r="Y38" s="681" t="s">
        <v>205</v>
      </c>
      <c r="Z38" s="679">
        <f>SUM(Z36:Z37)</f>
        <v>17.260000000000002</v>
      </c>
      <c r="AA38" s="701">
        <f>SUM(AA36:AA37)</f>
        <v>13.123884200000001</v>
      </c>
      <c r="AB38" s="929">
        <f t="shared" si="18"/>
        <v>-23.963590961761298</v>
      </c>
    </row>
    <row r="39" spans="1:28" x14ac:dyDescent="0.45">
      <c r="A39" s="675" t="s">
        <v>51</v>
      </c>
      <c r="B39" s="676">
        <v>0.11</v>
      </c>
      <c r="C39" s="704">
        <v>47.03</v>
      </c>
      <c r="D39" s="678">
        <f>SUM(B39:C39)</f>
        <v>47.14</v>
      </c>
      <c r="E39" s="675">
        <v>12.19</v>
      </c>
      <c r="F39" s="675">
        <v>4.2</v>
      </c>
      <c r="G39" s="675">
        <f>SUM(D39:F39)</f>
        <v>63.53</v>
      </c>
      <c r="I39" s="976" t="s">
        <v>51</v>
      </c>
      <c r="J39" s="977">
        <v>0.11</v>
      </c>
      <c r="K39" s="978">
        <v>47.03</v>
      </c>
      <c r="L39" s="977">
        <f>SUM(J39:K39)</f>
        <v>47.14</v>
      </c>
      <c r="M39" s="978">
        <v>6.56606E-2</v>
      </c>
      <c r="N39" s="978">
        <v>45.158219000000003</v>
      </c>
      <c r="O39" s="927">
        <f>SUM(M39:N39)</f>
        <v>45.223879600000004</v>
      </c>
      <c r="P39" s="644">
        <f t="shared" si="19"/>
        <v>-40.30854545454546</v>
      </c>
      <c r="Q39" s="644">
        <f t="shared" si="20"/>
        <v>-3.9799723580693143</v>
      </c>
      <c r="R39" s="644">
        <f t="shared" si="21"/>
        <v>-4.0647441663131039</v>
      </c>
      <c r="T39" s="677" t="s">
        <v>51</v>
      </c>
      <c r="U39" s="677">
        <f>E39</f>
        <v>12.19</v>
      </c>
      <c r="V39" s="704">
        <v>15.211028000000001</v>
      </c>
      <c r="W39" s="124">
        <f t="shared" si="17"/>
        <v>24.782838392124702</v>
      </c>
      <c r="Y39" s="677" t="s">
        <v>51</v>
      </c>
      <c r="Z39" s="675">
        <v>4.2</v>
      </c>
      <c r="AA39" s="704">
        <v>4.8137546000000002</v>
      </c>
      <c r="AB39" s="124">
        <f t="shared" si="18"/>
        <v>14.613204761904763</v>
      </c>
    </row>
    <row r="40" spans="1:28" x14ac:dyDescent="0.45">
      <c r="A40" s="679" t="s">
        <v>207</v>
      </c>
      <c r="B40" s="680">
        <f t="shared" ref="B40:G40" si="24">SUM(B38:B39)</f>
        <v>0.44999999999999996</v>
      </c>
      <c r="C40" s="701">
        <f t="shared" si="24"/>
        <v>189.18</v>
      </c>
      <c r="D40" s="683">
        <f t="shared" si="24"/>
        <v>189.63</v>
      </c>
      <c r="E40" s="679">
        <f t="shared" si="24"/>
        <v>57.599999999999994</v>
      </c>
      <c r="F40" s="679">
        <f t="shared" si="24"/>
        <v>21.46</v>
      </c>
      <c r="G40" s="679">
        <f t="shared" si="24"/>
        <v>268.68999999999994</v>
      </c>
      <c r="I40" s="979" t="s">
        <v>207</v>
      </c>
      <c r="J40" s="980">
        <f t="shared" ref="J40:O40" si="25">SUM(J38:J39)</f>
        <v>0.44999999999999996</v>
      </c>
      <c r="K40" s="981">
        <f t="shared" si="25"/>
        <v>189.18</v>
      </c>
      <c r="L40" s="980">
        <f t="shared" si="25"/>
        <v>189.63</v>
      </c>
      <c r="M40" s="981">
        <f t="shared" si="25"/>
        <v>0.19839005700000001</v>
      </c>
      <c r="N40" s="981">
        <f t="shared" si="25"/>
        <v>123.7837641</v>
      </c>
      <c r="O40" s="981">
        <f t="shared" si="25"/>
        <v>123.98215415700001</v>
      </c>
      <c r="P40" s="982">
        <f t="shared" si="19"/>
        <v>-55.913320666666657</v>
      </c>
      <c r="Q40" s="982">
        <f t="shared" si="20"/>
        <v>-34.568260862670478</v>
      </c>
      <c r="R40" s="982">
        <f t="shared" si="21"/>
        <v>-34.618913591203913</v>
      </c>
      <c r="T40" s="681" t="s">
        <v>207</v>
      </c>
      <c r="U40" s="681">
        <f>SUM(U38:U39)</f>
        <v>57.599999999999994</v>
      </c>
      <c r="V40" s="701">
        <f>SUM(V38:V39)</f>
        <v>69.280577399999999</v>
      </c>
      <c r="W40" s="929">
        <f t="shared" si="17"/>
        <v>20.278780208333341</v>
      </c>
      <c r="Y40" s="681" t="s">
        <v>207</v>
      </c>
      <c r="Z40" s="679">
        <f>SUM(Z38:Z39)</f>
        <v>21.46</v>
      </c>
      <c r="AA40" s="701">
        <f>SUM(AA38:AA39)</f>
        <v>17.937638800000002</v>
      </c>
      <c r="AB40" s="929">
        <f t="shared" si="18"/>
        <v>-16.413612301957123</v>
      </c>
    </row>
    <row r="41" spans="1:28" x14ac:dyDescent="0.45">
      <c r="A41" s="675" t="s">
        <v>134</v>
      </c>
      <c r="B41" s="676">
        <v>0.09</v>
      </c>
      <c r="C41" s="704">
        <v>40.99</v>
      </c>
      <c r="D41" s="678">
        <f>SUM(B41:C41)</f>
        <v>41.080000000000005</v>
      </c>
      <c r="E41" s="675">
        <v>10.9</v>
      </c>
      <c r="F41" s="675">
        <v>5.59</v>
      </c>
      <c r="G41" s="675">
        <f>SUM(D41:F41)</f>
        <v>57.570000000000007</v>
      </c>
      <c r="I41" s="976" t="s">
        <v>134</v>
      </c>
      <c r="J41" s="977">
        <v>0.09</v>
      </c>
      <c r="K41" s="978">
        <v>40.99</v>
      </c>
      <c r="L41" s="977">
        <f>SUM(J41:K41)</f>
        <v>41.080000000000005</v>
      </c>
      <c r="M41" s="978">
        <v>8.4121825999999997E-2</v>
      </c>
      <c r="N41" s="978">
        <v>51.614201799999996</v>
      </c>
      <c r="O41" s="927">
        <f>SUM(M41:N41)</f>
        <v>51.698323625999997</v>
      </c>
      <c r="P41" s="644">
        <f t="shared" si="19"/>
        <v>-6.5313044444444444</v>
      </c>
      <c r="Q41" s="644">
        <f t="shared" si="20"/>
        <v>25.919009026591837</v>
      </c>
      <c r="R41" s="644">
        <f t="shared" si="21"/>
        <v>25.847915350535516</v>
      </c>
      <c r="T41" s="677" t="s">
        <v>134</v>
      </c>
      <c r="U41" s="677">
        <f>E41</f>
        <v>10.9</v>
      </c>
      <c r="V41" s="704">
        <v>30.321334499999999</v>
      </c>
      <c r="W41" s="124">
        <f t="shared" si="17"/>
        <v>178.17738073394494</v>
      </c>
      <c r="Y41" s="677" t="s">
        <v>134</v>
      </c>
      <c r="Z41" s="675">
        <v>5.59</v>
      </c>
      <c r="AA41" s="704">
        <v>4.8645718000000002</v>
      </c>
      <c r="AB41" s="124">
        <f t="shared" si="18"/>
        <v>-12.97724865831842</v>
      </c>
    </row>
    <row r="42" spans="1:28" x14ac:dyDescent="0.45">
      <c r="A42" s="679" t="s">
        <v>208</v>
      </c>
      <c r="B42" s="680">
        <f t="shared" ref="B42:G42" si="26">SUM(B40:B41)</f>
        <v>0.53999999999999992</v>
      </c>
      <c r="C42" s="701">
        <f t="shared" si="26"/>
        <v>230.17000000000002</v>
      </c>
      <c r="D42" s="683">
        <f t="shared" si="26"/>
        <v>230.71</v>
      </c>
      <c r="E42" s="679">
        <f t="shared" si="26"/>
        <v>68.5</v>
      </c>
      <c r="F42" s="679">
        <f t="shared" si="26"/>
        <v>27.05</v>
      </c>
      <c r="G42" s="679">
        <f t="shared" si="26"/>
        <v>326.25999999999993</v>
      </c>
      <c r="I42" s="979" t="s">
        <v>208</v>
      </c>
      <c r="J42" s="980">
        <f t="shared" ref="J42:O42" si="27">SUM(J40:J41)</f>
        <v>0.53999999999999992</v>
      </c>
      <c r="K42" s="981">
        <f t="shared" si="27"/>
        <v>230.17000000000002</v>
      </c>
      <c r="L42" s="980">
        <f t="shared" si="27"/>
        <v>230.71</v>
      </c>
      <c r="M42" s="981">
        <f t="shared" si="27"/>
        <v>0.28251188300000002</v>
      </c>
      <c r="N42" s="981">
        <f t="shared" si="27"/>
        <v>175.3979659</v>
      </c>
      <c r="O42" s="981">
        <f t="shared" si="27"/>
        <v>175.68047778300001</v>
      </c>
      <c r="P42" s="982">
        <f t="shared" si="19"/>
        <v>-47.682984629629622</v>
      </c>
      <c r="Q42" s="982">
        <f t="shared" si="20"/>
        <v>-23.796339270973633</v>
      </c>
      <c r="R42" s="982">
        <f t="shared" si="21"/>
        <v>-23.852248371115248</v>
      </c>
      <c r="T42" s="681" t="s">
        <v>208</v>
      </c>
      <c r="U42" s="681">
        <f>SUM(U40:U41)</f>
        <v>68.5</v>
      </c>
      <c r="V42" s="701">
        <f>SUM(V40:V41)</f>
        <v>99.601911900000005</v>
      </c>
      <c r="W42" s="929">
        <f t="shared" si="17"/>
        <v>45.404250948905116</v>
      </c>
      <c r="Y42" s="681" t="s">
        <v>208</v>
      </c>
      <c r="Z42" s="679">
        <f>SUM(Z40:Z41)</f>
        <v>27.05</v>
      </c>
      <c r="AA42" s="701">
        <f>SUM(AA40:AA41)</f>
        <v>22.802210600000002</v>
      </c>
      <c r="AB42" s="929">
        <f t="shared" si="18"/>
        <v>-15.703472828096112</v>
      </c>
    </row>
    <row r="43" spans="1:28" x14ac:dyDescent="0.45">
      <c r="A43" s="675" t="s">
        <v>135</v>
      </c>
      <c r="B43" s="676">
        <v>0.11</v>
      </c>
      <c r="C43" s="704">
        <v>44.05</v>
      </c>
      <c r="D43" s="678">
        <f>SUM(B43:C43)</f>
        <v>44.16</v>
      </c>
      <c r="E43" s="675">
        <v>10.11</v>
      </c>
      <c r="F43" s="675">
        <v>5.0999999999999996</v>
      </c>
      <c r="G43" s="675">
        <f>SUM(D43:F43)</f>
        <v>59.37</v>
      </c>
      <c r="I43" s="976" t="s">
        <v>135</v>
      </c>
      <c r="J43" s="977">
        <v>0.11</v>
      </c>
      <c r="K43" s="978">
        <v>44.05</v>
      </c>
      <c r="L43" s="977">
        <f>SUM(J43:K43)</f>
        <v>44.16</v>
      </c>
      <c r="M43" s="978">
        <v>0.102888752</v>
      </c>
      <c r="N43" s="978">
        <v>58.511461948000004</v>
      </c>
      <c r="O43" s="927">
        <f>SUM(M43:N43)</f>
        <v>58.614350700000003</v>
      </c>
      <c r="P43" s="644">
        <f t="shared" si="19"/>
        <v>-6.4647709090909098</v>
      </c>
      <c r="Q43" s="644">
        <f t="shared" si="20"/>
        <v>32.829652549375723</v>
      </c>
      <c r="R43" s="644">
        <f t="shared" si="21"/>
        <v>32.731772418478279</v>
      </c>
      <c r="T43" s="677" t="s">
        <v>135</v>
      </c>
      <c r="U43" s="677">
        <f>E43</f>
        <v>10.11</v>
      </c>
      <c r="V43" s="704">
        <v>26.052749299999999</v>
      </c>
      <c r="W43" s="124">
        <f t="shared" si="17"/>
        <v>157.69287141444116</v>
      </c>
      <c r="Y43" s="677" t="s">
        <v>135</v>
      </c>
      <c r="Z43" s="675">
        <v>5.0999999999999996</v>
      </c>
      <c r="AA43" s="704">
        <v>5.1427562</v>
      </c>
      <c r="AB43" s="124">
        <f t="shared" si="18"/>
        <v>0.83835686274510501</v>
      </c>
    </row>
    <row r="44" spans="1:28" x14ac:dyDescent="0.45">
      <c r="A44" s="679" t="s">
        <v>209</v>
      </c>
      <c r="B44" s="680">
        <f t="shared" ref="B44:G44" si="28">SUM(B42:B43)</f>
        <v>0.64999999999999991</v>
      </c>
      <c r="C44" s="701">
        <f t="shared" si="28"/>
        <v>274.22000000000003</v>
      </c>
      <c r="D44" s="683">
        <f t="shared" si="28"/>
        <v>274.87</v>
      </c>
      <c r="E44" s="679">
        <f t="shared" si="28"/>
        <v>78.61</v>
      </c>
      <c r="F44" s="679">
        <f t="shared" si="28"/>
        <v>32.15</v>
      </c>
      <c r="G44" s="679">
        <f t="shared" si="28"/>
        <v>385.62999999999994</v>
      </c>
      <c r="I44" s="979" t="s">
        <v>209</v>
      </c>
      <c r="J44" s="980">
        <f t="shared" ref="J44:O44" si="29">SUM(J42:J43)</f>
        <v>0.64999999999999991</v>
      </c>
      <c r="K44" s="981">
        <f t="shared" si="29"/>
        <v>274.22000000000003</v>
      </c>
      <c r="L44" s="980">
        <f t="shared" si="29"/>
        <v>274.87</v>
      </c>
      <c r="M44" s="981">
        <f t="shared" si="29"/>
        <v>0.38540063499999999</v>
      </c>
      <c r="N44" s="981">
        <f t="shared" si="29"/>
        <v>233.90942784800001</v>
      </c>
      <c r="O44" s="981">
        <f t="shared" si="29"/>
        <v>234.294828483</v>
      </c>
      <c r="P44" s="982">
        <f t="shared" si="19"/>
        <v>-40.707594615384608</v>
      </c>
      <c r="Q44" s="982">
        <f>(N44-K44)/K44*100</f>
        <v>-14.7000846590329</v>
      </c>
      <c r="R44" s="982">
        <f t="shared" si="21"/>
        <v>-14.761586028668097</v>
      </c>
      <c r="T44" s="681" t="s">
        <v>209</v>
      </c>
      <c r="U44" s="681">
        <f>SUM(U42:U43)</f>
        <v>78.61</v>
      </c>
      <c r="V44" s="701">
        <f>SUM(V42:V43)</f>
        <v>125.65466120000001</v>
      </c>
      <c r="W44" s="929">
        <f t="shared" si="17"/>
        <v>59.845644574481625</v>
      </c>
      <c r="Y44" s="681" t="s">
        <v>209</v>
      </c>
      <c r="Z44" s="679">
        <f>SUM(Z42:Z43)</f>
        <v>32.15</v>
      </c>
      <c r="AA44" s="701">
        <f>SUM(AA42:AA43)</f>
        <v>27.944966800000003</v>
      </c>
      <c r="AB44" s="929">
        <f t="shared" si="18"/>
        <v>-13.079418973561419</v>
      </c>
    </row>
    <row r="45" spans="1:28" x14ac:dyDescent="0.45">
      <c r="A45" s="675" t="s">
        <v>136</v>
      </c>
      <c r="B45" s="676">
        <v>0.08</v>
      </c>
      <c r="C45" s="704">
        <v>34.64</v>
      </c>
      <c r="D45" s="678">
        <f>SUM(B45:C45)</f>
        <v>34.72</v>
      </c>
      <c r="E45" s="675">
        <v>10.19</v>
      </c>
      <c r="F45" s="675">
        <v>4.72</v>
      </c>
      <c r="G45" s="675">
        <f>SUM(D45:F45)</f>
        <v>49.629999999999995</v>
      </c>
      <c r="I45" s="976" t="s">
        <v>136</v>
      </c>
      <c r="J45" s="977">
        <v>0.08</v>
      </c>
      <c r="K45" s="978">
        <v>34.64</v>
      </c>
      <c r="L45" s="977">
        <f>SUM(J45:K45)</f>
        <v>34.72</v>
      </c>
      <c r="M45" s="978">
        <v>0.12636130000000001</v>
      </c>
      <c r="N45" s="978">
        <v>65.718717799999993</v>
      </c>
      <c r="O45" s="927">
        <f>SUM(M45:N45)</f>
        <v>65.845079099999992</v>
      </c>
      <c r="P45" s="644">
        <f t="shared" si="19"/>
        <v>57.951625000000007</v>
      </c>
      <c r="Q45" s="644">
        <f t="shared" si="20"/>
        <v>89.71916224018473</v>
      </c>
      <c r="R45" s="644">
        <f t="shared" si="21"/>
        <v>89.645965149769566</v>
      </c>
      <c r="T45" s="677" t="s">
        <v>136</v>
      </c>
      <c r="U45" s="677">
        <f>E45</f>
        <v>10.19</v>
      </c>
      <c r="V45" s="704">
        <v>33.418018699999998</v>
      </c>
      <c r="W45" s="124">
        <f t="shared" si="17"/>
        <v>227.94915309126597</v>
      </c>
      <c r="Y45" s="677" t="s">
        <v>136</v>
      </c>
      <c r="Z45" s="675">
        <v>4.72</v>
      </c>
      <c r="AA45" s="704">
        <v>7.4653605000000001</v>
      </c>
      <c r="AB45" s="124">
        <f t="shared" si="18"/>
        <v>58.16441737288136</v>
      </c>
    </row>
    <row r="46" spans="1:28" x14ac:dyDescent="0.45">
      <c r="A46" s="679" t="s">
        <v>210</v>
      </c>
      <c r="B46" s="680">
        <f t="shared" ref="B46:G46" si="30">SUM(B44:B45)</f>
        <v>0.72999999999999987</v>
      </c>
      <c r="C46" s="701">
        <f t="shared" si="30"/>
        <v>308.86</v>
      </c>
      <c r="D46" s="683">
        <f t="shared" si="30"/>
        <v>309.59000000000003</v>
      </c>
      <c r="E46" s="679">
        <f t="shared" si="30"/>
        <v>88.8</v>
      </c>
      <c r="F46" s="679">
        <f t="shared" si="30"/>
        <v>36.869999999999997</v>
      </c>
      <c r="G46" s="679">
        <f t="shared" si="30"/>
        <v>435.25999999999993</v>
      </c>
      <c r="I46" s="979" t="s">
        <v>210</v>
      </c>
      <c r="J46" s="980">
        <f t="shared" ref="J46:O46" si="31">SUM(J44:J45)</f>
        <v>0.72999999999999987</v>
      </c>
      <c r="K46" s="981">
        <f t="shared" si="31"/>
        <v>308.86</v>
      </c>
      <c r="L46" s="980">
        <f t="shared" si="31"/>
        <v>309.59000000000003</v>
      </c>
      <c r="M46" s="981">
        <f t="shared" si="31"/>
        <v>0.511761935</v>
      </c>
      <c r="N46" s="981">
        <f t="shared" si="31"/>
        <v>299.62814564799999</v>
      </c>
      <c r="O46" s="981">
        <f t="shared" si="31"/>
        <v>300.13990758299997</v>
      </c>
      <c r="P46" s="982">
        <f t="shared" si="19"/>
        <v>-29.895625342465742</v>
      </c>
      <c r="Q46" s="982">
        <f t="shared" si="20"/>
        <v>-2.9890093738263377</v>
      </c>
      <c r="R46" s="982">
        <f t="shared" si="21"/>
        <v>-3.0524540253238359</v>
      </c>
      <c r="T46" s="681" t="s">
        <v>210</v>
      </c>
      <c r="U46" s="681">
        <f>SUM(U44:U45)</f>
        <v>88.8</v>
      </c>
      <c r="V46" s="701">
        <f>SUM(V44:V45)</f>
        <v>159.0726799</v>
      </c>
      <c r="W46" s="929">
        <f t="shared" si="17"/>
        <v>79.135900788288296</v>
      </c>
      <c r="Y46" s="681" t="s">
        <v>210</v>
      </c>
      <c r="Z46" s="679">
        <f>SUM(Z44:Z45)</f>
        <v>36.869999999999997</v>
      </c>
      <c r="AA46" s="701">
        <f>SUM(AA44:AA45)</f>
        <v>35.410327300000006</v>
      </c>
      <c r="AB46" s="929">
        <f t="shared" si="18"/>
        <v>-3.9589712503390064</v>
      </c>
    </row>
    <row r="47" spans="1:28" x14ac:dyDescent="0.45">
      <c r="A47" s="675" t="s">
        <v>137</v>
      </c>
      <c r="B47" s="676">
        <v>0.09</v>
      </c>
      <c r="C47" s="704">
        <v>38.75</v>
      </c>
      <c r="D47" s="678">
        <f>SUM(B47:C47)</f>
        <v>38.840000000000003</v>
      </c>
      <c r="E47" s="675">
        <v>11.11</v>
      </c>
      <c r="F47" s="675">
        <v>4.92</v>
      </c>
      <c r="G47" s="675">
        <f>SUM(D47:F47)</f>
        <v>54.870000000000005</v>
      </c>
      <c r="I47" s="976" t="s">
        <v>137</v>
      </c>
      <c r="J47" s="977">
        <v>0.09</v>
      </c>
      <c r="K47" s="978">
        <v>38.75</v>
      </c>
      <c r="L47" s="977">
        <f>SUM(J47:K47)</f>
        <v>38.840000000000003</v>
      </c>
      <c r="M47" s="978">
        <v>0.1958308</v>
      </c>
      <c r="N47" s="978">
        <v>62.062844499999997</v>
      </c>
      <c r="O47" s="927">
        <f>SUM(M47:N47)</f>
        <v>62.2586753</v>
      </c>
      <c r="P47" s="644">
        <f t="shared" si="19"/>
        <v>117.5897777777778</v>
      </c>
      <c r="Q47" s="644">
        <f t="shared" si="20"/>
        <v>60.162179354838706</v>
      </c>
      <c r="R47" s="644">
        <f t="shared" si="21"/>
        <v>60.295250514933038</v>
      </c>
      <c r="T47" s="677" t="s">
        <v>137</v>
      </c>
      <c r="U47" s="677">
        <f>E47</f>
        <v>11.11</v>
      </c>
      <c r="V47" s="704">
        <v>25.9155318</v>
      </c>
      <c r="W47" s="124">
        <f t="shared" si="17"/>
        <v>133.26311251125114</v>
      </c>
      <c r="Y47" s="677" t="s">
        <v>137</v>
      </c>
      <c r="Z47" s="675">
        <v>4.92</v>
      </c>
      <c r="AA47" s="704">
        <v>7.5350447000000003</v>
      </c>
      <c r="AB47" s="124">
        <f t="shared" si="18"/>
        <v>53.151315040650417</v>
      </c>
    </row>
    <row r="48" spans="1:28" x14ac:dyDescent="0.45">
      <c r="A48" s="679" t="s">
        <v>211</v>
      </c>
      <c r="B48" s="680">
        <f t="shared" ref="B48:G48" si="32">SUM(B46:B47)</f>
        <v>0.81999999999999984</v>
      </c>
      <c r="C48" s="701">
        <f t="shared" si="32"/>
        <v>347.61</v>
      </c>
      <c r="D48" s="683">
        <f t="shared" si="32"/>
        <v>348.43000000000006</v>
      </c>
      <c r="E48" s="679">
        <f t="shared" si="32"/>
        <v>99.91</v>
      </c>
      <c r="F48" s="679">
        <f t="shared" si="32"/>
        <v>41.79</v>
      </c>
      <c r="G48" s="679">
        <f t="shared" si="32"/>
        <v>490.12999999999994</v>
      </c>
      <c r="I48" s="979" t="s">
        <v>211</v>
      </c>
      <c r="J48" s="980">
        <f t="shared" ref="J48:O48" si="33">SUM(J46:J47)</f>
        <v>0.81999999999999984</v>
      </c>
      <c r="K48" s="981">
        <f t="shared" si="33"/>
        <v>347.61</v>
      </c>
      <c r="L48" s="980">
        <f t="shared" si="33"/>
        <v>348.43000000000006</v>
      </c>
      <c r="M48" s="981">
        <f t="shared" si="33"/>
        <v>0.70759273499999997</v>
      </c>
      <c r="N48" s="981">
        <f t="shared" si="33"/>
        <v>361.69099014799997</v>
      </c>
      <c r="O48" s="981">
        <f t="shared" si="33"/>
        <v>362.39858288299996</v>
      </c>
      <c r="P48" s="982">
        <f t="shared" si="19"/>
        <v>-13.708203048780474</v>
      </c>
      <c r="Q48" s="982">
        <f t="shared" si="20"/>
        <v>4.0508012278127659</v>
      </c>
      <c r="R48" s="982">
        <f t="shared" si="21"/>
        <v>4.0090069405619193</v>
      </c>
      <c r="T48" s="681" t="s">
        <v>211</v>
      </c>
      <c r="U48" s="681">
        <f>SUM(U46:U47)</f>
        <v>99.91</v>
      </c>
      <c r="V48" s="701">
        <f>SUM(V46:V47)</f>
        <v>184.98821169999999</v>
      </c>
      <c r="W48" s="929">
        <f t="shared" si="17"/>
        <v>85.154851065959363</v>
      </c>
      <c r="Y48" s="681" t="s">
        <v>211</v>
      </c>
      <c r="Z48" s="679">
        <f>SUM(Z46:Z47)</f>
        <v>41.79</v>
      </c>
      <c r="AA48" s="701">
        <f>SUM(AA46:AA47)</f>
        <v>42.945372000000006</v>
      </c>
      <c r="AB48" s="929">
        <f t="shared" si="18"/>
        <v>2.7647092605886741</v>
      </c>
    </row>
    <row r="49" spans="1:31" x14ac:dyDescent="0.45">
      <c r="A49" s="675" t="s">
        <v>138</v>
      </c>
      <c r="B49" s="676">
        <v>0.09</v>
      </c>
      <c r="C49" s="704">
        <v>38.44</v>
      </c>
      <c r="D49" s="707">
        <f>SUM(B49:C49)</f>
        <v>38.53</v>
      </c>
      <c r="E49" s="675">
        <v>13.06</v>
      </c>
      <c r="F49" s="675">
        <v>3.65</v>
      </c>
      <c r="G49" s="675">
        <f>SUM(D49:F49)</f>
        <v>55.24</v>
      </c>
      <c r="I49" s="976" t="s">
        <v>138</v>
      </c>
      <c r="J49" s="977">
        <v>0.09</v>
      </c>
      <c r="K49" s="978">
        <v>38.44</v>
      </c>
      <c r="L49" s="978">
        <f>SUM(J49:K49)</f>
        <v>38.53</v>
      </c>
      <c r="M49" s="978">
        <v>0.27969699999999997</v>
      </c>
      <c r="N49" s="978">
        <v>60.044612399999998</v>
      </c>
      <c r="O49" s="927">
        <f>SUM(M49:N49)</f>
        <v>60.324309399999997</v>
      </c>
      <c r="P49" s="644">
        <f t="shared" ref="P49:P55" si="34">(M49-J49)/J49*100</f>
        <v>210.77444444444441</v>
      </c>
      <c r="Q49" s="644">
        <f t="shared" si="20"/>
        <v>56.203466181061401</v>
      </c>
      <c r="R49" s="644">
        <f t="shared" si="21"/>
        <v>56.564519595120679</v>
      </c>
      <c r="T49" s="677" t="s">
        <v>138</v>
      </c>
      <c r="U49" s="677">
        <f>E49</f>
        <v>13.06</v>
      </c>
      <c r="V49" s="704">
        <v>30.849263199999999</v>
      </c>
      <c r="W49" s="124">
        <f t="shared" si="17"/>
        <v>136.21181623277184</v>
      </c>
      <c r="Y49" s="677" t="s">
        <v>138</v>
      </c>
      <c r="Z49" s="675">
        <v>3.65</v>
      </c>
      <c r="AA49" s="704">
        <v>7.3444962</v>
      </c>
      <c r="AB49" s="124">
        <f t="shared" si="18"/>
        <v>101.21907397260274</v>
      </c>
    </row>
    <row r="50" spans="1:31" x14ac:dyDescent="0.45">
      <c r="A50" s="679" t="s">
        <v>212</v>
      </c>
      <c r="B50" s="680">
        <f t="shared" ref="B50:G50" si="35">SUM(B48:B49)</f>
        <v>0.90999999999999981</v>
      </c>
      <c r="C50" s="701">
        <f t="shared" si="35"/>
        <v>386.05</v>
      </c>
      <c r="D50" s="683">
        <f t="shared" si="35"/>
        <v>386.96000000000004</v>
      </c>
      <c r="E50" s="679">
        <f t="shared" si="35"/>
        <v>112.97</v>
      </c>
      <c r="F50" s="679">
        <f t="shared" si="35"/>
        <v>45.44</v>
      </c>
      <c r="G50" s="679">
        <f t="shared" si="35"/>
        <v>545.36999999999989</v>
      </c>
      <c r="I50" s="979" t="s">
        <v>212</v>
      </c>
      <c r="J50" s="980">
        <f t="shared" ref="J50:O50" si="36">SUM(J48:J49)</f>
        <v>0.90999999999999981</v>
      </c>
      <c r="K50" s="981">
        <f t="shared" si="36"/>
        <v>386.05</v>
      </c>
      <c r="L50" s="980">
        <f t="shared" si="36"/>
        <v>386.96000000000004</v>
      </c>
      <c r="M50" s="981">
        <f t="shared" si="36"/>
        <v>0.98728973499999995</v>
      </c>
      <c r="N50" s="981">
        <f t="shared" si="36"/>
        <v>421.73560254799997</v>
      </c>
      <c r="O50" s="981">
        <f t="shared" si="36"/>
        <v>422.72289228299996</v>
      </c>
      <c r="P50" s="982">
        <f t="shared" si="34"/>
        <v>8.4933774725274898</v>
      </c>
      <c r="Q50" s="982">
        <f t="shared" ref="Q50:R52" si="37">(N50-K50)/K50*100</f>
        <v>9.2437773728791512</v>
      </c>
      <c r="R50" s="982">
        <f t="shared" si="37"/>
        <v>9.2420126842567498</v>
      </c>
      <c r="T50" s="681" t="s">
        <v>212</v>
      </c>
      <c r="U50" s="681">
        <f>SUM(U48:U49)</f>
        <v>112.97</v>
      </c>
      <c r="V50" s="701">
        <f>SUM(V48:V49)</f>
        <v>215.83747489999999</v>
      </c>
      <c r="W50" s="929">
        <f t="shared" si="17"/>
        <v>91.057338142869781</v>
      </c>
      <c r="Y50" s="681" t="s">
        <v>212</v>
      </c>
      <c r="Z50" s="679">
        <f>SUM(Z48:Z49)</f>
        <v>45.44</v>
      </c>
      <c r="AA50" s="701">
        <f>SUM(AA48:AA49)</f>
        <v>50.289868200000008</v>
      </c>
      <c r="AB50" s="929">
        <f t="shared" si="18"/>
        <v>10.673125440140868</v>
      </c>
    </row>
    <row r="51" spans="1:31" x14ac:dyDescent="0.45">
      <c r="A51" s="675" t="s">
        <v>139</v>
      </c>
      <c r="B51" s="676">
        <v>0.15</v>
      </c>
      <c r="C51" s="704">
        <v>63.88</v>
      </c>
      <c r="D51" s="678">
        <f>SUM(B51:C51)</f>
        <v>64.03</v>
      </c>
      <c r="E51" s="675">
        <v>19.78</v>
      </c>
      <c r="F51" s="675">
        <v>6.26</v>
      </c>
      <c r="G51" s="675">
        <f>SUM(D51:F51)</f>
        <v>90.070000000000007</v>
      </c>
      <c r="I51" s="976" t="s">
        <v>139</v>
      </c>
      <c r="J51" s="977">
        <v>0.15</v>
      </c>
      <c r="K51" s="978">
        <v>63.88</v>
      </c>
      <c r="L51" s="977">
        <f>SUM(J51:K51)</f>
        <v>64.03</v>
      </c>
      <c r="M51" s="983">
        <f>'actual fig'!L53/10000000</f>
        <v>0.26399119999999998</v>
      </c>
      <c r="N51" s="978">
        <f>('actual fig'!M53+'actual fig'!N53)/10000000</f>
        <v>51.839089800000004</v>
      </c>
      <c r="O51" s="927">
        <f>SUM(M51:N51)</f>
        <v>52.103081000000003</v>
      </c>
      <c r="P51" s="644">
        <f t="shared" si="34"/>
        <v>75.994133333333323</v>
      </c>
      <c r="Q51" s="644">
        <f t="shared" si="37"/>
        <v>-18.849264558547276</v>
      </c>
      <c r="R51" s="644">
        <f t="shared" si="37"/>
        <v>-18.627079493987189</v>
      </c>
      <c r="T51" s="677" t="s">
        <v>139</v>
      </c>
      <c r="U51" s="677">
        <f>E51</f>
        <v>19.78</v>
      </c>
      <c r="V51" s="704">
        <v>25.48</v>
      </c>
      <c r="W51" s="124">
        <f t="shared" si="17"/>
        <v>28.8169868554095</v>
      </c>
      <c r="Y51" s="677" t="s">
        <v>139</v>
      </c>
      <c r="Z51" s="675">
        <v>6.26</v>
      </c>
      <c r="AA51" s="704">
        <v>7.3</v>
      </c>
      <c r="AB51" s="98"/>
    </row>
    <row r="52" spans="1:31" x14ac:dyDescent="0.45">
      <c r="A52" s="679" t="s">
        <v>206</v>
      </c>
      <c r="B52" s="680">
        <f t="shared" ref="B52:G52" si="38">SUM(B50:B51)</f>
        <v>1.0599999999999998</v>
      </c>
      <c r="C52" s="701">
        <f t="shared" si="38"/>
        <v>449.93</v>
      </c>
      <c r="D52" s="683">
        <f t="shared" si="38"/>
        <v>450.99</v>
      </c>
      <c r="E52" s="679">
        <f t="shared" si="38"/>
        <v>132.75</v>
      </c>
      <c r="F52" s="679">
        <f t="shared" si="38"/>
        <v>51.699999999999996</v>
      </c>
      <c r="G52" s="679">
        <f t="shared" si="38"/>
        <v>635.43999999999994</v>
      </c>
      <c r="I52" s="979" t="s">
        <v>206</v>
      </c>
      <c r="J52" s="980">
        <f t="shared" ref="J52:O52" si="39">SUM(J50:J51)</f>
        <v>1.0599999999999998</v>
      </c>
      <c r="K52" s="981">
        <f t="shared" si="39"/>
        <v>449.93</v>
      </c>
      <c r="L52" s="980">
        <f t="shared" si="39"/>
        <v>450.99</v>
      </c>
      <c r="M52" s="981">
        <f t="shared" si="39"/>
        <v>1.251280935</v>
      </c>
      <c r="N52" s="981">
        <f t="shared" si="39"/>
        <v>473.57469234799999</v>
      </c>
      <c r="O52" s="981">
        <f t="shared" si="39"/>
        <v>474.82597328299994</v>
      </c>
      <c r="P52" s="982">
        <f t="shared" si="34"/>
        <v>18.045371226415117</v>
      </c>
      <c r="Q52" s="982">
        <f t="shared" si="37"/>
        <v>5.2551935518858439</v>
      </c>
      <c r="R52" s="982">
        <f t="shared" si="37"/>
        <v>5.2852553899199384</v>
      </c>
      <c r="T52" s="681" t="s">
        <v>206</v>
      </c>
      <c r="U52" s="681">
        <f>SUM(U50:U51)</f>
        <v>132.75</v>
      </c>
      <c r="V52" s="701">
        <f>SUM(V50:V51)</f>
        <v>241.31747489999998</v>
      </c>
      <c r="W52" s="929">
        <f>(V52-U52)/U52*100</f>
        <v>81.783408587570605</v>
      </c>
      <c r="Y52" s="681" t="s">
        <v>206</v>
      </c>
      <c r="Z52" s="679">
        <f>SUM(Z50:Z51)</f>
        <v>51.699999999999996</v>
      </c>
      <c r="AA52" s="701">
        <f>SUM(AA50:AA51)</f>
        <v>57.589868200000005</v>
      </c>
      <c r="AB52" s="98"/>
    </row>
    <row r="53" spans="1:31" x14ac:dyDescent="0.45">
      <c r="A53" s="675" t="s">
        <v>140</v>
      </c>
      <c r="B53" s="676">
        <v>0.15</v>
      </c>
      <c r="C53" s="704">
        <v>59.87</v>
      </c>
      <c r="D53" s="678">
        <f>SUM(B53:C53)</f>
        <v>60.019999999999996</v>
      </c>
      <c r="E53" s="675">
        <v>18.8</v>
      </c>
      <c r="F53" s="675">
        <v>6.48</v>
      </c>
      <c r="G53" s="675">
        <f>SUM(D53:F53)</f>
        <v>85.3</v>
      </c>
      <c r="I53" s="976" t="s">
        <v>140</v>
      </c>
      <c r="J53" s="977">
        <v>0.15</v>
      </c>
      <c r="K53" s="978">
        <v>59.87</v>
      </c>
      <c r="L53" s="977">
        <f>SUM(J53:K53)</f>
        <v>60.019999999999996</v>
      </c>
      <c r="M53" s="983">
        <f>'actual fig'!L54/10000000</f>
        <v>0.33638357899999999</v>
      </c>
      <c r="N53" s="978">
        <v>62.82</v>
      </c>
      <c r="O53" s="927">
        <f>SUM(M53:N53)</f>
        <v>63.156383579</v>
      </c>
      <c r="P53" s="644">
        <f t="shared" si="34"/>
        <v>124.25571933333333</v>
      </c>
      <c r="Q53" s="644">
        <f t="shared" ref="Q53:R56" si="40">(N53-K53)/K53*100</f>
        <v>4.927342575580429</v>
      </c>
      <c r="R53" s="644">
        <f t="shared" si="40"/>
        <v>5.2255641102965749</v>
      </c>
      <c r="T53" s="677" t="s">
        <v>140</v>
      </c>
      <c r="U53" s="677">
        <f>E53</f>
        <v>18.8</v>
      </c>
      <c r="V53" s="704">
        <v>18.21</v>
      </c>
      <c r="W53" s="929">
        <f t="shared" si="17"/>
        <v>-3.1382978723404245</v>
      </c>
      <c r="Y53" s="677" t="s">
        <v>140</v>
      </c>
      <c r="Z53" s="675">
        <v>6.48</v>
      </c>
      <c r="AA53" s="704"/>
      <c r="AB53" s="98"/>
    </row>
    <row r="54" spans="1:31" x14ac:dyDescent="0.45">
      <c r="A54" s="679" t="s">
        <v>215</v>
      </c>
      <c r="B54" s="685">
        <f t="shared" ref="B54:G54" si="41">SUM(B52:B53)</f>
        <v>1.2099999999999997</v>
      </c>
      <c r="C54" s="701">
        <f t="shared" si="41"/>
        <v>509.8</v>
      </c>
      <c r="D54" s="683">
        <f t="shared" si="41"/>
        <v>511.01</v>
      </c>
      <c r="E54" s="679">
        <f t="shared" si="41"/>
        <v>151.55000000000001</v>
      </c>
      <c r="F54" s="679">
        <f t="shared" si="41"/>
        <v>58.179999999999993</v>
      </c>
      <c r="G54" s="679">
        <f t="shared" si="41"/>
        <v>720.7399999999999</v>
      </c>
      <c r="I54" s="979" t="s">
        <v>215</v>
      </c>
      <c r="J54" s="981">
        <f t="shared" ref="J54:O54" si="42">SUM(J52:J53)</f>
        <v>1.2099999999999997</v>
      </c>
      <c r="K54" s="981">
        <f t="shared" si="42"/>
        <v>509.8</v>
      </c>
      <c r="L54" s="980">
        <f t="shared" si="42"/>
        <v>511.01</v>
      </c>
      <c r="M54" s="981">
        <f t="shared" si="42"/>
        <v>1.5876645140000001</v>
      </c>
      <c r="N54" s="981">
        <f t="shared" si="42"/>
        <v>536.39469234800004</v>
      </c>
      <c r="O54" s="981">
        <f t="shared" si="42"/>
        <v>537.98235686199996</v>
      </c>
      <c r="P54" s="982">
        <f t="shared" si="34"/>
        <v>31.211943305785162</v>
      </c>
      <c r="Q54" s="982">
        <f t="shared" si="40"/>
        <v>5.2166913197332336</v>
      </c>
      <c r="R54" s="982">
        <f t="shared" si="40"/>
        <v>5.2782444300502869</v>
      </c>
      <c r="T54" s="681" t="s">
        <v>215</v>
      </c>
      <c r="U54" s="681">
        <f>SUM(U52:U53)</f>
        <v>151.55000000000001</v>
      </c>
      <c r="V54" s="701">
        <f>SUM(V52:V53)</f>
        <v>259.52747489999996</v>
      </c>
      <c r="W54" s="929">
        <f t="shared" si="17"/>
        <v>71.248746222368823</v>
      </c>
      <c r="Y54" s="681" t="s">
        <v>215</v>
      </c>
      <c r="Z54" s="679">
        <f>SUM(Z52:Z53)</f>
        <v>58.179999999999993</v>
      </c>
      <c r="AA54" s="701">
        <f>SUM(AA52:AA53)</f>
        <v>57.589868200000005</v>
      </c>
      <c r="AB54" s="98"/>
    </row>
    <row r="55" spans="1:31" x14ac:dyDescent="0.45">
      <c r="A55" s="675" t="s">
        <v>141</v>
      </c>
      <c r="B55" s="676">
        <v>0.06</v>
      </c>
      <c r="C55" s="704">
        <v>23.8</v>
      </c>
      <c r="D55" s="678">
        <f>SUM(B55:C55)</f>
        <v>23.86</v>
      </c>
      <c r="E55" s="675">
        <v>16.670000000000002</v>
      </c>
      <c r="F55" s="675">
        <v>6.28</v>
      </c>
      <c r="G55" s="675">
        <f>SUM(D55:F55)</f>
        <v>46.81</v>
      </c>
      <c r="I55" s="976" t="s">
        <v>141</v>
      </c>
      <c r="J55" s="977">
        <v>0.06</v>
      </c>
      <c r="K55" s="978">
        <v>23.8</v>
      </c>
      <c r="L55" s="977">
        <f>SUM(J55:K55)</f>
        <v>23.86</v>
      </c>
      <c r="M55" s="978">
        <v>0.51</v>
      </c>
      <c r="N55" s="978">
        <v>76.61</v>
      </c>
      <c r="O55" s="927">
        <f>SUM(M55:N55)</f>
        <v>77.12</v>
      </c>
      <c r="P55" s="644">
        <f t="shared" si="34"/>
        <v>750.00000000000011</v>
      </c>
      <c r="Q55" s="644">
        <f t="shared" si="40"/>
        <v>221.89075630252103</v>
      </c>
      <c r="R55" s="644">
        <f t="shared" si="40"/>
        <v>223.21877619446778</v>
      </c>
      <c r="T55" s="677" t="s">
        <v>141</v>
      </c>
      <c r="U55" s="677">
        <f>E55</f>
        <v>16.670000000000002</v>
      </c>
      <c r="V55" s="704">
        <v>15.54</v>
      </c>
      <c r="W55" s="929">
        <f t="shared" si="17"/>
        <v>-6.7786442711457857</v>
      </c>
      <c r="Y55" s="677" t="s">
        <v>141</v>
      </c>
      <c r="Z55" s="675">
        <v>6.28</v>
      </c>
      <c r="AA55" s="704"/>
      <c r="AB55" s="98"/>
    </row>
    <row r="56" spans="1:31" ht="14.65" thickBot="1" x14ac:dyDescent="0.5">
      <c r="A56" s="686" t="s">
        <v>240</v>
      </c>
      <c r="B56" s="720">
        <f t="shared" ref="B56:G56" si="43">SUM(B54:B55)</f>
        <v>1.2699999999999998</v>
      </c>
      <c r="C56" s="921">
        <f t="shared" si="43"/>
        <v>533.6</v>
      </c>
      <c r="D56" s="697">
        <f t="shared" si="43"/>
        <v>534.87</v>
      </c>
      <c r="E56" s="686">
        <f t="shared" si="43"/>
        <v>168.22000000000003</v>
      </c>
      <c r="F56" s="686">
        <f t="shared" si="43"/>
        <v>64.459999999999994</v>
      </c>
      <c r="G56" s="686">
        <f t="shared" si="43"/>
        <v>767.55</v>
      </c>
      <c r="I56" s="979" t="s">
        <v>240</v>
      </c>
      <c r="J56" s="980">
        <f t="shared" ref="J56:O56" si="44">SUM(J54:J55)</f>
        <v>1.2699999999999998</v>
      </c>
      <c r="K56" s="981">
        <f t="shared" si="44"/>
        <v>533.6</v>
      </c>
      <c r="L56" s="981">
        <f t="shared" si="44"/>
        <v>534.87</v>
      </c>
      <c r="M56" s="981">
        <f t="shared" si="44"/>
        <v>2.0976645139999999</v>
      </c>
      <c r="N56" s="981">
        <f t="shared" si="44"/>
        <v>613.00469234800005</v>
      </c>
      <c r="O56" s="981">
        <f t="shared" si="44"/>
        <v>615.10235686199997</v>
      </c>
      <c r="P56" s="982">
        <f>(M56-J56)/J56*100</f>
        <v>65.170434173228358</v>
      </c>
      <c r="Q56" s="982">
        <f t="shared" si="40"/>
        <v>14.880939345577215</v>
      </c>
      <c r="R56" s="982">
        <f t="shared" si="40"/>
        <v>15.000347161366307</v>
      </c>
      <c r="T56" s="681" t="s">
        <v>240</v>
      </c>
      <c r="U56" s="681">
        <f>SUM(U54:U55)</f>
        <v>168.22000000000003</v>
      </c>
      <c r="V56" s="701">
        <f>SUM(V54:V55)</f>
        <v>275.06747489999998</v>
      </c>
      <c r="W56" s="929">
        <f t="shared" si="17"/>
        <v>63.516511056949199</v>
      </c>
      <c r="Y56" s="681" t="s">
        <v>240</v>
      </c>
      <c r="Z56" s="686">
        <f>SUM(Z54:Z55)</f>
        <v>64.459999999999994</v>
      </c>
      <c r="AA56" s="701">
        <f>SUM(AA54:AA55)</f>
        <v>57.589868200000005</v>
      </c>
      <c r="AB56" s="98"/>
    </row>
    <row r="57" spans="1:31" x14ac:dyDescent="0.45">
      <c r="B57" s="259">
        <f t="shared" ref="B57:F58" si="45">(B55*10000000)/100000</f>
        <v>6</v>
      </c>
      <c r="C57" s="259">
        <f t="shared" si="45"/>
        <v>2380</v>
      </c>
      <c r="D57" s="259">
        <f t="shared" si="45"/>
        <v>2386</v>
      </c>
      <c r="E57" s="259">
        <f t="shared" si="45"/>
        <v>1667.0000000000002</v>
      </c>
      <c r="F57" s="259">
        <f t="shared" si="45"/>
        <v>628</v>
      </c>
    </row>
    <row r="58" spans="1:31" x14ac:dyDescent="0.45">
      <c r="B58" s="259">
        <f t="shared" si="45"/>
        <v>126.99999999999999</v>
      </c>
      <c r="C58" s="259">
        <f t="shared" si="45"/>
        <v>53360</v>
      </c>
      <c r="D58" s="259">
        <f t="shared" si="45"/>
        <v>53487</v>
      </c>
      <c r="E58" s="259">
        <f t="shared" si="45"/>
        <v>16822.000000000004</v>
      </c>
      <c r="F58" s="259">
        <f t="shared" si="45"/>
        <v>6445.9999999999991</v>
      </c>
    </row>
    <row r="59" spans="1:31" x14ac:dyDescent="0.45">
      <c r="AE59" s="229"/>
    </row>
    <row r="60" spans="1:31" x14ac:dyDescent="0.45">
      <c r="A60" s="2272" t="s">
        <v>550</v>
      </c>
      <c r="B60" s="2273"/>
      <c r="C60" s="2273"/>
      <c r="D60" s="2273"/>
      <c r="E60" s="2273"/>
      <c r="F60" s="2274"/>
      <c r="AE60" s="229"/>
    </row>
    <row r="61" spans="1:31" x14ac:dyDescent="0.45">
      <c r="A61" s="2271" t="s">
        <v>127</v>
      </c>
      <c r="B61" s="2275" t="s">
        <v>203</v>
      </c>
      <c r="C61" s="2276"/>
      <c r="D61" s="2276"/>
      <c r="E61" s="2276"/>
      <c r="F61" s="2277"/>
      <c r="I61" s="2271" t="s">
        <v>127</v>
      </c>
      <c r="J61" s="2307" t="s">
        <v>626</v>
      </c>
      <c r="K61" s="2307"/>
      <c r="L61" s="2308" t="s">
        <v>494</v>
      </c>
      <c r="M61" s="2271" t="s">
        <v>127</v>
      </c>
      <c r="AE61" s="229"/>
    </row>
    <row r="62" spans="1:31" x14ac:dyDescent="0.45">
      <c r="A62" s="2271"/>
      <c r="B62" s="693" t="s">
        <v>490</v>
      </c>
      <c r="C62" s="693" t="s">
        <v>355</v>
      </c>
      <c r="D62" s="693" t="s">
        <v>447</v>
      </c>
      <c r="E62" s="693" t="s">
        <v>448</v>
      </c>
      <c r="F62" s="98" t="s">
        <v>63</v>
      </c>
      <c r="I62" s="2271"/>
      <c r="J62" s="693" t="s">
        <v>490</v>
      </c>
      <c r="K62" s="122" t="s">
        <v>492</v>
      </c>
      <c r="L62" s="2308"/>
      <c r="M62" s="2271"/>
      <c r="N62" s="693" t="s">
        <v>355</v>
      </c>
      <c r="O62" s="693" t="s">
        <v>447</v>
      </c>
      <c r="AE62" s="229"/>
    </row>
    <row r="63" spans="1:31" x14ac:dyDescent="0.45">
      <c r="A63" s="672" t="s">
        <v>131</v>
      </c>
      <c r="B63" s="907">
        <v>0.33700000000000002</v>
      </c>
      <c r="C63" s="695">
        <v>0.21340000000000001</v>
      </c>
      <c r="D63" s="695">
        <v>0.12833</v>
      </c>
      <c r="E63" s="696"/>
      <c r="F63" s="103">
        <f>B63+C63+D63+E63</f>
        <v>0.67873000000000006</v>
      </c>
      <c r="I63" s="672" t="s">
        <v>131</v>
      </c>
      <c r="J63" s="103">
        <v>0.26960000000000001</v>
      </c>
      <c r="K63" s="213">
        <v>2.8216399999999999E-2</v>
      </c>
      <c r="L63" s="124">
        <f>(K63-J63)/J63*100</f>
        <v>-89.533976261127592</v>
      </c>
      <c r="M63" s="672" t="s">
        <v>131</v>
      </c>
      <c r="N63" s="695">
        <v>9.4516666666666679E-2</v>
      </c>
      <c r="O63" s="968">
        <v>7.4999999999999997E-2</v>
      </c>
      <c r="Q63" s="229">
        <v>0.9</v>
      </c>
      <c r="R63">
        <f>Q63/12</f>
        <v>7.4999999999999997E-2</v>
      </c>
      <c r="AE63" s="229"/>
    </row>
    <row r="64" spans="1:31" x14ac:dyDescent="0.45">
      <c r="A64" s="677" t="s">
        <v>132</v>
      </c>
      <c r="B64" s="907">
        <v>0.33700000000000002</v>
      </c>
      <c r="C64" s="695">
        <v>0.21340000000000001</v>
      </c>
      <c r="D64" s="213">
        <v>0.12833</v>
      </c>
      <c r="E64" s="98"/>
      <c r="F64" s="103">
        <f t="shared" ref="F64:F84" si="46">B64+C64+D64+E64</f>
        <v>0.67873000000000006</v>
      </c>
      <c r="I64" s="677" t="s">
        <v>132</v>
      </c>
      <c r="J64" s="103">
        <v>0.26960000000000001</v>
      </c>
      <c r="K64" s="213">
        <v>0.1479828</v>
      </c>
      <c r="L64" s="124">
        <f t="shared" ref="L64:L80" si="47">(K64-J64)/J64*100</f>
        <v>-45.110237388724038</v>
      </c>
      <c r="M64" s="677" t="s">
        <v>132</v>
      </c>
      <c r="N64" s="695">
        <v>9.4516666666666679E-2</v>
      </c>
      <c r="O64" s="600">
        <f>O63</f>
        <v>7.4999999999999997E-2</v>
      </c>
      <c r="AE64" s="229"/>
    </row>
    <row r="65" spans="1:31" x14ac:dyDescent="0.45">
      <c r="A65" s="681" t="s">
        <v>204</v>
      </c>
      <c r="B65" s="692">
        <f>SUM(B63:B64)</f>
        <v>0.67400000000000004</v>
      </c>
      <c r="C65" s="692">
        <f>SUM(C63:C64)</f>
        <v>0.42680000000000001</v>
      </c>
      <c r="D65" s="692">
        <f>SUM(D63:D64)</f>
        <v>0.25666</v>
      </c>
      <c r="E65" s="692">
        <f>SUM(E63:E64)</f>
        <v>0</v>
      </c>
      <c r="F65" s="600">
        <f t="shared" si="46"/>
        <v>1.3574600000000001</v>
      </c>
      <c r="I65" s="681" t="s">
        <v>204</v>
      </c>
      <c r="J65" s="692">
        <f>SUM(J63:J64)</f>
        <v>0.53920000000000001</v>
      </c>
      <c r="K65" s="692">
        <f>SUM(K63:K64)</f>
        <v>0.1761992</v>
      </c>
      <c r="L65" s="124">
        <f t="shared" si="47"/>
        <v>-67.322106824925825</v>
      </c>
      <c r="M65" s="681" t="s">
        <v>204</v>
      </c>
      <c r="N65" s="692">
        <f>SUM(N63:N64)</f>
        <v>0.18903333333333336</v>
      </c>
      <c r="O65" s="692">
        <f>SUM(O63:O64)</f>
        <v>0.15</v>
      </c>
      <c r="AE65" s="229"/>
    </row>
    <row r="66" spans="1:31" x14ac:dyDescent="0.45">
      <c r="A66" s="677" t="s">
        <v>133</v>
      </c>
      <c r="B66" s="698">
        <v>0.33700000000000002</v>
      </c>
      <c r="C66" s="695">
        <v>0.21340000000000001</v>
      </c>
      <c r="D66" s="213">
        <v>0.12833</v>
      </c>
      <c r="E66" s="98"/>
      <c r="F66" s="103">
        <f t="shared" si="46"/>
        <v>0.67873000000000006</v>
      </c>
      <c r="I66" s="677" t="s">
        <v>133</v>
      </c>
      <c r="J66" s="103">
        <v>0.26960000000000001</v>
      </c>
      <c r="K66" s="213">
        <v>0.48096559999999999</v>
      </c>
      <c r="L66" s="124">
        <f t="shared" si="47"/>
        <v>78.399703264094939</v>
      </c>
      <c r="M66" s="677" t="s">
        <v>133</v>
      </c>
      <c r="N66" s="695">
        <v>9.4516666666666679E-2</v>
      </c>
      <c r="O66" s="600">
        <f>O64</f>
        <v>7.4999999999999997E-2</v>
      </c>
      <c r="AE66" s="229"/>
    </row>
    <row r="67" spans="1:31" x14ac:dyDescent="0.45">
      <c r="A67" s="681" t="s">
        <v>205</v>
      </c>
      <c r="B67" s="692">
        <f>SUM(B65:B66)</f>
        <v>1.0110000000000001</v>
      </c>
      <c r="C67" s="692">
        <f>SUM(C65:C66)</f>
        <v>0.64019999999999999</v>
      </c>
      <c r="D67" s="692">
        <f>SUM(D65:D66)</f>
        <v>0.38499</v>
      </c>
      <c r="E67" s="692">
        <f>SUM(E65:E66)</f>
        <v>0</v>
      </c>
      <c r="F67" s="600">
        <f t="shared" si="46"/>
        <v>2.0361900000000004</v>
      </c>
      <c r="I67" s="681" t="s">
        <v>205</v>
      </c>
      <c r="J67" s="692">
        <f>SUM(J65:J66)</f>
        <v>0.80879999999999996</v>
      </c>
      <c r="K67" s="692">
        <f>SUM(K65:K66)</f>
        <v>0.65716479999999999</v>
      </c>
      <c r="L67" s="124">
        <f t="shared" si="47"/>
        <v>-18.748170128585556</v>
      </c>
      <c r="M67" s="681" t="s">
        <v>205</v>
      </c>
      <c r="N67" s="692">
        <f>SUM(N65:N66)</f>
        <v>0.28355000000000002</v>
      </c>
      <c r="O67" s="692">
        <f>SUM(O65:O66)</f>
        <v>0.22499999999999998</v>
      </c>
      <c r="AE67" s="229"/>
    </row>
    <row r="68" spans="1:31" x14ac:dyDescent="0.45">
      <c r="A68" s="677" t="s">
        <v>51</v>
      </c>
      <c r="B68" s="698">
        <v>0.33700000000000002</v>
      </c>
      <c r="C68" s="695">
        <v>0.21340000000000001</v>
      </c>
      <c r="D68" s="213">
        <v>0.12833</v>
      </c>
      <c r="E68" s="98"/>
      <c r="F68" s="103">
        <f t="shared" si="46"/>
        <v>0.67873000000000006</v>
      </c>
      <c r="I68" s="677" t="s">
        <v>51</v>
      </c>
      <c r="J68" s="103">
        <v>0.26960000000000001</v>
      </c>
      <c r="K68" s="213">
        <v>0.1072304</v>
      </c>
      <c r="L68" s="124">
        <f t="shared" si="47"/>
        <v>-60.226112759643911</v>
      </c>
      <c r="M68" s="677" t="s">
        <v>51</v>
      </c>
      <c r="N68" s="695">
        <v>9.4516666666666679E-2</v>
      </c>
      <c r="O68" s="600">
        <f>O66</f>
        <v>7.4999999999999997E-2</v>
      </c>
    </row>
    <row r="69" spans="1:31" x14ac:dyDescent="0.45">
      <c r="A69" s="681" t="s">
        <v>207</v>
      </c>
      <c r="B69" s="692">
        <f>SUM(B67:B68)</f>
        <v>1.3480000000000001</v>
      </c>
      <c r="C69" s="692">
        <f>SUM(C67:C68)</f>
        <v>0.85360000000000003</v>
      </c>
      <c r="D69" s="692">
        <f>SUM(D67:D68)</f>
        <v>0.51332</v>
      </c>
      <c r="E69" s="692">
        <f>SUM(E67:E68)</f>
        <v>0</v>
      </c>
      <c r="F69" s="600">
        <f t="shared" si="46"/>
        <v>2.7149200000000002</v>
      </c>
      <c r="I69" s="681" t="s">
        <v>207</v>
      </c>
      <c r="J69" s="692">
        <f>SUM(J67:J68)</f>
        <v>1.0784</v>
      </c>
      <c r="K69" s="692">
        <f>SUM(K67:K68)</f>
        <v>0.76439520000000005</v>
      </c>
      <c r="L69" s="124">
        <f t="shared" si="47"/>
        <v>-29.117655786350145</v>
      </c>
      <c r="M69" s="681" t="s">
        <v>207</v>
      </c>
      <c r="N69" s="692">
        <f>SUM(N67:N68)</f>
        <v>0.37806666666666672</v>
      </c>
      <c r="O69" s="692">
        <f>SUM(O67:O68)</f>
        <v>0.3</v>
      </c>
    </row>
    <row r="70" spans="1:31" x14ac:dyDescent="0.45">
      <c r="A70" s="677" t="s">
        <v>134</v>
      </c>
      <c r="B70" s="698">
        <v>0.33700000000000002</v>
      </c>
      <c r="C70" s="695">
        <v>0.21340000000000001</v>
      </c>
      <c r="D70" s="213">
        <v>0.12833</v>
      </c>
      <c r="E70" s="98"/>
      <c r="F70" s="103">
        <f t="shared" si="46"/>
        <v>0.67873000000000006</v>
      </c>
      <c r="I70" s="677" t="s">
        <v>134</v>
      </c>
      <c r="J70" s="103">
        <v>0.26960000000000001</v>
      </c>
      <c r="K70" s="213">
        <v>0.71062769999999997</v>
      </c>
      <c r="L70" s="124">
        <f t="shared" si="47"/>
        <v>163.58594213649852</v>
      </c>
      <c r="M70" s="677" t="s">
        <v>134</v>
      </c>
      <c r="N70" s="695">
        <v>9.4516666666666679E-2</v>
      </c>
      <c r="O70" s="600">
        <f>O68</f>
        <v>7.4999999999999997E-2</v>
      </c>
    </row>
    <row r="71" spans="1:31" x14ac:dyDescent="0.45">
      <c r="A71" s="681" t="s">
        <v>208</v>
      </c>
      <c r="B71" s="692">
        <f>SUM(B69:B70)</f>
        <v>1.6850000000000001</v>
      </c>
      <c r="C71" s="692">
        <f>SUM(C69:C70)</f>
        <v>1.0669999999999999</v>
      </c>
      <c r="D71" s="692">
        <f>SUM(D69:D70)</f>
        <v>0.64165000000000005</v>
      </c>
      <c r="E71" s="692">
        <f>SUM(E69:E70)</f>
        <v>0</v>
      </c>
      <c r="F71" s="600">
        <f t="shared" si="46"/>
        <v>3.3936500000000001</v>
      </c>
      <c r="I71" s="681" t="s">
        <v>208</v>
      </c>
      <c r="J71" s="692">
        <f>SUM(J69:J70)</f>
        <v>1.3480000000000001</v>
      </c>
      <c r="K71" s="692">
        <f>SUM(K69:K70)</f>
        <v>1.4750228999999999</v>
      </c>
      <c r="L71" s="124">
        <f t="shared" si="47"/>
        <v>9.4230637982195713</v>
      </c>
      <c r="M71" s="681" t="s">
        <v>208</v>
      </c>
      <c r="N71" s="692">
        <f>SUM(N69:N70)</f>
        <v>0.47258333333333341</v>
      </c>
      <c r="O71" s="692">
        <f>SUM(O69:O70)</f>
        <v>0.375</v>
      </c>
    </row>
    <row r="72" spans="1:31" x14ac:dyDescent="0.45">
      <c r="A72" s="677" t="s">
        <v>135</v>
      </c>
      <c r="B72" s="698">
        <v>0.33700000000000002</v>
      </c>
      <c r="C72" s="695">
        <v>0.21340000000000001</v>
      </c>
      <c r="D72" s="213">
        <v>0.12833</v>
      </c>
      <c r="E72" s="98"/>
      <c r="F72" s="103">
        <f t="shared" si="46"/>
        <v>0.67873000000000006</v>
      </c>
      <c r="I72" s="677" t="s">
        <v>135</v>
      </c>
      <c r="J72" s="103">
        <v>0.26960000000000001</v>
      </c>
      <c r="K72" s="213">
        <v>0.1284081</v>
      </c>
      <c r="L72" s="124">
        <f t="shared" si="47"/>
        <v>-52.370882789317506</v>
      </c>
      <c r="M72" s="677" t="s">
        <v>135</v>
      </c>
      <c r="N72" s="695">
        <v>9.4516666666666679E-2</v>
      </c>
      <c r="O72" s="600">
        <f>O70</f>
        <v>7.4999999999999997E-2</v>
      </c>
    </row>
    <row r="73" spans="1:31" x14ac:dyDescent="0.45">
      <c r="A73" s="681" t="s">
        <v>209</v>
      </c>
      <c r="B73" s="692">
        <f>SUM(B71:B72)</f>
        <v>2.0220000000000002</v>
      </c>
      <c r="C73" s="692">
        <f>SUM(C71:C72)</f>
        <v>1.2804</v>
      </c>
      <c r="D73" s="692">
        <f>SUM(D71:D72)</f>
        <v>0.76998000000000011</v>
      </c>
      <c r="E73" s="692">
        <f>SUM(E71:E72)</f>
        <v>0</v>
      </c>
      <c r="F73" s="600">
        <f t="shared" si="46"/>
        <v>4.0723800000000008</v>
      </c>
      <c r="I73" s="681" t="s">
        <v>209</v>
      </c>
      <c r="J73" s="692">
        <f>SUM(J71:J72)</f>
        <v>1.6176000000000001</v>
      </c>
      <c r="K73" s="692">
        <f>SUM(K71:K72)</f>
        <v>1.6034309999999998</v>
      </c>
      <c r="L73" s="124">
        <f t="shared" si="47"/>
        <v>-0.87592729970328387</v>
      </c>
      <c r="M73" s="681" t="s">
        <v>209</v>
      </c>
      <c r="N73" s="692">
        <f>SUM(N71:N72)</f>
        <v>0.56710000000000005</v>
      </c>
      <c r="O73" s="692">
        <f>SUM(O71:O72)</f>
        <v>0.45</v>
      </c>
    </row>
    <row r="74" spans="1:31" x14ac:dyDescent="0.45">
      <c r="A74" s="677" t="s">
        <v>136</v>
      </c>
      <c r="B74" s="698">
        <v>0.33700000000000002</v>
      </c>
      <c r="C74" s="695">
        <v>0.21340000000000001</v>
      </c>
      <c r="D74" s="213">
        <v>0.12833</v>
      </c>
      <c r="E74" s="98"/>
      <c r="F74" s="103">
        <f t="shared" si="46"/>
        <v>0.67873000000000006</v>
      </c>
      <c r="I74" s="677" t="s">
        <v>136</v>
      </c>
      <c r="J74" s="103">
        <v>0.26960000000000001</v>
      </c>
      <c r="K74" s="213">
        <v>0.5309104</v>
      </c>
      <c r="L74" s="124">
        <f t="shared" si="47"/>
        <v>96.925222551928783</v>
      </c>
      <c r="M74" s="677" t="s">
        <v>136</v>
      </c>
      <c r="N74" s="695">
        <v>9.4516666666666679E-2</v>
      </c>
      <c r="O74" s="600">
        <f>O72</f>
        <v>7.4999999999999997E-2</v>
      </c>
    </row>
    <row r="75" spans="1:31" x14ac:dyDescent="0.45">
      <c r="A75" s="681" t="s">
        <v>210</v>
      </c>
      <c r="B75" s="692">
        <f>SUM(B73:B74)</f>
        <v>2.3590000000000004</v>
      </c>
      <c r="C75" s="692">
        <f>SUM(C73:C74)</f>
        <v>1.4938</v>
      </c>
      <c r="D75" s="692">
        <f>SUM(D73:D74)</f>
        <v>0.89831000000000016</v>
      </c>
      <c r="E75" s="692">
        <f>SUM(E73:E74)</f>
        <v>0</v>
      </c>
      <c r="F75" s="600">
        <f t="shared" si="46"/>
        <v>4.7511100000000006</v>
      </c>
      <c r="I75" s="681" t="s">
        <v>210</v>
      </c>
      <c r="J75" s="692">
        <f>SUM(J73:J74)</f>
        <v>1.8872000000000002</v>
      </c>
      <c r="K75" s="692">
        <f>SUM(K73:K74)</f>
        <v>2.1343413999999998</v>
      </c>
      <c r="L75" s="124">
        <f t="shared" si="47"/>
        <v>13.09566553624415</v>
      </c>
      <c r="M75" s="681" t="s">
        <v>210</v>
      </c>
      <c r="N75" s="692">
        <f>SUM(N73:N74)</f>
        <v>0.66161666666666674</v>
      </c>
      <c r="O75" s="692">
        <f>SUM(O73:O74)</f>
        <v>0.52500000000000002</v>
      </c>
    </row>
    <row r="76" spans="1:31" x14ac:dyDescent="0.45">
      <c r="A76" s="677" t="s">
        <v>137</v>
      </c>
      <c r="B76" s="698">
        <v>0.33700000000000002</v>
      </c>
      <c r="C76" s="695">
        <v>0.21340000000000001</v>
      </c>
      <c r="D76" s="213">
        <v>0.12833</v>
      </c>
      <c r="E76" s="98"/>
      <c r="F76" s="103">
        <f t="shared" si="46"/>
        <v>0.67873000000000006</v>
      </c>
      <c r="I76" s="677" t="s">
        <v>137</v>
      </c>
      <c r="J76" s="103">
        <v>0.26960000000000001</v>
      </c>
      <c r="K76" s="213">
        <v>7.2367000000000004E-3</v>
      </c>
      <c r="L76" s="124">
        <f t="shared" si="47"/>
        <v>-97.315764094955497</v>
      </c>
      <c r="M76" s="677" t="s">
        <v>137</v>
      </c>
      <c r="N76" s="695">
        <v>9.4516666666666679E-2</v>
      </c>
      <c r="O76" s="600">
        <f>O74</f>
        <v>7.4999999999999997E-2</v>
      </c>
    </row>
    <row r="77" spans="1:31" x14ac:dyDescent="0.45">
      <c r="A77" s="681" t="s">
        <v>211</v>
      </c>
      <c r="B77" s="692">
        <f>SUM(B75:B76)</f>
        <v>2.6960000000000006</v>
      </c>
      <c r="C77" s="692">
        <f>SUM(C75:C76)</f>
        <v>1.7072000000000001</v>
      </c>
      <c r="D77" s="692">
        <f>SUM(D75:D76)</f>
        <v>1.0266400000000002</v>
      </c>
      <c r="E77" s="692">
        <f>SUM(E75:E76)</f>
        <v>0</v>
      </c>
      <c r="F77" s="600">
        <f t="shared" si="46"/>
        <v>5.4298400000000013</v>
      </c>
      <c r="I77" s="681" t="s">
        <v>211</v>
      </c>
      <c r="J77" s="692">
        <f>SUM(J75:J76)</f>
        <v>2.1568000000000001</v>
      </c>
      <c r="K77" s="692">
        <f>SUM(K75:K76)</f>
        <v>2.1415780999999998</v>
      </c>
      <c r="L77" s="124">
        <f t="shared" si="47"/>
        <v>-0.70576316765579716</v>
      </c>
      <c r="M77" s="681" t="s">
        <v>211</v>
      </c>
      <c r="N77" s="692">
        <f>SUM(N75:N76)</f>
        <v>0.75613333333333344</v>
      </c>
      <c r="O77" s="692">
        <f>SUM(O75:O76)</f>
        <v>0.6</v>
      </c>
    </row>
    <row r="78" spans="1:31" x14ac:dyDescent="0.45">
      <c r="A78" s="677" t="s">
        <v>138</v>
      </c>
      <c r="B78" s="698">
        <v>0.33700000000000002</v>
      </c>
      <c r="C78" s="695">
        <v>0.21340000000000001</v>
      </c>
      <c r="D78" s="213">
        <v>0.12833</v>
      </c>
      <c r="E78" s="98"/>
      <c r="F78" s="103">
        <f t="shared" si="46"/>
        <v>0.67873000000000006</v>
      </c>
      <c r="I78" s="677" t="s">
        <v>138</v>
      </c>
      <c r="J78" s="103">
        <v>0.26960000000000001</v>
      </c>
      <c r="K78" s="213">
        <v>0.47961890000000001</v>
      </c>
      <c r="L78" s="124">
        <f t="shared" si="47"/>
        <v>77.900185459940658</v>
      </c>
      <c r="M78" s="677" t="s">
        <v>138</v>
      </c>
      <c r="N78" s="695">
        <v>9.4516666666666679E-2</v>
      </c>
      <c r="O78" s="600">
        <f>O76</f>
        <v>7.4999999999999997E-2</v>
      </c>
    </row>
    <row r="79" spans="1:31" x14ac:dyDescent="0.45">
      <c r="A79" s="681" t="s">
        <v>212</v>
      </c>
      <c r="B79" s="692">
        <f>SUM(B77:B78)</f>
        <v>3.0330000000000008</v>
      </c>
      <c r="C79" s="692">
        <f>SUM(C77:C78)</f>
        <v>1.9206000000000001</v>
      </c>
      <c r="D79" s="692">
        <f>SUM(D77:D78)</f>
        <v>1.1549700000000003</v>
      </c>
      <c r="E79" s="692">
        <f>SUM(E77:E78)</f>
        <v>0</v>
      </c>
      <c r="F79" s="600">
        <f t="shared" si="46"/>
        <v>6.1085700000000012</v>
      </c>
      <c r="I79" s="681" t="s">
        <v>212</v>
      </c>
      <c r="J79" s="692">
        <f>SUM(J77:J78)</f>
        <v>2.4264000000000001</v>
      </c>
      <c r="K79" s="692">
        <f>SUM(K77:K78)</f>
        <v>2.621197</v>
      </c>
      <c r="L79" s="124">
        <f t="shared" si="47"/>
        <v>8.0282311242993689</v>
      </c>
      <c r="M79" s="681" t="s">
        <v>212</v>
      </c>
      <c r="N79" s="692">
        <f>SUM(N77:N78)</f>
        <v>0.85065000000000013</v>
      </c>
      <c r="O79" s="692">
        <f>SUM(O77:O78)</f>
        <v>0.67499999999999993</v>
      </c>
    </row>
    <row r="80" spans="1:31" x14ac:dyDescent="0.45">
      <c r="A80" s="677" t="s">
        <v>139</v>
      </c>
      <c r="B80" s="698">
        <v>0.33700000000000002</v>
      </c>
      <c r="C80" s="695">
        <v>0.21340000000000001</v>
      </c>
      <c r="D80" s="213">
        <v>0.12833</v>
      </c>
      <c r="E80" s="98"/>
      <c r="F80" s="103">
        <f t="shared" si="46"/>
        <v>0.67873000000000006</v>
      </c>
      <c r="I80" s="677" t="s">
        <v>139</v>
      </c>
      <c r="J80" s="103">
        <v>0.26960000000000001</v>
      </c>
      <c r="K80" s="213">
        <v>0.34388449999999998</v>
      </c>
      <c r="L80" s="124">
        <f t="shared" si="47"/>
        <v>27.553597922848656</v>
      </c>
      <c r="M80" s="677" t="s">
        <v>139</v>
      </c>
      <c r="N80" s="695">
        <v>9.4516666666666679E-2</v>
      </c>
      <c r="O80" s="600">
        <f>O78</f>
        <v>7.4999999999999997E-2</v>
      </c>
    </row>
    <row r="81" spans="1:15" x14ac:dyDescent="0.45">
      <c r="A81" s="681" t="s">
        <v>206</v>
      </c>
      <c r="B81" s="692">
        <f>SUM(B79:B80)</f>
        <v>3.370000000000001</v>
      </c>
      <c r="C81" s="692">
        <f>SUM(C79:C80)</f>
        <v>2.1339999999999999</v>
      </c>
      <c r="D81" s="692">
        <f>SUM(D79:D80)</f>
        <v>1.2833000000000003</v>
      </c>
      <c r="E81" s="692">
        <f>SUM(E79:E80)</f>
        <v>0</v>
      </c>
      <c r="F81" s="600">
        <f t="shared" si="46"/>
        <v>6.7873000000000019</v>
      </c>
      <c r="I81" s="681" t="s">
        <v>206</v>
      </c>
      <c r="J81" s="692">
        <f>SUM(J79:J80)</f>
        <v>2.6960000000000002</v>
      </c>
      <c r="K81" s="692">
        <f>SUM(K79:K80)</f>
        <v>2.9650815000000001</v>
      </c>
      <c r="L81" s="124">
        <f>(K81-J81)/J81*100</f>
        <v>9.9807678041543024</v>
      </c>
      <c r="M81" s="681" t="s">
        <v>206</v>
      </c>
      <c r="N81" s="692">
        <f>SUM(N79:N80)</f>
        <v>0.94516666666666682</v>
      </c>
      <c r="O81" s="692">
        <f>SUM(O79:O80)</f>
        <v>0.74999999999999989</v>
      </c>
    </row>
    <row r="82" spans="1:15" x14ac:dyDescent="0.45">
      <c r="A82" s="677" t="s">
        <v>140</v>
      </c>
      <c r="B82" s="698">
        <v>0.33700000000000002</v>
      </c>
      <c r="C82" s="695">
        <v>0.21340000000000001</v>
      </c>
      <c r="D82" s="213">
        <v>0.12833</v>
      </c>
      <c r="E82" s="98"/>
      <c r="F82" s="103">
        <f t="shared" si="46"/>
        <v>0.67873000000000006</v>
      </c>
      <c r="I82" s="677" t="s">
        <v>140</v>
      </c>
      <c r="J82" s="103">
        <v>0.26960000000000001</v>
      </c>
      <c r="K82" s="98"/>
      <c r="L82" s="98"/>
      <c r="M82" s="677" t="s">
        <v>140</v>
      </c>
      <c r="N82" s="695">
        <v>9.4516666666666679E-2</v>
      </c>
      <c r="O82" s="600">
        <f>O80</f>
        <v>7.4999999999999997E-2</v>
      </c>
    </row>
    <row r="83" spans="1:15" x14ac:dyDescent="0.45">
      <c r="A83" s="681" t="s">
        <v>215</v>
      </c>
      <c r="B83" s="692">
        <f>SUM(B81:B82)</f>
        <v>3.7070000000000012</v>
      </c>
      <c r="C83" s="692">
        <f>SUM(C81:C82)</f>
        <v>2.3473999999999999</v>
      </c>
      <c r="D83" s="692">
        <f>SUM(D81:D82)</f>
        <v>1.4116300000000004</v>
      </c>
      <c r="E83" s="692">
        <f>SUM(E81:E82)</f>
        <v>0</v>
      </c>
      <c r="F83" s="600">
        <f t="shared" si="46"/>
        <v>7.4660300000000017</v>
      </c>
      <c r="I83" s="681" t="s">
        <v>215</v>
      </c>
      <c r="J83" s="692">
        <f>SUM(J81:J82)</f>
        <v>2.9656000000000002</v>
      </c>
      <c r="K83" s="692">
        <f>SUM(K81:K82)</f>
        <v>2.9650815000000001</v>
      </c>
      <c r="L83" s="98"/>
      <c r="M83" s="681" t="s">
        <v>215</v>
      </c>
      <c r="N83" s="692">
        <f>SUM(N81:N82)</f>
        <v>1.0396833333333335</v>
      </c>
      <c r="O83" s="692">
        <f>SUM(O81:O82)</f>
        <v>0.82499999999999984</v>
      </c>
    </row>
    <row r="84" spans="1:15" x14ac:dyDescent="0.45">
      <c r="A84" s="677" t="s">
        <v>141</v>
      </c>
      <c r="B84" s="698">
        <v>0.33700000000000002</v>
      </c>
      <c r="C84" s="695">
        <v>0.21340000000000001</v>
      </c>
      <c r="D84" s="213">
        <v>0.12833</v>
      </c>
      <c r="E84" s="98"/>
      <c r="F84" s="103">
        <f t="shared" si="46"/>
        <v>0.67873000000000006</v>
      </c>
      <c r="I84" s="677" t="s">
        <v>141</v>
      </c>
      <c r="J84" s="103">
        <v>0.26960000000000001</v>
      </c>
      <c r="K84" s="98"/>
      <c r="L84" s="98"/>
      <c r="M84" s="677" t="s">
        <v>141</v>
      </c>
      <c r="N84" s="695">
        <v>9.4516666666666679E-2</v>
      </c>
      <c r="O84" s="600">
        <f>O82</f>
        <v>7.4999999999999997E-2</v>
      </c>
    </row>
    <row r="85" spans="1:15" x14ac:dyDescent="0.45">
      <c r="A85" s="681" t="s">
        <v>240</v>
      </c>
      <c r="B85" s="692">
        <f>SUM(B83:B84)</f>
        <v>4.0440000000000014</v>
      </c>
      <c r="C85" s="692">
        <f>SUM(C83:C84)</f>
        <v>2.5608</v>
      </c>
      <c r="D85" s="692">
        <f>SUM(D83:D84)</f>
        <v>1.5399600000000004</v>
      </c>
      <c r="E85" s="692">
        <f>SUM(E83:E84)</f>
        <v>0</v>
      </c>
      <c r="F85" s="600">
        <f>B85+C85+D85+E85</f>
        <v>8.1447600000000016</v>
      </c>
      <c r="I85" s="681" t="s">
        <v>240</v>
      </c>
      <c r="J85" s="692">
        <f>SUM(J83:J84)</f>
        <v>3.2352000000000003</v>
      </c>
      <c r="K85" s="692">
        <f>SUM(K83:K84)</f>
        <v>2.9650815000000001</v>
      </c>
      <c r="L85" s="98"/>
      <c r="M85" s="681" t="s">
        <v>240</v>
      </c>
      <c r="N85" s="692">
        <f>SUM(N83:N84)</f>
        <v>1.1342000000000001</v>
      </c>
      <c r="O85" s="692">
        <f>SUM(O83:O84)</f>
        <v>0.8999999999999998</v>
      </c>
    </row>
    <row r="87" spans="1:15" x14ac:dyDescent="0.45">
      <c r="J87">
        <v>323.52999999999997</v>
      </c>
      <c r="K87">
        <f>J87/12</f>
        <v>26.96083333333333</v>
      </c>
      <c r="N87" s="229">
        <v>113.42</v>
      </c>
      <c r="O87" s="629">
        <f>N87/12</f>
        <v>9.4516666666666662</v>
      </c>
    </row>
    <row r="88" spans="1:15" x14ac:dyDescent="0.45">
      <c r="J88">
        <f>J87*100000</f>
        <v>32352999.999999996</v>
      </c>
      <c r="K88">
        <f>K87*10</f>
        <v>269.60833333333329</v>
      </c>
      <c r="N88" s="259">
        <f>N87*100000</f>
        <v>11342000</v>
      </c>
      <c r="O88" s="629">
        <f>O87*10</f>
        <v>94.516666666666666</v>
      </c>
    </row>
    <row r="89" spans="1:15" x14ac:dyDescent="0.45">
      <c r="J89" s="229">
        <f>J88/10000000</f>
        <v>3.2352999999999996</v>
      </c>
      <c r="N89" s="229">
        <f>N88/10000000</f>
        <v>1.1342000000000001</v>
      </c>
    </row>
    <row r="90" spans="1:15" x14ac:dyDescent="0.45">
      <c r="J90" s="912"/>
      <c r="N90" s="273">
        <f>N89/12</f>
        <v>9.4516666666666679E-2</v>
      </c>
    </row>
    <row r="91" spans="1:15" x14ac:dyDescent="0.45">
      <c r="I91" s="944" t="s">
        <v>353</v>
      </c>
      <c r="J91" s="935" t="s">
        <v>8</v>
      </c>
      <c r="K91" s="936" t="s">
        <v>438</v>
      </c>
      <c r="L91" s="935" t="s">
        <v>627</v>
      </c>
      <c r="M91" s="936" t="s">
        <v>194</v>
      </c>
      <c r="N91" s="936" t="s">
        <v>195</v>
      </c>
    </row>
    <row r="92" spans="1:15" x14ac:dyDescent="0.45">
      <c r="I92" s="937" t="s">
        <v>575</v>
      </c>
      <c r="J92" s="938">
        <v>269.60000000000002</v>
      </c>
      <c r="K92" s="939">
        <v>296.5</v>
      </c>
      <c r="L92" s="940">
        <v>67</v>
      </c>
      <c r="M92" s="941">
        <f>(K92-J92)/J92*100</f>
        <v>9.9777448071216526</v>
      </c>
      <c r="N92" s="941">
        <f>(K92-L92)/L92*100</f>
        <v>342.53731343283584</v>
      </c>
    </row>
    <row r="93" spans="1:15" x14ac:dyDescent="0.45">
      <c r="I93" s="937" t="s">
        <v>3</v>
      </c>
      <c r="J93" s="938">
        <v>128.30000000000001</v>
      </c>
      <c r="K93" s="939">
        <v>23.46</v>
      </c>
      <c r="L93" s="940">
        <v>13.76</v>
      </c>
      <c r="M93" s="941">
        <f>(K93-J93)/J93*100</f>
        <v>-81.714731098986746</v>
      </c>
      <c r="N93" s="941">
        <f>(K93-L93)/L93*100</f>
        <v>70.494186046511643</v>
      </c>
    </row>
    <row r="94" spans="1:15" x14ac:dyDescent="0.45">
      <c r="I94" s="937" t="s">
        <v>576</v>
      </c>
      <c r="J94" s="938">
        <v>94.52</v>
      </c>
      <c r="K94" s="939">
        <v>17.22</v>
      </c>
      <c r="L94" s="940">
        <v>12.21</v>
      </c>
      <c r="M94" s="941">
        <f>(K94-J94)/J94*100</f>
        <v>-81.781633516716028</v>
      </c>
      <c r="N94" s="941">
        <f>(K94-L94)/L94*100</f>
        <v>41.03194103194101</v>
      </c>
    </row>
    <row r="95" spans="1:15" x14ac:dyDescent="0.45">
      <c r="I95" s="937" t="s">
        <v>4</v>
      </c>
      <c r="J95" s="938">
        <v>0</v>
      </c>
      <c r="K95" s="939">
        <v>4.05</v>
      </c>
      <c r="L95" s="940">
        <v>0.1</v>
      </c>
      <c r="M95" s="941" t="e">
        <f>(K95-J95)/J95*100</f>
        <v>#DIV/0!</v>
      </c>
      <c r="N95" s="941">
        <f>(K95-L95)/L95*100</f>
        <v>3949.9999999999991</v>
      </c>
    </row>
    <row r="96" spans="1:15" x14ac:dyDescent="0.45">
      <c r="I96" s="944" t="s">
        <v>63</v>
      </c>
      <c r="J96" s="935">
        <v>49.15</v>
      </c>
      <c r="K96" s="942">
        <v>36.65</v>
      </c>
      <c r="L96" s="943">
        <v>27.98</v>
      </c>
      <c r="M96" s="945">
        <f>(K96-J96)/J96*100</f>
        <v>-25.4323499491353</v>
      </c>
      <c r="N96" s="945">
        <f>(K96-L96)/L96*100</f>
        <v>30.986418870621868</v>
      </c>
    </row>
  </sheetData>
  <mergeCells count="38">
    <mergeCell ref="A60:F60"/>
    <mergeCell ref="A61:A62"/>
    <mergeCell ref="B61:F61"/>
    <mergeCell ref="I61:I62"/>
    <mergeCell ref="M61:M62"/>
    <mergeCell ref="J61:K61"/>
    <mergeCell ref="L61:L62"/>
    <mergeCell ref="Y3:AA4"/>
    <mergeCell ref="AB3:AB4"/>
    <mergeCell ref="Y31:AA32"/>
    <mergeCell ref="AB31:AB32"/>
    <mergeCell ref="P3:R4"/>
    <mergeCell ref="Q30:R30"/>
    <mergeCell ref="I2:Q2"/>
    <mergeCell ref="T3:V4"/>
    <mergeCell ref="W3:W4"/>
    <mergeCell ref="T31:V32"/>
    <mergeCell ref="W31:W32"/>
    <mergeCell ref="I3:L4"/>
    <mergeCell ref="M3:O4"/>
    <mergeCell ref="M32:O32"/>
    <mergeCell ref="M31:O31"/>
    <mergeCell ref="P31:R32"/>
    <mergeCell ref="I31:L31"/>
    <mergeCell ref="I32:I33"/>
    <mergeCell ref="J32:L32"/>
    <mergeCell ref="A31:G31"/>
    <mergeCell ref="A32:A33"/>
    <mergeCell ref="B32:D32"/>
    <mergeCell ref="E32:E33"/>
    <mergeCell ref="F32:F33"/>
    <mergeCell ref="G32:G33"/>
    <mergeCell ref="A3:G3"/>
    <mergeCell ref="A4:A5"/>
    <mergeCell ref="B4:D4"/>
    <mergeCell ref="E4:E5"/>
    <mergeCell ref="F4:F5"/>
    <mergeCell ref="G4:G5"/>
  </mergeCells>
  <pageMargins left="0.2" right="0.25" top="0.24" bottom="0.26" header="0.3" footer="0.22"/>
  <pageSetup paperSize="9" scale="31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pageSetUpPr fitToPage="1"/>
  </sheetPr>
  <dimension ref="A1:U55"/>
  <sheetViews>
    <sheetView topLeftCell="A22" workbookViewId="0">
      <selection activeCell="F48" sqref="F48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2.265625" style="5" bestFit="1" customWidth="1"/>
    <col min="4" max="4" width="11.3984375" style="84" bestFit="1" customWidth="1"/>
    <col min="5" max="5" width="10.1328125" style="35" customWidth="1"/>
    <col min="6" max="6" width="12.73046875" style="5" customWidth="1"/>
    <col min="7" max="7" width="14" style="5" customWidth="1"/>
    <col min="8" max="8" width="10.86328125" style="11" customWidth="1"/>
    <col min="9" max="9" width="11.59765625" style="82" customWidth="1"/>
    <col min="10" max="10" width="9.1328125" style="5"/>
    <col min="11" max="11" width="12.3984375" style="5" bestFit="1" customWidth="1"/>
    <col min="12" max="12" width="9.1328125" style="5"/>
    <col min="13" max="13" width="9.265625" style="5" bestFit="1" customWidth="1"/>
    <col min="14" max="14" width="9.59765625" style="5" bestFit="1" customWidth="1"/>
    <col min="15" max="18" width="9.1328125" style="5"/>
    <col min="19" max="19" width="11.265625" style="5" bestFit="1" customWidth="1"/>
    <col min="20" max="16384" width="9.1328125" style="5"/>
  </cols>
  <sheetData>
    <row r="1" spans="1:19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19" s="301" customFormat="1" ht="21.75" customHeight="1" thickBot="1" x14ac:dyDescent="0.5">
      <c r="A2" s="2092" t="s">
        <v>699</v>
      </c>
      <c r="B2" s="2093"/>
      <c r="C2" s="2093"/>
      <c r="D2" s="2093"/>
      <c r="E2" s="2093"/>
      <c r="F2" s="2093"/>
      <c r="G2" s="2093"/>
      <c r="H2" s="2093"/>
      <c r="I2" s="2094"/>
    </row>
    <row r="3" spans="1:19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9" s="35" customFormat="1" ht="33.75" customHeight="1" x14ac:dyDescent="0.45">
      <c r="A4" s="2035"/>
      <c r="B4" s="2047"/>
      <c r="C4" s="2048"/>
      <c r="D4" s="421" t="s">
        <v>9</v>
      </c>
      <c r="E4" s="422">
        <f>G4</f>
        <v>44682</v>
      </c>
      <c r="F4" s="422">
        <v>44317</v>
      </c>
      <c r="G4" s="422">
        <v>44682</v>
      </c>
      <c r="H4" s="1061" t="s">
        <v>12</v>
      </c>
      <c r="I4" s="1061" t="s">
        <v>13</v>
      </c>
    </row>
    <row r="5" spans="1:19" ht="20.25" hidden="1" customHeight="1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1062"/>
      <c r="I5" s="1062"/>
    </row>
    <row r="6" spans="1:19" ht="30" customHeight="1" x14ac:dyDescent="0.35">
      <c r="A6" s="372">
        <v>1</v>
      </c>
      <c r="B6" s="2049" t="s">
        <v>290</v>
      </c>
      <c r="C6" s="2049"/>
      <c r="D6" s="304">
        <v>892.85</v>
      </c>
      <c r="E6" s="305">
        <v>157.63</v>
      </c>
      <c r="F6" s="305">
        <f>'APRIL-22'!F6+'MAY-22'!F6</f>
        <v>48.243247056999998</v>
      </c>
      <c r="G6" s="305">
        <f>'APRIL-22'!G6+'MAY-22'!G6</f>
        <v>148.79107340000002</v>
      </c>
      <c r="H6" s="306">
        <f>(G6-E6)/E6*100</f>
        <v>-5.6073885681659457</v>
      </c>
      <c r="I6" s="306">
        <f>(G6-F6)/F6*100</f>
        <v>208.41844709209045</v>
      </c>
      <c r="L6" s="5">
        <v>48.243247056999998</v>
      </c>
      <c r="P6" s="12">
        <v>48.243247056999998</v>
      </c>
    </row>
    <row r="7" spans="1:19" ht="26.25" customHeight="1" x14ac:dyDescent="0.35">
      <c r="A7" s="373">
        <v>2</v>
      </c>
      <c r="B7" s="2050" t="s">
        <v>291</v>
      </c>
      <c r="C7" s="2051"/>
      <c r="D7" s="434">
        <v>322.42</v>
      </c>
      <c r="E7" s="434">
        <v>47.07</v>
      </c>
      <c r="F7" s="434">
        <f>'APRIL-22'!F7+'MAY-22'!F7</f>
        <v>40.18</v>
      </c>
      <c r="G7" s="434">
        <f>'APRIL-22'!G7+'MAY-22'!G7</f>
        <v>54.019999999999996</v>
      </c>
      <c r="H7" s="517">
        <f>(G7-E7)/E7*100</f>
        <v>14.765243254726993</v>
      </c>
      <c r="I7" s="517">
        <f>(G7-F7)/F7*100</f>
        <v>34.444997511199595</v>
      </c>
      <c r="L7" s="5">
        <v>40.184119600000017</v>
      </c>
      <c r="P7" s="12">
        <v>40.184119600000017</v>
      </c>
    </row>
    <row r="8" spans="1:19" ht="32.25" customHeight="1" x14ac:dyDescent="0.35">
      <c r="A8" s="374">
        <v>3</v>
      </c>
      <c r="B8" s="2021" t="s">
        <v>292</v>
      </c>
      <c r="C8" s="2023"/>
      <c r="D8" s="364">
        <v>94.88</v>
      </c>
      <c r="E8" s="305">
        <v>11.96</v>
      </c>
      <c r="F8" s="305">
        <f>'APRIL-22'!F8+'MAY-22'!F8</f>
        <v>9.5765421999999987</v>
      </c>
      <c r="G8" s="305">
        <f>'APRIL-22'!G8+'MAY-22'!G8</f>
        <v>18.168578500000002</v>
      </c>
      <c r="H8" s="306">
        <f>(G8-E8)/E8*100</f>
        <v>51.911191471571918</v>
      </c>
      <c r="I8" s="306">
        <f>(G8-F8)/F8*100</f>
        <v>89.719609860853595</v>
      </c>
      <c r="L8" s="5">
        <v>9.5765422000000004</v>
      </c>
      <c r="P8" s="12">
        <v>9.5765422000000004</v>
      </c>
    </row>
    <row r="9" spans="1:19" ht="34.5" customHeight="1" x14ac:dyDescent="0.35">
      <c r="A9" s="373">
        <v>4</v>
      </c>
      <c r="B9" s="2052" t="s">
        <v>293</v>
      </c>
      <c r="C9" s="2053"/>
      <c r="D9" s="434">
        <v>17.53</v>
      </c>
      <c r="E9" s="434">
        <f>'APRIL-22'!E9+'MAY-22'!E9</f>
        <v>2.9201666666666668</v>
      </c>
      <c r="F9" s="434">
        <f>'APRIL-22'!F9+'MAY-22'!F9</f>
        <v>0.24033260000000001</v>
      </c>
      <c r="G9" s="434">
        <f>'APRIL-22'!G9+'MAY-22'!G9</f>
        <v>1.3084264000000001</v>
      </c>
      <c r="H9" s="517">
        <f>(G9-E9)/E9*100</f>
        <v>-55.193434164716628</v>
      </c>
      <c r="I9" s="517">
        <f>(G9-F9)/F9*100</f>
        <v>444.42318686686707</v>
      </c>
      <c r="L9" s="5">
        <v>0.23748799999999998</v>
      </c>
      <c r="P9" s="12">
        <v>0.23748799999999998</v>
      </c>
    </row>
    <row r="10" spans="1:19" ht="28.5" customHeight="1" x14ac:dyDescent="0.35">
      <c r="A10" s="374">
        <v>5</v>
      </c>
      <c r="B10" s="2054" t="s">
        <v>294</v>
      </c>
      <c r="C10" s="2055"/>
      <c r="D10" s="321">
        <f>SUM(D6:D9)</f>
        <v>1327.68</v>
      </c>
      <c r="E10" s="321">
        <f>SUM(E6:E9)</f>
        <v>219.58016666666666</v>
      </c>
      <c r="F10" s="321">
        <f>SUM(F6:F9)</f>
        <v>98.240121857000005</v>
      </c>
      <c r="G10" s="321">
        <f>SUM(G6:G9)</f>
        <v>222.2880783</v>
      </c>
      <c r="H10" s="306">
        <f>(G10-E10)/E10*100</f>
        <v>1.2332223235097912</v>
      </c>
      <c r="I10" s="306">
        <f>(G10-F10)/F10*100</f>
        <v>126.27015734321493</v>
      </c>
      <c r="P10" s="12">
        <v>98.241396857000026</v>
      </c>
      <c r="S10" s="5">
        <f>195416180+206425016</f>
        <v>401841196</v>
      </c>
    </row>
    <row r="11" spans="1:19" ht="6.7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  <c r="P11" s="12"/>
    </row>
    <row r="12" spans="1:19" ht="23.25" customHeight="1" x14ac:dyDescent="0.35">
      <c r="A12" s="373">
        <v>6.3</v>
      </c>
      <c r="B12" s="2116" t="s">
        <v>250</v>
      </c>
      <c r="C12" s="2116"/>
      <c r="D12" s="332">
        <v>80.319999999999993</v>
      </c>
      <c r="E12" s="305">
        <f>E46+E47</f>
        <v>13.77</v>
      </c>
      <c r="F12" s="305">
        <f>F46+F47+F48</f>
        <v>0.94429600000000002</v>
      </c>
      <c r="G12" s="305">
        <f>G46+G47+G48</f>
        <v>6.1013859999999998</v>
      </c>
      <c r="H12" s="306">
        <f>(G12-E12)/E12*100</f>
        <v>-55.690733478576618</v>
      </c>
      <c r="I12" s="316">
        <f>(G12-F12)/F12*100</f>
        <v>546.13066241941078</v>
      </c>
      <c r="P12" s="12">
        <v>0.94429600000000002</v>
      </c>
    </row>
    <row r="13" spans="1:19" ht="17.649999999999999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L13" s="5">
        <v>9.4</v>
      </c>
      <c r="M13" s="5">
        <v>55.1</v>
      </c>
      <c r="N13" s="5">
        <f>(M13-L13)/L13*100</f>
        <v>486.17021276595744</v>
      </c>
      <c r="P13" s="12"/>
    </row>
    <row r="14" spans="1:19" ht="15" x14ac:dyDescent="0.35">
      <c r="A14" s="2003">
        <v>1</v>
      </c>
      <c r="B14" s="2309" t="s">
        <v>278</v>
      </c>
      <c r="C14" s="2310"/>
      <c r="D14" s="2310"/>
      <c r="E14" s="2310"/>
      <c r="F14" s="2310"/>
      <c r="G14" s="2310"/>
      <c r="H14" s="2310"/>
      <c r="I14" s="2311"/>
      <c r="P14" s="12"/>
    </row>
    <row r="15" spans="1:19" ht="15.4" x14ac:dyDescent="0.4">
      <c r="A15" s="2004"/>
      <c r="B15" s="2006" t="s">
        <v>16</v>
      </c>
      <c r="C15" s="2007"/>
      <c r="D15" s="331" t="s">
        <v>221</v>
      </c>
      <c r="E15" s="773">
        <v>3.4</v>
      </c>
      <c r="F15" s="414">
        <f>'APRIL-22'!F15+'MAY-22'!F15</f>
        <v>7.5634756999999997E-2</v>
      </c>
      <c r="G15" s="414">
        <f>'APRIL-22'!G15+'MAY-22'!G15</f>
        <v>1.4949245</v>
      </c>
      <c r="H15" s="316">
        <f>(G15-E15)/E15*100</f>
        <v>-56.031632352941173</v>
      </c>
      <c r="I15" s="314">
        <f>(G15-F15)/F15*100</f>
        <v>1876.5046643833336</v>
      </c>
      <c r="M15" s="12">
        <v>5.9233388999999997E-2</v>
      </c>
      <c r="N15" s="12">
        <v>1.1935419</v>
      </c>
      <c r="P15" s="12"/>
      <c r="Q15" s="12">
        <f>N15+R15</f>
        <v>1.4374982000000001</v>
      </c>
      <c r="R15" s="5">
        <f>S15/10000000</f>
        <v>0.24395629999999999</v>
      </c>
      <c r="S15" s="5">
        <v>2439563</v>
      </c>
    </row>
    <row r="16" spans="1:19" ht="15.4" x14ac:dyDescent="0.4">
      <c r="A16" s="2004"/>
      <c r="B16" s="2071" t="s">
        <v>15</v>
      </c>
      <c r="C16" s="320" t="s">
        <v>166</v>
      </c>
      <c r="D16" s="2064" t="s">
        <v>221</v>
      </c>
      <c r="E16" s="2065">
        <v>154.22</v>
      </c>
      <c r="F16" s="414">
        <f>'APRIL-22'!F16+'MAY-22'!F16</f>
        <v>6.1047699999999996E-2</v>
      </c>
      <c r="G16" s="414">
        <f>'APRIL-22'!G16+'MAY-22'!G16</f>
        <v>4.3878710000000005</v>
      </c>
      <c r="H16" s="2154">
        <v>-5.01</v>
      </c>
      <c r="I16" s="314">
        <f>(G16-F16)/F16*100</f>
        <v>7087.6106716551176</v>
      </c>
      <c r="K16" s="12">
        <f>((G16+G17)-E16)/E16*100</f>
        <v>-4.489593502788229</v>
      </c>
      <c r="M16" s="12">
        <v>5.1513699999999996E-2</v>
      </c>
      <c r="N16" s="12">
        <v>3.4159056999999997</v>
      </c>
      <c r="P16" s="12"/>
      <c r="Q16" s="12">
        <f>N16+R16</f>
        <v>4.1838842999999999</v>
      </c>
      <c r="R16" s="5">
        <f>S16/10000000</f>
        <v>0.76797859999999996</v>
      </c>
      <c r="S16" s="5">
        <v>7679786</v>
      </c>
    </row>
    <row r="17" spans="1:21" ht="15.75" thickBot="1" x14ac:dyDescent="0.45">
      <c r="A17" s="2005"/>
      <c r="B17" s="2071"/>
      <c r="C17" s="320" t="s">
        <v>228</v>
      </c>
      <c r="D17" s="2064"/>
      <c r="E17" s="2066"/>
      <c r="F17" s="414">
        <f>'APRIL-22'!F17+'MAY-22'!F17</f>
        <v>48.106564599999999</v>
      </c>
      <c r="G17" s="414">
        <f>'APRIL-22'!G17+'MAY-22'!G17</f>
        <v>142.9082779</v>
      </c>
      <c r="H17" s="2155"/>
      <c r="I17" s="314">
        <f>(G17-F17)/F17*100</f>
        <v>197.0660638278045</v>
      </c>
      <c r="K17" s="12"/>
      <c r="M17" s="12">
        <v>42.12</v>
      </c>
      <c r="N17" s="12">
        <v>117.23474039999999</v>
      </c>
      <c r="P17" s="12"/>
      <c r="Q17" s="12">
        <f>N17+R17</f>
        <v>184.74739439999999</v>
      </c>
      <c r="R17" s="5">
        <f>S17/10000000</f>
        <v>67.512653999999998</v>
      </c>
      <c r="S17" s="910">
        <v>675126540</v>
      </c>
      <c r="U17" s="910">
        <v>675126540</v>
      </c>
    </row>
    <row r="18" spans="1:21" ht="21.75" customHeight="1" x14ac:dyDescent="0.35">
      <c r="A18" s="2003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  <c r="P18" s="12"/>
    </row>
    <row r="19" spans="1:21" ht="21" customHeight="1" x14ac:dyDescent="0.35">
      <c r="A19" s="2004"/>
      <c r="B19" s="1069" t="s">
        <v>700</v>
      </c>
      <c r="C19" s="1070">
        <v>44317</v>
      </c>
      <c r="D19" s="1070">
        <v>44682</v>
      </c>
      <c r="E19" s="1069" t="s">
        <v>681</v>
      </c>
      <c r="F19" s="1070">
        <v>44317</v>
      </c>
      <c r="G19" s="1070">
        <v>44682</v>
      </c>
      <c r="H19" s="1071" t="s">
        <v>682</v>
      </c>
      <c r="I19" s="1072" t="s">
        <v>681</v>
      </c>
      <c r="L19" s="5">
        <f>M19+O19</f>
        <v>7.5634589000000002E-2</v>
      </c>
      <c r="M19" s="5">
        <v>5.9233388999999997E-2</v>
      </c>
      <c r="N19" s="5">
        <v>164012</v>
      </c>
      <c r="O19" s="5">
        <f>N19/10000000</f>
        <v>1.6401200000000001E-2</v>
      </c>
      <c r="P19" s="12">
        <v>32.723120300000005</v>
      </c>
    </row>
    <row r="20" spans="1:21" ht="18.75" customHeight="1" x14ac:dyDescent="0.4">
      <c r="A20" s="2004"/>
      <c r="B20" s="1055" t="s">
        <v>231</v>
      </c>
      <c r="C20" s="1090">
        <v>176310</v>
      </c>
      <c r="D20" s="1090">
        <v>231378</v>
      </c>
      <c r="E20" s="314">
        <f>(D20-C20)/C20*100</f>
        <v>31.233622596562871</v>
      </c>
      <c r="F20" s="414">
        <v>32.729999999999997</v>
      </c>
      <c r="G20" s="414">
        <v>32.119999999999997</v>
      </c>
      <c r="H20" s="1060">
        <f>G20/G7*100</f>
        <v>59.45945945945946</v>
      </c>
      <c r="I20" s="314">
        <f>(G20-F20)/F20*100</f>
        <v>-1.8637335777574076</v>
      </c>
      <c r="L20" s="5">
        <f>M20+O20</f>
        <v>6.1047699999999996E-2</v>
      </c>
      <c r="M20" s="5">
        <v>5.1513699999999996E-2</v>
      </c>
      <c r="N20" s="5">
        <v>95340</v>
      </c>
      <c r="O20" s="5">
        <f>N20/10000000</f>
        <v>9.5340000000000008E-3</v>
      </c>
      <c r="P20" s="12">
        <v>1.1282421999999999</v>
      </c>
    </row>
    <row r="21" spans="1:21" ht="18.75" customHeight="1" x14ac:dyDescent="0.45">
      <c r="A21" s="2004"/>
      <c r="B21" s="1055" t="s">
        <v>232</v>
      </c>
      <c r="C21" s="1090">
        <v>15801</v>
      </c>
      <c r="D21" s="1090">
        <v>134268</v>
      </c>
      <c r="E21" s="314">
        <f t="shared" ref="E21:E27" si="0">(D21-C21)/C21*100</f>
        <v>749.74368710841088</v>
      </c>
      <c r="F21" s="414">
        <v>1.1299999999999999</v>
      </c>
      <c r="G21" s="414">
        <v>7.13</v>
      </c>
      <c r="H21" s="1060">
        <f>G21/G7*100</f>
        <v>13.198815253609775</v>
      </c>
      <c r="I21" s="314">
        <f>(G21-F21)/F21*100</f>
        <v>530.97345132743362</v>
      </c>
      <c r="L21" s="5">
        <f>M21+O21</f>
        <v>56.845267699999994</v>
      </c>
      <c r="M21" s="5">
        <v>42.12</v>
      </c>
      <c r="N21" s="755">
        <v>147252677</v>
      </c>
      <c r="O21" s="5">
        <f>N21/10000000</f>
        <v>14.7252677</v>
      </c>
      <c r="P21" s="12">
        <v>4.2531696999999999</v>
      </c>
    </row>
    <row r="22" spans="1:21" ht="18.75" customHeight="1" x14ac:dyDescent="0.4">
      <c r="A22" s="2004"/>
      <c r="B22" s="1055" t="s">
        <v>239</v>
      </c>
      <c r="C22" s="1090">
        <v>38220</v>
      </c>
      <c r="D22" s="1090">
        <v>113148</v>
      </c>
      <c r="E22" s="314">
        <f t="shared" si="0"/>
        <v>196.04395604395603</v>
      </c>
      <c r="F22" s="414">
        <v>4.25</v>
      </c>
      <c r="G22" s="414">
        <v>13.273</v>
      </c>
      <c r="H22" s="1060">
        <f>G22/G7*100</f>
        <v>24.570529433543133</v>
      </c>
      <c r="I22" s="314">
        <f>(G22-F22)/F22*100</f>
        <v>212.30588235294115</v>
      </c>
      <c r="P22" s="12">
        <v>1.7987120000000001</v>
      </c>
    </row>
    <row r="23" spans="1:21" ht="18.75" customHeight="1" x14ac:dyDescent="0.4">
      <c r="A23" s="2004"/>
      <c r="B23" s="1055" t="s">
        <v>233</v>
      </c>
      <c r="C23" s="1090">
        <v>57660</v>
      </c>
      <c r="D23" s="1090">
        <v>42596</v>
      </c>
      <c r="E23" s="314">
        <f t="shared" si="0"/>
        <v>-26.125563648976762</v>
      </c>
      <c r="F23" s="414">
        <v>1.79</v>
      </c>
      <c r="G23" s="414">
        <v>1.446</v>
      </c>
      <c r="H23" s="1060">
        <f>G23/G7*100</f>
        <v>2.6767863754165124</v>
      </c>
      <c r="I23" s="314">
        <f>(G23-F23)/F23*100</f>
        <v>-19.217877094972071</v>
      </c>
      <c r="P23" s="12">
        <v>0</v>
      </c>
    </row>
    <row r="24" spans="1:21" ht="18.75" customHeight="1" x14ac:dyDescent="0.4">
      <c r="A24" s="2004"/>
      <c r="B24" s="1055" t="s">
        <v>234</v>
      </c>
      <c r="C24" s="1090">
        <v>0</v>
      </c>
      <c r="D24" s="1090">
        <v>0</v>
      </c>
      <c r="E24" s="836">
        <v>0</v>
      </c>
      <c r="F24" s="414">
        <v>0</v>
      </c>
      <c r="G24" s="414">
        <v>0</v>
      </c>
      <c r="H24" s="1060">
        <f>G24/G7*100</f>
        <v>0</v>
      </c>
      <c r="I24" s="314">
        <v>0</v>
      </c>
      <c r="P24" s="12">
        <v>0.23711930000000001</v>
      </c>
    </row>
    <row r="25" spans="1:21" ht="18.75" customHeight="1" x14ac:dyDescent="0.4">
      <c r="A25" s="2004"/>
      <c r="B25" s="1055" t="s">
        <v>235</v>
      </c>
      <c r="C25" s="1090">
        <v>1377</v>
      </c>
      <c r="D25" s="1090">
        <v>0</v>
      </c>
      <c r="E25" s="836">
        <v>0</v>
      </c>
      <c r="F25" s="414">
        <v>0.04</v>
      </c>
      <c r="G25" s="414">
        <v>0</v>
      </c>
      <c r="H25" s="1060">
        <f>G25/G7*100</f>
        <v>0</v>
      </c>
      <c r="I25" s="314">
        <f>(G25-F25)/F25*100</f>
        <v>-100</v>
      </c>
      <c r="P25" s="12">
        <v>4.3756100000000006E-2</v>
      </c>
    </row>
    <row r="26" spans="1:21" ht="27" customHeight="1" x14ac:dyDescent="0.4">
      <c r="A26" s="2005"/>
      <c r="B26" s="1056" t="s">
        <v>698</v>
      </c>
      <c r="C26" s="1090">
        <f>121+1329</f>
        <v>1450</v>
      </c>
      <c r="D26" s="1090">
        <v>0</v>
      </c>
      <c r="E26" s="836">
        <v>0</v>
      </c>
      <c r="F26" s="414">
        <v>0.25</v>
      </c>
      <c r="G26" s="414">
        <v>0.05</v>
      </c>
      <c r="H26" s="1060">
        <f>G26/G7*100</f>
        <v>9.2558311736393936E-2</v>
      </c>
      <c r="I26" s="314">
        <f>(G26-F26)/F26*100</f>
        <v>-80</v>
      </c>
      <c r="P26" s="12"/>
    </row>
    <row r="27" spans="1:21" s="26" customFormat="1" ht="19.5" customHeight="1" x14ac:dyDescent="0.4">
      <c r="A27" s="1053"/>
      <c r="B27" s="1063" t="s">
        <v>683</v>
      </c>
      <c r="C27" s="1063">
        <f>SUM(C20:C26)</f>
        <v>290818</v>
      </c>
      <c r="D27" s="1063">
        <f>SUM(D20:D26)</f>
        <v>521390</v>
      </c>
      <c r="E27" s="394">
        <f t="shared" si="0"/>
        <v>79.283950787090205</v>
      </c>
      <c r="F27" s="1054">
        <f>SUM(F20:F26)</f>
        <v>40.19</v>
      </c>
      <c r="G27" s="1054">
        <f>SUM(G20:G26)</f>
        <v>54.018999999999991</v>
      </c>
      <c r="H27" s="1066">
        <f>SUM(H20:H26)</f>
        <v>99.998148833765271</v>
      </c>
      <c r="I27" s="394">
        <f>(G27-F27)/F27*100</f>
        <v>34.409056979348087</v>
      </c>
      <c r="P27" s="848">
        <v>0.43060100000000001</v>
      </c>
    </row>
    <row r="28" spans="1:21" ht="13.9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P28" s="12">
        <v>3.2210006</v>
      </c>
    </row>
    <row r="29" spans="1:21" ht="24" hidden="1" customHeight="1" x14ac:dyDescent="0.35">
      <c r="A29" s="1064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P29" s="12">
        <v>0.16145569999999998</v>
      </c>
    </row>
    <row r="30" spans="1:21" ht="15" x14ac:dyDescent="0.35">
      <c r="A30" s="2014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P30" s="12">
        <v>2.7406E-2</v>
      </c>
    </row>
    <row r="31" spans="1:21" ht="15.4" x14ac:dyDescent="0.4">
      <c r="A31" s="2015"/>
      <c r="B31" s="2006" t="s">
        <v>2</v>
      </c>
      <c r="C31" s="2007"/>
      <c r="D31" s="331">
        <v>12.05</v>
      </c>
      <c r="E31" s="315">
        <f>'APRIL-22'!E31+'MAY-22'!E31</f>
        <v>2.6</v>
      </c>
      <c r="F31" s="315">
        <f>'APRIL-22'!F31+'MAY-22'!F31</f>
        <v>0.43060100000000001</v>
      </c>
      <c r="G31" s="315">
        <f>'APRIL-22'!G31+'MAY-22'!G31</f>
        <v>4.9937865000000006</v>
      </c>
      <c r="H31" s="314">
        <f>(G31-E31)/E31*100</f>
        <v>92.068711538461557</v>
      </c>
      <c r="I31" s="314">
        <f t="shared" ref="I31:I37" si="1">(G31-F31)/F31*100</f>
        <v>1059.7247800167675</v>
      </c>
      <c r="J31" s="5">
        <v>0.43060100000000001</v>
      </c>
      <c r="K31" s="1091">
        <v>10264</v>
      </c>
      <c r="L31" s="1091">
        <v>69053</v>
      </c>
      <c r="P31" s="12">
        <v>3.0467000000000001E-2</v>
      </c>
    </row>
    <row r="32" spans="1:21" ht="15.4" x14ac:dyDescent="0.4">
      <c r="A32" s="2015"/>
      <c r="B32" s="2006" t="s">
        <v>23</v>
      </c>
      <c r="C32" s="2007"/>
      <c r="D32" s="603">
        <v>27.75</v>
      </c>
      <c r="E32" s="315">
        <f>'APRIL-22'!E32+'MAY-22'!E32</f>
        <v>3.49</v>
      </c>
      <c r="F32" s="315">
        <f>'APRIL-22'!F32+'MAY-22'!F32</f>
        <v>3.2210006</v>
      </c>
      <c r="G32" s="315">
        <f>'APRIL-22'!G32+'MAY-22'!G32</f>
        <v>4.9873455</v>
      </c>
      <c r="H32" s="314">
        <f>(G32-E32)/E32*100</f>
        <v>42.903882521489962</v>
      </c>
      <c r="I32" s="314">
        <f t="shared" si="1"/>
        <v>54.838390902504017</v>
      </c>
      <c r="J32" s="5">
        <v>3.2210006</v>
      </c>
      <c r="L32" s="5">
        <v>2.44</v>
      </c>
      <c r="M32" s="313">
        <v>2.2019820000000001</v>
      </c>
      <c r="N32" s="12">
        <f>L32+M32</f>
        <v>4.6419820000000005</v>
      </c>
      <c r="P32" s="12">
        <v>5.6556237999999999</v>
      </c>
      <c r="Q32" s="5">
        <f>0.57+0.26</f>
        <v>0.83</v>
      </c>
      <c r="R32" s="5">
        <v>2.08</v>
      </c>
    </row>
    <row r="33" spans="1:18" ht="15.4" x14ac:dyDescent="0.4">
      <c r="A33" s="2015"/>
      <c r="B33" s="2006" t="s">
        <v>1</v>
      </c>
      <c r="C33" s="2007"/>
      <c r="D33" s="603">
        <v>5.77</v>
      </c>
      <c r="E33" s="315">
        <f>'APRIL-22'!E33+'MAY-22'!E33</f>
        <v>0.83</v>
      </c>
      <c r="F33" s="315">
        <f>'APRIL-22'!F33+'MAY-22'!F33</f>
        <v>0.16145569999999998</v>
      </c>
      <c r="G33" s="315">
        <f>'APRIL-22'!G33+'MAY-22'!G33</f>
        <v>0.22703770000000001</v>
      </c>
      <c r="H33" s="314">
        <f>(G33-E33)/E33*100</f>
        <v>-72.646060240963848</v>
      </c>
      <c r="I33" s="314">
        <f t="shared" si="1"/>
        <v>40.619191518168783</v>
      </c>
      <c r="J33" s="5">
        <v>0.16145569999999998</v>
      </c>
      <c r="L33" s="5">
        <v>0.1</v>
      </c>
      <c r="M33" s="313">
        <v>0.1181508</v>
      </c>
      <c r="N33" s="12">
        <f>L33+M33</f>
        <v>0.21815080000000001</v>
      </c>
      <c r="P33" s="12">
        <v>4.9988099999999994E-2</v>
      </c>
      <c r="R33" s="5">
        <v>1.41</v>
      </c>
    </row>
    <row r="34" spans="1:18" ht="15.4" x14ac:dyDescent="0.4">
      <c r="A34" s="2015"/>
      <c r="B34" s="2006" t="s">
        <v>24</v>
      </c>
      <c r="C34" s="2007"/>
      <c r="D34" s="603" t="s">
        <v>221</v>
      </c>
      <c r="E34" s="315" t="s">
        <v>221</v>
      </c>
      <c r="F34" s="315">
        <f>'APRIL-22'!F34+'MAY-22'!F34</f>
        <v>2.7406E-2</v>
      </c>
      <c r="G34" s="315">
        <f>'APRIL-22'!G34+'MAY-22'!G34</f>
        <v>0.57550000000000001</v>
      </c>
      <c r="H34" s="316" t="s">
        <v>221</v>
      </c>
      <c r="I34" s="314">
        <f t="shared" si="1"/>
        <v>1999.9051302634459</v>
      </c>
      <c r="J34" s="5">
        <v>2.7406E-2</v>
      </c>
      <c r="L34" s="381">
        <v>0.27210800000000002</v>
      </c>
      <c r="M34" s="5">
        <v>0.20868300000000001</v>
      </c>
      <c r="N34" s="12">
        <f>L34+M34</f>
        <v>0.48079100000000002</v>
      </c>
      <c r="P34" s="12"/>
    </row>
    <row r="35" spans="1:18" ht="15.4" x14ac:dyDescent="0.4">
      <c r="A35" s="2015"/>
      <c r="B35" s="2017" t="s">
        <v>25</v>
      </c>
      <c r="C35" s="2030"/>
      <c r="D35" s="603" t="s">
        <v>221</v>
      </c>
      <c r="E35" s="315" t="s">
        <v>221</v>
      </c>
      <c r="F35" s="315">
        <f>'APRIL-22'!F35+'MAY-22'!F35</f>
        <v>3.0467000000000001E-2</v>
      </c>
      <c r="G35" s="315">
        <f>'APRIL-22'!G35+'MAY-22'!G35</f>
        <v>0.1202854</v>
      </c>
      <c r="H35" s="316" t="s">
        <v>221</v>
      </c>
      <c r="I35" s="314">
        <f t="shared" si="1"/>
        <v>294.80552729182392</v>
      </c>
      <c r="J35" s="5">
        <v>3.0467000000000001E-2</v>
      </c>
      <c r="P35" s="12"/>
    </row>
    <row r="36" spans="1:18" ht="15.75" x14ac:dyDescent="0.45">
      <c r="A36" s="2016"/>
      <c r="B36" s="2017" t="s">
        <v>241</v>
      </c>
      <c r="C36" s="2030"/>
      <c r="D36" s="540" t="s">
        <v>221</v>
      </c>
      <c r="E36" s="316" t="s">
        <v>221</v>
      </c>
      <c r="F36" s="315">
        <f>'APRIL-22'!F36+'MAY-22'!F36</f>
        <v>5.6556237999999999</v>
      </c>
      <c r="G36" s="315">
        <f>'APRIL-22'!G36+'MAY-22'!G36</f>
        <v>7.1112244999999996</v>
      </c>
      <c r="H36" s="316" t="s">
        <v>221</v>
      </c>
      <c r="I36" s="314">
        <f t="shared" si="1"/>
        <v>25.737226369264516</v>
      </c>
      <c r="J36" s="5">
        <v>5.6556237999999999</v>
      </c>
      <c r="O36" s="755">
        <v>35117883</v>
      </c>
      <c r="P36" s="12"/>
    </row>
    <row r="37" spans="1:18" x14ac:dyDescent="0.4">
      <c r="A37" s="403"/>
      <c r="B37" s="2006" t="s">
        <v>260</v>
      </c>
      <c r="C37" s="2019"/>
      <c r="D37" s="540" t="s">
        <v>221</v>
      </c>
      <c r="E37" s="316" t="s">
        <v>221</v>
      </c>
      <c r="F37" s="315">
        <f>'APRIL-22'!F37+'MAY-22'!F37</f>
        <v>4.9988099999999994E-2</v>
      </c>
      <c r="G37" s="315">
        <f>'APRIL-22'!G37+'MAY-22'!G37</f>
        <v>0.1533989</v>
      </c>
      <c r="H37" s="413"/>
      <c r="I37" s="314">
        <f t="shared" si="1"/>
        <v>206.87083525879163</v>
      </c>
      <c r="J37" s="5">
        <v>4.9988099999999994E-2</v>
      </c>
      <c r="P37" s="12"/>
    </row>
    <row r="38" spans="1:18" ht="15" x14ac:dyDescent="0.35">
      <c r="A38" s="2020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  <c r="P38" s="12"/>
    </row>
    <row r="39" spans="1:18" ht="15.4" x14ac:dyDescent="0.4">
      <c r="A39" s="2020"/>
      <c r="B39" s="2006" t="s">
        <v>27</v>
      </c>
      <c r="C39" s="2007"/>
      <c r="D39" s="331">
        <v>12.24</v>
      </c>
      <c r="E39" s="315">
        <f>'APRIL-22'!E39+'MAY-22'!E39</f>
        <v>2.04</v>
      </c>
      <c r="F39" s="315">
        <f>'APRIL-22'!F39+'MAY-22'!F39</f>
        <v>0.1761992</v>
      </c>
      <c r="G39" s="315">
        <f>'APRIL-22'!G39+'MAY-22'!G39</f>
        <v>1.0165616</v>
      </c>
      <c r="H39" s="314">
        <f>(G39-E39)/E39*100</f>
        <v>-50.168549019607845</v>
      </c>
      <c r="I39" s="314">
        <f>(G39-F39)/F39*100</f>
        <v>476.93882832612172</v>
      </c>
      <c r="P39" s="12"/>
    </row>
    <row r="40" spans="1:18" ht="15.4" x14ac:dyDescent="0.4">
      <c r="A40" s="2020"/>
      <c r="B40" s="2006" t="s">
        <v>28</v>
      </c>
      <c r="C40" s="2007"/>
      <c r="D40" s="333">
        <v>2.84</v>
      </c>
      <c r="E40" s="315">
        <f>'APRIL-22'!E40+'MAY-22'!E40</f>
        <v>0.47199999999999998</v>
      </c>
      <c r="F40" s="315">
        <f>'APRIL-22'!F40+'MAY-22'!F40</f>
        <v>0</v>
      </c>
      <c r="G40" s="315">
        <f>'APRIL-22'!G40+'MAY-22'!G40</f>
        <v>3.9023799999999997E-2</v>
      </c>
      <c r="H40" s="314">
        <f>(G40-E40)/E40*100</f>
        <v>-91.732245762711855</v>
      </c>
      <c r="I40" s="314">
        <v>0</v>
      </c>
      <c r="P40" s="12"/>
    </row>
    <row r="41" spans="1:18" ht="15.4" x14ac:dyDescent="0.4">
      <c r="A41" s="2020"/>
      <c r="B41" s="378" t="s">
        <v>224</v>
      </c>
      <c r="C41" s="379"/>
      <c r="D41" s="603">
        <v>2.4500000000000002</v>
      </c>
      <c r="E41" s="315">
        <f>'APRIL-22'!E41+'MAY-22'!E41</f>
        <v>0.40833333333333338</v>
      </c>
      <c r="F41" s="315">
        <f>'APRIL-22'!F41+'MAY-22'!F41</f>
        <v>4.6281999999999998E-3</v>
      </c>
      <c r="G41" s="315">
        <f>'APRIL-22'!G41+'MAY-22'!G41</f>
        <v>3.2181599999999998E-2</v>
      </c>
      <c r="H41" s="314">
        <f>(G41-E41)/E41*100</f>
        <v>-92.118791836734701</v>
      </c>
      <c r="I41" s="314">
        <f>(G41-F41)/F41*100</f>
        <v>595.33728015211102</v>
      </c>
      <c r="P41" s="12"/>
    </row>
    <row r="42" spans="1:18" ht="15.4" x14ac:dyDescent="0.4">
      <c r="A42" s="2020"/>
      <c r="B42" s="2006" t="s">
        <v>64</v>
      </c>
      <c r="C42" s="2007"/>
      <c r="D42" s="540" t="s">
        <v>221</v>
      </c>
      <c r="E42" s="315" t="s">
        <v>221</v>
      </c>
      <c r="F42" s="315">
        <f>'APRIL-22'!F42+'MAY-22'!F42</f>
        <v>0</v>
      </c>
      <c r="G42" s="315">
        <f>'APRIL-22'!G42+'MAY-22'!G42</f>
        <v>0</v>
      </c>
      <c r="H42" s="314" t="s">
        <v>221</v>
      </c>
      <c r="I42" s="314">
        <v>0</v>
      </c>
      <c r="P42" s="12">
        <v>0.18489800000000001</v>
      </c>
    </row>
    <row r="43" spans="1:18" ht="15.4" x14ac:dyDescent="0.4">
      <c r="A43" s="2020"/>
      <c r="B43" s="2006" t="s">
        <v>4</v>
      </c>
      <c r="C43" s="2007"/>
      <c r="D43" s="540" t="s">
        <v>221</v>
      </c>
      <c r="E43" s="315" t="s">
        <v>221</v>
      </c>
      <c r="F43" s="315">
        <f>'APRIL-22'!F43+'MAY-22'!F43</f>
        <v>0</v>
      </c>
      <c r="G43" s="315">
        <f>'APRIL-22'!G43+'MAY-22'!G43</f>
        <v>1.9599999999999999E-2</v>
      </c>
      <c r="H43" s="314" t="s">
        <v>221</v>
      </c>
      <c r="I43" s="314">
        <v>0</v>
      </c>
      <c r="P43" s="12">
        <v>5.6901999999999994E-2</v>
      </c>
    </row>
    <row r="44" spans="1:18" x14ac:dyDescent="0.4">
      <c r="A44" s="373"/>
      <c r="B44" s="2006" t="s">
        <v>259</v>
      </c>
      <c r="C44" s="2019"/>
      <c r="D44" s="540" t="s">
        <v>221</v>
      </c>
      <c r="E44" s="315" t="s">
        <v>221</v>
      </c>
      <c r="F44" s="315">
        <f>'APRIL-22'!F44+'MAY-22'!F44</f>
        <v>5.9505199999999994E-2</v>
      </c>
      <c r="G44" s="315">
        <f>'APRIL-22'!G44+'MAY-22'!G44</f>
        <v>0.2010594</v>
      </c>
      <c r="H44" s="407" t="s">
        <v>221</v>
      </c>
      <c r="I44" s="314">
        <f>(G44-F44)/F44*100</f>
        <v>237.88542850036643</v>
      </c>
      <c r="O44" s="5">
        <f>140527/10000000</f>
        <v>1.40527E-2</v>
      </c>
      <c r="P44" s="12">
        <v>0.70249600000000001</v>
      </c>
    </row>
    <row r="45" spans="1:18" ht="15" x14ac:dyDescent="0.35">
      <c r="A45" s="2020"/>
      <c r="B45" s="2309" t="s">
        <v>419</v>
      </c>
      <c r="C45" s="2310"/>
      <c r="D45" s="2310"/>
      <c r="E45" s="2310"/>
      <c r="F45" s="2310"/>
      <c r="G45" s="2310"/>
      <c r="H45" s="2310"/>
      <c r="I45" s="2311"/>
      <c r="P45" s="12"/>
    </row>
    <row r="46" spans="1:18" ht="15.4" x14ac:dyDescent="0.4">
      <c r="A46" s="2020"/>
      <c r="B46" s="2006" t="s">
        <v>16</v>
      </c>
      <c r="C46" s="2007"/>
      <c r="D46" s="603" t="s">
        <v>221</v>
      </c>
      <c r="E46" s="315">
        <f>'APRIL-22'!E46+'MAY-22'!E46</f>
        <v>5.76</v>
      </c>
      <c r="F46" s="315">
        <f>'APRIL-22'!F46+'MAY-22'!F46</f>
        <v>0.18489800000000001</v>
      </c>
      <c r="G46" s="315">
        <f>'APRIL-22'!G46+'MAY-22'!G46</f>
        <v>2.4993080000000001</v>
      </c>
      <c r="H46" s="316">
        <f>(G46-E46)/E46*100</f>
        <v>-56.609236111111102</v>
      </c>
      <c r="I46" s="314">
        <f>(G46-F46)/F46*100</f>
        <v>1251.7225713636708</v>
      </c>
      <c r="L46" s="12"/>
      <c r="M46" s="5">
        <f>N46/1000000</f>
        <v>0.53212400000000004</v>
      </c>
      <c r="N46" s="5">
        <v>532124</v>
      </c>
      <c r="P46" s="12">
        <v>0.309</v>
      </c>
    </row>
    <row r="47" spans="1:18" ht="15.4" x14ac:dyDescent="0.4">
      <c r="A47" s="2020"/>
      <c r="B47" s="2069" t="s">
        <v>15</v>
      </c>
      <c r="C47" s="320" t="s">
        <v>166</v>
      </c>
      <c r="D47" s="2162" t="s">
        <v>221</v>
      </c>
      <c r="E47" s="2154">
        <v>8.01</v>
      </c>
      <c r="F47" s="315">
        <f>'APRIL-22'!F47+'MAY-22'!F47</f>
        <v>5.6901999999999994E-2</v>
      </c>
      <c r="G47" s="315">
        <f>'APRIL-22'!G47+'MAY-22'!G47</f>
        <v>1.2866930000000001</v>
      </c>
      <c r="H47" s="2027">
        <v>-57.6</v>
      </c>
      <c r="I47" s="314">
        <f>(G47-F47)/F47*100</f>
        <v>2161.2438930090334</v>
      </c>
      <c r="K47" s="5">
        <f>((G47+G48)-E47)/E47*100</f>
        <v>-55.030237203495624</v>
      </c>
      <c r="L47" s="12"/>
      <c r="M47" s="5">
        <f>N47/1000000</f>
        <v>0.17244799999999999</v>
      </c>
      <c r="N47" s="5">
        <v>172448</v>
      </c>
      <c r="P47" s="12">
        <v>1.24</v>
      </c>
    </row>
    <row r="48" spans="1:18" ht="15.75" thickBot="1" x14ac:dyDescent="0.45">
      <c r="A48" s="2020"/>
      <c r="B48" s="2070"/>
      <c r="C48" s="320" t="s">
        <v>228</v>
      </c>
      <c r="D48" s="2163"/>
      <c r="E48" s="2155"/>
      <c r="F48" s="315">
        <f>'APRIL-22'!F48+'MAY-22'!F48</f>
        <v>0.70249600000000001</v>
      </c>
      <c r="G48" s="315">
        <f>'APRIL-22'!G48+'MAY-22'!G48</f>
        <v>2.315385</v>
      </c>
      <c r="H48" s="2029"/>
      <c r="I48" s="314">
        <f>(G48-F48)/F48*100</f>
        <v>229.59404751059083</v>
      </c>
      <c r="K48" s="910">
        <v>260340</v>
      </c>
      <c r="M48" s="5">
        <f>N48/1000000</f>
        <v>1.061477</v>
      </c>
      <c r="N48" s="824">
        <v>1061477</v>
      </c>
      <c r="P48" s="12">
        <v>1.5489999999999999</v>
      </c>
    </row>
    <row r="49" spans="1:13" ht="15" x14ac:dyDescent="0.35">
      <c r="A49" s="2020">
        <v>6</v>
      </c>
      <c r="B49" s="2309" t="s">
        <v>695</v>
      </c>
      <c r="C49" s="2310"/>
      <c r="D49" s="2310"/>
      <c r="E49" s="2310"/>
      <c r="F49" s="2310"/>
      <c r="G49" s="2310"/>
      <c r="H49" s="2310"/>
      <c r="I49" s="2311"/>
    </row>
    <row r="50" spans="1:13" ht="15.4" x14ac:dyDescent="0.4">
      <c r="A50" s="2020"/>
      <c r="B50" s="2006" t="s">
        <v>36</v>
      </c>
      <c r="C50" s="2007"/>
      <c r="D50" s="303" t="s">
        <v>221</v>
      </c>
      <c r="E50" s="2024" t="s">
        <v>221</v>
      </c>
      <c r="F50" s="313">
        <v>124.95</v>
      </c>
      <c r="G50" s="313">
        <v>138.88999999999999</v>
      </c>
      <c r="H50" s="2027" t="s">
        <v>221</v>
      </c>
      <c r="I50" s="314">
        <f>(G50-F50)/F50*100</f>
        <v>11.156462585034001</v>
      </c>
    </row>
    <row r="51" spans="1:13" ht="16.5" x14ac:dyDescent="0.55000000000000004">
      <c r="A51" s="2020"/>
      <c r="B51" s="2006" t="s">
        <v>37</v>
      </c>
      <c r="C51" s="2007"/>
      <c r="D51" s="303" t="s">
        <v>221</v>
      </c>
      <c r="E51" s="2025"/>
      <c r="F51" s="313">
        <v>30.94</v>
      </c>
      <c r="G51" s="313">
        <v>42.12</v>
      </c>
      <c r="H51" s="2028"/>
      <c r="I51" s="314">
        <f>(G51-F51)/F51*100</f>
        <v>36.13445378151259</v>
      </c>
      <c r="L51" s="5">
        <f>M51/1000000</f>
        <v>2.2457129999999998</v>
      </c>
      <c r="M51" s="755">
        <v>2245713</v>
      </c>
    </row>
    <row r="52" spans="1:13" ht="15.4" x14ac:dyDescent="0.4">
      <c r="A52" s="2020"/>
      <c r="B52" s="2006" t="s">
        <v>38</v>
      </c>
      <c r="C52" s="2007"/>
      <c r="D52" s="303" t="s">
        <v>221</v>
      </c>
      <c r="E52" s="2026"/>
      <c r="F52" s="313">
        <f>SUM(F50:F51)</f>
        <v>155.89000000000001</v>
      </c>
      <c r="G52" s="313">
        <f>SUM(G50:G51)</f>
        <v>181.01</v>
      </c>
      <c r="H52" s="2029"/>
      <c r="I52" s="314">
        <f>(G52-F52)/F52*100</f>
        <v>16.113926486625168</v>
      </c>
    </row>
    <row r="54" spans="1:13" ht="17.25" thickBot="1" x14ac:dyDescent="0.6">
      <c r="F54" s="755"/>
      <c r="G54" s="910"/>
    </row>
    <row r="55" spans="1:13" x14ac:dyDescent="0.35">
      <c r="F55" s="5">
        <f>21.2+10.7+23.2</f>
        <v>55.099999999999994</v>
      </c>
    </row>
  </sheetData>
  <mergeCells count="60">
    <mergeCell ref="A49:A52"/>
    <mergeCell ref="B49:I49"/>
    <mergeCell ref="B50:C50"/>
    <mergeCell ref="E50:E52"/>
    <mergeCell ref="H50:H52"/>
    <mergeCell ref="B51:C51"/>
    <mergeCell ref="B52:C52"/>
    <mergeCell ref="B44:C44"/>
    <mergeCell ref="A45:A48"/>
    <mergeCell ref="B45:I45"/>
    <mergeCell ref="B46:C46"/>
    <mergeCell ref="B47:B48"/>
    <mergeCell ref="D47:D48"/>
    <mergeCell ref="E47:E48"/>
    <mergeCell ref="H47:H48"/>
    <mergeCell ref="B37:C37"/>
    <mergeCell ref="A38:A43"/>
    <mergeCell ref="B38:I38"/>
    <mergeCell ref="B39:C39"/>
    <mergeCell ref="B40:C40"/>
    <mergeCell ref="B42:C42"/>
    <mergeCell ref="B43:C43"/>
    <mergeCell ref="H28:I28"/>
    <mergeCell ref="A30:A36"/>
    <mergeCell ref="B30:I30"/>
    <mergeCell ref="B31:C31"/>
    <mergeCell ref="B32:C32"/>
    <mergeCell ref="B33:C33"/>
    <mergeCell ref="B34:C34"/>
    <mergeCell ref="B35:C35"/>
    <mergeCell ref="B36:C36"/>
    <mergeCell ref="A18:A26"/>
    <mergeCell ref="C18:E18"/>
    <mergeCell ref="F18:G18"/>
    <mergeCell ref="B28:C29"/>
    <mergeCell ref="D28:E28"/>
    <mergeCell ref="F28:G28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D5:E5"/>
    <mergeCell ref="B6:C6"/>
    <mergeCell ref="B7:C7"/>
    <mergeCell ref="B8:C8"/>
    <mergeCell ref="B9:C9"/>
    <mergeCell ref="B10:C10"/>
  </mergeCells>
  <pageMargins left="0.2" right="0.2" top="0.75" bottom="0.3" header="0.3" footer="0.3"/>
  <pageSetup paperSize="9" scale="41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pageSetUpPr fitToPage="1"/>
  </sheetPr>
  <dimension ref="E3:Q31"/>
  <sheetViews>
    <sheetView topLeftCell="A17" workbookViewId="0">
      <selection activeCell="S12" sqref="S12"/>
    </sheetView>
  </sheetViews>
  <sheetFormatPr defaultRowHeight="14.25" x14ac:dyDescent="0.45"/>
  <cols>
    <col min="5" max="5" width="12.3984375" customWidth="1"/>
    <col min="6" max="6" width="14" customWidth="1"/>
    <col min="7" max="7" width="11.86328125" customWidth="1"/>
    <col min="8" max="8" width="14.86328125" customWidth="1"/>
    <col min="9" max="9" width="11.73046875" customWidth="1"/>
    <col min="10" max="10" width="12.73046875" customWidth="1"/>
  </cols>
  <sheetData>
    <row r="3" spans="5:17" x14ac:dyDescent="0.45">
      <c r="E3" s="1102" t="s">
        <v>83</v>
      </c>
      <c r="F3" s="1104" t="s">
        <v>715</v>
      </c>
      <c r="G3" s="1101" t="str">
        <f>I3</f>
        <v>% VARI TGT</v>
      </c>
      <c r="H3" s="1101">
        <v>44317</v>
      </c>
      <c r="I3" s="1101" t="s">
        <v>614</v>
      </c>
      <c r="J3" s="1101" t="s">
        <v>671</v>
      </c>
    </row>
    <row r="4" spans="5:17" ht="21.75" customHeight="1" x14ac:dyDescent="0.45">
      <c r="E4" s="1102" t="s">
        <v>94</v>
      </c>
      <c r="F4" s="1103">
        <v>3.4</v>
      </c>
      <c r="G4" s="1103">
        <v>7.5634756999999997E-2</v>
      </c>
      <c r="H4" s="1103">
        <v>1.245239478</v>
      </c>
      <c r="I4" s="1103">
        <v>-63.375309470588235</v>
      </c>
      <c r="J4" s="1103">
        <v>1546.3852432288504</v>
      </c>
    </row>
    <row r="5" spans="5:17" ht="21" customHeight="1" x14ac:dyDescent="0.45">
      <c r="E5" s="2316" t="s">
        <v>544</v>
      </c>
      <c r="F5" s="2318">
        <v>154.22</v>
      </c>
      <c r="G5" s="1103">
        <v>6.1047699999999996E-2</v>
      </c>
      <c r="H5" s="1103">
        <v>3.5905258899999999</v>
      </c>
      <c r="I5" s="2318">
        <v>-5.01</v>
      </c>
      <c r="J5" s="1103">
        <v>5781.5088692940108</v>
      </c>
    </row>
    <row r="6" spans="5:17" ht="26.25" customHeight="1" x14ac:dyDescent="0.45">
      <c r="E6" s="2316"/>
      <c r="F6" s="2318"/>
      <c r="G6" s="1103">
        <v>48.106564599999999</v>
      </c>
      <c r="H6" s="1103">
        <v>142.9082779</v>
      </c>
      <c r="I6" s="2318"/>
      <c r="J6" s="1103">
        <v>197.0660638278045</v>
      </c>
    </row>
    <row r="7" spans="5:17" ht="22.5" customHeight="1" x14ac:dyDescent="0.45">
      <c r="E7" s="1102" t="s">
        <v>63</v>
      </c>
      <c r="F7" s="1103">
        <f>SUM(F4:F6)</f>
        <v>157.62</v>
      </c>
      <c r="G7" s="1103">
        <f>SUM(G4:G6)</f>
        <v>48.243247056999998</v>
      </c>
      <c r="H7" s="1103">
        <f>SUM(H4:H6)</f>
        <v>147.74404326800001</v>
      </c>
      <c r="I7" s="1102">
        <f>(H7-F7)/F7*100</f>
        <v>-6.2656748712092316</v>
      </c>
      <c r="J7" s="1102">
        <f>(H7-G7)/G7*100</f>
        <v>206.24813270433185</v>
      </c>
    </row>
    <row r="10" spans="5:17" x14ac:dyDescent="0.45">
      <c r="E10" s="1102" t="s">
        <v>83</v>
      </c>
      <c r="F10" s="1104" t="s">
        <v>715</v>
      </c>
      <c r="G10" s="1101" t="str">
        <f>I10</f>
        <v>% VARI TGT</v>
      </c>
      <c r="H10" s="1101">
        <v>44317</v>
      </c>
      <c r="I10" s="1101" t="s">
        <v>614</v>
      </c>
      <c r="J10" s="1101" t="s">
        <v>671</v>
      </c>
    </row>
    <row r="11" spans="5:17" x14ac:dyDescent="0.45">
      <c r="E11" s="1102" t="s">
        <v>94</v>
      </c>
      <c r="F11" s="1103">
        <v>1.18</v>
      </c>
      <c r="G11" s="1105">
        <v>3.1675099999999998E-2</v>
      </c>
      <c r="H11" s="1103">
        <v>0.55899140000000003</v>
      </c>
      <c r="I11" s="1103">
        <v>-63.375309470588235</v>
      </c>
      <c r="J11" s="1103">
        <v>1546.3852432288504</v>
      </c>
    </row>
    <row r="12" spans="5:17" x14ac:dyDescent="0.45">
      <c r="E12" s="2316" t="s">
        <v>544</v>
      </c>
      <c r="F12" s="2318">
        <v>52.76</v>
      </c>
      <c r="G12" s="1105">
        <v>3.1282999999999998E-2</v>
      </c>
      <c r="H12" s="1103">
        <v>1.8937816000000001</v>
      </c>
      <c r="I12" s="2318">
        <v>-5.01</v>
      </c>
      <c r="J12" s="1103">
        <v>5781.5088692940108</v>
      </c>
    </row>
    <row r="13" spans="5:17" x14ac:dyDescent="0.45">
      <c r="E13" s="2316"/>
      <c r="F13" s="2318"/>
      <c r="G13" s="1103"/>
      <c r="H13" s="1103">
        <v>44.78</v>
      </c>
      <c r="I13" s="2318"/>
      <c r="J13" s="1103">
        <v>197.0660638278045</v>
      </c>
    </row>
    <row r="14" spans="5:17" x14ac:dyDescent="0.45">
      <c r="E14" s="1102" t="s">
        <v>63</v>
      </c>
      <c r="F14" s="1103">
        <f>SUM(F11:F13)</f>
        <v>53.94</v>
      </c>
      <c r="G14" s="1103">
        <f>SUM(G11:G13)</f>
        <v>6.2958099999999989E-2</v>
      </c>
      <c r="H14" s="1103">
        <f>SUM(H11:H13)</f>
        <v>47.232773000000002</v>
      </c>
      <c r="I14" s="1102">
        <f>(H14-F14)/F14*100</f>
        <v>-12.434606970708186</v>
      </c>
      <c r="J14" s="1102">
        <f>(H14-G14)/G14*100</f>
        <v>74922.551506478121</v>
      </c>
      <c r="Q14" s="755">
        <v>669963100</v>
      </c>
    </row>
    <row r="15" spans="5:17" x14ac:dyDescent="0.45">
      <c r="Q15">
        <f>Q14/10000000</f>
        <v>66.996309999999994</v>
      </c>
    </row>
    <row r="16" spans="5:17" ht="20.25" x14ac:dyDescent="0.45">
      <c r="E16" s="2320" t="s">
        <v>716</v>
      </c>
      <c r="F16" s="2320"/>
      <c r="G16" s="2320"/>
      <c r="H16" s="2320"/>
      <c r="I16" s="2320"/>
      <c r="J16" s="2320"/>
    </row>
    <row r="17" spans="5:17" ht="20.25" x14ac:dyDescent="0.45">
      <c r="E17" s="1110"/>
      <c r="F17" s="1110"/>
      <c r="G17" s="1110"/>
      <c r="H17" s="1110"/>
      <c r="I17" s="1110"/>
      <c r="J17" s="1111" t="s">
        <v>717</v>
      </c>
    </row>
    <row r="18" spans="5:17" ht="39.75" customHeight="1" x14ac:dyDescent="0.45">
      <c r="E18" s="1102" t="s">
        <v>83</v>
      </c>
      <c r="F18" s="1109" t="s">
        <v>715</v>
      </c>
      <c r="G18" s="1101" t="s">
        <v>712</v>
      </c>
      <c r="H18" s="1101" t="s">
        <v>711</v>
      </c>
      <c r="I18" s="1101" t="s">
        <v>614</v>
      </c>
      <c r="J18" s="1101" t="s">
        <v>671</v>
      </c>
    </row>
    <row r="19" spans="5:17" ht="39.75" customHeight="1" x14ac:dyDescent="0.45">
      <c r="E19" s="1102" t="s">
        <v>94</v>
      </c>
      <c r="F19" s="1108">
        <v>4.59</v>
      </c>
      <c r="G19" s="1105">
        <f>G4+G11</f>
        <v>0.10730985699999999</v>
      </c>
      <c r="H19" s="1105">
        <f>H4+H11</f>
        <v>1.804230878</v>
      </c>
      <c r="I19" s="1103">
        <f>(H19-F19)/F19*100</f>
        <v>-60.692137734204785</v>
      </c>
      <c r="J19" s="1103">
        <f>(H19-G19)/G19*100</f>
        <v>1581.3281915006189</v>
      </c>
      <c r="M19" s="216">
        <f>G20+G21</f>
        <v>67.0823307</v>
      </c>
      <c r="N19" s="216">
        <f>H20+H21</f>
        <v>193.17258538999999</v>
      </c>
      <c r="P19">
        <f>(N19-F20)/F20*100</f>
        <v>-6.6799104396135291</v>
      </c>
      <c r="Q19">
        <f>(N19-M19)/M19*100</f>
        <v>187.96343742719719</v>
      </c>
    </row>
    <row r="20" spans="5:17" ht="39.75" customHeight="1" x14ac:dyDescent="0.45">
      <c r="E20" s="2316" t="s">
        <v>544</v>
      </c>
      <c r="F20" s="2317">
        <v>207</v>
      </c>
      <c r="G20" s="1105">
        <f>G5+G12</f>
        <v>9.2330699999999988E-2</v>
      </c>
      <c r="H20" s="1105">
        <f>H5+H12</f>
        <v>5.48430749</v>
      </c>
      <c r="I20" s="2318">
        <v>-6.67</v>
      </c>
      <c r="J20" s="1103">
        <f>(H20-G20)/G20*100</f>
        <v>5839.8526059046462</v>
      </c>
    </row>
    <row r="21" spans="5:17" ht="39.75" customHeight="1" x14ac:dyDescent="0.45">
      <c r="E21" s="2316"/>
      <c r="F21" s="2317"/>
      <c r="G21" s="1105">
        <v>66.989999999999995</v>
      </c>
      <c r="H21" s="1105">
        <f>H6+H13</f>
        <v>187.6882779</v>
      </c>
      <c r="I21" s="2318"/>
      <c r="J21" s="1103">
        <f>(H21-G21)/G21*100</f>
        <v>180.17357501119574</v>
      </c>
    </row>
    <row r="22" spans="5:17" ht="39.75" customHeight="1" x14ac:dyDescent="0.45">
      <c r="E22" s="1106" t="s">
        <v>63</v>
      </c>
      <c r="F22" s="1107">
        <f>SUM(F19:F21)</f>
        <v>211.59</v>
      </c>
      <c r="G22" s="1108">
        <f>SUM(G19:G21)</f>
        <v>67.18964055699999</v>
      </c>
      <c r="H22" s="1107">
        <f>SUM(H19:H21)</f>
        <v>194.97681626799999</v>
      </c>
      <c r="I22" s="1107">
        <f>(H22-F22)/F22*100</f>
        <v>-7.851592103596583</v>
      </c>
      <c r="J22" s="1108">
        <f>(H22-G22)/G22*100</f>
        <v>190.18880686315384</v>
      </c>
    </row>
    <row r="25" spans="5:17" ht="37.5" customHeight="1" x14ac:dyDescent="0.45">
      <c r="E25" s="2320" t="s">
        <v>716</v>
      </c>
      <c r="F25" s="2320"/>
      <c r="G25" s="2320"/>
      <c r="H25" s="2320"/>
      <c r="I25" s="2320"/>
      <c r="J25" s="2320"/>
    </row>
    <row r="26" spans="5:17" ht="20.25" x14ac:dyDescent="0.45">
      <c r="E26" s="1110"/>
      <c r="F26" s="1110"/>
      <c r="G26" s="1110"/>
      <c r="H26" s="1110"/>
      <c r="I26" s="2319" t="s">
        <v>718</v>
      </c>
      <c r="J26" s="2319"/>
    </row>
    <row r="27" spans="5:17" ht="37.5" customHeight="1" x14ac:dyDescent="0.45">
      <c r="E27" s="1102" t="s">
        <v>83</v>
      </c>
      <c r="F27" s="1109" t="s">
        <v>715</v>
      </c>
      <c r="G27" s="1101" t="s">
        <v>712</v>
      </c>
      <c r="H27" s="1101" t="s">
        <v>711</v>
      </c>
      <c r="I27" s="1101" t="s">
        <v>614</v>
      </c>
      <c r="J27" s="1101" t="s">
        <v>671</v>
      </c>
    </row>
    <row r="28" spans="5:17" ht="37.5" customHeight="1" x14ac:dyDescent="0.45">
      <c r="E28" s="1102" t="s">
        <v>94</v>
      </c>
      <c r="F28" s="1108">
        <v>7.77</v>
      </c>
      <c r="G28" s="1105">
        <v>0.261272</v>
      </c>
      <c r="H28" s="1105">
        <v>3.0279180000000001</v>
      </c>
      <c r="I28" s="1103">
        <f>(H28-F28)/F28*100</f>
        <v>-61.030656370656381</v>
      </c>
      <c r="J28" s="1103">
        <f>(H28-G28)/G28*100</f>
        <v>1058.9140818763588</v>
      </c>
    </row>
    <row r="29" spans="5:17" ht="37.5" customHeight="1" x14ac:dyDescent="0.45">
      <c r="E29" s="2316" t="s">
        <v>544</v>
      </c>
      <c r="F29" s="2317">
        <v>10.55</v>
      </c>
      <c r="G29" s="1105">
        <v>9.2958999999999986E-2</v>
      </c>
      <c r="H29" s="1105">
        <v>1.592754</v>
      </c>
      <c r="I29" s="2318">
        <v>-56</v>
      </c>
      <c r="J29" s="1103">
        <f>(H29-G29)/G29*100</f>
        <v>1613.3940769586595</v>
      </c>
      <c r="L29" s="229">
        <f>G29+G30</f>
        <v>1.102959</v>
      </c>
      <c r="M29" s="229">
        <f>H29+H30</f>
        <v>4.5981389999999998</v>
      </c>
      <c r="O29">
        <f>(M29-F29)/F29*100</f>
        <v>-56.415744075829387</v>
      </c>
    </row>
    <row r="30" spans="5:17" ht="37.5" customHeight="1" x14ac:dyDescent="0.45">
      <c r="E30" s="2316"/>
      <c r="F30" s="2317"/>
      <c r="G30" s="1105">
        <v>1.01</v>
      </c>
      <c r="H30" s="1105">
        <v>3.005385</v>
      </c>
      <c r="I30" s="2318"/>
      <c r="J30" s="1103">
        <f>(H30-G30)/G30*100</f>
        <v>197.5628712871287</v>
      </c>
    </row>
    <row r="31" spans="5:17" ht="37.5" customHeight="1" x14ac:dyDescent="0.45">
      <c r="E31" s="1106" t="s">
        <v>63</v>
      </c>
      <c r="F31" s="1107">
        <f>SUM(F28:F30)</f>
        <v>18.32</v>
      </c>
      <c r="G31" s="1107">
        <f>SUM(G28:G30)</f>
        <v>1.364231</v>
      </c>
      <c r="H31" s="1107">
        <f>SUM(H28:H30)</f>
        <v>7.6260569999999994</v>
      </c>
      <c r="I31" s="1103">
        <f>(H31-F31)/F31*100</f>
        <v>-58.373051310043664</v>
      </c>
      <c r="J31" s="1103">
        <f>(H31-G31)/G31*100</f>
        <v>459.00041855081719</v>
      </c>
    </row>
  </sheetData>
  <mergeCells count="15">
    <mergeCell ref="E29:E30"/>
    <mergeCell ref="F29:F30"/>
    <mergeCell ref="I29:I30"/>
    <mergeCell ref="I26:J26"/>
    <mergeCell ref="F5:F6"/>
    <mergeCell ref="E5:E6"/>
    <mergeCell ref="I5:I6"/>
    <mergeCell ref="E12:E13"/>
    <mergeCell ref="F12:F13"/>
    <mergeCell ref="I12:I13"/>
    <mergeCell ref="E20:E21"/>
    <mergeCell ref="F20:F21"/>
    <mergeCell ref="I20:I21"/>
    <mergeCell ref="E16:J16"/>
    <mergeCell ref="E25:J25"/>
  </mergeCells>
  <pageMargins left="0.33" right="0.27" top="0.75" bottom="0.75" header="0.3" footer="0.3"/>
  <pageSetup paperSize="9" scale="54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A1:Z67"/>
  <sheetViews>
    <sheetView zoomScale="90" zoomScaleNormal="90" workbookViewId="0">
      <selection activeCell="M26" sqref="M26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2.265625" style="5" bestFit="1" customWidth="1"/>
    <col min="4" max="4" width="11.3984375" style="84" bestFit="1" customWidth="1"/>
    <col min="5" max="5" width="10.1328125" style="35" customWidth="1"/>
    <col min="6" max="6" width="12.73046875" style="5" customWidth="1"/>
    <col min="7" max="7" width="14" style="5" customWidth="1"/>
    <col min="8" max="8" width="10.86328125" style="11" customWidth="1"/>
    <col min="9" max="9" width="11.59765625" style="82" customWidth="1"/>
    <col min="10" max="10" width="9.1328125" style="5"/>
    <col min="11" max="11" width="12.3984375" style="5" bestFit="1" customWidth="1"/>
    <col min="12" max="12" width="9.1328125" style="5"/>
    <col min="13" max="13" width="9.265625" style="5" bestFit="1" customWidth="1"/>
    <col min="14" max="14" width="9.59765625" style="5" bestFit="1" customWidth="1"/>
    <col min="15" max="18" width="9.1328125" style="5"/>
    <col min="19" max="19" width="11.265625" style="5" bestFit="1" customWidth="1"/>
    <col min="20" max="20" width="9.1328125" style="5"/>
    <col min="21" max="21" width="14.86328125" style="5" bestFit="1" customWidth="1"/>
    <col min="22" max="16384" width="9.1328125" style="5"/>
  </cols>
  <sheetData>
    <row r="1" spans="1:23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23" s="301" customFormat="1" ht="21.75" customHeight="1" thickBot="1" x14ac:dyDescent="0.5">
      <c r="A2" s="2092" t="s">
        <v>727</v>
      </c>
      <c r="B2" s="2093"/>
      <c r="C2" s="2093"/>
      <c r="D2" s="2093"/>
      <c r="E2" s="2093"/>
      <c r="F2" s="2093"/>
      <c r="G2" s="2093"/>
      <c r="H2" s="2093"/>
      <c r="I2" s="2094"/>
    </row>
    <row r="3" spans="1:23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23" s="35" customFormat="1" ht="33.75" customHeight="1" thickBot="1" x14ac:dyDescent="0.5">
      <c r="A4" s="2035"/>
      <c r="B4" s="2047"/>
      <c r="C4" s="2048"/>
      <c r="D4" s="421" t="s">
        <v>9</v>
      </c>
      <c r="E4" s="1057" t="str">
        <f>G4</f>
        <v>UPTO
 JUNE-22</v>
      </c>
      <c r="F4" s="1057" t="s">
        <v>719</v>
      </c>
      <c r="G4" s="1057" t="s">
        <v>728</v>
      </c>
      <c r="H4" s="1061" t="s">
        <v>12</v>
      </c>
      <c r="I4" s="1061" t="s">
        <v>13</v>
      </c>
      <c r="S4" s="910">
        <v>447836918</v>
      </c>
    </row>
    <row r="5" spans="1:23" ht="20.25" hidden="1" customHeight="1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1062"/>
      <c r="I5" s="1062"/>
    </row>
    <row r="6" spans="1:23" ht="30" customHeight="1" x14ac:dyDescent="0.35">
      <c r="A6" s="372">
        <v>1</v>
      </c>
      <c r="B6" s="2049" t="s">
        <v>290</v>
      </c>
      <c r="C6" s="2049"/>
      <c r="D6" s="304">
        <v>908.2</v>
      </c>
      <c r="E6" s="305">
        <v>242.82999999999998</v>
      </c>
      <c r="F6" s="305">
        <f>'UPTO MAY-22'!F6+'JUNE-22'!F6</f>
        <v>78.762040256999995</v>
      </c>
      <c r="G6" s="305">
        <f>'UPTO MAY-22'!G6+'JUNE-22'!G6</f>
        <v>226.5349564</v>
      </c>
      <c r="H6" s="306">
        <f>(G6-E6)/E6*100</f>
        <v>-6.7104738294279889</v>
      </c>
      <c r="I6" s="306">
        <f>(G6-F6)/F6*100</f>
        <v>187.61946193981009</v>
      </c>
      <c r="L6" s="5">
        <v>48.243247056999998</v>
      </c>
      <c r="P6" s="12">
        <v>48.243247056999998</v>
      </c>
      <c r="S6" s="5">
        <f>S4/10000000</f>
        <v>44.7836918</v>
      </c>
    </row>
    <row r="7" spans="1:23" ht="26.25" customHeight="1" x14ac:dyDescent="0.35">
      <c r="A7" s="373">
        <v>2</v>
      </c>
      <c r="B7" s="2050" t="s">
        <v>291</v>
      </c>
      <c r="C7" s="2051"/>
      <c r="D7" s="434">
        <v>322.42</v>
      </c>
      <c r="E7" s="434">
        <v>63.35</v>
      </c>
      <c r="F7" s="305">
        <f>'UPTO MAY-22'!F7+'JUNE-22'!F7</f>
        <v>54.065429799999997</v>
      </c>
      <c r="G7" s="305">
        <f>'UPTO MAY-22'!G7+'JUNE-22'!G7</f>
        <v>89.2772066</v>
      </c>
      <c r="H7" s="517">
        <f>(G7-E7)/E7*100</f>
        <v>40.926924388318859</v>
      </c>
      <c r="I7" s="517">
        <f>(G7-F7)/F7*100</f>
        <v>65.12808079073109</v>
      </c>
      <c r="L7" s="5">
        <v>40.184119600000017</v>
      </c>
      <c r="P7" s="12">
        <v>40.184119600000017</v>
      </c>
    </row>
    <row r="8" spans="1:23" ht="32.25" customHeight="1" x14ac:dyDescent="0.35">
      <c r="A8" s="374">
        <v>3</v>
      </c>
      <c r="B8" s="2021" t="s">
        <v>292</v>
      </c>
      <c r="C8" s="2023"/>
      <c r="D8" s="364">
        <v>94.88</v>
      </c>
      <c r="E8" s="305">
        <v>16.489999999999998</v>
      </c>
      <c r="F8" s="305">
        <f>'UPTO MAY-22'!F8+'JUNE-22'!F8</f>
        <v>13.123884199999999</v>
      </c>
      <c r="G8" s="305">
        <f>'UPTO MAY-22'!G8+'JUNE-22'!G8</f>
        <v>29.808701200000002</v>
      </c>
      <c r="H8" s="306">
        <f>(G8-E8)/E8*100</f>
        <v>80.768351728320226</v>
      </c>
      <c r="I8" s="306">
        <f>(G8-F8)/F8*100</f>
        <v>127.13322325718177</v>
      </c>
      <c r="L8" s="5">
        <v>9.5765422000000004</v>
      </c>
      <c r="P8" s="12">
        <v>9.5765422000000004</v>
      </c>
    </row>
    <row r="9" spans="1:23" ht="34.5" customHeight="1" x14ac:dyDescent="0.35">
      <c r="A9" s="373">
        <v>4</v>
      </c>
      <c r="B9" s="2052" t="s">
        <v>293</v>
      </c>
      <c r="C9" s="2053"/>
      <c r="D9" s="434">
        <v>17.53</v>
      </c>
      <c r="E9" s="434">
        <v>4.3804999999999996</v>
      </c>
      <c r="F9" s="305">
        <f>'UPTO MAY-22'!F9+'JUNE-22'!F9</f>
        <v>0.81160480000000002</v>
      </c>
      <c r="G9" s="305">
        <f>'UPTO MAY-22'!G9+'JUNE-22'!G9</f>
        <v>2.4500032000000003</v>
      </c>
      <c r="H9" s="517">
        <f>(G9-E9)/E9*100</f>
        <v>-44.070238557242313</v>
      </c>
      <c r="I9" s="517">
        <f>(G9-F9)/F9*100</f>
        <v>201.87145270703181</v>
      </c>
      <c r="L9" s="5">
        <v>0.23748799999999998</v>
      </c>
      <c r="P9" s="12">
        <v>0.23748799999999998</v>
      </c>
    </row>
    <row r="10" spans="1:23" ht="28.5" customHeight="1" x14ac:dyDescent="0.35">
      <c r="A10" s="374">
        <v>5</v>
      </c>
      <c r="B10" s="2054" t="s">
        <v>294</v>
      </c>
      <c r="C10" s="2055"/>
      <c r="D10" s="321">
        <f>SUM(D6:D9)</f>
        <v>1343.03</v>
      </c>
      <c r="E10" s="321">
        <f>SUM(E6:E9)</f>
        <v>327.0505</v>
      </c>
      <c r="F10" s="321">
        <f>SUM(F6:F9)</f>
        <v>146.76295905699999</v>
      </c>
      <c r="G10" s="321">
        <f>SUM(G6:G9)</f>
        <v>348.07086740000005</v>
      </c>
      <c r="H10" s="306">
        <f>(G10-E10)/E10*100</f>
        <v>6.4272543231091381</v>
      </c>
      <c r="I10" s="306">
        <f>(G10-F10)/F10*100</f>
        <v>137.1653376549977</v>
      </c>
      <c r="P10" s="12">
        <v>98.241396857000026</v>
      </c>
      <c r="S10" s="5">
        <f>195416180+206425016</f>
        <v>401841196</v>
      </c>
    </row>
    <row r="11" spans="1:23" ht="6.7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  <c r="P11" s="12"/>
    </row>
    <row r="12" spans="1:23" ht="23.25" customHeight="1" x14ac:dyDescent="0.35">
      <c r="A12" s="373">
        <v>6.3</v>
      </c>
      <c r="B12" s="2116" t="s">
        <v>250</v>
      </c>
      <c r="C12" s="2116"/>
      <c r="D12" s="332">
        <v>80.319999999999993</v>
      </c>
      <c r="E12" s="305">
        <f>'target FY 22-23'!M65</f>
        <v>20.96</v>
      </c>
      <c r="F12" s="305">
        <f>F46+F47+F48</f>
        <v>1.634585</v>
      </c>
      <c r="G12" s="305">
        <f>G46+G47+G48</f>
        <v>9.4104960000000002</v>
      </c>
      <c r="H12" s="306">
        <f>(G12-E12)/E12*100</f>
        <v>-55.102595419847333</v>
      </c>
      <c r="I12" s="316">
        <f>(G12-F12)/F12*100</f>
        <v>475.71163322800595</v>
      </c>
      <c r="P12" s="12">
        <v>0.94429600000000002</v>
      </c>
    </row>
    <row r="13" spans="1:23" ht="17.649999999999999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L13" s="5">
        <v>9.4</v>
      </c>
      <c r="M13" s="5">
        <v>55.1</v>
      </c>
      <c r="N13" s="5">
        <f>(M13-L13)/L13*100</f>
        <v>486.17021276595744</v>
      </c>
      <c r="P13" s="12"/>
    </row>
    <row r="14" spans="1:23" ht="15" x14ac:dyDescent="0.35">
      <c r="A14" s="2003">
        <v>1</v>
      </c>
      <c r="B14" s="2309" t="s">
        <v>278</v>
      </c>
      <c r="C14" s="2310"/>
      <c r="D14" s="2310"/>
      <c r="E14" s="2310"/>
      <c r="F14" s="2310"/>
      <c r="G14" s="2310"/>
      <c r="H14" s="2310"/>
      <c r="I14" s="2311"/>
      <c r="P14" s="12"/>
    </row>
    <row r="15" spans="1:23" ht="15.4" x14ac:dyDescent="0.4">
      <c r="A15" s="2004"/>
      <c r="B15" s="2006" t="s">
        <v>16</v>
      </c>
      <c r="C15" s="2007"/>
      <c r="D15" s="331" t="s">
        <v>221</v>
      </c>
      <c r="E15" s="773">
        <f>'target FY 22-23'!K38</f>
        <v>5.2700000000000005</v>
      </c>
      <c r="F15" s="414">
        <f>'UPTO MAY-22'!F15+'JUNE-22'!F15</f>
        <v>0.132729457</v>
      </c>
      <c r="G15" s="414">
        <f>'UPTO MAY-22'!G15+'JUNE-22'!G15</f>
        <v>2.3580461000000001</v>
      </c>
      <c r="H15" s="316">
        <f>(G15-E15)/E15*100</f>
        <v>-55.255292220113851</v>
      </c>
      <c r="I15" s="314">
        <f>(G15-F15)/F15*100</f>
        <v>1676.5808384193122</v>
      </c>
      <c r="M15" s="12">
        <v>5.9233388999999997E-2</v>
      </c>
      <c r="N15" s="12">
        <v>1.1935419</v>
      </c>
      <c r="P15" s="12"/>
      <c r="Q15" s="12">
        <f>N15+R15</f>
        <v>1.4374982000000001</v>
      </c>
      <c r="R15" s="5">
        <f>S15/10000000</f>
        <v>0.24395629999999999</v>
      </c>
      <c r="S15" s="5">
        <v>2439563</v>
      </c>
      <c r="U15" s="491">
        <v>0.132729457</v>
      </c>
      <c r="V15" s="172">
        <v>1.804230878</v>
      </c>
      <c r="W15" s="5">
        <f>1656777/10000000</f>
        <v>0.16567770000000001</v>
      </c>
    </row>
    <row r="16" spans="1:23" ht="15.4" x14ac:dyDescent="0.4">
      <c r="A16" s="2004"/>
      <c r="B16" s="2071" t="s">
        <v>15</v>
      </c>
      <c r="C16" s="320" t="s">
        <v>166</v>
      </c>
      <c r="D16" s="2064" t="s">
        <v>221</v>
      </c>
      <c r="E16" s="2065">
        <f>'target FY 22-23'!L38</f>
        <v>237.56</v>
      </c>
      <c r="F16" s="414">
        <f>'UPTO MAY-22'!F16+'JUNE-22'!F16</f>
        <v>0.10553889999999999</v>
      </c>
      <c r="G16" s="414">
        <f>'UPTO MAY-22'!G16+'JUNE-22'!G16</f>
        <v>7.5239390000000004</v>
      </c>
      <c r="H16" s="2154">
        <v>-5.9</v>
      </c>
      <c r="I16" s="314">
        <f>(G16-F16)/F16*100</f>
        <v>7029.0671022722436</v>
      </c>
      <c r="K16" s="12">
        <f>F16+F17</f>
        <v>78.629310799999999</v>
      </c>
      <c r="L16" s="12">
        <f>G16+G17</f>
        <v>224.1769103</v>
      </c>
      <c r="M16" s="12">
        <v>5.1513700000000003E-2</v>
      </c>
      <c r="N16" s="12">
        <v>3.4159056999999997</v>
      </c>
      <c r="O16" s="5">
        <f>(L16-K16)/K16*100</f>
        <v>185.10603491134759</v>
      </c>
      <c r="P16" s="12"/>
      <c r="Q16" s="12">
        <f>N16+R16</f>
        <v>4.1838842999999999</v>
      </c>
      <c r="R16" s="5">
        <f>S16/10000000</f>
        <v>0.76797859999999996</v>
      </c>
      <c r="S16" s="5">
        <v>7679786</v>
      </c>
      <c r="U16" s="491">
        <v>0.10553889999999999</v>
      </c>
      <c r="V16" s="172">
        <v>5.48430749</v>
      </c>
      <c r="W16" s="5">
        <f>5326033/10000000</f>
        <v>0.5326033</v>
      </c>
    </row>
    <row r="17" spans="1:26" ht="16.149999999999999" thickBot="1" x14ac:dyDescent="0.5">
      <c r="A17" s="2005"/>
      <c r="B17" s="2071"/>
      <c r="C17" s="320" t="s">
        <v>228</v>
      </c>
      <c r="D17" s="2064"/>
      <c r="E17" s="2066"/>
      <c r="F17" s="414">
        <f>'UPTO MAY-22'!F17+'JUNE-22'!F17</f>
        <v>78.5237719</v>
      </c>
      <c r="G17" s="414">
        <f>'UPTO MAY-22'!G17+'JUNE-22'!G17</f>
        <v>216.65297129999999</v>
      </c>
      <c r="H17" s="2155"/>
      <c r="I17" s="314">
        <f>(G17-F17)/F17*100</f>
        <v>175.90749407186846</v>
      </c>
      <c r="K17" s="12"/>
      <c r="M17" s="12">
        <v>42.12</v>
      </c>
      <c r="N17" s="12">
        <v>117.23474039999999</v>
      </c>
      <c r="P17" s="12"/>
      <c r="Q17" s="12">
        <f>N17+R17</f>
        <v>184.74739439999999</v>
      </c>
      <c r="R17" s="5">
        <f>S17/10000000</f>
        <v>67.512653999999998</v>
      </c>
      <c r="S17" s="910">
        <v>675126540</v>
      </c>
      <c r="U17" s="1113">
        <v>78.5237719</v>
      </c>
      <c r="V17" s="172">
        <v>187.6882779</v>
      </c>
      <c r="W17" s="755">
        <f>2061542299/10000000</f>
        <v>206.15422989999999</v>
      </c>
    </row>
    <row r="18" spans="1:26" ht="21.75" customHeight="1" x14ac:dyDescent="0.35">
      <c r="A18" s="2003">
        <v>2</v>
      </c>
      <c r="B18" s="1067" t="s">
        <v>678</v>
      </c>
      <c r="C18" s="2312" t="s">
        <v>680</v>
      </c>
      <c r="D18" s="2312"/>
      <c r="E18" s="2312"/>
      <c r="F18" s="2321" t="s">
        <v>684</v>
      </c>
      <c r="G18" s="2322"/>
      <c r="H18" s="2322"/>
      <c r="I18" s="2323"/>
      <c r="P18" s="12"/>
      <c r="U18" s="491"/>
    </row>
    <row r="19" spans="1:26" ht="27" customHeight="1" x14ac:dyDescent="0.35">
      <c r="A19" s="2004"/>
      <c r="B19" s="1069" t="s">
        <v>700</v>
      </c>
      <c r="C19" s="1098" t="str">
        <f>F4</f>
        <v xml:space="preserve"> JUNE-21</v>
      </c>
      <c r="D19" s="1098" t="str">
        <f>G4</f>
        <v>UPTO
 JUNE-22</v>
      </c>
      <c r="E19" s="1069" t="s">
        <v>681</v>
      </c>
      <c r="F19" s="1098" t="str">
        <f>F4</f>
        <v xml:space="preserve"> JUNE-21</v>
      </c>
      <c r="G19" s="1098" t="str">
        <f>G4</f>
        <v>UPTO
 JUNE-22</v>
      </c>
      <c r="H19" s="1071" t="s">
        <v>682</v>
      </c>
      <c r="I19" s="1072" t="s">
        <v>681</v>
      </c>
      <c r="L19" s="5">
        <f>M19+O19</f>
        <v>7.5634589000000002E-2</v>
      </c>
      <c r="M19" s="5">
        <v>5.9233388999999997E-2</v>
      </c>
      <c r="N19" s="5">
        <v>164012</v>
      </c>
      <c r="O19" s="5">
        <f>N19/10000000</f>
        <v>1.6401200000000001E-2</v>
      </c>
      <c r="P19" s="12">
        <v>32.723120300000005</v>
      </c>
      <c r="U19" s="491">
        <v>43.219942100000004</v>
      </c>
    </row>
    <row r="20" spans="1:26" ht="18.75" customHeight="1" x14ac:dyDescent="0.4">
      <c r="A20" s="2004"/>
      <c r="B20" s="1055" t="s">
        <v>231</v>
      </c>
      <c r="C20" s="1090">
        <f>'UPTO MAY-22'!C20+'JUNE-22'!C20</f>
        <v>248112</v>
      </c>
      <c r="D20" s="1090">
        <f>'UPTO MAY-22'!D20+'JUNE-22'!D20</f>
        <v>380454</v>
      </c>
      <c r="E20" s="314">
        <f>(D20-C20)/C20*100</f>
        <v>53.3396208164055</v>
      </c>
      <c r="F20" s="414">
        <f>'UPTO MAY-22'!F20+'JUNE-22'!F20</f>
        <v>43.226821799999996</v>
      </c>
      <c r="G20" s="414">
        <f>'UPTO MAY-22'!G20+'JUNE-22'!G20</f>
        <v>55.863210999999993</v>
      </c>
      <c r="H20" s="1060">
        <f>G20/G7*100</f>
        <v>62.572758632884906</v>
      </c>
      <c r="I20" s="314">
        <f>(G20-F20)/F20*100</f>
        <v>29.232751041622951</v>
      </c>
      <c r="L20" s="5">
        <f>M20+O20</f>
        <v>6.1047699999999996E-2</v>
      </c>
      <c r="M20" s="5">
        <v>5.1513699999999996E-2</v>
      </c>
      <c r="N20" s="5">
        <v>95340</v>
      </c>
      <c r="O20" s="5">
        <f>N20/10000000</f>
        <v>9.5340000000000008E-3</v>
      </c>
      <c r="P20" s="12">
        <v>1.1282421999999999</v>
      </c>
      <c r="U20" s="491">
        <v>1.307318</v>
      </c>
    </row>
    <row r="21" spans="1:26" ht="18.75" customHeight="1" x14ac:dyDescent="0.45">
      <c r="A21" s="2004"/>
      <c r="B21" s="1055" t="s">
        <v>232</v>
      </c>
      <c r="C21" s="1090">
        <f>'UPTO MAY-22'!C21+'JUNE-22'!C21</f>
        <v>18415</v>
      </c>
      <c r="D21" s="1090">
        <f>'UPTO MAY-22'!D21+'JUNE-22'!D21</f>
        <v>191149</v>
      </c>
      <c r="E21" s="314">
        <f t="shared" ref="E21:E27" si="0">(D21-C21)/C21*100</f>
        <v>938.00705946239486</v>
      </c>
      <c r="F21" s="414">
        <f>'UPTO MAY-22'!F21+'JUNE-22'!F21</f>
        <v>1.3090758</v>
      </c>
      <c r="G21" s="414">
        <f>'UPTO MAY-22'!G21+'JUNE-22'!G21</f>
        <v>11.097490199999999</v>
      </c>
      <c r="H21" s="1060">
        <f>G21/G7*100</f>
        <v>12.430373465560468</v>
      </c>
      <c r="I21" s="314">
        <f>(G21-F21)/F21*100</f>
        <v>747.73473010500982</v>
      </c>
      <c r="L21" s="5">
        <f>M21+O21</f>
        <v>56.845267699999994</v>
      </c>
      <c r="M21" s="5">
        <v>42.12</v>
      </c>
      <c r="N21" s="755">
        <v>147252677</v>
      </c>
      <c r="O21" s="5">
        <f>N21/10000000</f>
        <v>14.7252677</v>
      </c>
      <c r="P21" s="12">
        <v>4.2531696999999999</v>
      </c>
      <c r="U21" s="491">
        <v>6.5635463000000005</v>
      </c>
    </row>
    <row r="22" spans="1:26" ht="18.75" customHeight="1" x14ac:dyDescent="0.4">
      <c r="A22" s="2004"/>
      <c r="B22" s="1055" t="s">
        <v>239</v>
      </c>
      <c r="C22" s="1090">
        <f>'UPTO MAY-22'!C22+'JUNE-22'!C22</f>
        <v>58800</v>
      </c>
      <c r="D22" s="1090">
        <f>'UPTO MAY-22'!D22+'JUNE-22'!D22</f>
        <v>171839</v>
      </c>
      <c r="E22" s="314">
        <f t="shared" si="0"/>
        <v>192.24319727891157</v>
      </c>
      <c r="F22" s="414">
        <f>'UPTO MAY-22'!F22+'JUNE-22'!F22</f>
        <v>6.5603765999999997</v>
      </c>
      <c r="G22" s="414">
        <f>'UPTO MAY-22'!G22+'JUNE-22'!G22</f>
        <v>20.183634599999998</v>
      </c>
      <c r="H22" s="1060">
        <f>G22/G7*100</f>
        <v>22.60782496301805</v>
      </c>
      <c r="I22" s="314">
        <f>(G22-F22)/F22*100</f>
        <v>207.65969441449442</v>
      </c>
      <c r="P22" s="12">
        <v>1.7987120000000001</v>
      </c>
      <c r="U22" s="491">
        <v>2.6978676000000004</v>
      </c>
    </row>
    <row r="23" spans="1:26" ht="18.75" customHeight="1" x14ac:dyDescent="0.4">
      <c r="A23" s="2004"/>
      <c r="B23" s="1055" t="s">
        <v>233</v>
      </c>
      <c r="C23" s="1090">
        <f>'UPTO MAY-22'!C23+'JUNE-22'!C23</f>
        <v>85250</v>
      </c>
      <c r="D23" s="1090">
        <f>'UPTO MAY-22'!D23+'JUNE-22'!D23</f>
        <v>59274</v>
      </c>
      <c r="E23" s="314">
        <f t="shared" si="0"/>
        <v>-30.470381231671556</v>
      </c>
      <c r="F23" s="414">
        <f>'UPTO MAY-22'!F23+'JUNE-22'!F23</f>
        <v>2.6891556000000003</v>
      </c>
      <c r="G23" s="414">
        <f>'UPTO MAY-22'!G23+'JUNE-22'!G23</f>
        <v>2.0590007999999997</v>
      </c>
      <c r="H23" s="1060">
        <f>G23/G7*100</f>
        <v>2.3063006543486542</v>
      </c>
      <c r="I23" s="314">
        <f>(G23-F23)/F23*100</f>
        <v>-23.433184751376992</v>
      </c>
      <c r="P23" s="12">
        <v>0</v>
      </c>
      <c r="U23" s="491">
        <v>0</v>
      </c>
    </row>
    <row r="24" spans="1:26" ht="18.75" customHeight="1" x14ac:dyDescent="0.4">
      <c r="A24" s="2004"/>
      <c r="B24" s="1055" t="s">
        <v>234</v>
      </c>
      <c r="C24" s="1090">
        <f>'UPTO MAY-22'!C24+'JUNE-22'!C24</f>
        <v>0</v>
      </c>
      <c r="D24" s="1090">
        <f>'UPTO MAY-22'!D24+'JUNE-22'!D24</f>
        <v>0</v>
      </c>
      <c r="E24" s="836">
        <v>0</v>
      </c>
      <c r="F24" s="414">
        <f>'UPTO MAY-22'!F24+'JUNE-22'!F24</f>
        <v>0</v>
      </c>
      <c r="G24" s="414">
        <f>'UPTO MAY-22'!G24+'JUNE-22'!G24</f>
        <v>0</v>
      </c>
      <c r="H24" s="1060">
        <f>G24/G7*100</f>
        <v>0</v>
      </c>
      <c r="I24" s="314">
        <v>0</v>
      </c>
      <c r="P24" s="12">
        <v>0.23711930000000001</v>
      </c>
      <c r="U24" s="491">
        <v>0.23711930000000001</v>
      </c>
    </row>
    <row r="25" spans="1:26" ht="18.75" customHeight="1" x14ac:dyDescent="0.4">
      <c r="A25" s="2004"/>
      <c r="B25" s="1055" t="s">
        <v>235</v>
      </c>
      <c r="C25" s="1090">
        <f>'UPTO MAY-22'!C25+'JUNE-22'!C25</f>
        <v>1377</v>
      </c>
      <c r="D25" s="1090">
        <f>'UPTO MAY-22'!D25+'JUNE-22'!D25</f>
        <v>0</v>
      </c>
      <c r="E25" s="836">
        <v>0</v>
      </c>
      <c r="F25" s="414">
        <f>'UPTO MAY-22'!F25+'JUNE-22'!F25</f>
        <v>0.04</v>
      </c>
      <c r="G25" s="414">
        <f>'UPTO MAY-22'!G25+'JUNE-22'!G25</f>
        <v>0</v>
      </c>
      <c r="H25" s="1060">
        <f>G25/G7*100</f>
        <v>0</v>
      </c>
      <c r="I25" s="314">
        <f>(G25-F25)/F25*100</f>
        <v>-100</v>
      </c>
      <c r="P25" s="12">
        <v>4.3756100000000006E-2</v>
      </c>
      <c r="U25" s="491">
        <v>4.3756100000000006E-2</v>
      </c>
    </row>
    <row r="26" spans="1:26" ht="27" customHeight="1" x14ac:dyDescent="0.4">
      <c r="A26" s="2005"/>
      <c r="B26" s="1056" t="s">
        <v>698</v>
      </c>
      <c r="C26" s="1090">
        <f>'UPTO MAY-22'!C26+'JUNE-22'!C26</f>
        <v>1450</v>
      </c>
      <c r="D26" s="1090">
        <f>'UPTO MAY-22'!D26+'JUNE-22'!D26</f>
        <v>0</v>
      </c>
      <c r="E26" s="836">
        <v>0</v>
      </c>
      <c r="F26" s="414">
        <f>'UPTO MAY-22'!F26+'JUNE-22'!F26</f>
        <v>0.25</v>
      </c>
      <c r="G26" s="414">
        <f>'UPTO MAY-22'!G26+'JUNE-22'!G26</f>
        <v>7.2870000000000004E-2</v>
      </c>
      <c r="H26" s="1060">
        <f>G26/G7*100</f>
        <v>8.1622177457330983E-2</v>
      </c>
      <c r="I26" s="314">
        <f>(G26-F26)/F26*100</f>
        <v>-70.852000000000004</v>
      </c>
      <c r="P26" s="12"/>
      <c r="U26" s="491"/>
    </row>
    <row r="27" spans="1:26" s="26" customFormat="1" ht="19.5" customHeight="1" x14ac:dyDescent="0.4">
      <c r="A27" s="1053"/>
      <c r="B27" s="1063" t="s">
        <v>683</v>
      </c>
      <c r="C27" s="1063">
        <f>SUM(C20:C26)</f>
        <v>413404</v>
      </c>
      <c r="D27" s="1063">
        <f>SUM(D20:D26)</f>
        <v>802716</v>
      </c>
      <c r="E27" s="394">
        <f t="shared" si="0"/>
        <v>94.172286673568721</v>
      </c>
      <c r="F27" s="1054">
        <f>SUM(F20:F26)</f>
        <v>54.075429799999995</v>
      </c>
      <c r="G27" s="1054">
        <f>SUM(G20:G26)</f>
        <v>89.276206599999995</v>
      </c>
      <c r="H27" s="1066">
        <f>SUM(H20:H26)</f>
        <v>99.998879893269418</v>
      </c>
      <c r="I27" s="394">
        <f>(G27-F27)/F27*100</f>
        <v>65.095694902826281</v>
      </c>
      <c r="P27" s="848">
        <v>0.43060100000000001</v>
      </c>
      <c r="U27" s="1114">
        <v>0.72435640000000001</v>
      </c>
      <c r="X27" s="26">
        <v>24550</v>
      </c>
      <c r="Y27" s="26">
        <v>1.59</v>
      </c>
      <c r="Z27" s="848">
        <f>Y27+G31</f>
        <v>8.6334750000000007</v>
      </c>
    </row>
    <row r="28" spans="1:26" ht="13.9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P28" s="12">
        <v>3.2210006</v>
      </c>
      <c r="U28" s="491">
        <v>5.1668341</v>
      </c>
    </row>
    <row r="29" spans="1:26" ht="24" hidden="1" customHeight="1" x14ac:dyDescent="0.35">
      <c r="A29" s="1064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P29" s="12">
        <v>0.16145569999999998</v>
      </c>
      <c r="U29" s="491">
        <v>0.24362499999999998</v>
      </c>
    </row>
    <row r="30" spans="1:26" ht="15" x14ac:dyDescent="0.35">
      <c r="A30" s="2014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P30" s="12">
        <v>2.7406E-2</v>
      </c>
      <c r="S30" s="5">
        <f>248+240+160</f>
        <v>648</v>
      </c>
      <c r="U30" s="491">
        <v>5.2905999999999995E-2</v>
      </c>
      <c r="V30" s="491">
        <v>0.77550000000000008</v>
      </c>
      <c r="W30" s="5">
        <f>568050/10000000</f>
        <v>5.6805000000000001E-2</v>
      </c>
      <c r="X30" s="12">
        <f>V30+W30</f>
        <v>0.83230500000000007</v>
      </c>
    </row>
    <row r="31" spans="1:26" ht="15.4" x14ac:dyDescent="0.4">
      <c r="A31" s="2015"/>
      <c r="B31" s="2006" t="s">
        <v>2</v>
      </c>
      <c r="C31" s="2007"/>
      <c r="D31" s="331">
        <v>12.05</v>
      </c>
      <c r="E31" s="315">
        <f>'target FY 22-23'!AE39</f>
        <v>11.904838709677421</v>
      </c>
      <c r="F31" s="315">
        <f>'UPTO MAY-22'!F31+'JUNE-22'!F31</f>
        <v>0.72435640000000001</v>
      </c>
      <c r="G31" s="315">
        <f>'UPTO MAY-22'!G31+'JUNE-22'!G31</f>
        <v>7.0434750000000008</v>
      </c>
      <c r="H31" s="314">
        <f>(G31-E31)/E31*100</f>
        <v>-40.83519170844059</v>
      </c>
      <c r="I31" s="314">
        <f t="shared" ref="I31:I37" si="1">(G31-F31)/F31*100</f>
        <v>872.3769956336414</v>
      </c>
      <c r="J31" s="5">
        <v>0.43060100000000001</v>
      </c>
      <c r="K31" s="1091">
        <v>10264</v>
      </c>
      <c r="L31" s="1091">
        <v>69053</v>
      </c>
      <c r="P31" s="12">
        <v>3.0467000000000001E-2</v>
      </c>
      <c r="U31" s="491">
        <v>3.0467000000000001E-2</v>
      </c>
      <c r="V31" s="491">
        <v>0.61028539999999998</v>
      </c>
      <c r="W31" s="5">
        <f>4967585/10000000</f>
        <v>0.49675849999999999</v>
      </c>
      <c r="X31" s="12">
        <f>V31+W31</f>
        <v>1.1070438999999999</v>
      </c>
    </row>
    <row r="32" spans="1:26" ht="15.4" x14ac:dyDescent="0.4">
      <c r="A32" s="2015"/>
      <c r="B32" s="2006" t="s">
        <v>23</v>
      </c>
      <c r="C32" s="2007"/>
      <c r="D32" s="603">
        <v>27.75</v>
      </c>
      <c r="E32" s="315">
        <f>'target FY 22-23'!V38</f>
        <v>5.6</v>
      </c>
      <c r="F32" s="315">
        <f>'UPTO MAY-22'!F32+'JUNE-22'!F32</f>
        <v>5.1668341</v>
      </c>
      <c r="G32" s="315">
        <f>'UPTO MAY-22'!G32+'JUNE-22'!G32</f>
        <v>7.4795778999999998</v>
      </c>
      <c r="H32" s="314">
        <f>(G32-E32)/E32*100</f>
        <v>33.563891071428579</v>
      </c>
      <c r="I32" s="314">
        <f t="shared" si="1"/>
        <v>44.761332669845153</v>
      </c>
      <c r="J32" s="5">
        <v>3.2210006</v>
      </c>
      <c r="L32" s="5">
        <v>2.44</v>
      </c>
      <c r="M32" s="313">
        <v>2.2019820000000001</v>
      </c>
      <c r="N32" s="12">
        <f>L32+M32</f>
        <v>4.6419820000000005</v>
      </c>
      <c r="P32" s="12">
        <v>5.6556237999999999</v>
      </c>
      <c r="Q32" s="5">
        <f>0.57+0.26</f>
        <v>0.83</v>
      </c>
      <c r="R32" s="5">
        <v>2.08</v>
      </c>
      <c r="U32" s="491">
        <v>6.8190016</v>
      </c>
      <c r="V32" s="491">
        <v>9.2912245000000002</v>
      </c>
      <c r="X32" s="12">
        <f>V32+W32</f>
        <v>9.2912245000000002</v>
      </c>
    </row>
    <row r="33" spans="1:24" ht="15.4" x14ac:dyDescent="0.4">
      <c r="A33" s="2015"/>
      <c r="B33" s="2006" t="s">
        <v>1</v>
      </c>
      <c r="C33" s="2007"/>
      <c r="D33" s="603">
        <v>5.77</v>
      </c>
      <c r="E33" s="315">
        <f>'target FY 22-23'!W38</f>
        <v>1.24</v>
      </c>
      <c r="F33" s="315">
        <f>'UPTO MAY-22'!F33+'JUNE-22'!F33</f>
        <v>0.24362499999999998</v>
      </c>
      <c r="G33" s="315">
        <f>'UPTO MAY-22'!G33+'JUNE-22'!G33</f>
        <v>0.31876599999999999</v>
      </c>
      <c r="H33" s="314">
        <f>(G33-E33)/E33*100</f>
        <v>-74.293064516129036</v>
      </c>
      <c r="I33" s="314">
        <f t="shared" si="1"/>
        <v>30.842893791688052</v>
      </c>
      <c r="J33" s="5">
        <v>0.16145569999999998</v>
      </c>
      <c r="L33" s="5">
        <v>0.1</v>
      </c>
      <c r="M33" s="313">
        <v>0.1181508</v>
      </c>
      <c r="N33" s="12">
        <f>L33+M33</f>
        <v>0.21815080000000001</v>
      </c>
      <c r="P33" s="12">
        <v>4.9988099999999994E-2</v>
      </c>
      <c r="R33" s="5">
        <v>1.41</v>
      </c>
      <c r="U33" s="491">
        <v>8.6694099999999996E-2</v>
      </c>
      <c r="V33" s="491">
        <v>0.1533989</v>
      </c>
      <c r="W33" s="5">
        <f>(1646+150+300+50+300)/10000000</f>
        <v>2.4459999999999998E-4</v>
      </c>
      <c r="X33" s="12">
        <f>V33+W33</f>
        <v>0.15364350000000002</v>
      </c>
    </row>
    <row r="34" spans="1:24" ht="15.4" x14ac:dyDescent="0.4">
      <c r="A34" s="2015"/>
      <c r="B34" s="2006" t="s">
        <v>24</v>
      </c>
      <c r="C34" s="2007"/>
      <c r="D34" s="603" t="s">
        <v>221</v>
      </c>
      <c r="E34" s="315" t="s">
        <v>221</v>
      </c>
      <c r="F34" s="315">
        <f>'UPTO MAY-22'!F34+'JUNE-22'!F34</f>
        <v>5.2905999999999995E-2</v>
      </c>
      <c r="G34" s="315">
        <f>'UPTO MAY-22'!G34+'JUNE-22'!G34</f>
        <v>0.88008299999999995</v>
      </c>
      <c r="H34" s="316" t="s">
        <v>221</v>
      </c>
      <c r="I34" s="314">
        <f t="shared" si="1"/>
        <v>1563.484292896836</v>
      </c>
      <c r="J34" s="5">
        <v>2.7406E-2</v>
      </c>
      <c r="L34" s="381">
        <v>0.27210800000000002</v>
      </c>
      <c r="M34" s="5">
        <v>0.20868300000000001</v>
      </c>
      <c r="N34" s="12">
        <f>L34+M34</f>
        <v>0.48079100000000002</v>
      </c>
      <c r="P34" s="12"/>
      <c r="U34" s="491"/>
    </row>
    <row r="35" spans="1:24" ht="15.4" x14ac:dyDescent="0.4">
      <c r="A35" s="2015"/>
      <c r="B35" s="2017" t="s">
        <v>25</v>
      </c>
      <c r="C35" s="2030"/>
      <c r="D35" s="603" t="s">
        <v>221</v>
      </c>
      <c r="E35" s="315" t="s">
        <v>221</v>
      </c>
      <c r="F35" s="315">
        <f>'UPTO MAY-22'!F35+'JUNE-22'!F35</f>
        <v>3.0467000000000001E-2</v>
      </c>
      <c r="G35" s="315">
        <f>'UPTO MAY-22'!G35+'JUNE-22'!G35</f>
        <v>3.4515921000000001</v>
      </c>
      <c r="H35" s="316" t="s">
        <v>221</v>
      </c>
      <c r="I35" s="314">
        <f t="shared" si="1"/>
        <v>11228.95296550366</v>
      </c>
      <c r="J35" s="5">
        <v>3.0467000000000001E-2</v>
      </c>
      <c r="P35" s="12"/>
      <c r="U35" s="491">
        <v>0.65894839999999999</v>
      </c>
    </row>
    <row r="36" spans="1:24" ht="16.5" x14ac:dyDescent="0.55000000000000004">
      <c r="A36" s="2016"/>
      <c r="B36" s="2017" t="s">
        <v>241</v>
      </c>
      <c r="C36" s="2030"/>
      <c r="D36" s="540" t="s">
        <v>221</v>
      </c>
      <c r="E36" s="316" t="s">
        <v>221</v>
      </c>
      <c r="F36" s="315">
        <f>'UPTO MAY-22'!F36+'JUNE-22'!F36</f>
        <v>6.8190016</v>
      </c>
      <c r="G36" s="315">
        <f>'UPTO MAY-22'!G36+'JUNE-22'!G36</f>
        <v>10.4228778</v>
      </c>
      <c r="H36" s="316" t="s">
        <v>221</v>
      </c>
      <c r="I36" s="314">
        <f t="shared" si="1"/>
        <v>52.850496471506915</v>
      </c>
      <c r="J36" s="5">
        <v>5.6556237999999999</v>
      </c>
      <c r="O36" s="755">
        <v>35117883</v>
      </c>
      <c r="P36" s="12"/>
      <c r="U36" s="491">
        <v>2.5377899999999998E-2</v>
      </c>
    </row>
    <row r="37" spans="1:24" x14ac:dyDescent="0.4">
      <c r="A37" s="403"/>
      <c r="B37" s="2006" t="s">
        <v>260</v>
      </c>
      <c r="C37" s="2019"/>
      <c r="D37" s="540" t="s">
        <v>221</v>
      </c>
      <c r="E37" s="316" t="s">
        <v>221</v>
      </c>
      <c r="F37" s="315">
        <f>'UPTO MAY-22'!F37+'JUNE-22'!F37</f>
        <v>8.6694099999999996E-2</v>
      </c>
      <c r="G37" s="315">
        <f>'UPTO MAY-22'!G37+'JUNE-22'!G37</f>
        <v>0.2123294</v>
      </c>
      <c r="H37" s="413"/>
      <c r="I37" s="314">
        <f t="shared" si="1"/>
        <v>144.91793559192612</v>
      </c>
      <c r="J37" s="5">
        <v>4.9988099999999994E-2</v>
      </c>
      <c r="P37" s="12"/>
      <c r="U37" s="491">
        <v>5.1777000000000004E-3</v>
      </c>
    </row>
    <row r="38" spans="1:24" ht="15" x14ac:dyDescent="0.35">
      <c r="A38" s="2020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  <c r="P38" s="12"/>
      <c r="U38" s="491">
        <v>0</v>
      </c>
    </row>
    <row r="39" spans="1:24" ht="15.4" x14ac:dyDescent="0.4">
      <c r="A39" s="2020"/>
      <c r="B39" s="2006" t="s">
        <v>27</v>
      </c>
      <c r="C39" s="2007"/>
      <c r="D39" s="331">
        <v>12.24</v>
      </c>
      <c r="E39" s="315">
        <f>'UPTO MAY-22'!E39+'JUNE-22'!E39</f>
        <v>3.06</v>
      </c>
      <c r="F39" s="315">
        <f>'UPTO MAY-22'!F39+'JUNE-22'!F39</f>
        <v>0.65716479999999999</v>
      </c>
      <c r="G39" s="315">
        <f>'UPTO MAY-22'!G39+'JUNE-22'!G39</f>
        <v>2.0147686</v>
      </c>
      <c r="H39" s="314">
        <f>(G39-E39)/E39*100</f>
        <v>-34.157888888888891</v>
      </c>
      <c r="I39" s="314">
        <f>(G39-F39)/F39*100</f>
        <v>206.58498446660568</v>
      </c>
      <c r="P39" s="12"/>
      <c r="U39" s="491">
        <v>3.9713100000000001E-2</v>
      </c>
    </row>
    <row r="40" spans="1:24" ht="15.4" x14ac:dyDescent="0.4">
      <c r="A40" s="2020"/>
      <c r="B40" s="2006" t="s">
        <v>28</v>
      </c>
      <c r="C40" s="2007"/>
      <c r="D40" s="333">
        <v>2.84</v>
      </c>
      <c r="E40" s="315">
        <f>'UPTO MAY-22'!E40+'JUNE-22'!E40</f>
        <v>0.70799999999999996</v>
      </c>
      <c r="F40" s="315">
        <f>'UPTO MAY-22'!F40+'JUNE-22'!F40</f>
        <v>2.5377899999999998E-2</v>
      </c>
      <c r="G40" s="315">
        <f>'UPTO MAY-22'!G40+'JUNE-22'!G40</f>
        <v>8.1598699999999996E-2</v>
      </c>
      <c r="H40" s="314">
        <f>(G40-E40)/E40*100</f>
        <v>-88.474759887005646</v>
      </c>
      <c r="I40" s="314">
        <v>0</v>
      </c>
      <c r="P40" s="12"/>
      <c r="U40" s="491">
        <v>7.9543099999999992E-2</v>
      </c>
    </row>
    <row r="41" spans="1:24" ht="15.4" x14ac:dyDescent="0.4">
      <c r="A41" s="2020"/>
      <c r="B41" s="378" t="s">
        <v>224</v>
      </c>
      <c r="C41" s="379"/>
      <c r="D41" s="603">
        <v>2.4500000000000002</v>
      </c>
      <c r="E41" s="315">
        <f>'UPTO MAY-22'!E41+'JUNE-22'!E41</f>
        <v>0.61250000000000004</v>
      </c>
      <c r="F41" s="315">
        <f>'UPTO MAY-22'!F41+'JUNE-22'!F41</f>
        <v>9.8058999999999993E-3</v>
      </c>
      <c r="G41" s="315">
        <f>'UPTO MAY-22'!G41+'JUNE-22'!G41</f>
        <v>5.5660199999999993E-2</v>
      </c>
      <c r="H41" s="314">
        <f>(G41-E41)/E41*100</f>
        <v>-90.912620408163278</v>
      </c>
      <c r="I41" s="314">
        <f>(G41-F41)/F41*100</f>
        <v>467.61949438603284</v>
      </c>
      <c r="P41" s="12"/>
      <c r="T41" s="432">
        <v>6.41</v>
      </c>
      <c r="U41" s="491"/>
    </row>
    <row r="42" spans="1:24" ht="15.4" x14ac:dyDescent="0.4">
      <c r="A42" s="2020"/>
      <c r="B42" s="2006" t="s">
        <v>64</v>
      </c>
      <c r="C42" s="2007"/>
      <c r="D42" s="540" t="s">
        <v>221</v>
      </c>
      <c r="E42" s="315" t="s">
        <v>221</v>
      </c>
      <c r="F42" s="315">
        <f>'UPTO MAY-22'!F42+'JUNE-22'!F42</f>
        <v>0</v>
      </c>
      <c r="G42" s="315">
        <f>'UPTO MAY-22'!G42+'JUNE-22'!G42</f>
        <v>0</v>
      </c>
      <c r="H42" s="314" t="s">
        <v>221</v>
      </c>
      <c r="I42" s="314">
        <v>0</v>
      </c>
      <c r="P42" s="12">
        <v>0.18489800000000001</v>
      </c>
      <c r="U42" s="491">
        <v>0.32067000000000001</v>
      </c>
      <c r="V42" s="5">
        <v>3.0279180000000001</v>
      </c>
      <c r="W42" s="5">
        <f>254117/10000000</f>
        <v>2.5411699999999999E-2</v>
      </c>
      <c r="X42" s="5">
        <f>V42+W42</f>
        <v>3.0533296999999999</v>
      </c>
    </row>
    <row r="43" spans="1:24" ht="15.4" x14ac:dyDescent="0.4">
      <c r="A43" s="2020"/>
      <c r="B43" s="2006" t="s">
        <v>4</v>
      </c>
      <c r="C43" s="2007"/>
      <c r="D43" s="540" t="s">
        <v>221</v>
      </c>
      <c r="E43" s="315" t="s">
        <v>221</v>
      </c>
      <c r="F43" s="315">
        <f>'UPTO MAY-22'!F43+'JUNE-22'!F43</f>
        <v>3.9713100000000001E-2</v>
      </c>
      <c r="G43" s="315">
        <f>'UPTO MAY-22'!G43+'JUNE-22'!G43</f>
        <v>1.9599999999999999E-2</v>
      </c>
      <c r="H43" s="314" t="s">
        <v>221</v>
      </c>
      <c r="I43" s="314">
        <v>0</v>
      </c>
      <c r="P43" s="12">
        <v>5.6901999999999994E-2</v>
      </c>
      <c r="U43" s="491">
        <v>0.10713999999999999</v>
      </c>
      <c r="V43" s="5">
        <v>1.592754</v>
      </c>
      <c r="W43" s="5">
        <f>134806/10000000</f>
        <v>1.3480600000000001E-2</v>
      </c>
      <c r="X43" s="5">
        <f>V43+W43</f>
        <v>1.6062346000000001</v>
      </c>
    </row>
    <row r="44" spans="1:24" x14ac:dyDescent="0.55000000000000004">
      <c r="A44" s="373"/>
      <c r="B44" s="2006" t="s">
        <v>259</v>
      </c>
      <c r="C44" s="2019"/>
      <c r="D44" s="540" t="s">
        <v>221</v>
      </c>
      <c r="E44" s="315" t="s">
        <v>221</v>
      </c>
      <c r="F44" s="315">
        <f>'UPTO MAY-22'!F44+'JUNE-22'!F44</f>
        <v>7.9543099999999992E-2</v>
      </c>
      <c r="G44" s="315">
        <f>'UPTO MAY-22'!G44+'JUNE-22'!G44</f>
        <v>0.2783757</v>
      </c>
      <c r="H44" s="407" t="s">
        <v>221</v>
      </c>
      <c r="I44" s="314">
        <f>(G44-F44)/F44*100</f>
        <v>249.96838192124778</v>
      </c>
      <c r="O44" s="5">
        <f>140527/10000000</f>
        <v>1.40527E-2</v>
      </c>
      <c r="P44" s="12">
        <v>0.70249600000000001</v>
      </c>
      <c r="U44" s="491">
        <v>1.2067749999999999</v>
      </c>
      <c r="V44" s="5">
        <v>3.005385</v>
      </c>
      <c r="W44" s="755">
        <f>3281762/10000000</f>
        <v>0.32817619999999997</v>
      </c>
      <c r="X44" s="5">
        <f>V44+W44</f>
        <v>3.3335612000000001</v>
      </c>
    </row>
    <row r="45" spans="1:24" ht="15" x14ac:dyDescent="0.35">
      <c r="A45" s="2020"/>
      <c r="B45" s="2309" t="s">
        <v>419</v>
      </c>
      <c r="C45" s="2310"/>
      <c r="D45" s="2310"/>
      <c r="E45" s="2310"/>
      <c r="F45" s="2310"/>
      <c r="G45" s="2310"/>
      <c r="H45" s="2310"/>
      <c r="I45" s="2311"/>
      <c r="P45" s="12"/>
      <c r="U45" s="491"/>
    </row>
    <row r="46" spans="1:24" ht="15.4" x14ac:dyDescent="0.4">
      <c r="A46" s="2020"/>
      <c r="B46" s="2006" t="s">
        <v>16</v>
      </c>
      <c r="C46" s="2007"/>
      <c r="D46" s="603" t="s">
        <v>221</v>
      </c>
      <c r="E46" s="315">
        <f>'target FY 22-23'!K65</f>
        <v>8.94</v>
      </c>
      <c r="F46" s="315">
        <f>'UPTO MAY-22'!F46+'JUNE-22'!F46</f>
        <v>0.32067000000000001</v>
      </c>
      <c r="G46" s="315">
        <f>'UPTO MAY-22'!G46+'JUNE-22'!G46</f>
        <v>3.9009049999999998</v>
      </c>
      <c r="H46" s="316">
        <f>(G46-E46)/E46*100</f>
        <v>-56.365715883668898</v>
      </c>
      <c r="I46" s="314">
        <f>(G46-F46)/F46*100</f>
        <v>1116.4857953659525</v>
      </c>
      <c r="L46" s="12"/>
      <c r="M46" s="5">
        <f>N46/1000000</f>
        <v>0.53212400000000004</v>
      </c>
      <c r="N46" s="5">
        <v>532124</v>
      </c>
      <c r="P46" s="12">
        <v>0.309</v>
      </c>
      <c r="U46" s="491">
        <v>140.85</v>
      </c>
    </row>
    <row r="47" spans="1:24" ht="15.4" x14ac:dyDescent="0.4">
      <c r="A47" s="2020"/>
      <c r="B47" s="2069" t="s">
        <v>15</v>
      </c>
      <c r="C47" s="320" t="s">
        <v>166</v>
      </c>
      <c r="D47" s="2162" t="s">
        <v>221</v>
      </c>
      <c r="E47" s="2154">
        <f>'target FY 22-23'!L65</f>
        <v>12.02</v>
      </c>
      <c r="F47" s="315">
        <f>'UPTO MAY-22'!F47+'JUNE-22'!F47</f>
        <v>0.10713999999999999</v>
      </c>
      <c r="G47" s="315">
        <f>'UPTO MAY-22'!G47+'JUNE-22'!G47</f>
        <v>2.0880999999999998</v>
      </c>
      <c r="H47" s="2027">
        <v>-57.6</v>
      </c>
      <c r="I47" s="314">
        <f>(G47-F47)/F47*100</f>
        <v>1848.9453052081392</v>
      </c>
      <c r="K47" s="5">
        <f>((G47+G48)-E47)/E47*100</f>
        <v>-54.16313643926788</v>
      </c>
      <c r="L47" s="12">
        <f>F47+F48</f>
        <v>1.3139149999999999</v>
      </c>
      <c r="M47" s="42">
        <f>G47+G48</f>
        <v>5.5095910000000003</v>
      </c>
      <c r="N47" s="5">
        <v>172448</v>
      </c>
      <c r="P47" s="12">
        <f>(M47-L47)/L47*100</f>
        <v>319.32628823021281</v>
      </c>
      <c r="U47" s="491">
        <v>30.94</v>
      </c>
    </row>
    <row r="48" spans="1:24" ht="16.149999999999999" thickBot="1" x14ac:dyDescent="0.45">
      <c r="A48" s="2020"/>
      <c r="B48" s="2070"/>
      <c r="C48" s="320" t="s">
        <v>228</v>
      </c>
      <c r="D48" s="2163"/>
      <c r="E48" s="2155"/>
      <c r="F48" s="315">
        <f>'UPTO MAY-22'!F48+'JUNE-22'!F48</f>
        <v>1.2067749999999999</v>
      </c>
      <c r="G48" s="315">
        <f>'UPTO MAY-22'!G48+'JUNE-22'!G48</f>
        <v>3.4214910000000001</v>
      </c>
      <c r="H48" s="2029"/>
      <c r="I48" s="314">
        <f>(G48-F48)/F48*100</f>
        <v>183.5235234405751</v>
      </c>
      <c r="K48" s="910">
        <v>260340</v>
      </c>
      <c r="M48" s="5">
        <f>N48/1000000</f>
        <v>1.061477</v>
      </c>
      <c r="N48" s="824">
        <v>1061477</v>
      </c>
      <c r="P48" s="12">
        <v>1.5489999999999999</v>
      </c>
      <c r="U48" s="491">
        <v>171.79</v>
      </c>
    </row>
    <row r="49" spans="1:22" ht="15" x14ac:dyDescent="0.35">
      <c r="A49" s="2020">
        <v>6</v>
      </c>
      <c r="B49" s="2309" t="s">
        <v>726</v>
      </c>
      <c r="C49" s="2310"/>
      <c r="D49" s="2310"/>
      <c r="E49" s="2310"/>
      <c r="F49" s="2310"/>
      <c r="G49" s="2310"/>
      <c r="H49" s="2310"/>
      <c r="I49" s="2311"/>
    </row>
    <row r="50" spans="1:22" ht="15.4" x14ac:dyDescent="0.4">
      <c r="A50" s="2020"/>
      <c r="B50" s="2006" t="s">
        <v>36</v>
      </c>
      <c r="C50" s="2007"/>
      <c r="D50" s="303" t="s">
        <v>221</v>
      </c>
      <c r="E50" s="2024" t="s">
        <v>221</v>
      </c>
      <c r="F50" s="313">
        <v>140.85</v>
      </c>
      <c r="G50" s="313">
        <v>197.64</v>
      </c>
      <c r="H50" s="2027" t="s">
        <v>221</v>
      </c>
      <c r="I50" s="314">
        <f>(G50-F50)/F50*100</f>
        <v>40.319488817891369</v>
      </c>
    </row>
    <row r="51" spans="1:22" ht="16.5" x14ac:dyDescent="0.55000000000000004">
      <c r="A51" s="2020"/>
      <c r="B51" s="2006" t="s">
        <v>37</v>
      </c>
      <c r="C51" s="2007"/>
      <c r="D51" s="303" t="s">
        <v>221</v>
      </c>
      <c r="E51" s="2025"/>
      <c r="F51" s="313">
        <v>30.94</v>
      </c>
      <c r="G51" s="313">
        <v>43.06</v>
      </c>
      <c r="H51" s="2028"/>
      <c r="I51" s="314">
        <f>(G51-F51)/F51*100</f>
        <v>39.172592113768587</v>
      </c>
      <c r="L51" s="5">
        <f>M51/1000000</f>
        <v>2.2457129999999998</v>
      </c>
      <c r="M51" s="755">
        <v>2245713</v>
      </c>
    </row>
    <row r="52" spans="1:22" ht="15.4" x14ac:dyDescent="0.4">
      <c r="A52" s="2020"/>
      <c r="B52" s="2006" t="s">
        <v>38</v>
      </c>
      <c r="C52" s="2007"/>
      <c r="D52" s="303" t="s">
        <v>221</v>
      </c>
      <c r="E52" s="2026"/>
      <c r="F52" s="313">
        <f>SUM(F50:F51)</f>
        <v>171.79</v>
      </c>
      <c r="G52" s="313">
        <f>SUM(G50:G51)</f>
        <v>240.7</v>
      </c>
      <c r="H52" s="2029"/>
      <c r="I52" s="314">
        <f>(G52-F52)/F52*100</f>
        <v>40.112928575586473</v>
      </c>
    </row>
    <row r="54" spans="1:22" ht="17.25" thickBot="1" x14ac:dyDescent="0.6">
      <c r="F54" s="755"/>
      <c r="G54" s="910"/>
      <c r="V54" s="5">
        <v>1</v>
      </c>
    </row>
    <row r="55" spans="1:22" x14ac:dyDescent="0.55000000000000004">
      <c r="F55" s="5">
        <f>21.2+10.7+23.2</f>
        <v>55.099999999999994</v>
      </c>
      <c r="K55" s="755">
        <v>1015133</v>
      </c>
      <c r="V55" s="5">
        <v>2</v>
      </c>
    </row>
    <row r="56" spans="1:22" x14ac:dyDescent="0.35">
      <c r="K56" s="5">
        <f>K55/1000000</f>
        <v>1.0151330000000001</v>
      </c>
      <c r="V56" s="5">
        <v>3</v>
      </c>
    </row>
    <row r="57" spans="1:22" x14ac:dyDescent="0.35">
      <c r="V57" s="5">
        <v>4</v>
      </c>
    </row>
    <row r="58" spans="1:22" x14ac:dyDescent="0.35">
      <c r="V58" s="5">
        <v>5</v>
      </c>
    </row>
    <row r="59" spans="1:22" x14ac:dyDescent="0.35">
      <c r="V59" s="5">
        <v>6</v>
      </c>
    </row>
    <row r="60" spans="1:22" x14ac:dyDescent="0.35">
      <c r="V60" s="5">
        <v>7</v>
      </c>
    </row>
    <row r="61" spans="1:22" x14ac:dyDescent="0.35">
      <c r="V61" s="5">
        <v>8</v>
      </c>
    </row>
    <row r="62" spans="1:22" x14ac:dyDescent="0.35">
      <c r="V62" s="5">
        <v>9</v>
      </c>
    </row>
    <row r="63" spans="1:22" x14ac:dyDescent="0.35">
      <c r="V63" s="5">
        <v>10</v>
      </c>
    </row>
    <row r="64" spans="1:22" x14ac:dyDescent="0.35">
      <c r="V64" s="5">
        <v>11</v>
      </c>
    </row>
    <row r="65" spans="14:22" x14ac:dyDescent="0.35">
      <c r="V65" s="5">
        <v>12</v>
      </c>
    </row>
    <row r="66" spans="14:22" x14ac:dyDescent="0.35">
      <c r="N66" s="5">
        <v>1.55</v>
      </c>
      <c r="O66" s="5">
        <v>4.7</v>
      </c>
      <c r="P66" s="5">
        <f>O66-N66</f>
        <v>3.1500000000000004</v>
      </c>
    </row>
    <row r="67" spans="14:22" x14ac:dyDescent="0.35">
      <c r="N67" s="1132">
        <v>4</v>
      </c>
    </row>
  </sheetData>
  <mergeCells count="60">
    <mergeCell ref="A11:I11"/>
    <mergeCell ref="A1:I1"/>
    <mergeCell ref="A2:I2"/>
    <mergeCell ref="A3:A5"/>
    <mergeCell ref="B3:C5"/>
    <mergeCell ref="D3:E3"/>
    <mergeCell ref="F3:G3"/>
    <mergeCell ref="H3:I3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6"/>
    <mergeCell ref="C18:E18"/>
    <mergeCell ref="B28:C29"/>
    <mergeCell ref="D28:E28"/>
    <mergeCell ref="F28:G28"/>
    <mergeCell ref="F18:I18"/>
    <mergeCell ref="H28:I28"/>
    <mergeCell ref="A30:A36"/>
    <mergeCell ref="B30:I30"/>
    <mergeCell ref="B31:C31"/>
    <mergeCell ref="B32:C32"/>
    <mergeCell ref="B33:C33"/>
    <mergeCell ref="B34:C34"/>
    <mergeCell ref="B35:C35"/>
    <mergeCell ref="B36:C36"/>
    <mergeCell ref="B37:C37"/>
    <mergeCell ref="A38:A43"/>
    <mergeCell ref="B38:I38"/>
    <mergeCell ref="B39:C39"/>
    <mergeCell ref="B40:C40"/>
    <mergeCell ref="B42:C42"/>
    <mergeCell ref="B43:C43"/>
    <mergeCell ref="B44:C44"/>
    <mergeCell ref="A45:A48"/>
    <mergeCell ref="B45:I45"/>
    <mergeCell ref="B46:C46"/>
    <mergeCell ref="B47:B48"/>
    <mergeCell ref="D47:D48"/>
    <mergeCell ref="E47:E48"/>
    <mergeCell ref="H47:H48"/>
    <mergeCell ref="A49:A52"/>
    <mergeCell ref="B49:I49"/>
    <mergeCell ref="B50:C50"/>
    <mergeCell ref="E50:E52"/>
    <mergeCell ref="H50:H52"/>
    <mergeCell ref="B51:C51"/>
    <mergeCell ref="B52:C52"/>
  </mergeCells>
  <pageMargins left="0.23" right="0.2" top="0.75" bottom="0.24" header="0.3" footer="0.3"/>
  <pageSetup paperSize="9" scale="34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pageSetUpPr fitToPage="1"/>
  </sheetPr>
  <dimension ref="A1:Q52"/>
  <sheetViews>
    <sheetView zoomScale="90" zoomScaleNormal="90" workbookViewId="0">
      <selection activeCell="H39" sqref="H39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1" style="5" customWidth="1"/>
    <col min="4" max="4" width="9.265625" style="84" customWidth="1"/>
    <col min="5" max="5" width="10.1328125" style="35" customWidth="1"/>
    <col min="6" max="6" width="12.73046875" style="5" customWidth="1"/>
    <col min="7" max="7" width="14" style="5" customWidth="1"/>
    <col min="8" max="8" width="11.265625" style="11" customWidth="1"/>
    <col min="9" max="9" width="13.86328125" style="82" customWidth="1"/>
    <col min="10" max="10" width="9.1328125" style="5"/>
    <col min="11" max="11" width="12.3984375" style="5" bestFit="1" customWidth="1"/>
    <col min="12" max="12" width="10" style="5" customWidth="1"/>
    <col min="13" max="13" width="10.1328125" style="5" bestFit="1" customWidth="1"/>
    <col min="14" max="16384" width="9.1328125" style="5"/>
  </cols>
  <sheetData>
    <row r="1" spans="1:14" ht="17.649999999999999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14" s="301" customFormat="1" ht="17.25" thickBot="1" x14ac:dyDescent="0.5">
      <c r="A2" s="2092" t="s">
        <v>519</v>
      </c>
      <c r="B2" s="2093"/>
      <c r="C2" s="2093"/>
      <c r="D2" s="2093"/>
      <c r="E2" s="2093"/>
      <c r="F2" s="2093"/>
      <c r="G2" s="2093"/>
      <c r="H2" s="2093"/>
      <c r="I2" s="2094"/>
    </row>
    <row r="3" spans="1:14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4" s="35" customFormat="1" x14ac:dyDescent="0.45">
      <c r="A4" s="2035"/>
      <c r="B4" s="2047"/>
      <c r="C4" s="2048"/>
      <c r="D4" s="421" t="s">
        <v>9</v>
      </c>
      <c r="E4" s="422">
        <f>G4</f>
        <v>44378</v>
      </c>
      <c r="F4" s="422">
        <v>44013</v>
      </c>
      <c r="G4" s="422">
        <v>44378</v>
      </c>
      <c r="H4" s="2111" t="s">
        <v>12</v>
      </c>
      <c r="I4" s="2111" t="s">
        <v>13</v>
      </c>
      <c r="N4" s="380"/>
    </row>
    <row r="5" spans="1:14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14" x14ac:dyDescent="0.35">
      <c r="A6" s="372">
        <v>1</v>
      </c>
      <c r="B6" s="2049" t="s">
        <v>290</v>
      </c>
      <c r="C6" s="2049"/>
      <c r="D6" s="304" t="s">
        <v>221</v>
      </c>
      <c r="E6" s="305">
        <f>'TARGET SHEET 2021-22'!D11</f>
        <v>71.460000000000008</v>
      </c>
      <c r="F6" s="305">
        <f>F15+F16+F17</f>
        <v>5.7114256000000001</v>
      </c>
      <c r="G6" s="305">
        <f>G15+G16+G17</f>
        <v>45.223879600000004</v>
      </c>
      <c r="H6" s="306">
        <f>(G6-E6)/E6*100</f>
        <v>-36.714414217744192</v>
      </c>
      <c r="I6" s="308">
        <f>(G6-F6)/F6*100</f>
        <v>691.81421184931492</v>
      </c>
    </row>
    <row r="7" spans="1:14" x14ac:dyDescent="0.35">
      <c r="A7" s="373">
        <v>2</v>
      </c>
      <c r="B7" s="2050" t="s">
        <v>291</v>
      </c>
      <c r="C7" s="2051"/>
      <c r="D7" s="307" t="s">
        <v>221</v>
      </c>
      <c r="E7" s="307">
        <f>'TARGET SHEET 2021-22'!E11</f>
        <v>9.6300000000000008</v>
      </c>
      <c r="F7" s="307">
        <f>F19+F20+F21+F22+F23+F24+F25</f>
        <v>5.6950000000000003</v>
      </c>
      <c r="G7" s="307">
        <f>G19+G20+G21+G22+G23+G24+G25</f>
        <v>14.448741999999999</v>
      </c>
      <c r="H7" s="308">
        <f>(G7-E7)/E7*100</f>
        <v>50.038857736240892</v>
      </c>
      <c r="I7" s="308">
        <f>(G7-F7)/F7*100</f>
        <v>153.70925373134327</v>
      </c>
    </row>
    <row r="8" spans="1:14" x14ac:dyDescent="0.35">
      <c r="A8" s="374">
        <v>3</v>
      </c>
      <c r="B8" s="2021" t="s">
        <v>292</v>
      </c>
      <c r="C8" s="2023"/>
      <c r="D8" s="364" t="s">
        <v>221</v>
      </c>
      <c r="E8" s="364">
        <f>'TARGET SHEET 2021-22'!F11</f>
        <v>4.12</v>
      </c>
      <c r="F8" s="364">
        <f>F27+F28+F29+F30+F31+F32+F33</f>
        <v>0.91321730000000001</v>
      </c>
      <c r="G8" s="364">
        <f>G27+G28+G29+G30+G31+G32+G33</f>
        <v>4.8137546000000002</v>
      </c>
      <c r="H8" s="306">
        <f>(G8-E8)/E8*100</f>
        <v>16.83870388349515</v>
      </c>
      <c r="I8" s="308">
        <f>(G8-F8)/F8*100</f>
        <v>427.12039073285189</v>
      </c>
    </row>
    <row r="9" spans="1:14" x14ac:dyDescent="0.35">
      <c r="A9" s="373">
        <v>4</v>
      </c>
      <c r="B9" s="2052" t="s">
        <v>293</v>
      </c>
      <c r="C9" s="2053"/>
      <c r="D9" s="307" t="s">
        <v>221</v>
      </c>
      <c r="E9" s="307">
        <f>E35+E36+E37</f>
        <v>0.67873000000000006</v>
      </c>
      <c r="F9" s="307">
        <f>F35+F36+F37+F38+F39+F40</f>
        <v>7.6810599999999993E-2</v>
      </c>
      <c r="G9" s="307">
        <f>G35+G36+G37+G38+G39+G40</f>
        <v>0.20224810000000001</v>
      </c>
      <c r="H9" s="308">
        <f>(G9-E9)/E9*100</f>
        <v>-70.201980168844742</v>
      </c>
      <c r="I9" s="308">
        <f>(G9-F9)/F9*100</f>
        <v>163.30753828247671</v>
      </c>
    </row>
    <row r="10" spans="1:14" ht="17.649999999999999" x14ac:dyDescent="0.35">
      <c r="A10" s="374">
        <v>5</v>
      </c>
      <c r="B10" s="2054" t="s">
        <v>294</v>
      </c>
      <c r="C10" s="2055"/>
      <c r="D10" s="321" t="s">
        <v>221</v>
      </c>
      <c r="E10" s="321">
        <f>SUM(E6:E9)</f>
        <v>85.88873000000001</v>
      </c>
      <c r="F10" s="321">
        <f>SUM(F6:F9)</f>
        <v>12.3964535</v>
      </c>
      <c r="G10" s="321">
        <f>SUM(G6:G9)</f>
        <v>64.688624300000001</v>
      </c>
      <c r="H10" s="306">
        <f>(G10-E10)/E10*100</f>
        <v>-24.6832217684439</v>
      </c>
      <c r="I10" s="308">
        <f>(G10-F10)/F10*100</f>
        <v>421.83170210738103</v>
      </c>
    </row>
    <row r="11" spans="1:14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4" ht="18.399999999999999" thickTop="1" thickBot="1" x14ac:dyDescent="0.4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5.1163E-2</v>
      </c>
      <c r="G12" s="447">
        <f>G42+G43+G44</f>
        <v>0.98824999999999996</v>
      </c>
      <c r="H12" s="310" t="s">
        <v>221</v>
      </c>
      <c r="I12" s="308">
        <f>(G12-F12)/F12*100</f>
        <v>1831.571643570549</v>
      </c>
    </row>
    <row r="13" spans="1:14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4" ht="15" x14ac:dyDescent="0.35">
      <c r="A14" s="2003">
        <v>1</v>
      </c>
      <c r="B14" s="2021" t="s">
        <v>425</v>
      </c>
      <c r="C14" s="2022"/>
      <c r="D14" s="2022"/>
      <c r="E14" s="2022"/>
      <c r="F14" s="2022"/>
      <c r="G14" s="2022"/>
      <c r="H14" s="2022"/>
      <c r="I14" s="2023"/>
    </row>
    <row r="15" spans="1:14" ht="15.4" x14ac:dyDescent="0.4">
      <c r="A15" s="2004"/>
      <c r="B15" s="2006" t="s">
        <v>16</v>
      </c>
      <c r="C15" s="2007"/>
      <c r="D15" s="331" t="s">
        <v>221</v>
      </c>
      <c r="E15" s="307">
        <f>'TARGET SHEET 2021-22'!B11</f>
        <v>0.17</v>
      </c>
      <c r="F15" s="315">
        <v>0</v>
      </c>
      <c r="G15" s="315">
        <f>'actual fig'!L47/10000000</f>
        <v>6.56606E-2</v>
      </c>
      <c r="H15" s="316">
        <f>(G15-E15)/E15*100</f>
        <v>-61.376117647058827</v>
      </c>
      <c r="I15" s="316" t="s">
        <v>221</v>
      </c>
    </row>
    <row r="16" spans="1:14" ht="15.4" x14ac:dyDescent="0.4">
      <c r="A16" s="2004"/>
      <c r="B16" s="2071" t="s">
        <v>15</v>
      </c>
      <c r="C16" s="320" t="s">
        <v>166</v>
      </c>
      <c r="D16" s="2064" t="s">
        <v>221</v>
      </c>
      <c r="E16" s="2166">
        <f>'TARGET SHEET 2021-22'!C11</f>
        <v>71.290000000000006</v>
      </c>
      <c r="F16" s="315">
        <v>0</v>
      </c>
      <c r="G16" s="315">
        <f>'actual fig'!M47/10000000</f>
        <v>5.0837E-2</v>
      </c>
      <c r="H16" s="2027">
        <f>M16</f>
        <v>-36.655605274232009</v>
      </c>
      <c r="I16" s="316" t="s">
        <v>221</v>
      </c>
      <c r="K16" s="12">
        <f>F16+F17</f>
        <v>5.7114256000000001</v>
      </c>
      <c r="L16" s="12">
        <f>G16+G17</f>
        <v>45.158219000000003</v>
      </c>
      <c r="M16" s="5">
        <f>(L16-E16)/E16*100</f>
        <v>-36.655605274232009</v>
      </c>
    </row>
    <row r="17" spans="1:17" ht="15.4" x14ac:dyDescent="0.4">
      <c r="A17" s="2005"/>
      <c r="B17" s="2071"/>
      <c r="C17" s="320" t="s">
        <v>228</v>
      </c>
      <c r="D17" s="2064"/>
      <c r="E17" s="2166"/>
      <c r="F17" s="661">
        <v>5.7114256000000001</v>
      </c>
      <c r="G17" s="661">
        <f>'actual fig'!N47/10000000</f>
        <v>45.107382000000001</v>
      </c>
      <c r="H17" s="2029"/>
      <c r="I17" s="316">
        <v>1171</v>
      </c>
    </row>
    <row r="18" spans="1:17" ht="15" x14ac:dyDescent="0.35">
      <c r="A18" s="2003">
        <v>2</v>
      </c>
      <c r="B18" s="2021" t="s">
        <v>454</v>
      </c>
      <c r="C18" s="2022"/>
      <c r="D18" s="2022"/>
      <c r="E18" s="2022"/>
      <c r="F18" s="2022"/>
      <c r="G18" s="2022"/>
      <c r="H18" s="2022"/>
      <c r="I18" s="2023"/>
    </row>
    <row r="19" spans="1:17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v>1.33</v>
      </c>
      <c r="G19" s="315">
        <f>102171177/10000000</f>
        <v>10.217117699999999</v>
      </c>
      <c r="H19" s="316" t="s">
        <v>221</v>
      </c>
      <c r="I19" s="316">
        <f>(G19-F19)/F19*100</f>
        <v>668.20433834586458</v>
      </c>
    </row>
    <row r="20" spans="1:17" ht="15.4" x14ac:dyDescent="0.4">
      <c r="A20" s="2004"/>
      <c r="B20" s="2009"/>
      <c r="C20" s="2000" t="s">
        <v>232</v>
      </c>
      <c r="D20" s="2001"/>
      <c r="E20" s="2002"/>
      <c r="F20" s="315">
        <v>2.36</v>
      </c>
      <c r="G20" s="315">
        <v>0</v>
      </c>
      <c r="H20" s="316" t="s">
        <v>221</v>
      </c>
      <c r="I20" s="316">
        <f>(G20-F20)/F20*100</f>
        <v>-100</v>
      </c>
    </row>
    <row r="21" spans="1:17" ht="15.4" x14ac:dyDescent="0.4">
      <c r="A21" s="2004"/>
      <c r="B21" s="2009"/>
      <c r="C21" s="2000" t="s">
        <v>239</v>
      </c>
      <c r="D21" s="2001"/>
      <c r="E21" s="2002"/>
      <c r="F21" s="315">
        <v>0.68500000000000005</v>
      </c>
      <c r="G21" s="315">
        <f>33622910/10000000</f>
        <v>3.3622909999999999</v>
      </c>
      <c r="H21" s="316" t="s">
        <v>221</v>
      </c>
      <c r="I21" s="316" t="s">
        <v>221</v>
      </c>
    </row>
    <row r="22" spans="1:17" ht="15.4" x14ac:dyDescent="0.4">
      <c r="A22" s="2004"/>
      <c r="B22" s="2009"/>
      <c r="C22" s="2000" t="s">
        <v>233</v>
      </c>
      <c r="D22" s="2001"/>
      <c r="E22" s="2002"/>
      <c r="F22" s="315">
        <v>1.32</v>
      </c>
      <c r="G22" s="315">
        <f>8437871/10000000</f>
        <v>0.84378710000000001</v>
      </c>
      <c r="H22" s="316" t="s">
        <v>221</v>
      </c>
      <c r="I22" s="316">
        <f>(G22-F22)/F22*100</f>
        <v>-36.076734848484847</v>
      </c>
    </row>
    <row r="23" spans="1:17" ht="15.4" x14ac:dyDescent="0.4">
      <c r="A23" s="2004"/>
      <c r="B23" s="2009"/>
      <c r="C23" s="2000" t="s">
        <v>234</v>
      </c>
      <c r="D23" s="2001"/>
      <c r="E23" s="2002"/>
      <c r="F23" s="315">
        <v>0</v>
      </c>
      <c r="G23" s="315">
        <v>0</v>
      </c>
      <c r="H23" s="316" t="s">
        <v>221</v>
      </c>
      <c r="I23" s="316" t="s">
        <v>221</v>
      </c>
    </row>
    <row r="24" spans="1:17" ht="15.4" x14ac:dyDescent="0.4">
      <c r="A24" s="2004"/>
      <c r="B24" s="2009"/>
      <c r="C24" s="2000" t="s">
        <v>466</v>
      </c>
      <c r="D24" s="2001"/>
      <c r="E24" s="2002"/>
      <c r="F24" s="315">
        <v>0</v>
      </c>
      <c r="G24" s="315">
        <v>0</v>
      </c>
      <c r="H24" s="316"/>
      <c r="I24" s="316">
        <v>0</v>
      </c>
    </row>
    <row r="25" spans="1:17" ht="17.25" customHeight="1" x14ac:dyDescent="0.35">
      <c r="A25" s="2005"/>
      <c r="B25" s="2010"/>
      <c r="C25" s="2159" t="s">
        <v>453</v>
      </c>
      <c r="D25" s="2160"/>
      <c r="E25" s="2161"/>
      <c r="F25" s="315">
        <v>0</v>
      </c>
      <c r="G25" s="315">
        <f>255462/10000000</f>
        <v>2.5546200000000002E-2</v>
      </c>
      <c r="H25" s="316" t="s">
        <v>221</v>
      </c>
      <c r="I25" s="316">
        <v>0</v>
      </c>
    </row>
    <row r="26" spans="1:17" ht="15" x14ac:dyDescent="0.35">
      <c r="A26" s="2014">
        <v>3</v>
      </c>
      <c r="B26" s="2021" t="s">
        <v>296</v>
      </c>
      <c r="C26" s="2022"/>
      <c r="D26" s="2022"/>
      <c r="E26" s="2022"/>
      <c r="F26" s="2022"/>
      <c r="G26" s="2022"/>
      <c r="H26" s="2022"/>
      <c r="I26" s="2023"/>
      <c r="M26" s="5" t="s">
        <v>371</v>
      </c>
      <c r="P26" s="172" t="s">
        <v>277</v>
      </c>
      <c r="Q26" s="172"/>
    </row>
    <row r="27" spans="1:17" ht="15.4" x14ac:dyDescent="0.4">
      <c r="A27" s="2015"/>
      <c r="B27" s="2006" t="s">
        <v>2</v>
      </c>
      <c r="C27" s="2007"/>
      <c r="D27" s="603" t="s">
        <v>221</v>
      </c>
      <c r="E27" s="315">
        <v>0.5</v>
      </c>
      <c r="F27" s="314">
        <v>0</v>
      </c>
      <c r="G27" s="313">
        <f>'actual fig'!U47/10000000</f>
        <v>0.38526060000000001</v>
      </c>
      <c r="H27" s="314" t="s">
        <v>221</v>
      </c>
      <c r="I27" s="314" t="s">
        <v>221</v>
      </c>
      <c r="M27" s="632">
        <v>44317</v>
      </c>
      <c r="P27" s="172"/>
      <c r="Q27" s="172"/>
    </row>
    <row r="28" spans="1:17" ht="15.4" x14ac:dyDescent="0.4">
      <c r="A28" s="2015"/>
      <c r="B28" s="2006" t="s">
        <v>23</v>
      </c>
      <c r="C28" s="2007"/>
      <c r="D28" s="603" t="s">
        <v>221</v>
      </c>
      <c r="E28" s="315">
        <v>1.5</v>
      </c>
      <c r="F28" s="381">
        <v>0.51934119999999995</v>
      </c>
      <c r="G28" s="313">
        <f>'actual fig'!V47/10000000</f>
        <v>2.0230337</v>
      </c>
      <c r="H28" s="308">
        <f>(G28-E28)/E28*100</f>
        <v>34.868913333333332</v>
      </c>
      <c r="I28" s="314">
        <f>(G28-F28)/F28*100</f>
        <v>289.53845756893548</v>
      </c>
    </row>
    <row r="29" spans="1:17" ht="15.4" x14ac:dyDescent="0.4">
      <c r="A29" s="2015"/>
      <c r="B29" s="2006" t="s">
        <v>1</v>
      </c>
      <c r="C29" s="2007"/>
      <c r="D29" s="603" t="s">
        <v>221</v>
      </c>
      <c r="E29" s="315">
        <v>0.25</v>
      </c>
      <c r="F29" s="313">
        <v>3.0271E-3</v>
      </c>
      <c r="G29" s="313">
        <f>'actual fig'!W47/10000000</f>
        <v>0.1169375</v>
      </c>
      <c r="H29" s="308">
        <f>(G29-E29)/E29*100</f>
        <v>-53.225000000000001</v>
      </c>
      <c r="I29" s="314">
        <f>(G29-F29)/F29*100</f>
        <v>3763.0207128935281</v>
      </c>
    </row>
    <row r="30" spans="1:17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3">
        <v>0</v>
      </c>
      <c r="G30" s="313">
        <f>'actual fig'!Y47/10000000</f>
        <v>1.5003000000000001E-2</v>
      </c>
      <c r="H30" s="316" t="s">
        <v>221</v>
      </c>
      <c r="I30" s="314" t="s">
        <v>221</v>
      </c>
    </row>
    <row r="31" spans="1:17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v>0</v>
      </c>
      <c r="G31" s="315">
        <f>'actual fig'!X47/10000000</f>
        <v>0.65775939999999999</v>
      </c>
      <c r="H31" s="316" t="s">
        <v>221</v>
      </c>
      <c r="I31" s="314" t="s">
        <v>221</v>
      </c>
    </row>
    <row r="32" spans="1:17" ht="15.4" x14ac:dyDescent="0.4">
      <c r="A32" s="2016"/>
      <c r="B32" s="2017" t="s">
        <v>241</v>
      </c>
      <c r="C32" s="2030"/>
      <c r="D32" s="540" t="s">
        <v>221</v>
      </c>
      <c r="E32" s="316" t="s">
        <v>221</v>
      </c>
      <c r="F32" s="315">
        <v>0.39050000000000001</v>
      </c>
      <c r="G32" s="315">
        <f>'actual fig'!T47/10000000</f>
        <v>1.5740901</v>
      </c>
      <c r="H32" s="316" t="s">
        <v>221</v>
      </c>
      <c r="I32" s="314">
        <f>(G32-F32)/F32*100</f>
        <v>303.09605633802812</v>
      </c>
    </row>
    <row r="33" spans="1:15" x14ac:dyDescent="0.4">
      <c r="A33" s="403"/>
      <c r="B33" s="2006" t="s">
        <v>260</v>
      </c>
      <c r="C33" s="2019"/>
      <c r="D33" s="540" t="s">
        <v>221</v>
      </c>
      <c r="E33" s="316" t="s">
        <v>221</v>
      </c>
      <c r="F33" s="134">
        <v>3.4900000000000003E-4</v>
      </c>
      <c r="G33" s="315">
        <f>'actual fig'!Z47/10000000</f>
        <v>4.16703E-2</v>
      </c>
      <c r="H33" s="413"/>
      <c r="I33" s="314">
        <f>(G33-F33)/F33*100</f>
        <v>11839.914040114611</v>
      </c>
    </row>
    <row r="34" spans="1:15" ht="15" x14ac:dyDescent="0.35">
      <c r="A34" s="2020">
        <v>4</v>
      </c>
      <c r="B34" s="2021" t="s">
        <v>428</v>
      </c>
      <c r="C34" s="2022"/>
      <c r="D34" s="2022"/>
      <c r="E34" s="2022"/>
      <c r="F34" s="2022"/>
      <c r="G34" s="2022"/>
      <c r="H34" s="2022"/>
      <c r="I34" s="2023"/>
      <c r="M34" s="5" t="s">
        <v>203</v>
      </c>
    </row>
    <row r="35" spans="1:15" ht="15.4" x14ac:dyDescent="0.4">
      <c r="A35" s="2020"/>
      <c r="B35" s="2006" t="s">
        <v>27</v>
      </c>
      <c r="C35" s="2007"/>
      <c r="D35" s="331">
        <v>4.05</v>
      </c>
      <c r="E35" s="406">
        <f>'TARGET SHEET 2021-22'!J9</f>
        <v>0.33700000000000002</v>
      </c>
      <c r="F35" s="405">
        <v>7.2499999999999995E-2</v>
      </c>
      <c r="G35" s="313">
        <f>'actual fig'!T63/10000000</f>
        <v>0.1072304</v>
      </c>
      <c r="H35" s="314">
        <f>(G35-E35)/E35*100</f>
        <v>-68.180890207715137</v>
      </c>
      <c r="I35" s="314">
        <f>(G35-F35)/F35*100</f>
        <v>47.904000000000011</v>
      </c>
      <c r="N35" s="632">
        <v>44317</v>
      </c>
    </row>
    <row r="36" spans="1:15" ht="15.4" x14ac:dyDescent="0.4">
      <c r="A36" s="2020"/>
      <c r="B36" s="2006" t="s">
        <v>28</v>
      </c>
      <c r="C36" s="2007"/>
      <c r="D36" s="333">
        <v>2.56</v>
      </c>
      <c r="E36" s="307">
        <f>'TARGET SHEET 2021-22'!K9</f>
        <v>0.21340000000000001</v>
      </c>
      <c r="F36" s="313">
        <v>0</v>
      </c>
      <c r="G36" s="313">
        <f>'actual fig'!U63/10000000</f>
        <v>6.2489099999999999E-2</v>
      </c>
      <c r="H36" s="314">
        <f>(G36-E36)/E36*100</f>
        <v>-70.717385192127466</v>
      </c>
      <c r="I36" s="314" t="e">
        <f>(G36-F36)/F36*100</f>
        <v>#DIV/0!</v>
      </c>
      <c r="O36" s="172"/>
    </row>
    <row r="37" spans="1:15" ht="15.4" x14ac:dyDescent="0.4">
      <c r="A37" s="2020"/>
      <c r="B37" s="378" t="s">
        <v>224</v>
      </c>
      <c r="C37" s="379"/>
      <c r="D37" s="603" t="s">
        <v>221</v>
      </c>
      <c r="E37" s="315">
        <f>'TARGET SHEET 2021-22'!L9</f>
        <v>0.12833</v>
      </c>
      <c r="F37" s="313">
        <v>0</v>
      </c>
      <c r="G37" s="314">
        <f>'actual fig'!V63/10000000</f>
        <v>5.0520000000000003E-4</v>
      </c>
      <c r="H37" s="314" t="s">
        <v>221</v>
      </c>
      <c r="I37" s="314" t="s">
        <v>221</v>
      </c>
    </row>
    <row r="38" spans="1:15" ht="15.4" x14ac:dyDescent="0.4">
      <c r="A38" s="2020"/>
      <c r="B38" s="2006" t="s">
        <v>64</v>
      </c>
      <c r="C38" s="2007"/>
      <c r="D38" s="540" t="s">
        <v>221</v>
      </c>
      <c r="E38" s="315" t="s">
        <v>221</v>
      </c>
      <c r="F38" s="313">
        <v>0</v>
      </c>
      <c r="G38" s="314">
        <v>0</v>
      </c>
      <c r="H38" s="314" t="s">
        <v>221</v>
      </c>
      <c r="I38" s="314" t="s">
        <v>221</v>
      </c>
    </row>
    <row r="39" spans="1:15" ht="15.4" x14ac:dyDescent="0.4">
      <c r="A39" s="2020"/>
      <c r="B39" s="2006" t="s">
        <v>4</v>
      </c>
      <c r="C39" s="2007"/>
      <c r="D39" s="540" t="s">
        <v>221</v>
      </c>
      <c r="E39" s="315" t="s">
        <v>221</v>
      </c>
      <c r="F39" s="313">
        <v>0</v>
      </c>
      <c r="G39" s="314">
        <f>'actual fig'!W63/10000000</f>
        <v>0</v>
      </c>
      <c r="H39" s="314" t="s">
        <v>221</v>
      </c>
      <c r="I39" s="314" t="s">
        <v>221</v>
      </c>
    </row>
    <row r="40" spans="1:15" x14ac:dyDescent="0.4">
      <c r="A40" s="373"/>
      <c r="B40" s="2006" t="s">
        <v>259</v>
      </c>
      <c r="C40" s="2019"/>
      <c r="D40" s="540" t="s">
        <v>221</v>
      </c>
      <c r="E40" s="315" t="s">
        <v>221</v>
      </c>
      <c r="F40" s="313">
        <v>4.3106000000000004E-3</v>
      </c>
      <c r="G40" s="313">
        <f>'actual fig'!X63/10000000</f>
        <v>3.20234E-2</v>
      </c>
      <c r="H40" s="407" t="s">
        <v>221</v>
      </c>
      <c r="I40" s="314" t="s">
        <v>221</v>
      </c>
    </row>
    <row r="41" spans="1:15" ht="15" x14ac:dyDescent="0.35">
      <c r="A41" s="2020"/>
      <c r="B41" s="2021" t="s">
        <v>419</v>
      </c>
      <c r="C41" s="2022"/>
      <c r="D41" s="2022"/>
      <c r="E41" s="2022"/>
      <c r="F41" s="2022"/>
      <c r="G41" s="2022"/>
      <c r="H41" s="2022"/>
      <c r="I41" s="2023"/>
    </row>
    <row r="42" spans="1:15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v>0</v>
      </c>
      <c r="G42" s="315">
        <f>'actual fig'!L63/1000000</f>
        <v>0.160717</v>
      </c>
      <c r="H42" s="314" t="s">
        <v>221</v>
      </c>
      <c r="I42" s="314" t="s">
        <v>221</v>
      </c>
      <c r="L42" s="590"/>
    </row>
    <row r="43" spans="1:15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3">
        <v>0</v>
      </c>
      <c r="G43" s="313">
        <f>'actual fig'!M63/1000000</f>
        <v>5.4493E-2</v>
      </c>
      <c r="H43" s="2027" t="s">
        <v>221</v>
      </c>
      <c r="I43" s="314" t="s">
        <v>221</v>
      </c>
    </row>
    <row r="44" spans="1:15" ht="15.4" x14ac:dyDescent="0.4">
      <c r="A44" s="2020"/>
      <c r="B44" s="2070"/>
      <c r="C44" s="320" t="s">
        <v>228</v>
      </c>
      <c r="D44" s="2163"/>
      <c r="E44" s="2155"/>
      <c r="F44" s="313">
        <v>5.1163E-2</v>
      </c>
      <c r="G44" s="313">
        <f>'actual fig'!N63/1000000</f>
        <v>0.77303999999999995</v>
      </c>
      <c r="H44" s="2029"/>
      <c r="I44" s="314">
        <v>738.5</v>
      </c>
    </row>
    <row r="45" spans="1:15" ht="15" x14ac:dyDescent="0.35">
      <c r="A45" s="2020">
        <v>6</v>
      </c>
      <c r="B45" s="2021" t="s">
        <v>521</v>
      </c>
      <c r="C45" s="2022"/>
      <c r="D45" s="2022"/>
      <c r="E45" s="2022"/>
      <c r="F45" s="2022"/>
      <c r="G45" s="2022"/>
      <c r="H45" s="2022"/>
      <c r="I45" s="2023"/>
    </row>
    <row r="46" spans="1:15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/>
      <c r="G46" s="313"/>
      <c r="H46" s="2027" t="s">
        <v>221</v>
      </c>
      <c r="I46" s="314" t="e">
        <f>(G46-F46)/F46*100</f>
        <v>#DIV/0!</v>
      </c>
    </row>
    <row r="47" spans="1:15" ht="15.4" x14ac:dyDescent="0.4">
      <c r="A47" s="2020"/>
      <c r="B47" s="2006" t="s">
        <v>37</v>
      </c>
      <c r="C47" s="2007"/>
      <c r="D47" s="303" t="s">
        <v>221</v>
      </c>
      <c r="E47" s="2025"/>
      <c r="F47" s="313"/>
      <c r="G47" s="313"/>
      <c r="H47" s="2028"/>
      <c r="I47" s="314" t="e">
        <f>(G47-F47)/F47*100</f>
        <v>#DIV/0!</v>
      </c>
    </row>
    <row r="48" spans="1:15" ht="15.4" x14ac:dyDescent="0.4">
      <c r="A48" s="2020"/>
      <c r="B48" s="2006" t="s">
        <v>38</v>
      </c>
      <c r="C48" s="2007"/>
      <c r="D48" s="303" t="s">
        <v>221</v>
      </c>
      <c r="E48" s="2026"/>
      <c r="F48" s="313"/>
      <c r="G48" s="313"/>
      <c r="H48" s="2029"/>
      <c r="I48" s="314" t="e">
        <f>(G48-F48)/F48*100</f>
        <v>#DIV/0!</v>
      </c>
    </row>
    <row r="50" spans="5:9" s="5" customFormat="1" ht="15.4" x14ac:dyDescent="0.4">
      <c r="E50" s="5">
        <v>67.8</v>
      </c>
      <c r="F50" s="12">
        <f>F35+F36+F37+F38+F39</f>
        <v>7.2499999999999995E-2</v>
      </c>
      <c r="G50" s="12">
        <f>G35+G36+G37+G38+G39</f>
        <v>0.17022470000000001</v>
      </c>
      <c r="H50" s="314">
        <f>(G50-E50)/E50*100</f>
        <v>-99.748931120943936</v>
      </c>
      <c r="I50" s="316">
        <f>(G50-F50)/F50*100</f>
        <v>134.79268965517244</v>
      </c>
    </row>
    <row r="51" spans="5:9" s="5" customFormat="1" ht="13.5" x14ac:dyDescent="0.35">
      <c r="E51" s="5">
        <f>(E36*10000000)/100000</f>
        <v>21.34</v>
      </c>
      <c r="F51" s="12"/>
    </row>
    <row r="52" spans="5:9" s="5" customFormat="1" ht="13.5" x14ac:dyDescent="0.35">
      <c r="E52" s="5">
        <f>(E37*10000000)/100000</f>
        <v>12.833</v>
      </c>
      <c r="F52" s="12"/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B40:C40"/>
    <mergeCell ref="A41:A44"/>
    <mergeCell ref="B41:I41"/>
    <mergeCell ref="B42:C42"/>
    <mergeCell ref="B43:B44"/>
    <mergeCell ref="D43:D44"/>
    <mergeCell ref="E43:E44"/>
    <mergeCell ref="H43:H44"/>
    <mergeCell ref="B33:C33"/>
    <mergeCell ref="A34:A39"/>
    <mergeCell ref="B34:I34"/>
    <mergeCell ref="B35:C35"/>
    <mergeCell ref="B36:C36"/>
    <mergeCell ref="B38:C38"/>
    <mergeCell ref="B39:C39"/>
    <mergeCell ref="A26:A32"/>
    <mergeCell ref="B26:I26"/>
    <mergeCell ref="B27:C27"/>
    <mergeCell ref="B28:C28"/>
    <mergeCell ref="B29:C29"/>
    <mergeCell ref="B30:C30"/>
    <mergeCell ref="B31:C31"/>
    <mergeCell ref="B32:C32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17" right="0.2" top="0.34" bottom="0.75" header="0.3" footer="0.3"/>
  <pageSetup paperSize="9" scale="51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W64"/>
  <sheetViews>
    <sheetView topLeftCell="A9" workbookViewId="0">
      <selection activeCell="G42" sqref="G42:G44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7.265625" style="5" customWidth="1"/>
    <col min="4" max="4" width="8.3984375" style="84" customWidth="1"/>
    <col min="5" max="5" width="11.265625" style="35" customWidth="1"/>
    <col min="6" max="6" width="11" style="5" customWidth="1"/>
    <col min="7" max="7" width="12" style="5" customWidth="1"/>
    <col min="8" max="8" width="10.1328125" style="11" customWidth="1"/>
    <col min="9" max="9" width="9.1328125" style="82" customWidth="1"/>
    <col min="10" max="10" width="9.1328125" style="5"/>
    <col min="11" max="11" width="10.1328125" style="5" bestFit="1" customWidth="1"/>
    <col min="12" max="12" width="10" style="5" customWidth="1"/>
    <col min="13" max="13" width="10.1328125" style="5" customWidth="1"/>
    <col min="14" max="14" width="10.1328125" style="5" bestFit="1" customWidth="1"/>
    <col min="15" max="15" width="22.73046875" style="5" customWidth="1"/>
    <col min="16" max="16" width="9.265625" style="5" customWidth="1"/>
    <col min="17" max="16384" width="9.1328125" style="5"/>
  </cols>
  <sheetData>
    <row r="1" spans="1:16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ht="17.25" thickBot="1" x14ac:dyDescent="0.5">
      <c r="A2" s="2092" t="s">
        <v>541</v>
      </c>
      <c r="B2" s="2093"/>
      <c r="C2" s="2093"/>
      <c r="D2" s="2093"/>
      <c r="E2" s="2093"/>
      <c r="F2" s="2093"/>
      <c r="G2" s="2093"/>
      <c r="H2" s="2093"/>
      <c r="I2" s="2094"/>
    </row>
    <row r="3" spans="1:1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6" s="35" customFormat="1" ht="15" x14ac:dyDescent="0.45">
      <c r="A4" s="2035"/>
      <c r="B4" s="2047"/>
      <c r="C4" s="2048"/>
      <c r="D4" s="366" t="s">
        <v>9</v>
      </c>
      <c r="E4" s="383">
        <f>G4</f>
        <v>44409</v>
      </c>
      <c r="F4" s="383">
        <v>43678</v>
      </c>
      <c r="G4" s="383">
        <v>44409</v>
      </c>
      <c r="H4" s="2041" t="s">
        <v>12</v>
      </c>
      <c r="I4" s="2041" t="s">
        <v>13</v>
      </c>
      <c r="N4" s="380"/>
      <c r="O4" s="380">
        <v>-139760361</v>
      </c>
    </row>
    <row r="5" spans="1:16" ht="15" x14ac:dyDescent="0.3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O5" s="5">
        <f>O4/10000000</f>
        <v>-13.9760361</v>
      </c>
    </row>
    <row r="6" spans="1:16" x14ac:dyDescent="0.35">
      <c r="A6" s="372">
        <v>1</v>
      </c>
      <c r="B6" s="2049" t="s">
        <v>14</v>
      </c>
      <c r="C6" s="2049"/>
      <c r="D6" s="304" t="s">
        <v>221</v>
      </c>
      <c r="E6" s="305">
        <v>62.27</v>
      </c>
      <c r="F6" s="305">
        <f>F15+F16+F17</f>
        <v>6.9653946000000007</v>
      </c>
      <c r="G6" s="305">
        <f>G15+G16+G17</f>
        <v>51.698323626000004</v>
      </c>
      <c r="H6" s="306">
        <f>(G6-E6)/E6*100</f>
        <v>-16.977158140356511</v>
      </c>
      <c r="I6" s="306">
        <f>(G6-F6)/F6*100</f>
        <v>642.21672417525349</v>
      </c>
      <c r="K6" s="12">
        <f>G6+'MAY 2020'!G6+'APRIL 2020'!G6</f>
        <v>37.541590026000009</v>
      </c>
    </row>
    <row r="7" spans="1:16" x14ac:dyDescent="0.35">
      <c r="A7" s="373">
        <v>2</v>
      </c>
      <c r="B7" s="2050" t="s">
        <v>71</v>
      </c>
      <c r="C7" s="2051"/>
      <c r="D7" s="307" t="s">
        <v>221</v>
      </c>
      <c r="E7" s="307">
        <v>8.61</v>
      </c>
      <c r="F7" s="307">
        <f>F19+F20+F21+F22+F23+F24+F25</f>
        <v>7.7781907000000006</v>
      </c>
      <c r="G7" s="307">
        <f>G19+G20+G21+G22+G23+G24+G25</f>
        <v>30.321334500000003</v>
      </c>
      <c r="H7" s="306">
        <f>(G7-E7)/E7*100</f>
        <v>252.16416376306628</v>
      </c>
      <c r="I7" s="306">
        <f>(G7-F7)/F7*100</f>
        <v>289.82503347468713</v>
      </c>
      <c r="L7" s="5" t="s">
        <v>203</v>
      </c>
      <c r="M7" s="172">
        <f>129802/10000000</f>
        <v>1.2980200000000001E-2</v>
      </c>
    </row>
    <row r="8" spans="1:16" x14ac:dyDescent="0.35">
      <c r="A8" s="374">
        <v>3</v>
      </c>
      <c r="B8" s="2021" t="s">
        <v>22</v>
      </c>
      <c r="C8" s="2023"/>
      <c r="D8" s="364" t="s">
        <v>221</v>
      </c>
      <c r="E8" s="364">
        <v>5.48</v>
      </c>
      <c r="F8" s="364">
        <f>F27+F28+F29+F30+F31+F32+F33</f>
        <v>1.0555658999999999</v>
      </c>
      <c r="G8" s="364">
        <f>G27+G28+G29+G30+G31+G32+G33</f>
        <v>4.8645717999999993</v>
      </c>
      <c r="H8" s="306">
        <f>(G8-E8)/E8*100</f>
        <v>-11.230441605839435</v>
      </c>
      <c r="I8" s="306">
        <f>(G8-F8)/F8*100</f>
        <v>360.84965419970462</v>
      </c>
      <c r="L8" s="5">
        <v>0.46</v>
      </c>
      <c r="M8" s="5">
        <f>2320</f>
        <v>2320</v>
      </c>
      <c r="N8" s="5">
        <v>4643517</v>
      </c>
      <c r="O8" s="5">
        <f>SUM(M8:N8)</f>
        <v>4645837</v>
      </c>
      <c r="P8" s="12">
        <f>O8/10000000</f>
        <v>0.46458369999999999</v>
      </c>
    </row>
    <row r="9" spans="1:16" x14ac:dyDescent="0.35">
      <c r="A9" s="373">
        <v>4</v>
      </c>
      <c r="B9" s="2052" t="s">
        <v>220</v>
      </c>
      <c r="C9" s="2053"/>
      <c r="D9" s="307">
        <f>D35+D36+D37</f>
        <v>2.73</v>
      </c>
      <c r="E9" s="307">
        <f>E35+E36+E37</f>
        <v>0.67873000000000006</v>
      </c>
      <c r="F9" s="307">
        <f>F35+F36+F37+F38+F39+F40</f>
        <v>0.16893810000000001</v>
      </c>
      <c r="G9" s="307">
        <f>G35+G36+G37+G38+G39+G40</f>
        <v>1.4616636000000001</v>
      </c>
      <c r="H9" s="306">
        <f>(G9-E9)/E9*100</f>
        <v>115.35273230887097</v>
      </c>
      <c r="I9" s="306">
        <f>(G9-F9)/F9*100</f>
        <v>765.20660525955952</v>
      </c>
    </row>
    <row r="10" spans="1:16" ht="17.649999999999999" x14ac:dyDescent="0.35">
      <c r="A10" s="374">
        <v>5</v>
      </c>
      <c r="B10" s="2054" t="s">
        <v>33</v>
      </c>
      <c r="C10" s="2055"/>
      <c r="D10" s="321" t="s">
        <v>221</v>
      </c>
      <c r="E10" s="321">
        <f>SUM(E6:E9)</f>
        <v>77.038730000000001</v>
      </c>
      <c r="F10" s="321">
        <f>SUM(F6:F9)</f>
        <v>15.968089300000001</v>
      </c>
      <c r="G10" s="321">
        <f>SUM(G6:G9)</f>
        <v>88.345893525999998</v>
      </c>
      <c r="H10" s="322" t="s">
        <v>221</v>
      </c>
      <c r="I10" s="306">
        <f>(G10-F10)/F10*100</f>
        <v>453.26527718003177</v>
      </c>
    </row>
    <row r="11" spans="1:16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6" ht="18.399999999999999" thickTop="1" thickBot="1" x14ac:dyDescent="0.5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8.6623999999999993E-2</v>
      </c>
      <c r="G12" s="447">
        <f>G42+G43+G44</f>
        <v>1.190463</v>
      </c>
      <c r="H12" s="310" t="s">
        <v>221</v>
      </c>
      <c r="I12" s="311">
        <f>(G12-F12)/F12*100</f>
        <v>1274.2877262652382</v>
      </c>
      <c r="L12" s="5">
        <v>1168</v>
      </c>
      <c r="M12" s="5">
        <v>-78978</v>
      </c>
      <c r="N12" s="5" t="s">
        <v>164</v>
      </c>
      <c r="O12">
        <f>L12+M12</f>
        <v>-77810</v>
      </c>
      <c r="P12" s="13">
        <f>O12/1000000</f>
        <v>-7.7810000000000004E-2</v>
      </c>
    </row>
    <row r="13" spans="1:16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M13" s="5">
        <f>M12/100000</f>
        <v>-0.78978000000000004</v>
      </c>
    </row>
    <row r="14" spans="1:16" ht="15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</row>
    <row r="15" spans="1:16" ht="15.4" x14ac:dyDescent="0.4">
      <c r="A15" s="2004"/>
      <c r="B15" s="2006" t="s">
        <v>16</v>
      </c>
      <c r="C15" s="2007"/>
      <c r="D15" s="331" t="s">
        <v>221</v>
      </c>
      <c r="E15" s="307">
        <f>'TARGET SHEET 2021-22'!B13</f>
        <v>0.14000000000000001</v>
      </c>
      <c r="F15" s="315">
        <f>'actual fig'!L85/10000000</f>
        <v>6.8099999999999996E-4</v>
      </c>
      <c r="G15" s="404">
        <f>'actual fig'!L48/10000000</f>
        <v>8.4121825999999997E-2</v>
      </c>
      <c r="H15" s="314" t="s">
        <v>221</v>
      </c>
      <c r="I15" s="314">
        <v>0</v>
      </c>
    </row>
    <row r="16" spans="1:16" ht="15.4" x14ac:dyDescent="0.4">
      <c r="A16" s="2004"/>
      <c r="B16" s="2071" t="s">
        <v>15</v>
      </c>
      <c r="C16" s="320" t="s">
        <v>166</v>
      </c>
      <c r="D16" s="2064" t="s">
        <v>221</v>
      </c>
      <c r="E16" s="2205">
        <f>'TARGET SHEET 2021-22'!C13</f>
        <v>62.13</v>
      </c>
      <c r="F16" s="313">
        <f>'actual fig'!M85/10000000</f>
        <v>1.3575E-3</v>
      </c>
      <c r="G16" s="404">
        <f>'actual fig'!M48/10000000</f>
        <v>5.9290500000000003E-2</v>
      </c>
      <c r="H16" s="2027" t="s">
        <v>221</v>
      </c>
      <c r="I16" s="314">
        <v>0</v>
      </c>
      <c r="J16" s="5">
        <v>78.37</v>
      </c>
    </row>
    <row r="17" spans="1:23" ht="15.75" x14ac:dyDescent="0.45">
      <c r="A17" s="2005"/>
      <c r="B17" s="2071"/>
      <c r="C17" s="320" t="s">
        <v>228</v>
      </c>
      <c r="D17" s="2064"/>
      <c r="E17" s="2206"/>
      <c r="F17" s="313">
        <f>'actual fig'!N85/10000000</f>
        <v>6.9633561000000004</v>
      </c>
      <c r="G17" s="313">
        <f>'actual fig'!N48/10000000</f>
        <v>51.554911300000001</v>
      </c>
      <c r="H17" s="2029"/>
      <c r="I17" s="314">
        <f>(G17-F17)/F17*100</f>
        <v>640.37447689914927</v>
      </c>
      <c r="L17" s="755">
        <v>443683</v>
      </c>
    </row>
    <row r="18" spans="1:23" ht="27" customHeight="1" x14ac:dyDescent="0.35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</row>
    <row r="19" spans="1:23" ht="18.75" customHeight="1" x14ac:dyDescent="0.45">
      <c r="A19" s="2004"/>
      <c r="B19" s="2008" t="s">
        <v>230</v>
      </c>
      <c r="C19" s="2000" t="s">
        <v>231</v>
      </c>
      <c r="D19" s="2001"/>
      <c r="E19" s="2002"/>
      <c r="F19" s="315">
        <f>19326308/10000000</f>
        <v>1.9326308000000001</v>
      </c>
      <c r="G19" s="315">
        <f>254875082/10000000</f>
        <v>25.487508200000001</v>
      </c>
      <c r="H19" s="316" t="s">
        <v>221</v>
      </c>
      <c r="I19" s="314">
        <f>(G19-F19)/F19*100</f>
        <v>1218.7986137859336</v>
      </c>
      <c r="L19">
        <v>3905717</v>
      </c>
      <c r="M19" s="5">
        <f>L19/10000000</f>
        <v>0.39057170000000002</v>
      </c>
      <c r="V19" s="5" t="s">
        <v>77</v>
      </c>
    </row>
    <row r="20" spans="1:23" ht="18.75" customHeight="1" x14ac:dyDescent="0.4">
      <c r="A20" s="2004"/>
      <c r="B20" s="2009"/>
      <c r="C20" s="2000" t="s">
        <v>232</v>
      </c>
      <c r="D20" s="2001"/>
      <c r="E20" s="2002"/>
      <c r="F20" s="315">
        <f>33482164/10000000</f>
        <v>3.3482164000000001</v>
      </c>
      <c r="G20" s="315">
        <f>11003118/10000000</f>
        <v>1.1003118000000001</v>
      </c>
      <c r="H20" s="316" t="s">
        <v>221</v>
      </c>
      <c r="I20" s="314">
        <f>(G20-F20)/F20*100</f>
        <v>-67.137374991652266</v>
      </c>
      <c r="V20" s="5" t="s">
        <v>203</v>
      </c>
      <c r="W20" s="5" t="s">
        <v>202</v>
      </c>
    </row>
    <row r="21" spans="1:23" ht="18.75" customHeight="1" x14ac:dyDescent="0.4">
      <c r="A21" s="2004"/>
      <c r="B21" s="2009"/>
      <c r="C21" s="2000" t="s">
        <v>239</v>
      </c>
      <c r="D21" s="2001"/>
      <c r="E21" s="2002"/>
      <c r="F21" s="315">
        <f>19522604/10000000</f>
        <v>1.9522603999999999</v>
      </c>
      <c r="G21" s="315">
        <f>29090090/10000000</f>
        <v>2.9090090000000002</v>
      </c>
      <c r="H21" s="316" t="s">
        <v>221</v>
      </c>
      <c r="I21" s="314">
        <v>0</v>
      </c>
      <c r="U21" s="5">
        <v>1547760</v>
      </c>
      <c r="V21" s="5">
        <v>280853</v>
      </c>
      <c r="W21" s="5">
        <v>183087</v>
      </c>
    </row>
    <row r="22" spans="1:23" ht="18.75" customHeight="1" x14ac:dyDescent="0.4">
      <c r="A22" s="2004"/>
      <c r="B22" s="2009"/>
      <c r="C22" s="2000" t="s">
        <v>233</v>
      </c>
      <c r="D22" s="2001"/>
      <c r="E22" s="2002"/>
      <c r="F22" s="315">
        <f>5450831/10000000</f>
        <v>0.54508310000000004</v>
      </c>
      <c r="G22" s="315">
        <f>8245055/10000000</f>
        <v>0.8245055</v>
      </c>
      <c r="H22" s="316" t="s">
        <v>221</v>
      </c>
      <c r="I22" s="314">
        <f>(G22-F22)/F22*100</f>
        <v>51.262348805163825</v>
      </c>
      <c r="U22" s="5">
        <f>U21-V25</f>
        <v>613144</v>
      </c>
      <c r="V22" s="5">
        <v>18394</v>
      </c>
    </row>
    <row r="23" spans="1:23" ht="18.75" customHeight="1" x14ac:dyDescent="0.4">
      <c r="A23" s="2004"/>
      <c r="B23" s="2009"/>
      <c r="C23" s="2000" t="s">
        <v>234</v>
      </c>
      <c r="D23" s="2001"/>
      <c r="E23" s="2002"/>
      <c r="F23" s="315">
        <v>0</v>
      </c>
      <c r="G23" s="315">
        <v>0</v>
      </c>
      <c r="H23" s="316" t="s">
        <v>221</v>
      </c>
      <c r="I23" s="314" t="e">
        <f>(G23-F23)/F23*100</f>
        <v>#DIV/0!</v>
      </c>
      <c r="O23" s="5">
        <f>2500/3</f>
        <v>833.33333333333337</v>
      </c>
      <c r="U23" s="5">
        <f>U22/10000000</f>
        <v>6.1314399999999998E-2</v>
      </c>
      <c r="V23" s="5">
        <v>137518</v>
      </c>
    </row>
    <row r="24" spans="1:23" ht="18.75" customHeight="1" x14ac:dyDescent="0.4">
      <c r="A24" s="2004"/>
      <c r="B24" s="2009"/>
      <c r="C24" s="2000" t="s">
        <v>235</v>
      </c>
      <c r="D24" s="2001"/>
      <c r="E24" s="2002"/>
      <c r="F24" s="315">
        <v>0</v>
      </c>
      <c r="G24" s="315">
        <v>0</v>
      </c>
      <c r="H24" s="316"/>
      <c r="I24" s="314">
        <v>0</v>
      </c>
      <c r="P24" s="5" t="s">
        <v>265</v>
      </c>
      <c r="V24" s="5">
        <v>497851</v>
      </c>
    </row>
    <row r="25" spans="1:23" ht="31.5" customHeight="1" x14ac:dyDescent="0.4">
      <c r="A25" s="2005"/>
      <c r="B25" s="2010"/>
      <c r="C25" s="2011" t="s">
        <v>236</v>
      </c>
      <c r="D25" s="2012"/>
      <c r="E25" s="2013"/>
      <c r="F25" s="315">
        <v>0</v>
      </c>
      <c r="G25" s="315">
        <v>0</v>
      </c>
      <c r="H25" s="316" t="s">
        <v>221</v>
      </c>
      <c r="I25" s="314">
        <v>0</v>
      </c>
      <c r="N25" s="5">
        <f>0.14*100000</f>
        <v>14000.000000000002</v>
      </c>
      <c r="V25" s="5">
        <f>SUM(V21:V24)</f>
        <v>934616</v>
      </c>
    </row>
    <row r="26" spans="1:23" ht="24.75" customHeight="1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  <c r="N26" s="5">
        <f>N25/10000000</f>
        <v>1.4000000000000002E-3</v>
      </c>
    </row>
    <row r="27" spans="1:23" ht="15.4" x14ac:dyDescent="0.4">
      <c r="A27" s="2015"/>
      <c r="B27" s="2006" t="s">
        <v>2</v>
      </c>
      <c r="C27" s="2007"/>
      <c r="D27" s="331">
        <v>6</v>
      </c>
      <c r="E27" s="307">
        <f>'TARGET SHEET 2021-22'!R41</f>
        <v>0.5</v>
      </c>
      <c r="F27" s="134">
        <v>7.2919999999999999E-3</v>
      </c>
      <c r="G27" s="313">
        <f>4410979/10000000</f>
        <v>0.44109789999999999</v>
      </c>
      <c r="H27" s="496">
        <f>(G27-E27)/E27*100</f>
        <v>-11.780420000000003</v>
      </c>
      <c r="I27" s="496">
        <f t="shared" ref="I27:I33" si="0">(G27-F27)/F27*100</f>
        <v>5949.066099835436</v>
      </c>
      <c r="K27" s="5">
        <f>2*10000000</f>
        <v>20000000</v>
      </c>
      <c r="L27" s="5">
        <v>23876641</v>
      </c>
      <c r="M27" s="5">
        <v>15888</v>
      </c>
      <c r="Q27" s="5">
        <v>1936433</v>
      </c>
      <c r="R27" s="5">
        <v>494905</v>
      </c>
      <c r="S27" s="5">
        <f>Q27-R27-R28-R29</f>
        <v>3090</v>
      </c>
    </row>
    <row r="28" spans="1:23" ht="15.4" x14ac:dyDescent="0.4">
      <c r="A28" s="2015"/>
      <c r="B28" s="2006" t="s">
        <v>23</v>
      </c>
      <c r="C28" s="2007"/>
      <c r="D28" s="331" t="s">
        <v>221</v>
      </c>
      <c r="E28" s="307">
        <f>'TARGET SHEET 2021-22'!B41</f>
        <v>1.5</v>
      </c>
      <c r="F28" s="134">
        <v>0.75277240000000001</v>
      </c>
      <c r="G28" s="313">
        <f>'actual fig'!V48/10000000</f>
        <v>2.4330579000000001</v>
      </c>
      <c r="H28" s="496">
        <f t="shared" ref="H28:H33" si="1">(G28-E28)/E28*100</f>
        <v>62.203860000000013</v>
      </c>
      <c r="I28" s="496">
        <f t="shared" si="0"/>
        <v>223.21295254714443</v>
      </c>
      <c r="K28" s="5">
        <f>K27/31</f>
        <v>645161.29032258061</v>
      </c>
      <c r="L28" s="5">
        <f>L27-M34</f>
        <v>18418</v>
      </c>
      <c r="M28" s="5">
        <v>1467371</v>
      </c>
      <c r="R28" s="5">
        <v>943533</v>
      </c>
      <c r="S28" s="5">
        <f>S27+400</f>
        <v>3490</v>
      </c>
      <c r="T28" s="5">
        <f>S28/10000000</f>
        <v>3.4900000000000003E-4</v>
      </c>
    </row>
    <row r="29" spans="1:23" ht="15.4" x14ac:dyDescent="0.4">
      <c r="A29" s="2015"/>
      <c r="B29" s="2006" t="s">
        <v>1</v>
      </c>
      <c r="C29" s="2007"/>
      <c r="D29" s="331" t="s">
        <v>221</v>
      </c>
      <c r="E29" s="307">
        <f>'TARGET SHEET 2021-22'!C41</f>
        <v>0.25</v>
      </c>
      <c r="F29" s="313">
        <v>6.4517000000000003E-3</v>
      </c>
      <c r="G29" s="405">
        <f>'actual fig'!W48/10000000</f>
        <v>0.1217897</v>
      </c>
      <c r="H29" s="496">
        <f t="shared" si="1"/>
        <v>-51.284120000000001</v>
      </c>
      <c r="I29" s="496">
        <f t="shared" si="0"/>
        <v>1787.7148658493109</v>
      </c>
      <c r="K29" s="5">
        <f>K28*15</f>
        <v>9677419.3548387084</v>
      </c>
      <c r="M29" s="5">
        <v>2923510</v>
      </c>
      <c r="R29" s="5">
        <v>494905</v>
      </c>
    </row>
    <row r="30" spans="1:23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313">
        <v>0</v>
      </c>
      <c r="G30" s="381">
        <f>'actual fig'!Y48/10000000</f>
        <v>2.1985999999999999E-2</v>
      </c>
      <c r="H30" s="496" t="e">
        <f t="shared" si="1"/>
        <v>#VALUE!</v>
      </c>
      <c r="I30" s="496" t="e">
        <f t="shared" si="0"/>
        <v>#DIV/0!</v>
      </c>
      <c r="K30" s="5">
        <f>K29/10000000</f>
        <v>0.96774193548387089</v>
      </c>
      <c r="M30" s="5">
        <v>17118533</v>
      </c>
    </row>
    <row r="31" spans="1:23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313">
        <v>0</v>
      </c>
      <c r="G31" s="315">
        <v>0</v>
      </c>
      <c r="H31" s="496" t="e">
        <f t="shared" si="1"/>
        <v>#VALUE!</v>
      </c>
      <c r="I31" s="496" t="e">
        <f t="shared" si="0"/>
        <v>#DIV/0!</v>
      </c>
      <c r="M31" s="5">
        <v>858350</v>
      </c>
    </row>
    <row r="32" spans="1:23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313">
        <v>0.28904980000000002</v>
      </c>
      <c r="G32" s="134">
        <f>'actual fig'!T48/10000000</f>
        <v>1.7619872000000001</v>
      </c>
      <c r="H32" s="496" t="e">
        <f t="shared" si="1"/>
        <v>#VALUE!</v>
      </c>
      <c r="I32" s="496">
        <f t="shared" si="0"/>
        <v>509.57911058924799</v>
      </c>
      <c r="M32" s="5">
        <v>1467371</v>
      </c>
      <c r="O32" s="380">
        <v>3247525</v>
      </c>
      <c r="P32" s="5">
        <f>O32/10000000</f>
        <v>0.3247525</v>
      </c>
      <c r="T32" s="5">
        <v>62410</v>
      </c>
      <c r="U32" s="5">
        <v>1075</v>
      </c>
      <c r="V32" s="5">
        <v>73271</v>
      </c>
      <c r="W32" s="5">
        <f>T32+U32+V32</f>
        <v>136756</v>
      </c>
    </row>
    <row r="33" spans="1:23" x14ac:dyDescent="0.45">
      <c r="A33" s="403"/>
      <c r="B33" s="402" t="s">
        <v>266</v>
      </c>
      <c r="C33" s="409"/>
      <c r="D33" s="332"/>
      <c r="E33" s="308"/>
      <c r="F33" s="283">
        <v>0</v>
      </c>
      <c r="G33" s="425">
        <f>'actual fig'!Z48/10000000</f>
        <v>8.4653099999999995E-2</v>
      </c>
      <c r="H33" s="496" t="e">
        <f t="shared" si="1"/>
        <v>#DIV/0!</v>
      </c>
      <c r="I33" s="496" t="e">
        <f t="shared" si="0"/>
        <v>#DIV/0!</v>
      </c>
      <c r="M33" s="5">
        <v>7200</v>
      </c>
      <c r="O33" s="380"/>
      <c r="T33" s="5">
        <v>66420</v>
      </c>
      <c r="U33" s="5">
        <v>355</v>
      </c>
      <c r="W33" s="5">
        <f>T33+U33+V33</f>
        <v>66775</v>
      </c>
    </row>
    <row r="34" spans="1:23" ht="15" x14ac:dyDescent="0.4">
      <c r="A34" s="2020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  <c r="M34" s="26">
        <f>SUM(M27:M33)</f>
        <v>23858223</v>
      </c>
      <c r="T34" s="5">
        <f>SUM(T32:T33)</f>
        <v>128830</v>
      </c>
      <c r="U34" s="5">
        <f>SUM(U32:U33)</f>
        <v>1430</v>
      </c>
      <c r="V34" s="5">
        <f>SUM(V32:V33)</f>
        <v>73271</v>
      </c>
      <c r="W34" s="5">
        <f>SUM(W32:W33)</f>
        <v>203531</v>
      </c>
    </row>
    <row r="35" spans="1:23" ht="15.4" x14ac:dyDescent="0.4">
      <c r="A35" s="2020"/>
      <c r="B35" s="2006" t="s">
        <v>27</v>
      </c>
      <c r="C35" s="2007"/>
      <c r="D35" s="331">
        <v>2.4300000000000002</v>
      </c>
      <c r="E35" s="307">
        <f>'TARGET SHEET 2021-22'!J13</f>
        <v>0.33700000000000002</v>
      </c>
      <c r="F35" s="134">
        <v>5.7000000000000002E-2</v>
      </c>
      <c r="G35" s="381">
        <f>'actual fig'!T64/10000000</f>
        <v>0.71062769999999997</v>
      </c>
      <c r="H35" s="314">
        <f>(G35-E35)/E35*100</f>
        <v>110.8687537091988</v>
      </c>
      <c r="I35" s="314">
        <f>(G35-F35)/F35*100</f>
        <v>1146.7152631578947</v>
      </c>
      <c r="K35" s="5">
        <f>725000/10000000</f>
        <v>7.2499999999999995E-2</v>
      </c>
      <c r="L35" s="5">
        <v>116783</v>
      </c>
      <c r="M35" s="5">
        <v>100</v>
      </c>
      <c r="N35" s="5">
        <f>L35-M39</f>
        <v>116783</v>
      </c>
      <c r="T35" s="5">
        <f>T34/10000000</f>
        <v>1.2883E-2</v>
      </c>
    </row>
    <row r="36" spans="1:23" ht="15.4" x14ac:dyDescent="0.4">
      <c r="A36" s="2020"/>
      <c r="B36" s="2006" t="s">
        <v>28</v>
      </c>
      <c r="C36" s="2007"/>
      <c r="D36" s="333">
        <v>0.11</v>
      </c>
      <c r="E36" s="307">
        <f>'TARGET SHEET 2021-22'!K13</f>
        <v>0.21340000000000001</v>
      </c>
      <c r="F36" s="134">
        <v>0</v>
      </c>
      <c r="G36" s="313">
        <v>0</v>
      </c>
      <c r="H36" s="314">
        <f>(G36-E36)/E36*100</f>
        <v>-100</v>
      </c>
      <c r="I36" s="314" t="e">
        <f>(G36-F36)/F36*100</f>
        <v>#DIV/0!</v>
      </c>
      <c r="M36" s="5">
        <v>1568</v>
      </c>
    </row>
    <row r="37" spans="1:23" ht="15.4" x14ac:dyDescent="0.4">
      <c r="A37" s="2020"/>
      <c r="B37" s="378" t="s">
        <v>224</v>
      </c>
      <c r="C37" s="379"/>
      <c r="D37" s="331">
        <v>0.19</v>
      </c>
      <c r="E37" s="307">
        <f>'TARGET SHEET 2021-22'!L13</f>
        <v>0.12833</v>
      </c>
      <c r="F37" s="313">
        <v>7.7015100000000003E-2</v>
      </c>
      <c r="G37" s="313">
        <f>'actual fig'!V64/10000000</f>
        <v>1.0359E-3</v>
      </c>
      <c r="H37" s="314">
        <f>(G37-E37)/E37*100</f>
        <v>-99.19278422816177</v>
      </c>
      <c r="I37" s="314">
        <f>(G37-F37)/F37*100</f>
        <v>-98.654939096359016</v>
      </c>
      <c r="M37" s="5">
        <v>100</v>
      </c>
      <c r="O37" s="5" t="s">
        <v>274</v>
      </c>
    </row>
    <row r="38" spans="1:23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313">
        <v>0</v>
      </c>
      <c r="G38" s="313">
        <v>0</v>
      </c>
      <c r="H38" s="314" t="s">
        <v>221</v>
      </c>
      <c r="I38" s="314">
        <v>0</v>
      </c>
      <c r="M38" s="5">
        <v>1064</v>
      </c>
    </row>
    <row r="39" spans="1:23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313">
        <v>0</v>
      </c>
      <c r="G39" s="313">
        <f>'actual fig'!W64/10000000</f>
        <v>0</v>
      </c>
      <c r="H39" s="314" t="s">
        <v>221</v>
      </c>
      <c r="I39" s="314">
        <v>0</v>
      </c>
      <c r="L39" s="5">
        <f>116783-73677</f>
        <v>43106</v>
      </c>
      <c r="P39" s="5">
        <v>2.4300000000000002</v>
      </c>
      <c r="Q39" s="5">
        <v>0.20250000000000001</v>
      </c>
      <c r="R39" s="5">
        <f>Q39*4</f>
        <v>0.81</v>
      </c>
      <c r="T39" s="5">
        <f>269354-88926</f>
        <v>180428</v>
      </c>
    </row>
    <row r="40" spans="1:23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313">
        <v>3.4923000000000003E-2</v>
      </c>
      <c r="G40" s="832">
        <v>0.75</v>
      </c>
      <c r="H40" s="314" t="s">
        <v>221</v>
      </c>
      <c r="I40" s="314">
        <f>(G40-F40)/F40*100</f>
        <v>2047.5818228674509</v>
      </c>
      <c r="P40" s="5">
        <v>0.11</v>
      </c>
      <c r="Q40" s="5">
        <v>8.9999999999999993E-3</v>
      </c>
      <c r="R40" s="5">
        <f>Q40*4</f>
        <v>3.5999999999999997E-2</v>
      </c>
      <c r="T40" s="5">
        <f>T39/10000000</f>
        <v>1.8042800000000001E-2</v>
      </c>
    </row>
    <row r="41" spans="1:23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L41" s="5">
        <f>119576-84653</f>
        <v>34923</v>
      </c>
      <c r="P41" s="5">
        <v>0.19</v>
      </c>
      <c r="Q41" s="5">
        <v>1.6E-2</v>
      </c>
      <c r="R41" s="5">
        <f>Q41*4</f>
        <v>6.4000000000000001E-2</v>
      </c>
    </row>
    <row r="42" spans="1:23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315">
        <f>'actual fig'!L101/1000000</f>
        <v>8.4999999999999995E-4</v>
      </c>
      <c r="G42" s="404">
        <f>'actual fig'!L64/1000000</f>
        <v>0.202818</v>
      </c>
      <c r="H42" s="314" t="s">
        <v>221</v>
      </c>
      <c r="I42" s="314">
        <v>0</v>
      </c>
    </row>
    <row r="43" spans="1:23" ht="16.149999999999999" thickBot="1" x14ac:dyDescent="0.5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313">
        <f>'actual fig'!M101/1000000</f>
        <v>5.5099999999999995E-4</v>
      </c>
      <c r="G43" s="404">
        <f>'actual fig'!M64/1000000</f>
        <v>6.1156000000000002E-2</v>
      </c>
      <c r="H43" s="2027" t="s">
        <v>221</v>
      </c>
      <c r="I43" s="314">
        <v>0</v>
      </c>
      <c r="M43" s="429"/>
    </row>
    <row r="44" spans="1:23" ht="15.75" thickTop="1" x14ac:dyDescent="0.4">
      <c r="A44" s="2020"/>
      <c r="B44" s="2070"/>
      <c r="C44" s="320" t="s">
        <v>228</v>
      </c>
      <c r="D44" s="2068"/>
      <c r="E44" s="2066"/>
      <c r="F44" s="313">
        <f>'actual fig'!N101/1000000</f>
        <v>8.5222999999999993E-2</v>
      </c>
      <c r="G44" s="313">
        <f>'actual fig'!N64/1000000</f>
        <v>0.92648900000000001</v>
      </c>
      <c r="H44" s="2029"/>
      <c r="I44" s="314">
        <f>(G44-F44)/F44*100</f>
        <v>987.13492836440878</v>
      </c>
    </row>
    <row r="45" spans="1:23" ht="15" x14ac:dyDescent="0.35">
      <c r="A45" s="2020">
        <v>6</v>
      </c>
      <c r="B45" s="2021" t="s">
        <v>273</v>
      </c>
      <c r="C45" s="2022"/>
      <c r="D45" s="2022"/>
      <c r="E45" s="2022"/>
      <c r="F45" s="2022"/>
      <c r="G45" s="2022"/>
      <c r="H45" s="2022"/>
      <c r="I45" s="2023"/>
    </row>
    <row r="46" spans="1:23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2"/>
      <c r="G46" s="312"/>
      <c r="H46" s="2027" t="s">
        <v>221</v>
      </c>
      <c r="I46" s="314" t="e">
        <f>(G46-F46)/F46*100</f>
        <v>#DIV/0!</v>
      </c>
    </row>
    <row r="47" spans="1:23" ht="15.4" x14ac:dyDescent="0.4">
      <c r="A47" s="2020"/>
      <c r="B47" s="2006" t="s">
        <v>37</v>
      </c>
      <c r="C47" s="2007"/>
      <c r="D47" s="303" t="s">
        <v>221</v>
      </c>
      <c r="E47" s="2025"/>
      <c r="F47" s="312"/>
      <c r="G47" s="312"/>
      <c r="H47" s="2028"/>
      <c r="I47" s="314" t="e">
        <f>(G47-F47)/F47*100</f>
        <v>#DIV/0!</v>
      </c>
    </row>
    <row r="48" spans="1:23" ht="15.4" x14ac:dyDescent="0.4">
      <c r="A48" s="2020"/>
      <c r="B48" s="2006" t="s">
        <v>38</v>
      </c>
      <c r="C48" s="2007"/>
      <c r="D48" s="303" t="s">
        <v>221</v>
      </c>
      <c r="E48" s="2026"/>
      <c r="F48" s="312"/>
      <c r="G48" s="312"/>
      <c r="H48" s="2029"/>
      <c r="I48" s="314" t="e">
        <f>(G48-F48)/F48*100</f>
        <v>#DIV/0!</v>
      </c>
    </row>
    <row r="50" spans="3:8" s="5" customFormat="1" ht="16.149999999999999" thickBot="1" x14ac:dyDescent="0.4">
      <c r="D50" s="84"/>
      <c r="E50" s="35"/>
      <c r="F50" s="824">
        <v>37181</v>
      </c>
      <c r="H50" s="11"/>
    </row>
    <row r="54" spans="3:8" s="5" customFormat="1" ht="13.5" x14ac:dyDescent="0.35">
      <c r="C54" s="12">
        <v>56.49</v>
      </c>
      <c r="D54" s="84">
        <v>18.96</v>
      </c>
      <c r="E54" s="428">
        <f>C54-D54</f>
        <v>37.53</v>
      </c>
      <c r="F54" s="12">
        <v>290</v>
      </c>
      <c r="G54" s="12">
        <f>E54+F54</f>
        <v>327.52999999999997</v>
      </c>
      <c r="H54" s="11"/>
    </row>
    <row r="64" spans="3:8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17" right="0.26" top="0.41" bottom="0.75" header="0.3" footer="0.3"/>
  <pageSetup paperSize="9" scale="38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FF0000"/>
    <pageSetUpPr fitToPage="1"/>
  </sheetPr>
  <dimension ref="A1:T64"/>
  <sheetViews>
    <sheetView topLeftCell="A10" workbookViewId="0">
      <selection activeCell="G35" sqref="G35:G40"/>
    </sheetView>
  </sheetViews>
  <sheetFormatPr defaultColWidth="9.1328125" defaultRowHeight="16.899999999999999" x14ac:dyDescent="0.35"/>
  <cols>
    <col min="1" max="1" width="5.86328125" style="376" customWidth="1"/>
    <col min="2" max="2" width="33.86328125" style="300" customWidth="1"/>
    <col min="3" max="3" width="6" style="5" bestFit="1" customWidth="1"/>
    <col min="4" max="4" width="11.3984375" style="84" bestFit="1" customWidth="1"/>
    <col min="5" max="5" width="11.3984375" style="35" customWidth="1"/>
    <col min="6" max="6" width="12.73046875" style="5" customWidth="1"/>
    <col min="7" max="7" width="14" style="5" customWidth="1"/>
    <col min="8" max="8" width="9.265625" style="11" bestFit="1" customWidth="1"/>
    <col min="9" max="9" width="10.3984375" style="82" customWidth="1"/>
    <col min="10" max="10" width="9.1328125" style="5"/>
    <col min="11" max="11" width="12.3984375" style="5" bestFit="1" customWidth="1"/>
    <col min="12" max="12" width="10" style="5" customWidth="1"/>
    <col min="13" max="14" width="10.73046875" style="5" bestFit="1" customWidth="1"/>
    <col min="15" max="16384" width="9.1328125" style="5"/>
  </cols>
  <sheetData>
    <row r="1" spans="1:20" ht="19.5" customHeight="1" x14ac:dyDescent="0.35">
      <c r="A1" s="2200" t="s">
        <v>5</v>
      </c>
      <c r="B1" s="2200"/>
      <c r="C1" s="2200"/>
      <c r="D1" s="2200"/>
      <c r="E1" s="2200"/>
      <c r="F1" s="2200"/>
      <c r="G1" s="2200"/>
      <c r="H1" s="2200"/>
      <c r="I1" s="2200"/>
    </row>
    <row r="2" spans="1:20" s="301" customFormat="1" ht="21.75" customHeight="1" thickBot="1" x14ac:dyDescent="0.5">
      <c r="A2" s="2092" t="s">
        <v>570</v>
      </c>
      <c r="B2" s="2093"/>
      <c r="C2" s="2093"/>
      <c r="D2" s="2093"/>
      <c r="E2" s="2093"/>
      <c r="F2" s="2093"/>
      <c r="G2" s="2093"/>
      <c r="H2" s="2093"/>
      <c r="I2" s="2094"/>
    </row>
    <row r="3" spans="1:20" ht="17.25" thickTop="1" x14ac:dyDescent="0.5">
      <c r="A3" s="2035" t="s">
        <v>144</v>
      </c>
      <c r="B3" s="2201" t="s">
        <v>7</v>
      </c>
      <c r="C3" s="2202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20" s="35" customFormat="1" ht="30" x14ac:dyDescent="0.45">
      <c r="A4" s="2035"/>
      <c r="B4" s="2203"/>
      <c r="C4" s="2204"/>
      <c r="D4" s="366" t="s">
        <v>9</v>
      </c>
      <c r="E4" s="383" t="str">
        <f>G4</f>
        <v>UpTo 
OCT-21</v>
      </c>
      <c r="F4" s="383" t="s">
        <v>569</v>
      </c>
      <c r="G4" s="383" t="s">
        <v>568</v>
      </c>
      <c r="H4" s="2111" t="s">
        <v>12</v>
      </c>
      <c r="I4" s="2111" t="s">
        <v>13</v>
      </c>
      <c r="N4" s="380"/>
    </row>
    <row r="5" spans="1:20" ht="20.25" hidden="1" customHeight="1" x14ac:dyDescent="0.5">
      <c r="A5" s="2036"/>
      <c r="B5" s="2203"/>
      <c r="C5" s="2204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20" ht="30" customHeight="1" x14ac:dyDescent="0.35">
      <c r="A6" s="372">
        <v>1</v>
      </c>
      <c r="B6" s="2049" t="s">
        <v>290</v>
      </c>
      <c r="C6" s="2049"/>
      <c r="D6" s="304">
        <f>'TARGET SHEET 2021-22'!D28</f>
        <v>810.69999999999993</v>
      </c>
      <c r="E6" s="305">
        <f>E15+E16</f>
        <v>469.26000000000005</v>
      </c>
      <c r="F6" s="305">
        <f>'UPTO JULY 2021'!F6+'AUG-2021'!F6+'SEPTEMBER 2021'!F6+'OCTOBER-2021'!F6</f>
        <v>23.053954597000001</v>
      </c>
      <c r="G6" s="305">
        <f>'UPTO JULY 2021'!G6+'AUG-2021'!G6+'SEPTEMBER 2021'!G6+'OCTOBER-2021'!G6</f>
        <v>300.143673283</v>
      </c>
      <c r="H6" s="517">
        <f>(G6-E6)/E6*100</f>
        <v>-36.038939333631681</v>
      </c>
      <c r="I6" s="517">
        <f>(G6-F6)/F6*100</f>
        <v>1201.9183846317521</v>
      </c>
      <c r="K6" s="12"/>
    </row>
    <row r="7" spans="1:20" ht="26.25" customHeight="1" x14ac:dyDescent="0.35">
      <c r="A7" s="838">
        <v>2</v>
      </c>
      <c r="B7" s="2207" t="s">
        <v>291</v>
      </c>
      <c r="C7" s="2208"/>
      <c r="D7" s="434">
        <f>'TARGET SHEET 2021-22'!E28</f>
        <v>132.88999999999999</v>
      </c>
      <c r="E7" s="434">
        <f>'UPTO JULY 2021'!E7+'AUG-2021'!E7+'SEPTEMBER 2021'!E7+'OCTOBER-2021'!E7</f>
        <v>70.150000000000006</v>
      </c>
      <c r="F7" s="434">
        <f>'UPTO JULY 2021'!F7+'AUG-2021'!F7+'SEPTEMBER 2021'!F7+'OCTOBER-2021'!F7</f>
        <v>63.358182899999996</v>
      </c>
      <c r="G7" s="434">
        <v>159.07</v>
      </c>
      <c r="H7" s="517">
        <f>(G7-E7)/E7*100</f>
        <v>126.75694939415536</v>
      </c>
      <c r="I7" s="517">
        <f>(G7-F7)/F7*100</f>
        <v>151.06464977233429</v>
      </c>
      <c r="K7" s="12"/>
      <c r="L7" s="12"/>
      <c r="T7" s="12"/>
    </row>
    <row r="8" spans="1:20" ht="32.25" customHeight="1" x14ac:dyDescent="0.35">
      <c r="A8" s="374">
        <v>3</v>
      </c>
      <c r="B8" s="2021" t="s">
        <v>292</v>
      </c>
      <c r="C8" s="2023"/>
      <c r="D8" s="364">
        <f>'TARGET SHEET 2021-22'!F28</f>
        <v>63.210000000000008</v>
      </c>
      <c r="E8" s="305">
        <f>'UPTO JULY 2021'!E8+'AUG-2021'!E8+'SEPTEMBER 2021'!E8+'OCTOBER-2021'!E8</f>
        <v>36.160000000000004</v>
      </c>
      <c r="F8" s="305">
        <f>'UPTO JULY 2021'!F8+'AUG-2021'!F8+'SEPTEMBER 2021'!F8+'OCTOBER-2021'!F8</f>
        <v>6.7043602</v>
      </c>
      <c r="G8" s="305">
        <f>'UPTO JULY 2021'!G8+'AUG-2021'!G8+'SEPTEMBER 2021'!G8+'OCTOBER-2021'!G8</f>
        <v>35.410327300000006</v>
      </c>
      <c r="H8" s="517">
        <f>(G8-E8)/E8*100</f>
        <v>-2.073209900442472</v>
      </c>
      <c r="I8" s="517">
        <f>(G8-F8)/F8*100</f>
        <v>428.16862823092362</v>
      </c>
      <c r="K8" s="12"/>
    </row>
    <row r="9" spans="1:20" ht="34.5" customHeight="1" x14ac:dyDescent="0.35">
      <c r="A9" s="838">
        <v>4</v>
      </c>
      <c r="B9" s="2209" t="s">
        <v>293</v>
      </c>
      <c r="C9" s="2210"/>
      <c r="D9" s="434">
        <f>'TARGET SHEET 2021-22'!N28</f>
        <v>8.1447600000000016</v>
      </c>
      <c r="E9" s="434">
        <f>'UPTO JULY 2021'!E9+'AUG-2021'!E9+'SEPTEMBER 2021'!E9+'OCTOBER-2021'!E9</f>
        <v>4.7511099999999997</v>
      </c>
      <c r="F9" s="434">
        <f>'UPTO JULY 2021'!F9+'AUG-2021'!F9+'SEPTEMBER 2021'!F9+'OCTOBER-2021'!F9</f>
        <v>0.40468700000000002</v>
      </c>
      <c r="G9" s="434">
        <f>'UPTO JULY 2021'!G9+'AUG-2021'!G9+'SEPTEMBER 2021'!G9+'OCTOBER-2021'!G9</f>
        <v>3.3307906999999997</v>
      </c>
      <c r="H9" s="517">
        <f>(G9-E9)/E9*100</f>
        <v>-29.894473081027385</v>
      </c>
      <c r="I9" s="517">
        <f>(G9-F9)/F9*100</f>
        <v>723.053545085461</v>
      </c>
      <c r="K9" s="12"/>
    </row>
    <row r="10" spans="1:20" ht="48" customHeight="1" x14ac:dyDescent="0.35">
      <c r="A10" s="374">
        <v>5</v>
      </c>
      <c r="B10" s="2054" t="s">
        <v>294</v>
      </c>
      <c r="C10" s="2055"/>
      <c r="D10" s="305">
        <f>SUM(D6:D9)</f>
        <v>1014.94476</v>
      </c>
      <c r="E10" s="305">
        <f>SUM(E6:E9)</f>
        <v>580.32111000000009</v>
      </c>
      <c r="F10" s="305">
        <f>SUM(F6:F9)</f>
        <v>93.521184696999995</v>
      </c>
      <c r="G10" s="305">
        <f>SUM(G6:G9)</f>
        <v>497.95479128300002</v>
      </c>
      <c r="H10" s="517">
        <f>(G10-E10)/E10*100</f>
        <v>-14.193231522630645</v>
      </c>
      <c r="I10" s="517">
        <f>(G10-F10)/F10*100</f>
        <v>432.45132949965034</v>
      </c>
    </row>
    <row r="11" spans="1:20" ht="8.2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20" ht="30.75" customHeight="1" x14ac:dyDescent="0.35">
      <c r="A12" s="373">
        <v>6.3</v>
      </c>
      <c r="B12" s="2159" t="s">
        <v>420</v>
      </c>
      <c r="C12" s="2161"/>
      <c r="D12" s="332" t="s">
        <v>221</v>
      </c>
      <c r="E12" s="307" t="s">
        <v>221</v>
      </c>
      <c r="F12" s="305">
        <f>'UPTO JULY 2021'!F12+'AUG-2021'!F12+'SEPTEMBER 2021'!F12+'OCTOBER-2021'!F12</f>
        <v>0.28847299999999998</v>
      </c>
      <c r="G12" s="305">
        <f>'UPTO JULY 2021'!G12+'AUG-2021'!G12+'SEPTEMBER 2021'!G12+'OCTOBER-2021'!G12</f>
        <v>6.6374049999999993</v>
      </c>
      <c r="H12" s="308" t="s">
        <v>221</v>
      </c>
      <c r="I12" s="517">
        <f>(G12-F12)/F12*100</f>
        <v>2200.8756452076968</v>
      </c>
    </row>
    <row r="13" spans="1:20" ht="16.5" customHeight="1" x14ac:dyDescent="0.35">
      <c r="B13" s="2167" t="s">
        <v>229</v>
      </c>
      <c r="C13" s="2168"/>
      <c r="D13" s="2168"/>
      <c r="E13" s="2168"/>
      <c r="F13" s="2168"/>
      <c r="G13" s="2168"/>
      <c r="H13" s="2168"/>
      <c r="I13" s="2169"/>
    </row>
    <row r="14" spans="1:20" ht="14.25" customHeight="1" x14ac:dyDescent="0.35">
      <c r="A14" s="2003">
        <v>1</v>
      </c>
      <c r="B14" s="2021" t="s">
        <v>298</v>
      </c>
      <c r="C14" s="2022"/>
      <c r="D14" s="2022"/>
      <c r="E14" s="2022"/>
      <c r="F14" s="2022"/>
      <c r="G14" s="2022"/>
      <c r="H14" s="2022"/>
      <c r="I14" s="2023"/>
    </row>
    <row r="15" spans="1:20" ht="15.4" x14ac:dyDescent="0.4">
      <c r="A15" s="2004"/>
      <c r="B15" s="2006" t="s">
        <v>16</v>
      </c>
      <c r="C15" s="2007"/>
      <c r="D15" s="331" t="s">
        <v>221</v>
      </c>
      <c r="E15" s="316">
        <f>'TARGET SHEET 2021-22'!B18</f>
        <v>1.1000000000000001</v>
      </c>
      <c r="F15" s="315">
        <f>'UPTO JULY 2021'!F15+'AUG-2021'!F15+'SEPTEMBER 2021'!F15+'OCTOBER-2021'!F15</f>
        <v>1.8344896999999999E-2</v>
      </c>
      <c r="G15" s="315">
        <f>'UPTO JULY 2021'!G15+'AUG-2021'!G15+'SEPTEMBER 2021'!G15+'OCTOBER-2021'!G15</f>
        <v>0.511761935</v>
      </c>
      <c r="H15" s="316">
        <f>(G15-E15)/E15*100</f>
        <v>-53.47618772727273</v>
      </c>
      <c r="I15" s="316">
        <f>(G15-F15)/F15*100</f>
        <v>2689.6691652179902</v>
      </c>
    </row>
    <row r="16" spans="1:20" ht="15.4" x14ac:dyDescent="0.4">
      <c r="A16" s="2004"/>
      <c r="B16" s="2071" t="s">
        <v>15</v>
      </c>
      <c r="C16" s="320" t="s">
        <v>166</v>
      </c>
      <c r="D16" s="2064" t="s">
        <v>221</v>
      </c>
      <c r="E16" s="2154">
        <f>'TARGET SHEET 2021-22'!C18</f>
        <v>468.16</v>
      </c>
      <c r="F16" s="315">
        <f>'UPTO JULY 2021'!F16+'AUG-2021'!F16+'SEPTEMBER 2021'!F16+'OCTOBER-2021'!F16</f>
        <v>13.8884305</v>
      </c>
      <c r="G16" s="315">
        <f>'UPTO JULY 2021'!G16+'AUG-2021'!G16+'SEPTEMBER 2021'!G16+'OCTOBER-2021'!G16</f>
        <v>0.33673204800000001</v>
      </c>
      <c r="H16" s="2027">
        <v>-49.73</v>
      </c>
      <c r="I16" s="316">
        <f>(G16-F16)/F16*100</f>
        <v>-97.575449234526531</v>
      </c>
      <c r="J16" s="12"/>
      <c r="K16" s="12">
        <f>F16+F17</f>
        <v>23.035609700000002</v>
      </c>
      <c r="L16" s="12">
        <f>G16+G17</f>
        <v>299.63191134799996</v>
      </c>
      <c r="M16" s="12"/>
      <c r="N16" s="12">
        <f>(L16-K16)/K16*100</f>
        <v>1200.7335827017419</v>
      </c>
    </row>
    <row r="17" spans="1:11" ht="15.4" x14ac:dyDescent="0.4">
      <c r="A17" s="2005"/>
      <c r="B17" s="2071"/>
      <c r="C17" s="320" t="s">
        <v>228</v>
      </c>
      <c r="D17" s="2064"/>
      <c r="E17" s="2155"/>
      <c r="F17" s="315">
        <f>'UPTO JULY 2021'!F17+'AUG-2021'!F17+'SEPTEMBER 2021'!F17+'OCTOBER-2021'!F17</f>
        <v>9.1471792000000018</v>
      </c>
      <c r="G17" s="315">
        <f>'UPTO JULY 2021'!G17+'AUG-2021'!G17+'SEPTEMBER 2021'!G17+'OCTOBER-2021'!G17</f>
        <v>299.29517929999997</v>
      </c>
      <c r="H17" s="2029"/>
      <c r="I17" s="316">
        <f>(G17-F17)/F17*100</f>
        <v>3171.9942701024152</v>
      </c>
    </row>
    <row r="18" spans="1:11" ht="15" x14ac:dyDescent="0.35">
      <c r="A18" s="2003">
        <v>2</v>
      </c>
      <c r="B18" s="2021" t="s">
        <v>467</v>
      </c>
      <c r="C18" s="2022"/>
      <c r="D18" s="2022"/>
      <c r="E18" s="2022"/>
      <c r="F18" s="2022"/>
      <c r="G18" s="2022"/>
      <c r="H18" s="2022"/>
      <c r="I18" s="2023"/>
      <c r="K18" s="12"/>
    </row>
    <row r="19" spans="1:11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f>'UPTO JULY 2021'!F19+'AUG-2021'!F19+'SEPTEMBER 2021'!F19+'OCTOBER-2021'!F19</f>
        <v>21.821223100000001</v>
      </c>
      <c r="G19" s="414">
        <v>128.12</v>
      </c>
      <c r="H19" s="316" t="s">
        <v>221</v>
      </c>
      <c r="I19" s="316">
        <f>(G19-F19)/F19*100</f>
        <v>487.1348247202514</v>
      </c>
    </row>
    <row r="20" spans="1:11" ht="15.4" x14ac:dyDescent="0.4">
      <c r="A20" s="2004"/>
      <c r="B20" s="2009"/>
      <c r="C20" s="2000" t="s">
        <v>232</v>
      </c>
      <c r="D20" s="2001"/>
      <c r="E20" s="2002"/>
      <c r="F20" s="315">
        <f>'UPTO JULY 2021'!F20+'AUG-2021'!F20+'SEPTEMBER 2021'!F20+'OCTOBER-2021'!F20</f>
        <v>27.178030699999997</v>
      </c>
      <c r="G20" s="414">
        <v>5.31</v>
      </c>
      <c r="H20" s="316" t="s">
        <v>221</v>
      </c>
      <c r="I20" s="316">
        <f>(G20-F20)/F20*100</f>
        <v>-80.462160564120637</v>
      </c>
    </row>
    <row r="21" spans="1:11" ht="15.4" x14ac:dyDescent="0.4">
      <c r="A21" s="2004"/>
      <c r="B21" s="2009"/>
      <c r="C21" s="2000" t="s">
        <v>239</v>
      </c>
      <c r="D21" s="2001"/>
      <c r="E21" s="2002"/>
      <c r="F21" s="315">
        <f>'UPTO JULY 2021'!F21+'AUG-2021'!F21+'SEPTEMBER 2021'!F21+'OCTOBER-2021'!F21</f>
        <v>8.0238779999999998</v>
      </c>
      <c r="G21" s="414">
        <v>19.41</v>
      </c>
      <c r="H21" s="316" t="s">
        <v>221</v>
      </c>
      <c r="I21" s="316">
        <f>(G21-F21)/F21*100</f>
        <v>141.90298008020562</v>
      </c>
    </row>
    <row r="22" spans="1:11" ht="15.4" x14ac:dyDescent="0.4">
      <c r="A22" s="2004"/>
      <c r="B22" s="2009"/>
      <c r="C22" s="2000" t="s">
        <v>233</v>
      </c>
      <c r="D22" s="2001"/>
      <c r="E22" s="2002"/>
      <c r="F22" s="315">
        <f>'UPTO JULY 2021'!F22+'AUG-2021'!F22+'SEPTEMBER 2021'!F22+'OCTOBER-2021'!F22</f>
        <v>6.2550511000000002</v>
      </c>
      <c r="G22" s="414">
        <v>5.92</v>
      </c>
      <c r="H22" s="316" t="s">
        <v>221</v>
      </c>
      <c r="I22" s="316">
        <f>(G22-F22)/F22*100</f>
        <v>-5.3564886144575263</v>
      </c>
    </row>
    <row r="23" spans="1:11" ht="15.4" x14ac:dyDescent="0.4">
      <c r="A23" s="2004"/>
      <c r="B23" s="2009"/>
      <c r="C23" s="2000" t="s">
        <v>234</v>
      </c>
      <c r="D23" s="2001"/>
      <c r="E23" s="2002"/>
      <c r="F23" s="315">
        <f>'UPTO JULY 2021'!F23+'AUG-2021'!F23+'SEPTEMBER 2021'!F23+'OCTOBER-2021'!F23</f>
        <v>0.08</v>
      </c>
      <c r="G23" s="414">
        <v>0</v>
      </c>
      <c r="H23" s="316" t="s">
        <v>221</v>
      </c>
      <c r="I23" s="316">
        <f>(G23-F23)/F23*100</f>
        <v>-100</v>
      </c>
    </row>
    <row r="24" spans="1:11" ht="15.4" x14ac:dyDescent="0.4">
      <c r="A24" s="2004"/>
      <c r="B24" s="2009"/>
      <c r="C24" s="2000" t="s">
        <v>235</v>
      </c>
      <c r="D24" s="2001"/>
      <c r="E24" s="2002"/>
      <c r="F24" s="315">
        <f>'UPTO JULY 2021'!F24+'AUG-2021'!F24+'SEPTEMBER 2021'!F24+'OCTOBER-2021'!F24</f>
        <v>0</v>
      </c>
      <c r="G24" s="414">
        <v>0.04</v>
      </c>
      <c r="H24" s="316"/>
      <c r="I24" s="316">
        <v>0</v>
      </c>
    </row>
    <row r="25" spans="1:11" ht="15.4" x14ac:dyDescent="0.35">
      <c r="A25" s="2005"/>
      <c r="B25" s="2010"/>
      <c r="C25" s="2159" t="s">
        <v>549</v>
      </c>
      <c r="D25" s="2160"/>
      <c r="E25" s="2161"/>
      <c r="F25" s="315">
        <f>'UPTO JULY 2021'!F25+'AUG-2021'!F25+'SEPTEMBER 2021'!F25+'OCTOBER-2021'!F25</f>
        <v>0</v>
      </c>
      <c r="G25" s="414">
        <v>0.26</v>
      </c>
      <c r="H25" s="316" t="s">
        <v>221</v>
      </c>
      <c r="I25" s="316">
        <v>0</v>
      </c>
    </row>
    <row r="26" spans="1:11" ht="15" x14ac:dyDescent="0.35">
      <c r="A26" s="2014">
        <v>3</v>
      </c>
      <c r="B26" s="2021" t="s">
        <v>296</v>
      </c>
      <c r="C26" s="2022"/>
      <c r="D26" s="2022"/>
      <c r="E26" s="2022"/>
      <c r="F26" s="2022"/>
      <c r="G26" s="2022"/>
      <c r="H26" s="2022"/>
      <c r="I26" s="2023"/>
    </row>
    <row r="27" spans="1:11" ht="15.4" x14ac:dyDescent="0.4">
      <c r="A27" s="2015"/>
      <c r="B27" s="2006" t="s">
        <v>2</v>
      </c>
      <c r="C27" s="2007"/>
      <c r="D27" s="314">
        <v>6</v>
      </c>
      <c r="E27" s="315">
        <f>'UPTO JULY 2021'!E27+'AUG-2021'!E27+'SEPTEMBER 2021'!E27+'OCTOBER-2021'!E27</f>
        <v>3.5</v>
      </c>
      <c r="F27" s="315">
        <f>'UPTO JULY 2021'!F27+'AUG-2021'!F27+'SEPTEMBER 2021'!F27+'OCTOBER-2021'!F27</f>
        <v>0.1085565</v>
      </c>
      <c r="G27" s="315">
        <f>'UPTO JULY 2021'!G27+'AUG-2021'!G27+'SEPTEMBER 2021'!G27+'OCTOBER-2021'!G27</f>
        <v>3.0940484000000001</v>
      </c>
      <c r="H27" s="316">
        <f>(G27-E27)/E27*100</f>
        <v>-11.598617142857139</v>
      </c>
      <c r="I27" s="833">
        <f>(G27-F27)/F27*100</f>
        <v>2750.1733198841157</v>
      </c>
    </row>
    <row r="28" spans="1:11" ht="15.4" x14ac:dyDescent="0.4">
      <c r="A28" s="2015"/>
      <c r="B28" s="2006" t="s">
        <v>23</v>
      </c>
      <c r="C28" s="2007"/>
      <c r="D28" s="603">
        <f>'TARGET SHEET 2021-22'!B56</f>
        <v>28.5</v>
      </c>
      <c r="E28" s="315">
        <f>'UPTO JULY 2021'!E28+'AUG-2021'!E28+'SEPTEMBER 2021'!E28+'OCTOBER-2021'!E28</f>
        <v>13.5</v>
      </c>
      <c r="F28" s="315">
        <f>'UPTO JULY 2021'!F28+'AUG-2021'!F28+'SEPTEMBER 2021'!F28+'OCTOBER-2021'!F28</f>
        <v>3.8860543999999999</v>
      </c>
      <c r="G28" s="315">
        <f>'UPTO JULY 2021'!G28+'AUG-2021'!G28+'SEPTEMBER 2021'!G28+'OCTOBER-2021'!G28</f>
        <v>14.4931479</v>
      </c>
      <c r="H28" s="316">
        <f>(G28-E28)/E28*100</f>
        <v>7.3566511111111135</v>
      </c>
      <c r="I28" s="833">
        <f>(G28-F28)/F28*100</f>
        <v>272.95277955964798</v>
      </c>
    </row>
    <row r="29" spans="1:11" ht="15.4" x14ac:dyDescent="0.4">
      <c r="A29" s="2015"/>
      <c r="B29" s="2006" t="s">
        <v>1</v>
      </c>
      <c r="C29" s="2007"/>
      <c r="D29" s="313">
        <f>'TARGET SHEET 2021-22'!C56</f>
        <v>3.7399999999999998</v>
      </c>
      <c r="E29" s="315">
        <f>'UPTO JULY 2021'!E29+'AUG-2021'!E29+'SEPTEMBER 2021'!E29+'OCTOBER-2021'!E29</f>
        <v>1.95</v>
      </c>
      <c r="F29" s="315">
        <f>'UPTO JULY 2021'!F29+'AUG-2021'!F29+'SEPTEMBER 2021'!F29+'OCTOBER-2021'!F29</f>
        <v>3.9983699999999997E-2</v>
      </c>
      <c r="G29" s="404">
        <f>'UPTO JULY 2021'!G29+'AUG-2021'!G29+'SEPTEMBER 2021'!G29+'OCTOBER-2021'!G29</f>
        <v>0.69638440000000001</v>
      </c>
      <c r="H29" s="316">
        <f>(G29-E29)/E29*100</f>
        <v>-64.287979487179484</v>
      </c>
      <c r="I29" s="833">
        <f>(G29-F29)/F29*100</f>
        <v>1641.6707308228106</v>
      </c>
    </row>
    <row r="30" spans="1:11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5">
        <f>'UPTO JULY 2021'!F30+'AUG-2021'!F30+'SEPTEMBER 2021'!F30+'OCTOBER-2021'!F30</f>
        <v>0</v>
      </c>
      <c r="G30" s="315">
        <f>'UPTO JULY 2021'!G30+'AUG-2021'!G30+'SEPTEMBER 2021'!G30+'OCTOBER-2021'!G30</f>
        <v>0.14499499999999999</v>
      </c>
      <c r="H30" s="316" t="s">
        <v>221</v>
      </c>
      <c r="I30" s="833" t="s">
        <v>221</v>
      </c>
    </row>
    <row r="31" spans="1:11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f>'UPTO JULY 2021'!F31+'AUG-2021'!F31+'SEPTEMBER 2021'!F31+'OCTOBER-2021'!F31</f>
        <v>0</v>
      </c>
      <c r="G31" s="315">
        <f>'UPTO JULY 2021'!G31+'AUG-2021'!G31+'SEPTEMBER 2021'!G31+'OCTOBER-2021'!G31</f>
        <v>1.8012378</v>
      </c>
      <c r="H31" s="316" t="s">
        <v>221</v>
      </c>
      <c r="I31" s="833" t="s">
        <v>221</v>
      </c>
    </row>
    <row r="32" spans="1:11" ht="15.4" x14ac:dyDescent="0.4">
      <c r="A32" s="2015"/>
      <c r="B32" s="2017" t="s">
        <v>241</v>
      </c>
      <c r="C32" s="2030"/>
      <c r="D32" s="540" t="s">
        <v>221</v>
      </c>
      <c r="E32" s="316" t="s">
        <v>221</v>
      </c>
      <c r="F32" s="315">
        <f>'UPTO JULY 2021'!F32+'AUG-2021'!F32+'SEPTEMBER 2021'!F32+'OCTOBER-2021'!F32</f>
        <v>2.6662867000000001</v>
      </c>
      <c r="G32" s="315">
        <f>'UPTO JULY 2021'!G32+'AUG-2021'!G32+'SEPTEMBER 2021'!G32+'OCTOBER-2021'!G32</f>
        <v>14.8732702</v>
      </c>
      <c r="H32" s="316" t="s">
        <v>221</v>
      </c>
      <c r="I32" s="833">
        <f>(G32-F32)/F32*100</f>
        <v>457.82711589117548</v>
      </c>
    </row>
    <row r="33" spans="1:14" ht="15.4" x14ac:dyDescent="0.4">
      <c r="A33" s="2016"/>
      <c r="B33" s="2006" t="s">
        <v>260</v>
      </c>
      <c r="C33" s="2019"/>
      <c r="D33" s="540" t="s">
        <v>221</v>
      </c>
      <c r="E33" s="316" t="s">
        <v>221</v>
      </c>
      <c r="F33" s="315">
        <f>'UPTO JULY 2021'!F33+'AUG-2021'!F33+'SEPTEMBER 2021'!F33+'OCTOBER-2021'!F33</f>
        <v>1.694E-3</v>
      </c>
      <c r="G33" s="315">
        <f>'UPTO JULY 2021'!G33+'AUG-2021'!G33+'SEPTEMBER 2021'!G33+'OCTOBER-2021'!G33</f>
        <v>0.30724359999999995</v>
      </c>
      <c r="H33" s="413"/>
      <c r="I33" s="833">
        <f>(G33-F33)/F33*100</f>
        <v>18037.166469893742</v>
      </c>
    </row>
    <row r="34" spans="1:14" ht="15" x14ac:dyDescent="0.35">
      <c r="A34" s="2014">
        <v>4</v>
      </c>
      <c r="B34" s="2021" t="s">
        <v>295</v>
      </c>
      <c r="C34" s="2022"/>
      <c r="D34" s="2022"/>
      <c r="E34" s="2022"/>
      <c r="F34" s="2022"/>
      <c r="G34" s="2022"/>
      <c r="H34" s="2022"/>
      <c r="I34" s="2023"/>
    </row>
    <row r="35" spans="1:14" ht="15.4" x14ac:dyDescent="0.4">
      <c r="A35" s="2015"/>
      <c r="B35" s="2006" t="s">
        <v>27</v>
      </c>
      <c r="C35" s="2007"/>
      <c r="D35" s="603">
        <v>4.05</v>
      </c>
      <c r="E35" s="315">
        <f>'UPTO JULY 2021'!E35+'AUG-2021'!E35+'SEPTEMBER 2021'!E35+'OCTOBER-2021'!E35</f>
        <v>2.3590000000000004</v>
      </c>
      <c r="F35" s="315">
        <f>'UPTO JULY 2021'!F35+'AUG-2021'!F35+'SEPTEMBER 2021'!F35+'OCTOBER-2021'!F35</f>
        <v>0.1905</v>
      </c>
      <c r="G35" s="315">
        <f>'UPTO JULY 2021'!G35+'AUG-2021'!G35+'SEPTEMBER 2021'!G35+'OCTOBER-2021'!G35</f>
        <v>2.1361249999999998</v>
      </c>
      <c r="H35" s="314">
        <f>(G35-E35)/E35*100</f>
        <v>-9.447859262399346</v>
      </c>
      <c r="I35" s="316">
        <f>(G35-F35)/F35*100</f>
        <v>1021.3254593175851</v>
      </c>
      <c r="L35" s="5">
        <f t="shared" ref="L35:N37" si="0">E35*100</f>
        <v>235.90000000000003</v>
      </c>
      <c r="M35" s="11">
        <f t="shared" si="0"/>
        <v>19.05</v>
      </c>
      <c r="N35" s="11">
        <f t="shared" si="0"/>
        <v>213.61249999999998</v>
      </c>
    </row>
    <row r="36" spans="1:14" ht="15.4" x14ac:dyDescent="0.4">
      <c r="A36" s="2015"/>
      <c r="B36" s="2006" t="s">
        <v>28</v>
      </c>
      <c r="C36" s="2007"/>
      <c r="D36" s="313">
        <v>2.56</v>
      </c>
      <c r="E36" s="315">
        <f>'UPTO JULY 2021'!E36+'AUG-2021'!E36+'SEPTEMBER 2021'!E36+'OCTOBER-2021'!E36</f>
        <v>1.4938</v>
      </c>
      <c r="F36" s="315">
        <f>'UPTO JULY 2021'!F36+'AUG-2021'!F36+'SEPTEMBER 2021'!F36+'OCTOBER-2021'!F36</f>
        <v>1.575E-2</v>
      </c>
      <c r="G36" s="315">
        <f>'UPTO JULY 2021'!G36+'AUG-2021'!G36+'SEPTEMBER 2021'!G36+'OCTOBER-2021'!G36</f>
        <v>0.11442669999999999</v>
      </c>
      <c r="H36" s="314">
        <f>(G36-E36)/E36*100</f>
        <v>-92.339891551747229</v>
      </c>
      <c r="I36" s="316">
        <f>(G36-F36)/F36*100</f>
        <v>626.51873015873014</v>
      </c>
      <c r="L36" s="5">
        <f t="shared" si="0"/>
        <v>149.38</v>
      </c>
      <c r="M36" s="11">
        <f t="shared" si="0"/>
        <v>1.575</v>
      </c>
      <c r="N36" s="11">
        <f t="shared" si="0"/>
        <v>11.44267</v>
      </c>
    </row>
    <row r="37" spans="1:14" ht="15.4" x14ac:dyDescent="0.4">
      <c r="A37" s="2015"/>
      <c r="B37" s="378" t="s">
        <v>224</v>
      </c>
      <c r="C37" s="379"/>
      <c r="D37" s="603" t="s">
        <v>221</v>
      </c>
      <c r="E37" s="315">
        <f>'UPTO JULY 2021'!E37+'AUG-2021'!E37+'SEPTEMBER 2021'!E37+'OCTOBER-2021'!E37</f>
        <v>0.89831000000000016</v>
      </c>
      <c r="F37" s="315">
        <f>'UPTO JULY 2021'!F37+'AUG-2021'!F37+'SEPTEMBER 2021'!F37+'OCTOBER-2021'!F37</f>
        <v>0.10820139999999999</v>
      </c>
      <c r="G37" s="315">
        <f>'UPTO JULY 2021'!G37+'AUG-2021'!G37+'SEPTEMBER 2021'!G37+'OCTOBER-2021'!G37</f>
        <v>0.1548958</v>
      </c>
      <c r="H37" s="314">
        <f>(G37-E37)/E37*100</f>
        <v>-82.756976990125906</v>
      </c>
      <c r="I37" s="316">
        <f>(G37-F37)/F37*100</f>
        <v>43.155079324297112</v>
      </c>
      <c r="L37" s="5">
        <f t="shared" si="0"/>
        <v>89.831000000000017</v>
      </c>
      <c r="M37" s="11">
        <f t="shared" si="0"/>
        <v>10.820139999999999</v>
      </c>
      <c r="N37" s="11">
        <f t="shared" si="0"/>
        <v>15.48958</v>
      </c>
    </row>
    <row r="38" spans="1:14" ht="15.4" x14ac:dyDescent="0.4">
      <c r="A38" s="2015"/>
      <c r="B38" s="2006" t="s">
        <v>64</v>
      </c>
      <c r="C38" s="2007"/>
      <c r="D38" s="540" t="s">
        <v>221</v>
      </c>
      <c r="E38" s="315" t="s">
        <v>221</v>
      </c>
      <c r="F38" s="315">
        <f>'UPTO JULY 2021'!F38+'AUG-2021'!F38+'SEPTEMBER 2021'!F38+'OCTOBER-2021'!F38</f>
        <v>0</v>
      </c>
      <c r="G38" s="315">
        <f>'UPTO JULY 2021'!G38+'AUG-2021'!G38+'SEPTEMBER 2021'!G38+'OCTOBER-2021'!G38</f>
        <v>0</v>
      </c>
      <c r="H38" s="314" t="s">
        <v>221</v>
      </c>
      <c r="I38" s="316">
        <v>0</v>
      </c>
      <c r="K38" s="12"/>
      <c r="M38" s="12">
        <f t="shared" ref="M38:N40" si="1">F38*100</f>
        <v>0</v>
      </c>
      <c r="N38" s="12">
        <f t="shared" si="1"/>
        <v>0</v>
      </c>
    </row>
    <row r="39" spans="1:14" ht="15.4" x14ac:dyDescent="0.4">
      <c r="A39" s="2015"/>
      <c r="B39" s="2006" t="s">
        <v>4</v>
      </c>
      <c r="C39" s="2007"/>
      <c r="D39" s="540" t="s">
        <v>221</v>
      </c>
      <c r="E39" s="315" t="s">
        <v>221</v>
      </c>
      <c r="F39" s="315">
        <f>'UPTO JULY 2021'!F39+'AUG-2021'!F39+'SEPTEMBER 2021'!F39+'OCTOBER-2021'!F39</f>
        <v>0</v>
      </c>
      <c r="G39" s="315">
        <f>'UPTO JULY 2021'!G39+'AUG-2021'!G39+'SEPTEMBER 2021'!G39+'OCTOBER-2021'!G39</f>
        <v>4.0018400000000003E-2</v>
      </c>
      <c r="H39" s="314" t="s">
        <v>221</v>
      </c>
      <c r="I39" s="316">
        <v>0</v>
      </c>
      <c r="M39" s="11">
        <f t="shared" si="1"/>
        <v>0</v>
      </c>
      <c r="N39" s="11">
        <f t="shared" si="1"/>
        <v>4.0018400000000005</v>
      </c>
    </row>
    <row r="40" spans="1:14" ht="15.4" x14ac:dyDescent="0.4">
      <c r="A40" s="2016"/>
      <c r="B40" s="2006" t="s">
        <v>259</v>
      </c>
      <c r="C40" s="2019"/>
      <c r="D40" s="540" t="s">
        <v>221</v>
      </c>
      <c r="E40" s="315" t="s">
        <v>221</v>
      </c>
      <c r="F40" s="315">
        <f>'UPTO JULY 2021'!F40+'AUG-2021'!F40+'SEPTEMBER 2021'!F40+'OCTOBER-2021'!F40</f>
        <v>9.0235599999999999E-2</v>
      </c>
      <c r="G40" s="315">
        <f>'UPTO JULY 2021'!G40+'AUG-2021'!G40+'SEPTEMBER 2021'!G40+'OCTOBER-2021'!G40</f>
        <v>0.93056630000000007</v>
      </c>
      <c r="H40" s="407" t="s">
        <v>221</v>
      </c>
      <c r="I40" s="316">
        <f>(G40-F40)/F40*100</f>
        <v>931.26293835249066</v>
      </c>
      <c r="M40" s="11">
        <f t="shared" si="1"/>
        <v>9.0235599999999998</v>
      </c>
      <c r="N40" s="11">
        <f t="shared" si="1"/>
        <v>93.056630000000013</v>
      </c>
    </row>
    <row r="41" spans="1:14" ht="15" x14ac:dyDescent="0.35">
      <c r="A41" s="2020">
        <v>5</v>
      </c>
      <c r="B41" s="2021" t="s">
        <v>346</v>
      </c>
      <c r="C41" s="2022"/>
      <c r="D41" s="2022"/>
      <c r="E41" s="2022"/>
      <c r="F41" s="2022"/>
      <c r="G41" s="2022"/>
      <c r="H41" s="2022"/>
      <c r="I41" s="2023"/>
      <c r="M41" s="11">
        <f>SUM(M35:M40)</f>
        <v>40.468699999999998</v>
      </c>
      <c r="N41" s="11">
        <f>SUM(N35:N40)</f>
        <v>337.60321999999996</v>
      </c>
    </row>
    <row r="42" spans="1:14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f>'UPTO JULY 2021'!F42+'AUG-2021'!F42+'SEPTEMBER 2021'!F42+'OCTOBER-2021'!F42</f>
        <v>4.2675999999999999E-2</v>
      </c>
      <c r="G42" s="315">
        <f>'UPTO JULY 2021'!G42+'AUG-2021'!G42+'SEPTEMBER 2021'!G42+'OCTOBER-2021'!G42</f>
        <v>1.254696</v>
      </c>
      <c r="H42" s="314" t="s">
        <v>221</v>
      </c>
      <c r="I42" s="316">
        <v>0</v>
      </c>
    </row>
    <row r="43" spans="1:14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5">
        <f>'UPTO JULY 2021'!F43+'AUG-2021'!F43+'SEPTEMBER 2021'!F43+'OCTOBER-2021'!F43</f>
        <v>0.18542499999999998</v>
      </c>
      <c r="G43" s="315">
        <f>'UPTO JULY 2021'!G43+'AUG-2021'!G43+'SEPTEMBER 2021'!G43+'OCTOBER-2021'!G43</f>
        <v>0.32931399999999994</v>
      </c>
      <c r="H43" s="2027" t="s">
        <v>221</v>
      </c>
      <c r="I43" s="316">
        <f>(G43-F43)/F43*100</f>
        <v>77.599568558716442</v>
      </c>
      <c r="L43" s="12"/>
      <c r="M43" s="12"/>
    </row>
    <row r="44" spans="1:14" ht="15.4" x14ac:dyDescent="0.4">
      <c r="A44" s="2020"/>
      <c r="B44" s="2070"/>
      <c r="C44" s="320" t="s">
        <v>228</v>
      </c>
      <c r="D44" s="2163"/>
      <c r="E44" s="2155"/>
      <c r="F44" s="315">
        <f>'UPTO JULY 2021'!F44+'AUG-2021'!F44+'SEPTEMBER 2021'!F44+'OCTOBER-2021'!F44</f>
        <v>6.0372000000000009E-2</v>
      </c>
      <c r="G44" s="315">
        <f>'UPTO JULY 2021'!G44+'AUG-2021'!G44+'SEPTEMBER 2021'!G44+'OCTOBER-2021'!G44</f>
        <v>5.0533950000000001</v>
      </c>
      <c r="H44" s="2029"/>
      <c r="I44" s="316">
        <f>(G44-F44)/F44*100</f>
        <v>8270.4283442655524</v>
      </c>
    </row>
    <row r="45" spans="1:14" ht="15" x14ac:dyDescent="0.35">
      <c r="A45" s="2020">
        <v>6</v>
      </c>
      <c r="B45" s="2021" t="s">
        <v>577</v>
      </c>
      <c r="C45" s="2022"/>
      <c r="D45" s="2022"/>
      <c r="E45" s="2022"/>
      <c r="F45" s="2022"/>
      <c r="G45" s="2022"/>
      <c r="H45" s="2022"/>
      <c r="I45" s="2023"/>
    </row>
    <row r="46" spans="1:14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320.17</v>
      </c>
      <c r="G46" s="313">
        <v>184.87</v>
      </c>
      <c r="H46" s="2027" t="s">
        <v>221</v>
      </c>
      <c r="I46" s="316">
        <f>(G46-F46)/F46*100</f>
        <v>-42.258800012493367</v>
      </c>
    </row>
    <row r="47" spans="1:14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30.1</v>
      </c>
      <c r="G47" s="313">
        <v>66.040000000000006</v>
      </c>
      <c r="H47" s="2028"/>
      <c r="I47" s="316">
        <f>(G47-F47)/F47*100</f>
        <v>119.40199335548174</v>
      </c>
    </row>
    <row r="48" spans="1:14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350.27000000000004</v>
      </c>
      <c r="G48" s="313">
        <f>SUM(G46:G47)</f>
        <v>250.91000000000003</v>
      </c>
      <c r="H48" s="2029"/>
      <c r="I48" s="316">
        <f>(G48-F48)/F48*100</f>
        <v>-28.366688554543639</v>
      </c>
    </row>
    <row r="50" spans="1:11" ht="16.149999999999999" thickBot="1" x14ac:dyDescent="0.45">
      <c r="A50" s="5"/>
      <c r="B50" s="5"/>
      <c r="D50" s="5"/>
      <c r="E50" s="824"/>
      <c r="F50" s="12"/>
      <c r="G50" s="12"/>
      <c r="H50" s="314"/>
      <c r="I50" s="316"/>
    </row>
    <row r="51" spans="1:11" ht="13.5" x14ac:dyDescent="0.35">
      <c r="A51" s="5"/>
      <c r="B51" s="5"/>
      <c r="D51" s="5"/>
      <c r="E51" s="5"/>
      <c r="F51" s="12"/>
      <c r="G51" s="12"/>
      <c r="I51" s="5"/>
    </row>
    <row r="52" spans="1:11" ht="13.5" x14ac:dyDescent="0.35">
      <c r="A52" s="5"/>
      <c r="B52" s="5"/>
      <c r="D52" s="5"/>
      <c r="E52" s="5"/>
      <c r="F52" s="5">
        <f t="shared" ref="F52:G54" si="2">F42*1000000</f>
        <v>42676</v>
      </c>
      <c r="G52" s="5">
        <f t="shared" si="2"/>
        <v>1254696</v>
      </c>
      <c r="I52" s="5"/>
    </row>
    <row r="53" spans="1:11" ht="13.5" x14ac:dyDescent="0.35">
      <c r="A53" s="5"/>
      <c r="B53" s="5"/>
      <c r="D53" s="5"/>
      <c r="E53" s="5"/>
      <c r="F53" s="5">
        <f t="shared" si="2"/>
        <v>185424.99999999997</v>
      </c>
      <c r="G53" s="5">
        <f t="shared" si="2"/>
        <v>329313.99999999994</v>
      </c>
      <c r="I53" s="5"/>
    </row>
    <row r="54" spans="1:11" ht="13.5" x14ac:dyDescent="0.35">
      <c r="A54" s="5"/>
      <c r="B54" s="5"/>
      <c r="D54" s="5"/>
      <c r="E54" s="5"/>
      <c r="F54" s="5">
        <f t="shared" si="2"/>
        <v>60372.000000000007</v>
      </c>
      <c r="G54" s="5">
        <f t="shared" si="2"/>
        <v>5053395</v>
      </c>
    </row>
    <row r="57" spans="1:11" ht="13.5" x14ac:dyDescent="0.35">
      <c r="A57" s="5"/>
      <c r="B57" s="5"/>
      <c r="D57" s="5"/>
      <c r="E57" s="5"/>
      <c r="F57" s="12">
        <v>1.6E-2</v>
      </c>
      <c r="G57" s="12">
        <v>0.31</v>
      </c>
      <c r="K57" s="5">
        <f>(G57-F57)/F57*100</f>
        <v>1837.5</v>
      </c>
    </row>
    <row r="58" spans="1:11" ht="13.5" x14ac:dyDescent="0.35">
      <c r="A58" s="5"/>
      <c r="B58" s="5"/>
      <c r="D58" s="5"/>
      <c r="E58" s="5"/>
      <c r="F58" s="12">
        <v>305</v>
      </c>
      <c r="G58" s="12">
        <v>10226</v>
      </c>
      <c r="H58" s="12">
        <f>F58+F59</f>
        <v>305.60372000000001</v>
      </c>
      <c r="I58" s="11">
        <f>G58+G59</f>
        <v>10276.533949999999</v>
      </c>
      <c r="K58" s="5">
        <f>(I58-H58)/H58*100</f>
        <v>3262.6992335040945</v>
      </c>
    </row>
    <row r="59" spans="1:11" ht="13.5" x14ac:dyDescent="0.35">
      <c r="A59" s="5"/>
      <c r="B59" s="5"/>
      <c r="D59" s="5"/>
      <c r="E59" s="5"/>
      <c r="F59" s="12">
        <f>F54/100000</f>
        <v>0.60372000000000003</v>
      </c>
      <c r="G59" s="12">
        <f>G54/100000</f>
        <v>50.533949999999997</v>
      </c>
      <c r="K59" s="5" t="e">
        <f>(I59-H59)/H59*100</f>
        <v>#DIV/0!</v>
      </c>
    </row>
    <row r="60" spans="1:11" x14ac:dyDescent="0.35">
      <c r="F60" s="12">
        <f>SUM(F57:F59)</f>
        <v>305.61972000000003</v>
      </c>
      <c r="G60" s="12">
        <f>SUM(G57:G59)</f>
        <v>10276.843949999999</v>
      </c>
      <c r="K60" s="5">
        <f>(G60-F60)/F60*100</f>
        <v>3262.6246205578609</v>
      </c>
    </row>
    <row r="63" spans="1:11" x14ac:dyDescent="0.35">
      <c r="E63" s="35">
        <f>25/7</f>
        <v>3.5714285714285716</v>
      </c>
      <c r="F63" s="5">
        <f>1281249436/7</f>
        <v>183035633.7142857</v>
      </c>
      <c r="G63" s="5">
        <f>F63/100000</f>
        <v>1830.356337142857</v>
      </c>
    </row>
    <row r="64" spans="1:11" x14ac:dyDescent="0.35">
      <c r="E64" s="35">
        <f>253.5/7</f>
        <v>36.214285714285715</v>
      </c>
      <c r="F64" s="5">
        <f>53100890/7</f>
        <v>7585841.4285714282</v>
      </c>
      <c r="G64" s="5">
        <f>F64/100000</f>
        <v>75.858414285714275</v>
      </c>
    </row>
  </sheetData>
  <mergeCells count="65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3"/>
    <mergeCell ref="B26:I26"/>
    <mergeCell ref="B27:C27"/>
    <mergeCell ref="B28:C28"/>
    <mergeCell ref="B29:C29"/>
    <mergeCell ref="B30:C30"/>
    <mergeCell ref="B31:C31"/>
    <mergeCell ref="B32:C32"/>
    <mergeCell ref="B33:C33"/>
    <mergeCell ref="A34:A40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7" right="0.17" top="0.23" bottom="0.32" header="0.19" footer="0.3"/>
  <pageSetup scale="61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W64"/>
  <sheetViews>
    <sheetView topLeftCell="A17" workbookViewId="0">
      <selection activeCell="G35" sqref="G35:G40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7.265625" style="5" customWidth="1"/>
    <col min="4" max="4" width="8.3984375" style="84" customWidth="1"/>
    <col min="5" max="5" width="11.265625" style="35" customWidth="1"/>
    <col min="6" max="6" width="11" style="5" customWidth="1"/>
    <col min="7" max="7" width="12" style="5" customWidth="1"/>
    <col min="8" max="8" width="14.1328125" style="11" bestFit="1" customWidth="1"/>
    <col min="9" max="9" width="9.1328125" style="82" customWidth="1"/>
    <col min="10" max="10" width="9.1328125" style="5"/>
    <col min="11" max="11" width="10.1328125" style="5" bestFit="1" customWidth="1"/>
    <col min="12" max="12" width="10" style="5" customWidth="1"/>
    <col min="13" max="13" width="10.1328125" style="5" customWidth="1"/>
    <col min="14" max="14" width="10.1328125" style="5" bestFit="1" customWidth="1"/>
    <col min="15" max="15" width="22.73046875" style="5" customWidth="1"/>
    <col min="16" max="16" width="9.265625" style="5" customWidth="1"/>
    <col min="17" max="16384" width="9.1328125" style="5"/>
  </cols>
  <sheetData>
    <row r="1" spans="1:16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ht="17.25" thickBot="1" x14ac:dyDescent="0.5">
      <c r="A2" s="2092" t="s">
        <v>566</v>
      </c>
      <c r="B2" s="2093"/>
      <c r="C2" s="2093"/>
      <c r="D2" s="2093"/>
      <c r="E2" s="2093"/>
      <c r="F2" s="2093"/>
      <c r="G2" s="2093"/>
      <c r="H2" s="2093"/>
      <c r="I2" s="2094"/>
    </row>
    <row r="3" spans="1:1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6" s="35" customFormat="1" ht="15" x14ac:dyDescent="0.45">
      <c r="A4" s="2035"/>
      <c r="B4" s="2047"/>
      <c r="C4" s="2048"/>
      <c r="D4" s="366" t="s">
        <v>9</v>
      </c>
      <c r="E4" s="383">
        <f>G4</f>
        <v>44470</v>
      </c>
      <c r="F4" s="383">
        <v>44105</v>
      </c>
      <c r="G4" s="383">
        <v>44470</v>
      </c>
      <c r="H4" s="2041" t="s">
        <v>12</v>
      </c>
      <c r="I4" s="2041" t="s">
        <v>13</v>
      </c>
      <c r="N4" s="380"/>
      <c r="O4" s="380">
        <v>-139760361</v>
      </c>
    </row>
    <row r="5" spans="1:16" ht="15" x14ac:dyDescent="0.35">
      <c r="A5" s="2036"/>
      <c r="B5" s="2047"/>
      <c r="C5" s="2048"/>
      <c r="D5" s="2097" t="s">
        <v>249</v>
      </c>
      <c r="E5" s="2098"/>
      <c r="F5" s="366" t="s">
        <v>249</v>
      </c>
      <c r="G5" s="366" t="s">
        <v>438</v>
      </c>
      <c r="H5" s="2042"/>
      <c r="I5" s="2042"/>
      <c r="O5" s="5">
        <f>O4/10000000</f>
        <v>-13.9760361</v>
      </c>
    </row>
    <row r="6" spans="1:16" x14ac:dyDescent="0.35">
      <c r="A6" s="372">
        <v>1</v>
      </c>
      <c r="B6" s="2049" t="s">
        <v>14</v>
      </c>
      <c r="C6" s="2049"/>
      <c r="D6" s="304" t="s">
        <v>221</v>
      </c>
      <c r="E6" s="305">
        <f>E15+E16</f>
        <v>52.62</v>
      </c>
      <c r="F6" s="305">
        <f>F15+F16+F17</f>
        <v>18.998082796999999</v>
      </c>
      <c r="G6" s="305">
        <f>G15+G16+G17</f>
        <v>65.845079099999992</v>
      </c>
      <c r="H6" s="306">
        <f>(G6-E6)/E6*100</f>
        <v>25.133179589509684</v>
      </c>
      <c r="I6" s="306">
        <f>(G6-F6)/F6*100</f>
        <v>246.5880205048777</v>
      </c>
      <c r="K6" s="12">
        <f>G6+'MAY 2020'!G6+'APRIL 2020'!G6</f>
        <v>51.688345499999997</v>
      </c>
    </row>
    <row r="7" spans="1:16" x14ac:dyDescent="0.35">
      <c r="A7" s="373">
        <v>2</v>
      </c>
      <c r="B7" s="2050" t="s">
        <v>71</v>
      </c>
      <c r="C7" s="2051"/>
      <c r="D7" s="307" t="s">
        <v>221</v>
      </c>
      <c r="E7" s="307">
        <f>'TARGET SHEET 2021-22'!E17</f>
        <v>8.0500000000000007</v>
      </c>
      <c r="F7" s="307">
        <f>F19+F20+F21+F22+F23+F24+F25</f>
        <v>6.8800134999999996</v>
      </c>
      <c r="G7" s="307">
        <v>33.42</v>
      </c>
      <c r="H7" s="306">
        <f>(G7-E7)/E7*100</f>
        <v>315.15527950310559</v>
      </c>
      <c r="I7" s="306">
        <f>(G7-F7)/F7*100</f>
        <v>385.7548608007819</v>
      </c>
      <c r="L7" s="5" t="s">
        <v>203</v>
      </c>
      <c r="M7" s="172">
        <f>129802/10000000</f>
        <v>1.2980200000000001E-2</v>
      </c>
    </row>
    <row r="8" spans="1:16" x14ac:dyDescent="0.35">
      <c r="A8" s="374">
        <v>3</v>
      </c>
      <c r="B8" s="2021" t="s">
        <v>22</v>
      </c>
      <c r="C8" s="2023"/>
      <c r="D8" s="364" t="s">
        <v>221</v>
      </c>
      <c r="E8" s="364">
        <f>'TARGET SHEET 2021-22'!F17</f>
        <v>4.63</v>
      </c>
      <c r="F8" s="364">
        <f>F27+F28+F29+F30+F31+F32+F33</f>
        <v>1.9526196000000002</v>
      </c>
      <c r="G8" s="364">
        <f>G27+G28+G29+G30+G31+G32+G33</f>
        <v>7.4653604999999992</v>
      </c>
      <c r="H8" s="306">
        <f>(G8-E8)/E8*100</f>
        <v>61.238887688984867</v>
      </c>
      <c r="I8" s="306">
        <f>(G8-F8)/F8*100</f>
        <v>282.32538995306606</v>
      </c>
      <c r="L8" s="5">
        <v>0.46</v>
      </c>
      <c r="M8" s="5">
        <f>2320</f>
        <v>2320</v>
      </c>
      <c r="N8" s="5">
        <v>4643517</v>
      </c>
      <c r="O8" s="5">
        <f>SUM(M8:N8)</f>
        <v>4645837</v>
      </c>
      <c r="P8" s="12">
        <f>O8/10000000</f>
        <v>0.46458369999999999</v>
      </c>
    </row>
    <row r="9" spans="1:16" x14ac:dyDescent="0.35">
      <c r="A9" s="373">
        <v>4</v>
      </c>
      <c r="B9" s="2052" t="s">
        <v>220</v>
      </c>
      <c r="C9" s="2053"/>
      <c r="D9" s="307">
        <f>D35+D36+D37</f>
        <v>2.73</v>
      </c>
      <c r="E9" s="307">
        <f>E35+E36+E37</f>
        <v>0.67873000000000006</v>
      </c>
      <c r="F9" s="307">
        <f>F35+F36+F37+F38+F39+F40</f>
        <v>6.76152E-2</v>
      </c>
      <c r="G9" s="307">
        <f>G35+G36+G37+G38+G39</f>
        <v>0.5309104</v>
      </c>
      <c r="H9" s="306">
        <f>(G9-E9)/E9*100</f>
        <v>-21.77885167887084</v>
      </c>
      <c r="I9" s="306">
        <f>(G9-F9)/F9*100</f>
        <v>685.19386173523117</v>
      </c>
    </row>
    <row r="10" spans="1:16" ht="17.649999999999999" x14ac:dyDescent="0.35">
      <c r="A10" s="374">
        <v>5</v>
      </c>
      <c r="B10" s="2054" t="s">
        <v>33</v>
      </c>
      <c r="C10" s="2055"/>
      <c r="D10" s="321" t="s">
        <v>221</v>
      </c>
      <c r="E10" s="321">
        <f>SUM(E6:E9)</f>
        <v>65.978729999999999</v>
      </c>
      <c r="F10" s="321">
        <f>SUM(F6:F9)</f>
        <v>27.898331096999996</v>
      </c>
      <c r="G10" s="321">
        <f>SUM(G6:G9)</f>
        <v>107.26134999999999</v>
      </c>
      <c r="H10" s="306">
        <f>(G10-E10)/E10*100</f>
        <v>62.56958871442356</v>
      </c>
      <c r="I10" s="306">
        <f>(G10-F10)/F10*100</f>
        <v>284.47228125245874</v>
      </c>
    </row>
    <row r="11" spans="1:16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6" ht="18.399999999999999" thickTop="1" thickBot="1" x14ac:dyDescent="0.5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0.32766500000000004</v>
      </c>
      <c r="G12" s="447">
        <f>G42+G43+G44</f>
        <v>1.511447</v>
      </c>
      <c r="H12" s="310" t="s">
        <v>221</v>
      </c>
      <c r="I12" s="311">
        <f>(G12-F12)/F12*100</f>
        <v>361.27813468023737</v>
      </c>
      <c r="L12" s="5">
        <v>1168</v>
      </c>
      <c r="M12" s="5">
        <v>-78978</v>
      </c>
      <c r="N12" s="5" t="s">
        <v>164</v>
      </c>
      <c r="O12">
        <f>L12+M12</f>
        <v>-77810</v>
      </c>
      <c r="P12" s="13">
        <f>O12/1000000</f>
        <v>-7.7810000000000004E-2</v>
      </c>
    </row>
    <row r="13" spans="1:16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M13" s="5">
        <f>M12/100000</f>
        <v>-0.78978000000000004</v>
      </c>
    </row>
    <row r="14" spans="1:16" ht="15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</row>
    <row r="15" spans="1:16" ht="15.4" x14ac:dyDescent="0.4">
      <c r="A15" s="2004"/>
      <c r="B15" s="2006" t="s">
        <v>16</v>
      </c>
      <c r="C15" s="2007"/>
      <c r="D15" s="331" t="s">
        <v>221</v>
      </c>
      <c r="E15" s="307">
        <f>'TARGET SHEET 2021-22'!B17</f>
        <v>0.12</v>
      </c>
      <c r="F15" s="426">
        <v>1.6473397000000001E-2</v>
      </c>
      <c r="G15" s="404">
        <f>('actual fig'!L50)/10000000</f>
        <v>0.12636130000000001</v>
      </c>
      <c r="H15" s="314" t="s">
        <v>221</v>
      </c>
      <c r="I15" s="314">
        <f>(G15-F15)/F15*100</f>
        <v>667.06279828016045</v>
      </c>
    </row>
    <row r="16" spans="1:16" ht="15.4" x14ac:dyDescent="0.4">
      <c r="A16" s="2004"/>
      <c r="B16" s="2071" t="s">
        <v>15</v>
      </c>
      <c r="C16" s="320" t="s">
        <v>166</v>
      </c>
      <c r="D16" s="2064" t="s">
        <v>221</v>
      </c>
      <c r="E16" s="2205">
        <f>'TARGET SHEET 2021-22'!C17</f>
        <v>52.5</v>
      </c>
      <c r="F16" s="313">
        <v>6.999E-3</v>
      </c>
      <c r="G16" s="404">
        <f>('actual fig'!M50)/10000000</f>
        <v>5.9355999999999999E-2</v>
      </c>
      <c r="H16" s="2027" t="s">
        <v>221</v>
      </c>
      <c r="I16" s="314">
        <f>(G16-F16)/F16*100</f>
        <v>748.06400914416349</v>
      </c>
      <c r="J16" s="5">
        <v>78.37</v>
      </c>
    </row>
    <row r="17" spans="1:23" ht="15.75" x14ac:dyDescent="0.45">
      <c r="A17" s="2005"/>
      <c r="B17" s="2071"/>
      <c r="C17" s="320" t="s">
        <v>228</v>
      </c>
      <c r="D17" s="2064"/>
      <c r="E17" s="2206"/>
      <c r="F17" s="313">
        <v>18.9746104</v>
      </c>
      <c r="G17" s="313">
        <f>('actual fig'!N50)/10000000</f>
        <v>65.659361799999999</v>
      </c>
      <c r="H17" s="2029"/>
      <c r="I17" s="314">
        <f>(G17-F17)/F17*100</f>
        <v>246.03799717542555</v>
      </c>
      <c r="L17" s="755">
        <v>443683</v>
      </c>
    </row>
    <row r="18" spans="1:23" ht="27" customHeight="1" x14ac:dyDescent="0.35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</row>
    <row r="19" spans="1:23" ht="18.75" customHeight="1" x14ac:dyDescent="0.45">
      <c r="A19" s="2004"/>
      <c r="B19" s="2008" t="s">
        <v>230</v>
      </c>
      <c r="C19" s="2000" t="s">
        <v>231</v>
      </c>
      <c r="D19" s="2001"/>
      <c r="E19" s="2002"/>
      <c r="F19" s="315">
        <v>2.2625139999999999</v>
      </c>
      <c r="G19" s="315"/>
      <c r="H19" s="316" t="s">
        <v>221</v>
      </c>
      <c r="I19" s="314">
        <f>(G19-F19)/F19*100</f>
        <v>-100</v>
      </c>
      <c r="L19">
        <v>3905717</v>
      </c>
      <c r="M19" s="5">
        <f>L19/10000000</f>
        <v>0.39057170000000002</v>
      </c>
      <c r="V19" s="5" t="s">
        <v>77</v>
      </c>
    </row>
    <row r="20" spans="1:23" ht="18.75" customHeight="1" x14ac:dyDescent="0.4">
      <c r="A20" s="2004"/>
      <c r="B20" s="2009"/>
      <c r="C20" s="2000" t="s">
        <v>232</v>
      </c>
      <c r="D20" s="2001"/>
      <c r="E20" s="2002"/>
      <c r="F20" s="315">
        <v>1.35399</v>
      </c>
      <c r="G20" s="315"/>
      <c r="H20" s="316" t="s">
        <v>221</v>
      </c>
      <c r="I20" s="314">
        <f>(G20-F20)/F20*100</f>
        <v>-100</v>
      </c>
      <c r="V20" s="5" t="s">
        <v>203</v>
      </c>
      <c r="W20" s="5" t="s">
        <v>202</v>
      </c>
    </row>
    <row r="21" spans="1:23" ht="18.75" customHeight="1" x14ac:dyDescent="0.4">
      <c r="A21" s="2004"/>
      <c r="B21" s="2009"/>
      <c r="C21" s="2000" t="s">
        <v>239</v>
      </c>
      <c r="D21" s="2001"/>
      <c r="E21" s="2002"/>
      <c r="F21" s="315">
        <v>2.7615940000000001</v>
      </c>
      <c r="G21" s="315"/>
      <c r="H21" s="316" t="s">
        <v>221</v>
      </c>
      <c r="I21" s="314">
        <v>0</v>
      </c>
      <c r="U21" s="5">
        <v>1547760</v>
      </c>
      <c r="V21" s="5">
        <v>280853</v>
      </c>
      <c r="W21" s="5">
        <v>183087</v>
      </c>
    </row>
    <row r="22" spans="1:23" ht="18.75" customHeight="1" x14ac:dyDescent="0.4">
      <c r="A22" s="2004"/>
      <c r="B22" s="2009"/>
      <c r="C22" s="2000" t="s">
        <v>233</v>
      </c>
      <c r="D22" s="2001"/>
      <c r="E22" s="2002"/>
      <c r="F22" s="315">
        <v>0.50191549999999996</v>
      </c>
      <c r="G22" s="315"/>
      <c r="H22" s="316" t="s">
        <v>221</v>
      </c>
      <c r="I22" s="314">
        <f>(G22-F22)/F22*100</f>
        <v>-100</v>
      </c>
      <c r="U22" s="5">
        <f>U21-V25</f>
        <v>613144</v>
      </c>
      <c r="V22" s="5">
        <v>18394</v>
      </c>
    </row>
    <row r="23" spans="1:23" ht="18.75" customHeight="1" x14ac:dyDescent="0.4">
      <c r="A23" s="2004"/>
      <c r="B23" s="2009"/>
      <c r="C23" s="2000" t="s">
        <v>234</v>
      </c>
      <c r="D23" s="2001"/>
      <c r="E23" s="2002"/>
      <c r="F23" s="833">
        <v>0</v>
      </c>
      <c r="G23" s="833"/>
      <c r="H23" s="316" t="s">
        <v>221</v>
      </c>
      <c r="I23" s="314" t="e">
        <f>(G23-F23)/F23*100</f>
        <v>#DIV/0!</v>
      </c>
      <c r="O23" s="5">
        <f>2500/3</f>
        <v>833.33333333333337</v>
      </c>
      <c r="U23" s="5">
        <f>U22/10000000</f>
        <v>6.1314399999999998E-2</v>
      </c>
      <c r="V23" s="5">
        <v>137518</v>
      </c>
    </row>
    <row r="24" spans="1:23" ht="18.75" customHeight="1" x14ac:dyDescent="0.4">
      <c r="A24" s="2004"/>
      <c r="B24" s="2009"/>
      <c r="C24" s="2000" t="s">
        <v>235</v>
      </c>
      <c r="D24" s="2001"/>
      <c r="E24" s="2002"/>
      <c r="F24" s="833">
        <v>0</v>
      </c>
      <c r="G24" s="833"/>
      <c r="H24" s="316"/>
      <c r="I24" s="314">
        <v>0</v>
      </c>
      <c r="P24" s="5" t="s">
        <v>265</v>
      </c>
      <c r="V24" s="5">
        <v>497851</v>
      </c>
    </row>
    <row r="25" spans="1:23" ht="31.5" customHeight="1" x14ac:dyDescent="0.4">
      <c r="A25" s="2005"/>
      <c r="B25" s="2010"/>
      <c r="C25" s="2011" t="s">
        <v>567</v>
      </c>
      <c r="D25" s="2012"/>
      <c r="E25" s="2013"/>
      <c r="F25" s="833">
        <v>0</v>
      </c>
      <c r="G25" s="833"/>
      <c r="H25" s="316" t="s">
        <v>221</v>
      </c>
      <c r="I25" s="314">
        <v>0</v>
      </c>
      <c r="N25" s="5">
        <f>0.14*100000</f>
        <v>14000.000000000002</v>
      </c>
      <c r="V25" s="5">
        <f>SUM(V21:V24)</f>
        <v>934616</v>
      </c>
    </row>
    <row r="26" spans="1:23" ht="24.75" customHeight="1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  <c r="N26" s="5">
        <f>N25/10000000</f>
        <v>1.4000000000000002E-3</v>
      </c>
    </row>
    <row r="27" spans="1:23" ht="15.4" x14ac:dyDescent="0.4">
      <c r="A27" s="2015"/>
      <c r="B27" s="2006" t="s">
        <v>2</v>
      </c>
      <c r="C27" s="2007"/>
      <c r="D27" s="331">
        <v>6</v>
      </c>
      <c r="E27" s="307">
        <f>'TARGET SHEET 2021-22'!R41</f>
        <v>0.5</v>
      </c>
      <c r="F27" s="134">
        <v>5.2736199999999997E-2</v>
      </c>
      <c r="G27" s="313">
        <f>('actual fig'!U50)/10000000</f>
        <v>0.97747280000000003</v>
      </c>
      <c r="H27" s="496">
        <f>(G27-E27)/E27*100</f>
        <v>95.494560000000007</v>
      </c>
      <c r="I27" s="496">
        <f>(G27-F27)/F27*100</f>
        <v>1753.5139050595226</v>
      </c>
      <c r="K27" s="5">
        <f>2*10000000</f>
        <v>20000000</v>
      </c>
      <c r="L27" s="5">
        <v>23876641</v>
      </c>
      <c r="M27" s="5">
        <v>15888</v>
      </c>
      <c r="Q27" s="5">
        <v>1936433</v>
      </c>
      <c r="R27" s="5">
        <v>494905</v>
      </c>
      <c r="S27" s="5">
        <f>Q27-R27-R28-R29</f>
        <v>3090</v>
      </c>
    </row>
    <row r="28" spans="1:23" ht="15.4" x14ac:dyDescent="0.4">
      <c r="A28" s="2015"/>
      <c r="B28" s="2006" t="s">
        <v>23</v>
      </c>
      <c r="C28" s="2007"/>
      <c r="D28" s="331" t="s">
        <v>221</v>
      </c>
      <c r="E28" s="307">
        <f>'TARGET SHEET 2021-22'!B45</f>
        <v>2.5</v>
      </c>
      <c r="F28" s="134">
        <v>1.1758708</v>
      </c>
      <c r="G28" s="313">
        <f>('actual fig'!V50)/10000000</f>
        <v>2.4485470999999999</v>
      </c>
      <c r="H28" s="496">
        <f>(G28-E28)/E28*100</f>
        <v>-2.0581160000000054</v>
      </c>
      <c r="I28" s="496">
        <f>(G28-F28)/F28*100</f>
        <v>108.23266467710566</v>
      </c>
      <c r="K28" s="5">
        <f>K27/31</f>
        <v>645161.29032258061</v>
      </c>
      <c r="L28" s="5">
        <f>L27-M34</f>
        <v>18418</v>
      </c>
      <c r="M28" s="5">
        <v>1467371</v>
      </c>
      <c r="R28" s="5">
        <v>943533</v>
      </c>
      <c r="S28" s="5">
        <f>S27+400</f>
        <v>3490</v>
      </c>
      <c r="T28" s="5">
        <f>S28/10000000</f>
        <v>3.4900000000000003E-4</v>
      </c>
    </row>
    <row r="29" spans="1:23" ht="15.4" x14ac:dyDescent="0.4">
      <c r="A29" s="2015"/>
      <c r="B29" s="2006" t="s">
        <v>1</v>
      </c>
      <c r="C29" s="2007"/>
      <c r="D29" s="331" t="s">
        <v>221</v>
      </c>
      <c r="E29" s="307">
        <f>'TARGET SHEET 2021-22'!C45</f>
        <v>0.3</v>
      </c>
      <c r="F29" s="313">
        <v>2.1091200000000001E-2</v>
      </c>
      <c r="G29" s="313">
        <f>('actual fig'!W50)/10000000</f>
        <v>0.1109642</v>
      </c>
      <c r="H29" s="496">
        <f>(G29-E29)/E29*100</f>
        <v>-63.011933333333324</v>
      </c>
      <c r="I29" s="496">
        <f>(G29-F29)/F29*100</f>
        <v>426.11610529509932</v>
      </c>
      <c r="K29" s="5">
        <f>K28*15</f>
        <v>9677419.3548387084</v>
      </c>
      <c r="M29" s="5">
        <v>2923510</v>
      </c>
      <c r="R29" s="5">
        <v>494905</v>
      </c>
    </row>
    <row r="30" spans="1:23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313">
        <v>0</v>
      </c>
      <c r="G30" s="381">
        <f>('actual fig'!Y50)/10000000</f>
        <v>2.9988000000000001E-2</v>
      </c>
      <c r="H30" s="496" t="s">
        <v>221</v>
      </c>
      <c r="I30" s="496" t="s">
        <v>221</v>
      </c>
      <c r="K30" s="5">
        <f>K29/10000000</f>
        <v>0.96774193548387089</v>
      </c>
      <c r="M30" s="5">
        <v>17118533</v>
      </c>
    </row>
    <row r="31" spans="1:23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313">
        <v>0</v>
      </c>
      <c r="G31" s="315">
        <f>('actual fig'!X50)/10000000</f>
        <v>1.1021133999999999</v>
      </c>
      <c r="H31" s="496" t="s">
        <v>221</v>
      </c>
      <c r="I31" s="496" t="e">
        <f>(G31-F31)/F31*100</f>
        <v>#DIV/0!</v>
      </c>
      <c r="M31" s="5">
        <v>858350</v>
      </c>
    </row>
    <row r="32" spans="1:23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313">
        <v>0.70249680000000003</v>
      </c>
      <c r="G32" s="134">
        <f>('actual fig'!T50)/10000000</f>
        <v>2.755064</v>
      </c>
      <c r="H32" s="496" t="s">
        <v>221</v>
      </c>
      <c r="I32" s="496">
        <f>(G32-F32)/F32*100</f>
        <v>292.18171527614072</v>
      </c>
      <c r="M32" s="5">
        <v>1467371</v>
      </c>
      <c r="O32" s="380">
        <v>3247525</v>
      </c>
      <c r="P32" s="5">
        <f>O32/10000000</f>
        <v>0.3247525</v>
      </c>
      <c r="T32" s="5">
        <v>62410</v>
      </c>
      <c r="U32" s="5">
        <v>1075</v>
      </c>
      <c r="V32" s="5">
        <v>73271</v>
      </c>
      <c r="W32" s="5">
        <f>T32+U32+V32</f>
        <v>136756</v>
      </c>
    </row>
    <row r="33" spans="1:23" x14ac:dyDescent="0.45">
      <c r="A33" s="403"/>
      <c r="B33" s="402" t="s">
        <v>266</v>
      </c>
      <c r="C33" s="409"/>
      <c r="D33" s="332"/>
      <c r="E33" s="308"/>
      <c r="F33" s="283">
        <v>4.2460000000000002E-4</v>
      </c>
      <c r="G33" s="134">
        <f>('actual fig'!Z50)/10000000</f>
        <v>4.1210999999999998E-2</v>
      </c>
      <c r="H33" s="496" t="s">
        <v>221</v>
      </c>
      <c r="I33" s="496">
        <f>(G33-F33)/F33*100</f>
        <v>9605.8407913330193</v>
      </c>
      <c r="M33" s="5">
        <v>7200</v>
      </c>
      <c r="O33" s="380"/>
      <c r="T33" s="5">
        <v>66420</v>
      </c>
      <c r="U33" s="5">
        <v>355</v>
      </c>
      <c r="W33" s="5">
        <f>T33+U33+V33</f>
        <v>66775</v>
      </c>
    </row>
    <row r="34" spans="1:23" ht="15" x14ac:dyDescent="0.4">
      <c r="A34" s="2020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  <c r="M34" s="26">
        <f>SUM(M27:M33)</f>
        <v>23858223</v>
      </c>
      <c r="T34" s="5">
        <f>SUM(T32:T33)</f>
        <v>128830</v>
      </c>
      <c r="U34" s="5">
        <f>SUM(U32:U33)</f>
        <v>1430</v>
      </c>
      <c r="V34" s="5">
        <f>SUM(V32:V33)</f>
        <v>73271</v>
      </c>
      <c r="W34" s="5">
        <f>SUM(W32:W33)</f>
        <v>203531</v>
      </c>
    </row>
    <row r="35" spans="1:23" ht="15.4" x14ac:dyDescent="0.4">
      <c r="A35" s="2020"/>
      <c r="B35" s="2006" t="s">
        <v>27</v>
      </c>
      <c r="C35" s="2007"/>
      <c r="D35" s="331">
        <v>2.4300000000000002</v>
      </c>
      <c r="E35" s="307">
        <f>'TARGET SHEET 2021-22'!J13</f>
        <v>0.33700000000000002</v>
      </c>
      <c r="F35" s="389">
        <v>5.4699999999999999E-2</v>
      </c>
      <c r="G35" s="381">
        <f>('actual fig'!T66)/10000000</f>
        <v>0.5309104</v>
      </c>
      <c r="H35" s="314">
        <f>(G35-E35)/E35*100</f>
        <v>57.540178041543022</v>
      </c>
      <c r="I35" s="314">
        <f>(G35-F35)/F35*100</f>
        <v>870.58574040219389</v>
      </c>
      <c r="J35" s="5">
        <f>E35*7</f>
        <v>2.359</v>
      </c>
      <c r="K35" s="5">
        <f>725000/10000000</f>
        <v>7.2499999999999995E-2</v>
      </c>
      <c r="L35" s="5">
        <v>116783</v>
      </c>
      <c r="M35" s="5">
        <v>100</v>
      </c>
      <c r="N35" s="5">
        <f>L35-M39</f>
        <v>116783</v>
      </c>
      <c r="T35" s="5">
        <f>T34/10000000</f>
        <v>1.2883E-2</v>
      </c>
    </row>
    <row r="36" spans="1:23" ht="15.4" x14ac:dyDescent="0.4">
      <c r="A36" s="2020"/>
      <c r="B36" s="2006" t="s">
        <v>28</v>
      </c>
      <c r="C36" s="2007"/>
      <c r="D36" s="333">
        <v>0.11</v>
      </c>
      <c r="E36" s="307">
        <f>'TARGET SHEET 2021-22'!K13</f>
        <v>0.21340000000000001</v>
      </c>
      <c r="F36" s="210">
        <v>0</v>
      </c>
      <c r="G36" s="836">
        <v>0</v>
      </c>
      <c r="H36" s="314">
        <f>(G36-E36)/E36*100</f>
        <v>-100</v>
      </c>
      <c r="I36" s="314" t="e">
        <f>(G36-F36)/F36*100</f>
        <v>#DIV/0!</v>
      </c>
      <c r="J36" s="5">
        <f>E36*7</f>
        <v>1.4938</v>
      </c>
      <c r="M36" s="5">
        <v>1568</v>
      </c>
    </row>
    <row r="37" spans="1:23" ht="15.4" x14ac:dyDescent="0.4">
      <c r="A37" s="2020"/>
      <c r="B37" s="378" t="s">
        <v>224</v>
      </c>
      <c r="C37" s="379"/>
      <c r="D37" s="331">
        <v>0.19</v>
      </c>
      <c r="E37" s="307">
        <f>'TARGET SHEET 2021-22'!L13</f>
        <v>0.12833</v>
      </c>
      <c r="F37" s="381">
        <f>39152/10000000</f>
        <v>3.9151999999999998E-3</v>
      </c>
      <c r="G37" s="836">
        <v>0</v>
      </c>
      <c r="H37" s="314">
        <f>(G37-E37)/E37*100</f>
        <v>-100</v>
      </c>
      <c r="I37" s="314">
        <f>(G37-F37)/F37*100</f>
        <v>-100</v>
      </c>
      <c r="J37" s="5">
        <f>E37*7</f>
        <v>0.89830999999999994</v>
      </c>
      <c r="M37" s="5">
        <v>100</v>
      </c>
      <c r="O37" s="5" t="s">
        <v>274</v>
      </c>
    </row>
    <row r="38" spans="1:23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836">
        <v>0</v>
      </c>
      <c r="G38" s="836">
        <v>0</v>
      </c>
      <c r="H38" s="314" t="s">
        <v>221</v>
      </c>
      <c r="I38" s="314">
        <v>0</v>
      </c>
      <c r="M38" s="5">
        <v>1064</v>
      </c>
    </row>
    <row r="39" spans="1:23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836">
        <v>0</v>
      </c>
      <c r="G39" s="836">
        <v>0</v>
      </c>
      <c r="H39" s="314" t="s">
        <v>221</v>
      </c>
      <c r="I39" s="314">
        <v>0</v>
      </c>
      <c r="L39" s="5">
        <f>116783-73677</f>
        <v>43106</v>
      </c>
      <c r="P39" s="5">
        <v>2.4300000000000002</v>
      </c>
      <c r="Q39" s="5">
        <v>0.20250000000000001</v>
      </c>
      <c r="R39" s="5">
        <f>Q39*4</f>
        <v>0.81</v>
      </c>
      <c r="T39" s="5">
        <f>269354-88926</f>
        <v>180428</v>
      </c>
    </row>
    <row r="40" spans="1:23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836">
        <v>8.9999999999999993E-3</v>
      </c>
      <c r="G40" s="381">
        <f>('actual fig'!X66)/10000000</f>
        <v>4.5241499999999997E-2</v>
      </c>
      <c r="H40" s="314" t="s">
        <v>221</v>
      </c>
      <c r="I40" s="314">
        <f>(G40-F40)/F40*100</f>
        <v>402.68333333333334</v>
      </c>
      <c r="P40" s="5">
        <v>0.11</v>
      </c>
      <c r="Q40" s="5">
        <v>8.9999999999999993E-3</v>
      </c>
      <c r="R40" s="5">
        <f>Q40*4</f>
        <v>3.5999999999999997E-2</v>
      </c>
      <c r="T40" s="5">
        <f>T39/10000000</f>
        <v>1.8042800000000001E-2</v>
      </c>
    </row>
    <row r="41" spans="1:23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L41" s="5">
        <f>119576-84653</f>
        <v>34923</v>
      </c>
      <c r="P41" s="5">
        <v>0.19</v>
      </c>
      <c r="Q41" s="5">
        <v>1.6E-2</v>
      </c>
      <c r="R41" s="5">
        <f>Q41*4</f>
        <v>6.4000000000000001E-2</v>
      </c>
    </row>
    <row r="42" spans="1:23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315">
        <v>3.9475999999999997E-2</v>
      </c>
      <c r="G42" s="404">
        <f>('actual fig'!L66)/1000000</f>
        <v>0.31974999999999998</v>
      </c>
      <c r="H42" s="314" t="s">
        <v>221</v>
      </c>
      <c r="I42" s="314">
        <f>(G42-F42)/F42*100</f>
        <v>709.98581416556897</v>
      </c>
    </row>
    <row r="43" spans="1:23" ht="16.149999999999999" thickBot="1" x14ac:dyDescent="0.5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313">
        <v>1.5579999999999999E-3</v>
      </c>
      <c r="G43" s="404">
        <f>('actual fig'!M66)/1000000</f>
        <v>5.4133000000000001E-2</v>
      </c>
      <c r="H43" s="2027" t="s">
        <v>221</v>
      </c>
      <c r="I43" s="314">
        <f>(G43-F43)/F43*100</f>
        <v>3374.5186136071893</v>
      </c>
      <c r="M43" s="429"/>
    </row>
    <row r="44" spans="1:23" ht="15.75" thickTop="1" x14ac:dyDescent="0.4">
      <c r="A44" s="2020"/>
      <c r="B44" s="2070"/>
      <c r="C44" s="320" t="s">
        <v>228</v>
      </c>
      <c r="D44" s="2068"/>
      <c r="E44" s="2066"/>
      <c r="F44" s="313">
        <v>0.28663100000000002</v>
      </c>
      <c r="G44" s="313">
        <f>('actual fig'!N66)/1000000</f>
        <v>1.137564</v>
      </c>
      <c r="H44" s="2029"/>
      <c r="I44" s="314">
        <f>(G44-F44)/F44*100</f>
        <v>296.87402967578521</v>
      </c>
    </row>
    <row r="45" spans="1:23" ht="15" x14ac:dyDescent="0.35">
      <c r="A45" s="2020">
        <v>6</v>
      </c>
      <c r="B45" s="2021" t="s">
        <v>273</v>
      </c>
      <c r="C45" s="2022"/>
      <c r="D45" s="2022"/>
      <c r="E45" s="2022"/>
      <c r="F45" s="2022"/>
      <c r="G45" s="2022"/>
      <c r="H45" s="2022"/>
      <c r="I45" s="2023"/>
    </row>
    <row r="46" spans="1:23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2"/>
      <c r="G46" s="312"/>
      <c r="H46" s="2027" t="s">
        <v>221</v>
      </c>
      <c r="I46" s="314" t="e">
        <f>(G46-F46)/F46*100</f>
        <v>#DIV/0!</v>
      </c>
    </row>
    <row r="47" spans="1:23" ht="15.4" x14ac:dyDescent="0.4">
      <c r="A47" s="2020"/>
      <c r="B47" s="2006" t="s">
        <v>37</v>
      </c>
      <c r="C47" s="2007"/>
      <c r="D47" s="303" t="s">
        <v>221</v>
      </c>
      <c r="E47" s="2025"/>
      <c r="F47" s="312"/>
      <c r="G47" s="312"/>
      <c r="H47" s="2028"/>
      <c r="I47" s="314" t="e">
        <f>(G47-F47)/F47*100</f>
        <v>#DIV/0!</v>
      </c>
    </row>
    <row r="48" spans="1:23" ht="15.4" x14ac:dyDescent="0.4">
      <c r="A48" s="2020"/>
      <c r="B48" s="2006" t="s">
        <v>38</v>
      </c>
      <c r="C48" s="2007"/>
      <c r="D48" s="303" t="s">
        <v>221</v>
      </c>
      <c r="E48" s="2026"/>
      <c r="F48" s="312"/>
      <c r="G48" s="312"/>
      <c r="H48" s="2029"/>
      <c r="I48" s="314" t="e">
        <f>(G48-F48)/F48*100</f>
        <v>#DIV/0!</v>
      </c>
    </row>
    <row r="50" spans="3:8" s="5" customFormat="1" ht="16.149999999999999" thickBot="1" x14ac:dyDescent="0.4">
      <c r="D50" s="84"/>
      <c r="E50" s="35"/>
      <c r="F50" s="824">
        <v>37181</v>
      </c>
      <c r="H50" s="11"/>
    </row>
    <row r="54" spans="3:8" s="5" customFormat="1" ht="13.5" x14ac:dyDescent="0.35">
      <c r="C54" s="12">
        <v>56.49</v>
      </c>
      <c r="D54" s="84">
        <v>18.96</v>
      </c>
      <c r="E54" s="428">
        <f>C54-D54</f>
        <v>37.53</v>
      </c>
      <c r="F54" s="12">
        <v>290</v>
      </c>
      <c r="G54" s="12">
        <f>G42*1000000</f>
        <v>319750</v>
      </c>
      <c r="H54" s="11">
        <f>G54/100000</f>
        <v>3.1974999999999998</v>
      </c>
    </row>
    <row r="55" spans="3:8" s="5" customFormat="1" ht="13.5" x14ac:dyDescent="0.35">
      <c r="D55" s="84"/>
      <c r="E55" s="35"/>
      <c r="G55" s="12">
        <f>G43*1000000</f>
        <v>54133</v>
      </c>
      <c r="H55" s="11">
        <f>G55/100000</f>
        <v>0.54132999999999998</v>
      </c>
    </row>
    <row r="56" spans="3:8" s="5" customFormat="1" ht="13.5" x14ac:dyDescent="0.35">
      <c r="D56" s="84"/>
      <c r="E56" s="35"/>
      <c r="G56" s="12">
        <f>G44*1000000</f>
        <v>1137564</v>
      </c>
      <c r="H56" s="11">
        <f>G56/100000</f>
        <v>11.375640000000001</v>
      </c>
    </row>
    <row r="57" spans="3:8" s="5" customFormat="1" ht="13.5" x14ac:dyDescent="0.35">
      <c r="D57" s="84"/>
      <c r="E57" s="35"/>
      <c r="H57" s="11">
        <f>G57/100000</f>
        <v>0</v>
      </c>
    </row>
    <row r="64" spans="3:8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T64"/>
  <sheetViews>
    <sheetView topLeftCell="A2" workbookViewId="0">
      <selection activeCell="G42" sqref="G42:G44"/>
    </sheetView>
  </sheetViews>
  <sheetFormatPr defaultColWidth="9.1328125" defaultRowHeight="16.899999999999999" x14ac:dyDescent="0.35"/>
  <cols>
    <col min="1" max="1" width="5.86328125" style="376" customWidth="1"/>
    <col min="2" max="2" width="33.86328125" style="300" customWidth="1"/>
    <col min="3" max="3" width="6" style="5" bestFit="1" customWidth="1"/>
    <col min="4" max="4" width="11.3984375" style="84" bestFit="1" customWidth="1"/>
    <col min="5" max="5" width="11.3984375" style="35" customWidth="1"/>
    <col min="6" max="6" width="12.73046875" style="5" customWidth="1"/>
    <col min="7" max="7" width="14.73046875" style="5" customWidth="1"/>
    <col min="8" max="8" width="9.265625" style="11" bestFit="1" customWidth="1"/>
    <col min="9" max="9" width="10.3984375" style="82" customWidth="1"/>
    <col min="10" max="10" width="9.1328125" style="5"/>
    <col min="11" max="11" width="12.3984375" style="5" bestFit="1" customWidth="1"/>
    <col min="12" max="12" width="10" style="5" customWidth="1"/>
    <col min="13" max="14" width="10.73046875" style="5" bestFit="1" customWidth="1"/>
    <col min="15" max="16384" width="9.1328125" style="5"/>
  </cols>
  <sheetData>
    <row r="1" spans="1:20" ht="19.5" customHeight="1" x14ac:dyDescent="0.35">
      <c r="A1" s="2200" t="s">
        <v>5</v>
      </c>
      <c r="B1" s="2200"/>
      <c r="C1" s="2200"/>
      <c r="D1" s="2200"/>
      <c r="E1" s="2200"/>
      <c r="F1" s="2200"/>
      <c r="G1" s="2200"/>
      <c r="H1" s="2200"/>
      <c r="I1" s="2200"/>
    </row>
    <row r="2" spans="1:20" s="301" customFormat="1" ht="21.75" customHeight="1" thickBot="1" x14ac:dyDescent="0.5">
      <c r="A2" s="2092" t="s">
        <v>579</v>
      </c>
      <c r="B2" s="2093"/>
      <c r="C2" s="2093"/>
      <c r="D2" s="2093"/>
      <c r="E2" s="2093"/>
      <c r="F2" s="2093"/>
      <c r="G2" s="2093"/>
      <c r="H2" s="2093"/>
      <c r="I2" s="2094"/>
    </row>
    <row r="3" spans="1:20" ht="17.25" thickTop="1" x14ac:dyDescent="0.5">
      <c r="A3" s="2035" t="s">
        <v>144</v>
      </c>
      <c r="B3" s="2201" t="s">
        <v>7</v>
      </c>
      <c r="C3" s="2202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20" s="35" customFormat="1" ht="30" x14ac:dyDescent="0.45">
      <c r="A4" s="2035"/>
      <c r="B4" s="2203"/>
      <c r="C4" s="2204"/>
      <c r="D4" s="366" t="s">
        <v>9</v>
      </c>
      <c r="E4" s="383" t="str">
        <f>G4</f>
        <v>UpTo NOV-21</v>
      </c>
      <c r="F4" s="383" t="s">
        <v>580</v>
      </c>
      <c r="G4" s="383" t="s">
        <v>581</v>
      </c>
      <c r="H4" s="2111" t="s">
        <v>12</v>
      </c>
      <c r="I4" s="2111" t="s">
        <v>13</v>
      </c>
      <c r="N4" s="380"/>
    </row>
    <row r="5" spans="1:20" ht="20.25" hidden="1" customHeight="1" x14ac:dyDescent="0.5">
      <c r="A5" s="2036"/>
      <c r="B5" s="2203"/>
      <c r="C5" s="2204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20" ht="30" customHeight="1" x14ac:dyDescent="0.35">
      <c r="A6" s="372">
        <v>1</v>
      </c>
      <c r="B6" s="2049" t="s">
        <v>290</v>
      </c>
      <c r="C6" s="2049"/>
      <c r="D6" s="304">
        <v>810.69999999999993</v>
      </c>
      <c r="E6" s="305">
        <f>E15+E16</f>
        <v>528.13</v>
      </c>
      <c r="F6" s="305">
        <f>'UPTO JULY 2021'!F6+'AUG-2021'!F6+'SEPTEMBER 2021'!F6+'OCTOBER-2021'!F6+'NOVEMBER-2021'!F6</f>
        <v>43.354228328000005</v>
      </c>
      <c r="G6" s="305">
        <f>'UPTO JULY 2021'!G6+'AUG-2021'!G6+'SEPTEMBER 2021'!G6+'OCTOBER-2021'!G6+'NOVEMBER-2021'!G6</f>
        <v>362.40234858299999</v>
      </c>
      <c r="H6" s="517">
        <f>(G6-E6)/E6*100</f>
        <v>-31.380086610682977</v>
      </c>
      <c r="I6" s="517">
        <f>(G6-F6)/F6*100</f>
        <v>735.91004282492349</v>
      </c>
      <c r="K6" s="12"/>
    </row>
    <row r="7" spans="1:20" ht="26.25" customHeight="1" x14ac:dyDescent="0.35">
      <c r="A7" s="838">
        <v>2</v>
      </c>
      <c r="B7" s="2207" t="s">
        <v>291</v>
      </c>
      <c r="C7" s="2208"/>
      <c r="D7" s="434">
        <v>132.88999999999999</v>
      </c>
      <c r="E7" s="434">
        <f>'TARGET SHEET 2021-22'!E20</f>
        <v>78.930000000000007</v>
      </c>
      <c r="F7" s="434">
        <f>'UPTO JULY 2021'!F7+'AUG-2021'!F7+'SEPTEMBER 2021'!F7+'OCTOBER-2021'!F7+'NOVEMBER-2021'!F7</f>
        <v>74.324629899999991</v>
      </c>
      <c r="G7" s="434">
        <f>G19+G20+G21+G22+G23+G24+G25</f>
        <v>184.98821169999999</v>
      </c>
      <c r="H7" s="517">
        <f>(G7-E7)/E7*100</f>
        <v>134.3699628784999</v>
      </c>
      <c r="I7" s="517">
        <f>(G7-F7)/F7*100</f>
        <v>148.89220699637821</v>
      </c>
      <c r="K7" s="12"/>
      <c r="L7" s="12"/>
      <c r="T7" s="12"/>
    </row>
    <row r="8" spans="1:20" ht="32.25" customHeight="1" x14ac:dyDescent="0.35">
      <c r="A8" s="374">
        <v>3</v>
      </c>
      <c r="B8" s="2021" t="s">
        <v>292</v>
      </c>
      <c r="C8" s="2023"/>
      <c r="D8" s="364">
        <v>63.210000000000008</v>
      </c>
      <c r="E8" s="305">
        <f>'TARGET SHEET 2021-22'!F20</f>
        <v>40.980000000000004</v>
      </c>
      <c r="F8" s="305">
        <f>'UPTO JULY 2021'!F8+'AUG-2021'!F8+'SEPTEMBER 2021'!F8+'OCTOBER-2021'!F8+'NOVEMBER-2021'!F8</f>
        <v>9.4406955999999997</v>
      </c>
      <c r="G8" s="305">
        <f>'UPTO JULY 2021'!G8+'AUG-2021'!G8+'SEPTEMBER 2021'!G8+'OCTOBER-2021'!G8+'NOVEMBER-2021'!G8</f>
        <v>42.945372000000006</v>
      </c>
      <c r="H8" s="517">
        <f>(G8-E8)/E8*100</f>
        <v>4.7959297218155239</v>
      </c>
      <c r="I8" s="517">
        <f>(G8-F8)/F8*100</f>
        <v>354.89626844869366</v>
      </c>
      <c r="K8" s="12"/>
    </row>
    <row r="9" spans="1:20" ht="34.5" customHeight="1" x14ac:dyDescent="0.35">
      <c r="A9" s="838">
        <v>4</v>
      </c>
      <c r="B9" s="2209" t="s">
        <v>293</v>
      </c>
      <c r="C9" s="2210"/>
      <c r="D9" s="434">
        <v>8.1447600000000016</v>
      </c>
      <c r="E9" s="434">
        <f>'UPTO JULY 2021'!E9+'AUG-2021'!E9+'SEPTEMBER 2021'!E9+'OCTOBER-2021'!E9+'NOVEMBER-2021'!E9</f>
        <v>5.4311099999999994</v>
      </c>
      <c r="F9" s="434">
        <f>'UPTO JULY 2021'!F9+'AUG-2021'!F9+'SEPTEMBER 2021'!F9+'OCTOBER-2021'!F9+'NOVEMBER-2021'!F9</f>
        <v>0.54012280000000001</v>
      </c>
      <c r="G9" s="517">
        <v>3.4</v>
      </c>
      <c r="H9" s="517">
        <f>(G9-E9)/E9*100</f>
        <v>-37.397695866959054</v>
      </c>
      <c r="I9" s="517">
        <f>(G9-F9)/F9*100</f>
        <v>529.48647974127357</v>
      </c>
      <c r="K9" s="12"/>
    </row>
    <row r="10" spans="1:20" ht="48" customHeight="1" x14ac:dyDescent="0.35">
      <c r="A10" s="374">
        <v>5</v>
      </c>
      <c r="B10" s="2054" t="s">
        <v>294</v>
      </c>
      <c r="C10" s="2055"/>
      <c r="D10" s="305">
        <f>SUM(D6:D9)</f>
        <v>1014.94476</v>
      </c>
      <c r="E10" s="305">
        <f>SUM(E6:E9)</f>
        <v>653.47110999999995</v>
      </c>
      <c r="F10" s="305">
        <f>SUM(F6:F9)</f>
        <v>127.659676628</v>
      </c>
      <c r="G10" s="305">
        <f>SUM(G6:G9)</f>
        <v>593.73593228300001</v>
      </c>
      <c r="H10" s="517">
        <f>(G10-E10)/E10*100</f>
        <v>-9.1412117234991381</v>
      </c>
      <c r="I10" s="517">
        <f>(G10-F10)/F10*100</f>
        <v>365.09277476328339</v>
      </c>
    </row>
    <row r="11" spans="1:20" ht="8.2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20" ht="30.75" customHeight="1" x14ac:dyDescent="0.35">
      <c r="A12" s="373">
        <v>6.3</v>
      </c>
      <c r="B12" s="2159" t="s">
        <v>420</v>
      </c>
      <c r="C12" s="2161"/>
      <c r="D12" s="332" t="s">
        <v>221</v>
      </c>
      <c r="E12" s="307" t="s">
        <v>221</v>
      </c>
      <c r="F12" s="434">
        <f>'UPTO JULY 2021'!F12+'AUG-2021'!F12+'SEPTEMBER 2021'!F12+'OCTOBER-2021'!F12+'NOVEMBER-2021'!F12</f>
        <v>0.68635400000000002</v>
      </c>
      <c r="G12" s="434">
        <f>'UPTO JULY 2021'!G12+'AUG-2021'!G12+'SEPTEMBER 2021'!G12+'OCTOBER-2021'!G12+'NOVEMBER-2021'!G12</f>
        <v>8.3911929999999995</v>
      </c>
      <c r="H12" s="308" t="s">
        <v>221</v>
      </c>
      <c r="I12" s="517">
        <f>(G12-F12)/F12*100</f>
        <v>1122.575085160136</v>
      </c>
    </row>
    <row r="13" spans="1:20" ht="16.5" customHeight="1" x14ac:dyDescent="0.35">
      <c r="B13" s="2167" t="s">
        <v>229</v>
      </c>
      <c r="C13" s="2168"/>
      <c r="D13" s="2168"/>
      <c r="E13" s="2168"/>
      <c r="F13" s="2168"/>
      <c r="G13" s="2168"/>
      <c r="H13" s="2168"/>
      <c r="I13" s="2169"/>
    </row>
    <row r="14" spans="1:20" ht="14.25" customHeight="1" x14ac:dyDescent="0.35">
      <c r="A14" s="2003">
        <v>1</v>
      </c>
      <c r="B14" s="2021" t="s">
        <v>298</v>
      </c>
      <c r="C14" s="2022"/>
      <c r="D14" s="2022"/>
      <c r="E14" s="2022"/>
      <c r="F14" s="2022"/>
      <c r="G14" s="2022"/>
      <c r="H14" s="2022"/>
      <c r="I14" s="2023"/>
    </row>
    <row r="15" spans="1:20" ht="15.4" x14ac:dyDescent="0.4">
      <c r="A15" s="2004"/>
      <c r="B15" s="2006" t="s">
        <v>16</v>
      </c>
      <c r="C15" s="2007"/>
      <c r="D15" s="331">
        <f>'TARGET SHEET 2021-22'!B28</f>
        <v>1.9200000000000004</v>
      </c>
      <c r="E15" s="316">
        <f>'UPTO OCT 2021'!E15+'NOVEMBER-2021'!E15</f>
        <v>1.2400000000000002</v>
      </c>
      <c r="F15" s="315">
        <f>'UPTO JULY 2021'!F15+'AUG-2021'!F15+'SEPTEMBER 2021'!F15+'OCTOBER-2021'!F15+'NOVEMBER-2021'!F15</f>
        <v>3.3843628000000001E-2</v>
      </c>
      <c r="G15" s="315">
        <f>'UPTO JULY 2021'!G15+'AUG-2021'!G15+'SEPTEMBER 2021'!G15+'OCTOBER-2021'!G15+'NOVEMBER-2021'!G15</f>
        <v>0.70759273499999997</v>
      </c>
      <c r="H15" s="316">
        <f>(G15-E15)/E15*100</f>
        <v>-42.936069758064527</v>
      </c>
      <c r="I15" s="316">
        <f>(G15-F15)/F15*100</f>
        <v>1990.7709273958453</v>
      </c>
    </row>
    <row r="16" spans="1:20" ht="15.4" x14ac:dyDescent="0.4">
      <c r="A16" s="2004"/>
      <c r="B16" s="2071" t="s">
        <v>15</v>
      </c>
      <c r="C16" s="320" t="s">
        <v>166</v>
      </c>
      <c r="D16" s="2064">
        <f>'TARGET SHEET 2021-22'!C28</f>
        <v>808.78000000000009</v>
      </c>
      <c r="E16" s="2154">
        <f>'UPTO OCT 2021'!E16:E17+'NOVEMBER-2021'!E16:E17</f>
        <v>526.89</v>
      </c>
      <c r="F16" s="315">
        <f>'UPTO JULY 2021'!F16+'AUG-2021'!F16+'SEPTEMBER 2021'!F16+'OCTOBER-2021'!F16+'NOVEMBER-2021'!F16</f>
        <v>13.9006053</v>
      </c>
      <c r="G16" s="315">
        <f>'UPTO JULY 2021'!G16+'AUG-2021'!G16+'SEPTEMBER 2021'!G16+'OCTOBER-2021'!G16+'NOVEMBER-2021'!G16</f>
        <v>0.50963874799999997</v>
      </c>
      <c r="H16" s="2027">
        <v>-31.35</v>
      </c>
      <c r="I16" s="316">
        <f>(G16-F16)/F16*100</f>
        <v>-96.333693842814156</v>
      </c>
      <c r="J16" s="12"/>
      <c r="K16" s="12">
        <v>526.89</v>
      </c>
      <c r="L16" s="12">
        <f>G16+G17</f>
        <v>361.69475584799994</v>
      </c>
      <c r="M16" s="12"/>
      <c r="N16" s="12">
        <f>(L16-K16)/K16*100</f>
        <v>-31.352890385469461</v>
      </c>
    </row>
    <row r="17" spans="1:13" ht="15.4" x14ac:dyDescent="0.4">
      <c r="A17" s="2005"/>
      <c r="B17" s="2071"/>
      <c r="C17" s="320" t="s">
        <v>228</v>
      </c>
      <c r="D17" s="2064"/>
      <c r="E17" s="2155"/>
      <c r="F17" s="315">
        <f>'UPTO JULY 2021'!F17+'AUG-2021'!F17+'SEPTEMBER 2021'!F17+'OCTOBER-2021'!F17+'NOVEMBER-2021'!F17</f>
        <v>29.419779400000003</v>
      </c>
      <c r="G17" s="315">
        <f>'UPTO JULY 2021'!G17+'AUG-2021'!G17+'SEPTEMBER 2021'!G17+'OCTOBER-2021'!G17+'NOVEMBER-2021'!G17</f>
        <v>361.18511709999996</v>
      </c>
      <c r="H17" s="2029"/>
      <c r="I17" s="316">
        <f>(G17-F17)/F17*100</f>
        <v>1127.6948517839664</v>
      </c>
    </row>
    <row r="18" spans="1:13" ht="15" x14ac:dyDescent="0.35">
      <c r="A18" s="2003">
        <v>2</v>
      </c>
      <c r="B18" s="2021" t="s">
        <v>467</v>
      </c>
      <c r="C18" s="2022"/>
      <c r="D18" s="2022"/>
      <c r="E18" s="2022"/>
      <c r="F18" s="2022"/>
      <c r="G18" s="2022"/>
      <c r="H18" s="2022"/>
      <c r="I18" s="2023"/>
      <c r="K18" s="12"/>
    </row>
    <row r="19" spans="1:13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f>'UPTO JULY 2021'!F19+'AUG-2021'!F19+'SEPTEMBER 2021'!F19+'OCTOBER-2021'!F19+'NOVEMBER-2021'!F19</f>
        <v>28.509694000000003</v>
      </c>
      <c r="G19" s="315">
        <f>1477367672/10000000</f>
        <v>147.7367672</v>
      </c>
      <c r="H19" s="316" t="s">
        <v>221</v>
      </c>
      <c r="I19" s="316">
        <f>(G19-F19)/F19*100</f>
        <v>418.19836158185348</v>
      </c>
    </row>
    <row r="20" spans="1:13" ht="15.4" x14ac:dyDescent="0.4">
      <c r="A20" s="2004"/>
      <c r="B20" s="2009"/>
      <c r="C20" s="2000" t="s">
        <v>232</v>
      </c>
      <c r="D20" s="2001"/>
      <c r="E20" s="2002"/>
      <c r="F20" s="315">
        <f>'UPTO JULY 2021'!F20+'AUG-2021'!F20+'SEPTEMBER 2021'!F20+'OCTOBER-2021'!F20+'NOVEMBER-2021'!F20</f>
        <v>28.954023299999996</v>
      </c>
      <c r="G20" s="315">
        <f>63573156/10000000</f>
        <v>6.3573155999999997</v>
      </c>
      <c r="H20" s="316" t="s">
        <v>221</v>
      </c>
      <c r="I20" s="316">
        <f t="shared" ref="I20:I33" si="0">(G20-F20)/F20*100</f>
        <v>-78.043412018667539</v>
      </c>
    </row>
    <row r="21" spans="1:13" ht="15.4" x14ac:dyDescent="0.4">
      <c r="A21" s="2004"/>
      <c r="B21" s="2009"/>
      <c r="C21" s="2000" t="s">
        <v>239</v>
      </c>
      <c r="D21" s="2001"/>
      <c r="E21" s="2002"/>
      <c r="F21" s="315">
        <f>'UPTO JULY 2021'!F21+'AUG-2021'!F21+'SEPTEMBER 2021'!F21+'OCTOBER-2021'!F21+'NOVEMBER-2021'!F21</f>
        <v>9.4711994999999991</v>
      </c>
      <c r="G21" s="315">
        <f>241047663/10000000</f>
        <v>24.104766300000001</v>
      </c>
      <c r="H21" s="316" t="s">
        <v>221</v>
      </c>
      <c r="I21" s="316">
        <f t="shared" si="0"/>
        <v>154.50595038146969</v>
      </c>
    </row>
    <row r="22" spans="1:13" ht="15.4" x14ac:dyDescent="0.4">
      <c r="A22" s="2004"/>
      <c r="B22" s="2009"/>
      <c r="C22" s="2000" t="s">
        <v>233</v>
      </c>
      <c r="D22" s="2001"/>
      <c r="E22" s="2002"/>
      <c r="F22" s="315">
        <f>'UPTO JULY 2021'!F22+'AUG-2021'!F22+'SEPTEMBER 2021'!F22+'OCTOBER-2021'!F22+'NOVEMBER-2021'!F22</f>
        <v>7.3097130999999997</v>
      </c>
      <c r="G22" s="315">
        <f>64829410/10000000</f>
        <v>6.4829410000000003</v>
      </c>
      <c r="H22" s="316" t="s">
        <v>221</v>
      </c>
      <c r="I22" s="316">
        <f t="shared" si="0"/>
        <v>-11.310595760591474</v>
      </c>
    </row>
    <row r="23" spans="1:13" ht="15.4" x14ac:dyDescent="0.4">
      <c r="A23" s="2004"/>
      <c r="B23" s="2009"/>
      <c r="C23" s="2000" t="s">
        <v>234</v>
      </c>
      <c r="D23" s="2001"/>
      <c r="E23" s="2002"/>
      <c r="F23" s="315">
        <f>'UPTO JULY 2021'!F23+'AUG-2021'!F23+'SEPTEMBER 2021'!F23+'OCTOBER-2021'!F23+'NOVEMBER-2021'!F23</f>
        <v>0.08</v>
      </c>
      <c r="G23" s="315">
        <f>'UPTO JULY 2021'!G23+'AUG-2021'!G23+'SEPTEMBER 2021'!G23+'OCTOBER-2021'!G23+'NOVEMBER-2021'!G23</f>
        <v>0</v>
      </c>
      <c r="H23" s="316" t="s">
        <v>221</v>
      </c>
      <c r="I23" s="316">
        <f t="shared" si="0"/>
        <v>-100</v>
      </c>
    </row>
    <row r="24" spans="1:13" ht="15.4" x14ac:dyDescent="0.4">
      <c r="A24" s="2004"/>
      <c r="B24" s="2009"/>
      <c r="C24" s="2000" t="s">
        <v>235</v>
      </c>
      <c r="D24" s="2001"/>
      <c r="E24" s="2002"/>
      <c r="F24" s="315">
        <f>'UPTO JULY 2021'!F24+'AUG-2021'!F24+'SEPTEMBER 2021'!F24+'OCTOBER-2021'!F24+'NOVEMBER-2021'!F24</f>
        <v>0</v>
      </c>
      <c r="G24" s="315">
        <f>380164/10000000</f>
        <v>3.8016399999999999E-2</v>
      </c>
      <c r="H24" s="316"/>
      <c r="I24" s="316">
        <v>0</v>
      </c>
      <c r="L24" s="5">
        <v>1991029</v>
      </c>
    </row>
    <row r="25" spans="1:13" ht="15.4" x14ac:dyDescent="0.35">
      <c r="A25" s="2005"/>
      <c r="B25" s="2010"/>
      <c r="C25" s="2159" t="s">
        <v>549</v>
      </c>
      <c r="D25" s="2160"/>
      <c r="E25" s="2161"/>
      <c r="F25" s="315">
        <f>'UPTO JULY 2021'!F25+'AUG-2021'!F25+'SEPTEMBER 2021'!F25+'OCTOBER-2021'!F25+'NOVEMBER-2021'!F25</f>
        <v>0</v>
      </c>
      <c r="G25" s="315">
        <v>0.26840520000000001</v>
      </c>
      <c r="H25" s="316" t="s">
        <v>221</v>
      </c>
      <c r="I25" s="316">
        <v>0</v>
      </c>
      <c r="L25" s="5">
        <v>510924</v>
      </c>
    </row>
    <row r="26" spans="1:13" ht="15" x14ac:dyDescent="0.35">
      <c r="A26" s="2014">
        <v>3</v>
      </c>
      <c r="B26" s="2021" t="s">
        <v>296</v>
      </c>
      <c r="C26" s="2022"/>
      <c r="D26" s="2022"/>
      <c r="E26" s="2022"/>
      <c r="F26" s="2022"/>
      <c r="G26" s="2022"/>
      <c r="H26" s="2022"/>
      <c r="I26" s="2023"/>
      <c r="L26" s="5">
        <v>182099</v>
      </c>
    </row>
    <row r="27" spans="1:13" ht="15.4" x14ac:dyDescent="0.4">
      <c r="A27" s="2015"/>
      <c r="B27" s="2006" t="s">
        <v>2</v>
      </c>
      <c r="C27" s="2007"/>
      <c r="D27" s="314">
        <v>6</v>
      </c>
      <c r="E27" s="315">
        <f>'UPTO JULY 2021'!E27+'AUG-2021'!E27+'SEPTEMBER 2021'!E27+'OCTOBER-2021'!E27+'NOVEMBER-2021'!E27</f>
        <v>4</v>
      </c>
      <c r="F27" s="315">
        <f>'UPTO JULY 2021'!F27+'AUG-2021'!F27+'SEPTEMBER 2021'!F27+'OCTOBER-2021'!F27+'NOVEMBER-2021'!F27</f>
        <v>0.21366079999999998</v>
      </c>
      <c r="G27" s="315">
        <f>'UPTO JULY 2021'!G27+'AUG-2021'!G27+'SEPTEMBER 2021'!G27+'OCTOBER-2021'!G27+'NOVEMBER-2021'!G27</f>
        <v>4.4990383000000005</v>
      </c>
      <c r="H27" s="316">
        <f>(G27-E27)/E27*100</f>
        <v>12.475957500000012</v>
      </c>
      <c r="I27" s="316">
        <f t="shared" si="0"/>
        <v>2005.6919659572561</v>
      </c>
      <c r="L27" s="5">
        <f>SUM(L24:L26)</f>
        <v>2684052</v>
      </c>
      <c r="M27" s="5">
        <f>L27/10000000</f>
        <v>0.26840520000000001</v>
      </c>
    </row>
    <row r="28" spans="1:13" ht="15.4" x14ac:dyDescent="0.4">
      <c r="A28" s="2015"/>
      <c r="B28" s="2006" t="s">
        <v>23</v>
      </c>
      <c r="C28" s="2007"/>
      <c r="D28" s="603">
        <f>'TARGET SHEET 2021-22'!B56</f>
        <v>28.5</v>
      </c>
      <c r="E28" s="315">
        <f>'UPTO JULY 2021'!E28+'AUG-2021'!E28+'SEPTEMBER 2021'!E28+'OCTOBER-2021'!E28+'NOVEMBER-2021'!E28</f>
        <v>16</v>
      </c>
      <c r="F28" s="315">
        <f>'UPTO JULY 2021'!F28+'AUG-2021'!F28+'SEPTEMBER 2021'!F28+'OCTOBER-2021'!F28+'NOVEMBER-2021'!F28</f>
        <v>5.1508731999999995</v>
      </c>
      <c r="G28" s="315">
        <f>'UPTO JULY 2021'!G28+'AUG-2021'!G28+'SEPTEMBER 2021'!G28+'OCTOBER-2021'!G28+'NOVEMBER-2021'!G28</f>
        <v>16.507342600000001</v>
      </c>
      <c r="H28" s="316">
        <f>(G28-E28)/E28*100</f>
        <v>3.1708912500000075</v>
      </c>
      <c r="I28" s="316">
        <f t="shared" si="0"/>
        <v>220.47658637762626</v>
      </c>
    </row>
    <row r="29" spans="1:13" ht="15.4" x14ac:dyDescent="0.4">
      <c r="A29" s="2015"/>
      <c r="B29" s="2006" t="s">
        <v>1</v>
      </c>
      <c r="C29" s="2007"/>
      <c r="D29" s="313">
        <f>'TARGET SHEET 2021-22'!C56</f>
        <v>3.7399999999999998</v>
      </c>
      <c r="E29" s="315">
        <v>2.2999999999999998</v>
      </c>
      <c r="F29" s="315">
        <f>'UPTO JULY 2021'!F29+'AUG-2021'!F29+'SEPTEMBER 2021'!F29+'OCTOBER-2021'!F29+'NOVEMBER-2021'!F29</f>
        <v>8.1573499999999993E-2</v>
      </c>
      <c r="G29" s="315">
        <f>'UPTO JULY 2021'!G29+'AUG-2021'!G29+'SEPTEMBER 2021'!G29+'OCTOBER-2021'!G29+'NOVEMBER-2021'!G29</f>
        <v>0.77967900000000001</v>
      </c>
      <c r="H29" s="316">
        <f>(G29-E29)/E29*100</f>
        <v>-66.100913043478258</v>
      </c>
      <c r="I29" s="316">
        <f t="shared" si="0"/>
        <v>855.79937111929746</v>
      </c>
    </row>
    <row r="30" spans="1:13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5">
        <f>'UPTO JULY 2021'!F30+'AUG-2021'!F30+'SEPTEMBER 2021'!F30+'OCTOBER-2021'!F30+'NOVEMBER-2021'!F30</f>
        <v>0</v>
      </c>
      <c r="G30" s="315">
        <f>'UPTO JULY 2021'!G30+'AUG-2021'!G30+'SEPTEMBER 2021'!G30+'OCTOBER-2021'!G30+'NOVEMBER-2021'!G30</f>
        <v>0.193438</v>
      </c>
      <c r="H30" s="316" t="s">
        <v>221</v>
      </c>
      <c r="I30" s="316">
        <v>0</v>
      </c>
    </row>
    <row r="31" spans="1:13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f>'UPTO JULY 2021'!F31+'AUG-2021'!F31+'SEPTEMBER 2021'!F31+'OCTOBER-2021'!F31+'NOVEMBER-2021'!F31</f>
        <v>0</v>
      </c>
      <c r="G31" s="315">
        <f>'UPTO JULY 2021'!G31+'AUG-2021'!G31+'SEPTEMBER 2021'!G31+'OCTOBER-2021'!G31+'NOVEMBER-2021'!G31</f>
        <v>2.5686442</v>
      </c>
      <c r="H31" s="316" t="s">
        <v>221</v>
      </c>
      <c r="I31" s="316">
        <v>0</v>
      </c>
    </row>
    <row r="32" spans="1:13" ht="15.4" x14ac:dyDescent="0.4">
      <c r="A32" s="2015"/>
      <c r="B32" s="2017" t="s">
        <v>241</v>
      </c>
      <c r="C32" s="2030"/>
      <c r="D32" s="540" t="s">
        <v>221</v>
      </c>
      <c r="E32" s="316" t="s">
        <v>221</v>
      </c>
      <c r="F32" s="315">
        <f>'UPTO JULY 2021'!F32+'AUG-2021'!F32+'SEPTEMBER 2021'!F32+'OCTOBER-2021'!F32+'NOVEMBER-2021'!F32</f>
        <v>3.9701092000000004</v>
      </c>
      <c r="G32" s="315">
        <f>'UPTO JULY 2021'!G32+'AUG-2021'!G32+'SEPTEMBER 2021'!G32+'OCTOBER-2021'!G32+'NOVEMBER-2021'!G32</f>
        <v>18.047172</v>
      </c>
      <c r="H32" s="316" t="s">
        <v>221</v>
      </c>
      <c r="I32" s="316">
        <f t="shared" si="0"/>
        <v>354.5762116568481</v>
      </c>
    </row>
    <row r="33" spans="1:14" ht="15.4" x14ac:dyDescent="0.4">
      <c r="A33" s="2016"/>
      <c r="B33" s="2006" t="s">
        <v>260</v>
      </c>
      <c r="C33" s="2019"/>
      <c r="D33" s="540" t="s">
        <v>221</v>
      </c>
      <c r="E33" s="316" t="s">
        <v>221</v>
      </c>
      <c r="F33" s="315">
        <f>'UPTO JULY 2021'!F33+'AUG-2021'!F33+'SEPTEMBER 2021'!F33+'OCTOBER-2021'!F33+'NOVEMBER-2021'!F33</f>
        <v>2.2694000000000002E-2</v>
      </c>
      <c r="G33" s="315">
        <f>'UPTO JULY 2021'!G33+'AUG-2021'!G33+'SEPTEMBER 2021'!G33+'OCTOBER-2021'!G33+'NOVEMBER-2021'!G33</f>
        <v>0.35005789999999992</v>
      </c>
      <c r="H33" s="413"/>
      <c r="I33" s="316">
        <f t="shared" si="0"/>
        <v>1442.5129990305804</v>
      </c>
    </row>
    <row r="34" spans="1:14" ht="15" x14ac:dyDescent="0.35">
      <c r="A34" s="2014">
        <v>4</v>
      </c>
      <c r="B34" s="2021" t="s">
        <v>295</v>
      </c>
      <c r="C34" s="2022"/>
      <c r="D34" s="2022"/>
      <c r="E34" s="2022"/>
      <c r="F34" s="2022"/>
      <c r="G34" s="2022"/>
      <c r="H34" s="2022"/>
      <c r="I34" s="2023"/>
    </row>
    <row r="35" spans="1:14" ht="15.4" x14ac:dyDescent="0.4">
      <c r="A35" s="2015"/>
      <c r="B35" s="2006" t="s">
        <v>27</v>
      </c>
      <c r="C35" s="2007"/>
      <c r="D35" s="603">
        <v>4.05</v>
      </c>
      <c r="E35" s="315">
        <f>'UPTO JULY 2021'!E35+'AUG-2021'!E35+'SEPTEMBER 2021'!E35+'OCTOBER-2021'!E35+'NOVEMBER-2021'!E35</f>
        <v>2.6960000000000006</v>
      </c>
      <c r="F35" s="315">
        <f>'UPTO JULY 2021'!F35+'AUG-2021'!F35+'SEPTEMBER 2021'!F35+'OCTOBER-2021'!F35+'NOVEMBER-2021'!F35</f>
        <v>0.2044396</v>
      </c>
      <c r="G35" s="315">
        <f>'UPTO JULY 2021'!G35+'AUG-2021'!G35+'SEPTEMBER 2021'!G35+'OCTOBER-2021'!G35+'NOVEMBER-2021'!G35</f>
        <v>2.1433616999999998</v>
      </c>
      <c r="H35" s="314">
        <f>(G35-E35)/E35*100</f>
        <v>-20.49845326409498</v>
      </c>
      <c r="I35" s="316">
        <f>(G35-F35)/F35*100</f>
        <v>948.40828293539994</v>
      </c>
      <c r="M35" s="11">
        <f>D35/12</f>
        <v>0.33749999999999997</v>
      </c>
      <c r="N35" s="12">
        <f>M35*8</f>
        <v>2.6999999999999997</v>
      </c>
    </row>
    <row r="36" spans="1:14" ht="15.4" x14ac:dyDescent="0.4">
      <c r="A36" s="2015"/>
      <c r="B36" s="2006" t="s">
        <v>28</v>
      </c>
      <c r="C36" s="2007"/>
      <c r="D36" s="313">
        <v>2.56</v>
      </c>
      <c r="E36" s="315">
        <f>'UPTO JULY 2021'!E36+'AUG-2021'!E36+'SEPTEMBER 2021'!E36+'OCTOBER-2021'!E36+'NOVEMBER-2021'!E36</f>
        <v>1.7072000000000001</v>
      </c>
      <c r="F36" s="426">
        <f>'UPTO JULY 2021'!F36+'AUG-2021'!F36+'SEPTEMBER 2021'!F36+'OCTOBER-2021'!F36+'NOVEMBER-2021'!F36</f>
        <v>0.10884389999999999</v>
      </c>
      <c r="G36" s="315">
        <f>'UPTO JULY 2021'!G36+'AUG-2021'!G36+'SEPTEMBER 2021'!G36+'OCTOBER-2021'!G36+'NOVEMBER-2021'!G36</f>
        <v>0.11442669999999999</v>
      </c>
      <c r="H36" s="314">
        <f>(G36-E36)/E36*100</f>
        <v>-93.297405107778829</v>
      </c>
      <c r="I36" s="316">
        <f>(G36-F36)/F36*100</f>
        <v>5.129180413417747</v>
      </c>
      <c r="M36" s="11">
        <f>D36/12</f>
        <v>0.21333333333333335</v>
      </c>
      <c r="N36" s="12">
        <f>M36*8</f>
        <v>1.7066666666666668</v>
      </c>
    </row>
    <row r="37" spans="1:14" ht="15.4" x14ac:dyDescent="0.4">
      <c r="A37" s="2015"/>
      <c r="B37" s="378" t="s">
        <v>224</v>
      </c>
      <c r="C37" s="379"/>
      <c r="D37" s="603">
        <v>1.54</v>
      </c>
      <c r="E37" s="315">
        <f>'UPTO JULY 2021'!E37+'AUG-2021'!E37+'SEPTEMBER 2021'!E37+'OCTOBER-2021'!E37+'NOVEMBER-2021'!E37</f>
        <v>1.0266400000000002</v>
      </c>
      <c r="F37" s="315">
        <f>'UPTO JULY 2021'!F37+'AUG-2021'!F37+'SEPTEMBER 2021'!F37+'OCTOBER-2021'!F37+'NOVEMBER-2021'!F37</f>
        <v>0.13408349999999999</v>
      </c>
      <c r="G37" s="315">
        <f>'UPTO JULY 2021'!G37+'AUG-2021'!G37+'SEPTEMBER 2021'!G37+'OCTOBER-2021'!G37+'NOVEMBER-2021'!G37</f>
        <v>0.19865379999999999</v>
      </c>
      <c r="H37" s="314">
        <f>(G37-E37)/E37*100</f>
        <v>-80.650101301332512</v>
      </c>
      <c r="I37" s="316">
        <f>(G37-F37)/F37*100</f>
        <v>48.156782900207709</v>
      </c>
      <c r="M37" s="11">
        <f>D37/12</f>
        <v>0.12833333333333333</v>
      </c>
      <c r="N37" s="12">
        <f>M37*8</f>
        <v>1.0266666666666666</v>
      </c>
    </row>
    <row r="38" spans="1:14" ht="15.4" x14ac:dyDescent="0.4">
      <c r="A38" s="2015"/>
      <c r="B38" s="2006" t="s">
        <v>64</v>
      </c>
      <c r="C38" s="2007"/>
      <c r="D38" s="540" t="s">
        <v>221</v>
      </c>
      <c r="E38" s="315" t="s">
        <v>221</v>
      </c>
      <c r="F38" s="315">
        <f>'UPTO JULY 2021'!F38+'AUG-2021'!F38+'SEPTEMBER 2021'!F38+'OCTOBER-2021'!F38+'NOVEMBER-2021'!F38</f>
        <v>0</v>
      </c>
      <c r="G38" s="315">
        <f>'UPTO JULY 2021'!G38+'AUG-2021'!G38+'SEPTEMBER 2021'!G38+'OCTOBER-2021'!G38+'NOVEMBER-2021'!G38</f>
        <v>0</v>
      </c>
      <c r="H38" s="314" t="s">
        <v>221</v>
      </c>
      <c r="I38" s="316">
        <v>0</v>
      </c>
      <c r="K38" s="12"/>
      <c r="M38" s="12"/>
      <c r="N38" s="12">
        <f>M38*8</f>
        <v>0</v>
      </c>
    </row>
    <row r="39" spans="1:14" ht="15.4" x14ac:dyDescent="0.4">
      <c r="A39" s="2015"/>
      <c r="B39" s="2006" t="s">
        <v>4</v>
      </c>
      <c r="C39" s="2007"/>
      <c r="D39" s="540" t="s">
        <v>221</v>
      </c>
      <c r="E39" s="315" t="s">
        <v>221</v>
      </c>
      <c r="F39" s="315">
        <f>'UPTO JULY 2021'!F39+'AUG-2021'!F39+'SEPTEMBER 2021'!F39+'OCTOBER-2021'!F39+'NOVEMBER-2021'!F39</f>
        <v>0</v>
      </c>
      <c r="G39" s="315">
        <f>'UPTO JULY 2021'!G39+'AUG-2021'!G39+'SEPTEMBER 2021'!G39+'OCTOBER-2021'!G39+'NOVEMBER-2021'!G39</f>
        <v>4.0018400000000003E-2</v>
      </c>
      <c r="H39" s="314" t="s">
        <v>221</v>
      </c>
      <c r="I39" s="316">
        <v>0</v>
      </c>
      <c r="M39" s="11"/>
      <c r="N39" s="11"/>
    </row>
    <row r="40" spans="1:14" ht="15.4" x14ac:dyDescent="0.4">
      <c r="A40" s="2016"/>
      <c r="B40" s="2006" t="s">
        <v>259</v>
      </c>
      <c r="C40" s="2019"/>
      <c r="D40" s="540" t="s">
        <v>221</v>
      </c>
      <c r="E40" s="315" t="s">
        <v>221</v>
      </c>
      <c r="F40" s="315">
        <f>'UPTO JULY 2021'!F40+'AUG-2021'!F40+'SEPTEMBER 2021'!F40+'OCTOBER-2021'!F40+'NOVEMBER-2021'!F40</f>
        <v>9.2755799999999999E-2</v>
      </c>
      <c r="G40" s="315">
        <v>0.31</v>
      </c>
      <c r="H40" s="407" t="s">
        <v>221</v>
      </c>
      <c r="I40" s="316">
        <f>(G40-F40)/F40*100</f>
        <v>234.21090648778838</v>
      </c>
      <c r="M40" s="11"/>
      <c r="N40" s="11"/>
    </row>
    <row r="41" spans="1:14" ht="15" x14ac:dyDescent="0.35">
      <c r="A41" s="2020">
        <v>5</v>
      </c>
      <c r="B41" s="2021" t="s">
        <v>346</v>
      </c>
      <c r="C41" s="2022"/>
      <c r="D41" s="2022"/>
      <c r="E41" s="2022"/>
      <c r="F41" s="2022"/>
      <c r="G41" s="2022"/>
      <c r="H41" s="2022"/>
      <c r="I41" s="2023"/>
      <c r="M41" s="11"/>
      <c r="N41" s="11"/>
    </row>
    <row r="42" spans="1:14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f>'UPTO JULY 2021'!F42+'AUG-2021'!F42+'SEPTEMBER 2021'!F42+'OCTOBER-2021'!F42+'NOVEMBER-2021'!F42</f>
        <v>7.3755000000000001E-2</v>
      </c>
      <c r="G42" s="315">
        <f>'UPTO JULY 2021'!G42+'AUG-2021'!G42+'SEPTEMBER 2021'!G42+'OCTOBER-2021'!G42+'NOVEMBER-2021'!G42</f>
        <v>1.7115830000000001</v>
      </c>
      <c r="H42" s="314" t="s">
        <v>221</v>
      </c>
      <c r="I42" s="316">
        <v>0</v>
      </c>
    </row>
    <row r="43" spans="1:14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5">
        <f>'UPTO JULY 2021'!F43+'AUG-2021'!F43+'SEPTEMBER 2021'!F43+'OCTOBER-2021'!F43+'NOVEMBER-2021'!F43</f>
        <v>0.18552899999999997</v>
      </c>
      <c r="G43" s="315">
        <f>'UPTO JULY 2021'!G43+'AUG-2021'!G43+'SEPTEMBER 2021'!G43+'OCTOBER-2021'!G43+'NOVEMBER-2021'!G43</f>
        <v>0.43683099999999997</v>
      </c>
      <c r="H43" s="2027" t="s">
        <v>221</v>
      </c>
      <c r="I43" s="316">
        <f>(G43-F43)/F43*100</f>
        <v>135.4516005584033</v>
      </c>
      <c r="L43" s="12"/>
      <c r="M43" s="12"/>
    </row>
    <row r="44" spans="1:14" ht="15.4" x14ac:dyDescent="0.4">
      <c r="A44" s="2020"/>
      <c r="B44" s="2070"/>
      <c r="C44" s="320" t="s">
        <v>228</v>
      </c>
      <c r="D44" s="2163"/>
      <c r="E44" s="2155"/>
      <c r="F44" s="315">
        <f>'UPTO JULY 2021'!F44+'AUG-2021'!F44+'SEPTEMBER 2021'!F44+'OCTOBER-2021'!F44+'NOVEMBER-2021'!F44</f>
        <v>0.42707000000000006</v>
      </c>
      <c r="G44" s="315">
        <f>'UPTO JULY 2021'!G44+'AUG-2021'!G44+'SEPTEMBER 2021'!G44+'OCTOBER-2021'!G44+'NOVEMBER-2021'!G44</f>
        <v>6.2427790000000005</v>
      </c>
      <c r="H44" s="2029"/>
      <c r="I44" s="316">
        <f>(G44-F44)/F44*100</f>
        <v>1361.7694991453391</v>
      </c>
    </row>
    <row r="45" spans="1:14" ht="15" x14ac:dyDescent="0.35">
      <c r="A45" s="2020">
        <v>6</v>
      </c>
      <c r="B45" s="2021" t="s">
        <v>582</v>
      </c>
      <c r="C45" s="2022"/>
      <c r="D45" s="2022"/>
      <c r="E45" s="2022"/>
      <c r="F45" s="2022"/>
      <c r="G45" s="2022"/>
      <c r="H45" s="2022"/>
      <c r="I45" s="2023"/>
    </row>
    <row r="46" spans="1:14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310.06</v>
      </c>
      <c r="G46" s="313">
        <v>186.61</v>
      </c>
      <c r="H46" s="2027" t="s">
        <v>221</v>
      </c>
      <c r="I46" s="316">
        <f>(G46-F46)/F46*100</f>
        <v>-39.814874540411523</v>
      </c>
    </row>
    <row r="47" spans="1:14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31.79</v>
      </c>
      <c r="G47" s="313">
        <v>68.55</v>
      </c>
      <c r="H47" s="2028"/>
      <c r="I47" s="316">
        <f>(G47-F47)/F47*100</f>
        <v>115.63384712173639</v>
      </c>
    </row>
    <row r="48" spans="1:14" ht="15.4" x14ac:dyDescent="0.4">
      <c r="A48" s="2020"/>
      <c r="B48" s="2006" t="s">
        <v>38</v>
      </c>
      <c r="C48" s="2007"/>
      <c r="D48" s="303" t="s">
        <v>221</v>
      </c>
      <c r="E48" s="2026"/>
      <c r="F48" s="313">
        <f>SUM(F46:F47)</f>
        <v>341.85</v>
      </c>
      <c r="G48" s="313">
        <f>SUM(G46:G47)</f>
        <v>255.16000000000003</v>
      </c>
      <c r="H48" s="2029"/>
      <c r="I48" s="316">
        <f>(G48-F48)/F48*100</f>
        <v>-25.359075617961089</v>
      </c>
    </row>
    <row r="50" spans="1:11" ht="16.149999999999999" thickBot="1" x14ac:dyDescent="0.45">
      <c r="A50" s="5"/>
      <c r="B50" s="5"/>
      <c r="D50" s="5"/>
      <c r="E50" s="824"/>
      <c r="F50" s="12"/>
      <c r="G50" s="12"/>
      <c r="H50" s="314"/>
      <c r="I50" s="316"/>
    </row>
    <row r="51" spans="1:11" ht="13.5" x14ac:dyDescent="0.35">
      <c r="A51" s="5"/>
      <c r="B51" s="5"/>
      <c r="D51" s="5"/>
      <c r="E51" s="5"/>
      <c r="F51" s="12"/>
      <c r="G51" s="12"/>
      <c r="I51" s="5"/>
    </row>
    <row r="52" spans="1:11" ht="13.5" x14ac:dyDescent="0.35">
      <c r="A52" s="5"/>
      <c r="B52" s="5"/>
      <c r="D52" s="5"/>
      <c r="E52" s="5"/>
      <c r="F52" s="5">
        <f t="shared" ref="F52:G54" si="1">F42*1000000</f>
        <v>73755</v>
      </c>
      <c r="G52" s="5">
        <f t="shared" si="1"/>
        <v>1711583</v>
      </c>
      <c r="I52" s="5"/>
    </row>
    <row r="53" spans="1:11" ht="13.5" x14ac:dyDescent="0.35">
      <c r="A53" s="5"/>
      <c r="B53" s="5"/>
      <c r="D53" s="5"/>
      <c r="E53" s="5"/>
      <c r="F53" s="5">
        <f t="shared" si="1"/>
        <v>185528.99999999997</v>
      </c>
      <c r="G53" s="5">
        <f t="shared" si="1"/>
        <v>436830.99999999994</v>
      </c>
      <c r="I53" s="5"/>
    </row>
    <row r="54" spans="1:11" ht="13.5" x14ac:dyDescent="0.35">
      <c r="A54" s="5"/>
      <c r="B54" s="5"/>
      <c r="D54" s="5"/>
      <c r="E54" s="5"/>
      <c r="F54" s="5">
        <f t="shared" si="1"/>
        <v>427070.00000000006</v>
      </c>
      <c r="G54" s="5">
        <f t="shared" si="1"/>
        <v>6242779.0000000009</v>
      </c>
    </row>
    <row r="57" spans="1:11" ht="13.5" x14ac:dyDescent="0.35">
      <c r="A57" s="5"/>
      <c r="B57" s="5"/>
      <c r="D57" s="5"/>
      <c r="E57" s="5"/>
      <c r="F57" s="12">
        <v>1.6E-2</v>
      </c>
      <c r="G57" s="12">
        <v>0.31</v>
      </c>
      <c r="K57" s="5">
        <f>(G57-F57)/F57*100</f>
        <v>1837.5</v>
      </c>
    </row>
    <row r="58" spans="1:11" ht="13.5" x14ac:dyDescent="0.35">
      <c r="A58" s="5"/>
      <c r="B58" s="5"/>
      <c r="D58" s="5"/>
      <c r="E58" s="5"/>
      <c r="F58" s="12">
        <v>305</v>
      </c>
      <c r="G58" s="12">
        <v>10226</v>
      </c>
      <c r="H58" s="12">
        <f>F58+F59</f>
        <v>309.27069999999998</v>
      </c>
      <c r="I58" s="11">
        <f>G58+G59</f>
        <v>10288.42779</v>
      </c>
      <c r="K58" s="5">
        <f>(I58-H58)/H58*100</f>
        <v>3226.6739429244353</v>
      </c>
    </row>
    <row r="59" spans="1:11" ht="13.5" x14ac:dyDescent="0.35">
      <c r="A59" s="5"/>
      <c r="B59" s="5"/>
      <c r="D59" s="5"/>
      <c r="E59" s="5"/>
      <c r="F59" s="12">
        <f>F54/100000</f>
        <v>4.2707000000000006</v>
      </c>
      <c r="G59" s="12">
        <f>G54/100000</f>
        <v>62.427790000000009</v>
      </c>
      <c r="K59" s="5" t="e">
        <f>(I59-H59)/H59*100</f>
        <v>#DIV/0!</v>
      </c>
    </row>
    <row r="60" spans="1:11" x14ac:dyDescent="0.35">
      <c r="F60" s="12">
        <f>SUM(F57:F59)</f>
        <v>309.2867</v>
      </c>
      <c r="G60" s="12">
        <f>SUM(G57:G59)</f>
        <v>10288.737789999999</v>
      </c>
      <c r="K60" s="5">
        <f>(G60-F60)/F60*100</f>
        <v>3226.6020782658934</v>
      </c>
    </row>
    <row r="63" spans="1:11" x14ac:dyDescent="0.35">
      <c r="E63" s="35">
        <f>25/7</f>
        <v>3.5714285714285716</v>
      </c>
      <c r="F63" s="5">
        <f>1281249436/7</f>
        <v>183035633.7142857</v>
      </c>
      <c r="G63" s="5">
        <f>F63/100000</f>
        <v>1830.356337142857</v>
      </c>
    </row>
    <row r="64" spans="1:11" x14ac:dyDescent="0.35">
      <c r="E64" s="35">
        <f>253.5/7</f>
        <v>36.214285714285715</v>
      </c>
      <c r="F64" s="5">
        <f>53100890/7</f>
        <v>7585841.4285714282</v>
      </c>
      <c r="G64" s="5">
        <f>F64/100000</f>
        <v>75.858414285714275</v>
      </c>
    </row>
  </sheetData>
  <mergeCells count="65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3"/>
    <mergeCell ref="B26:I26"/>
    <mergeCell ref="B27:C27"/>
    <mergeCell ref="B28:C28"/>
    <mergeCell ref="B29:C29"/>
    <mergeCell ref="B30:C30"/>
    <mergeCell ref="B31:C31"/>
    <mergeCell ref="B32:C32"/>
    <mergeCell ref="B33:C33"/>
    <mergeCell ref="A34:A40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2" right="0.2" top="0.32" bottom="0.24" header="0.3" footer="0.3"/>
  <pageSetup paperSize="9" scale="5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W64"/>
  <sheetViews>
    <sheetView workbookViewId="0">
      <selection activeCell="G27" sqref="G27:G33"/>
    </sheetView>
  </sheetViews>
  <sheetFormatPr defaultColWidth="9.1328125" defaultRowHeight="16.899999999999999" x14ac:dyDescent="0.35"/>
  <cols>
    <col min="1" max="1" width="5.86328125" style="376" customWidth="1"/>
    <col min="2" max="2" width="40.3984375" style="300" customWidth="1"/>
    <col min="3" max="3" width="7.265625" style="5" customWidth="1"/>
    <col min="4" max="4" width="8.3984375" style="84" customWidth="1"/>
    <col min="5" max="5" width="11.265625" style="35" customWidth="1"/>
    <col min="6" max="6" width="11" style="5" customWidth="1"/>
    <col min="7" max="7" width="12" style="5" customWidth="1"/>
    <col min="8" max="8" width="14.1328125" style="11" bestFit="1" customWidth="1"/>
    <col min="9" max="9" width="9.1328125" style="82"/>
    <col min="10" max="10" width="9.1328125" style="5"/>
    <col min="11" max="11" width="10.1328125" style="5" bestFit="1" customWidth="1"/>
    <col min="12" max="12" width="10" style="5" customWidth="1"/>
    <col min="13" max="13" width="10.1328125" style="5" customWidth="1"/>
    <col min="14" max="14" width="10.1328125" style="5" bestFit="1" customWidth="1"/>
    <col min="15" max="15" width="22.73046875" style="5" customWidth="1"/>
    <col min="16" max="16" width="9.265625" style="5" customWidth="1"/>
    <col min="17" max="16384" width="9.1328125" style="5"/>
  </cols>
  <sheetData>
    <row r="1" spans="1:16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6" s="301" customFormat="1" ht="17.25" thickBot="1" x14ac:dyDescent="0.5">
      <c r="A2" s="2092" t="s">
        <v>578</v>
      </c>
      <c r="B2" s="2093"/>
      <c r="C2" s="2093"/>
      <c r="D2" s="2093"/>
      <c r="E2" s="2093"/>
      <c r="F2" s="2093"/>
      <c r="G2" s="2093"/>
      <c r="H2" s="2093"/>
      <c r="I2" s="2094"/>
    </row>
    <row r="3" spans="1:16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6" s="35" customFormat="1" ht="15" x14ac:dyDescent="0.45">
      <c r="A4" s="2035"/>
      <c r="B4" s="2047"/>
      <c r="C4" s="2048"/>
      <c r="D4" s="366" t="s">
        <v>9</v>
      </c>
      <c r="E4" s="383">
        <f>G4</f>
        <v>44470</v>
      </c>
      <c r="F4" s="383">
        <v>44105</v>
      </c>
      <c r="G4" s="383">
        <v>44470</v>
      </c>
      <c r="H4" s="2041" t="s">
        <v>12</v>
      </c>
      <c r="I4" s="2041" t="s">
        <v>13</v>
      </c>
      <c r="N4" s="380"/>
      <c r="O4" s="380">
        <v>-139760361</v>
      </c>
    </row>
    <row r="5" spans="1:16" ht="15" x14ac:dyDescent="0.35">
      <c r="A5" s="2036"/>
      <c r="B5" s="2047"/>
      <c r="C5" s="2048"/>
      <c r="D5" s="2097" t="s">
        <v>249</v>
      </c>
      <c r="E5" s="2098"/>
      <c r="F5" s="366" t="s">
        <v>249</v>
      </c>
      <c r="G5" s="366" t="s">
        <v>438</v>
      </c>
      <c r="H5" s="2042"/>
      <c r="I5" s="2042"/>
      <c r="O5" s="5">
        <f>O4/10000000</f>
        <v>-13.9760361</v>
      </c>
    </row>
    <row r="6" spans="1:16" x14ac:dyDescent="0.35">
      <c r="A6" s="372">
        <v>1</v>
      </c>
      <c r="B6" s="2049" t="s">
        <v>14</v>
      </c>
      <c r="C6" s="2049"/>
      <c r="D6" s="304" t="s">
        <v>221</v>
      </c>
      <c r="E6" s="305">
        <f>'TARGET SHEET 2021-22'!D19</f>
        <v>58.87</v>
      </c>
      <c r="F6" s="305">
        <f>F15+F16+F17</f>
        <v>20.300273731000001</v>
      </c>
      <c r="G6" s="305">
        <f>G15+G16+G17</f>
        <v>62.2586753</v>
      </c>
      <c r="H6" s="306">
        <f>(G6-E6)/E6*100</f>
        <v>5.7562006115169071</v>
      </c>
      <c r="I6" s="306">
        <f>(G6-F6)/F6*100</f>
        <v>206.6888462933702</v>
      </c>
      <c r="K6" s="12">
        <f>G6+'MAY 2020'!G6+'APRIL 2020'!G6</f>
        <v>48.101941699999998</v>
      </c>
    </row>
    <row r="7" spans="1:16" x14ac:dyDescent="0.35">
      <c r="A7" s="373">
        <v>2</v>
      </c>
      <c r="B7" s="2050" t="s">
        <v>71</v>
      </c>
      <c r="C7" s="2051"/>
      <c r="D7" s="307" t="s">
        <v>221</v>
      </c>
      <c r="E7" s="307">
        <f>'TARGET SHEET 2021-22'!E19</f>
        <v>8.7799999999999994</v>
      </c>
      <c r="F7" s="307">
        <f>F19+F20+F21+F22+F23+F24+F25</f>
        <v>10.966447000000001</v>
      </c>
      <c r="G7" s="307">
        <f>G19+G20+G21+G22+G23+G24+G25</f>
        <v>25.9155318</v>
      </c>
      <c r="H7" s="306">
        <f>(G7-E7)/E7*100</f>
        <v>195.16551025056953</v>
      </c>
      <c r="I7" s="306">
        <f>(G7-F7)/F7*100</f>
        <v>136.31657363592785</v>
      </c>
      <c r="L7" s="5" t="s">
        <v>203</v>
      </c>
      <c r="M7" s="172">
        <f>129802/10000000</f>
        <v>1.2980200000000001E-2</v>
      </c>
    </row>
    <row r="8" spans="1:16" x14ac:dyDescent="0.35">
      <c r="A8" s="374">
        <v>3</v>
      </c>
      <c r="B8" s="2021" t="s">
        <v>22</v>
      </c>
      <c r="C8" s="2023"/>
      <c r="D8" s="364" t="s">
        <v>221</v>
      </c>
      <c r="E8" s="364">
        <f>'TARGET SHEET 2021-22'!F19</f>
        <v>4.82</v>
      </c>
      <c r="F8" s="364">
        <f>F27+F28+F29+F30+F31+F32+F33</f>
        <v>2.7363353999999998</v>
      </c>
      <c r="G8" s="364">
        <f>G27+G28+G29+G30+G31+G32+G33</f>
        <v>7.5350446999999985</v>
      </c>
      <c r="H8" s="306">
        <f>(G8-E8)/E8*100</f>
        <v>56.328728215767597</v>
      </c>
      <c r="I8" s="306">
        <f>(G8-F8)/F8*100</f>
        <v>175.36992358465994</v>
      </c>
      <c r="L8" s="5">
        <v>0.46</v>
      </c>
      <c r="M8" s="5">
        <f>2320</f>
        <v>2320</v>
      </c>
      <c r="N8" s="5">
        <v>4643517</v>
      </c>
      <c r="O8" s="5">
        <f>SUM(M8:N8)</f>
        <v>4645837</v>
      </c>
      <c r="P8" s="12">
        <f>O8/10000000</f>
        <v>0.46458369999999999</v>
      </c>
    </row>
    <row r="9" spans="1:16" x14ac:dyDescent="0.35">
      <c r="A9" s="373">
        <v>4</v>
      </c>
      <c r="B9" s="2052" t="s">
        <v>220</v>
      </c>
      <c r="C9" s="2053"/>
      <c r="D9" s="307">
        <f>D35+D36+D37</f>
        <v>2.73</v>
      </c>
      <c r="E9" s="307">
        <v>0.68</v>
      </c>
      <c r="F9" s="307">
        <f>F35+F36+F37+F38+F39+F40</f>
        <v>0.1354358</v>
      </c>
      <c r="G9" s="307">
        <f>G35+G36+G37+G38+G39+G40</f>
        <v>0.1431346</v>
      </c>
      <c r="H9" s="306">
        <f>(G9-E9)/E9*100</f>
        <v>-78.950794117647064</v>
      </c>
      <c r="I9" s="306">
        <f>(G9-F9)/F9*100</f>
        <v>5.6844645211975013</v>
      </c>
    </row>
    <row r="10" spans="1:16" ht="17.649999999999999" x14ac:dyDescent="0.35">
      <c r="A10" s="374">
        <v>5</v>
      </c>
      <c r="B10" s="2054" t="s">
        <v>33</v>
      </c>
      <c r="C10" s="2055"/>
      <c r="D10" s="321" t="s">
        <v>221</v>
      </c>
      <c r="E10" s="321">
        <f>SUM(E6:E9)</f>
        <v>73.150000000000006</v>
      </c>
      <c r="F10" s="321">
        <f>SUM(F6:F9)</f>
        <v>34.138491931000004</v>
      </c>
      <c r="G10" s="321">
        <f>SUM(G6:G9)</f>
        <v>95.8523864</v>
      </c>
      <c r="H10" s="306">
        <f>(G10-E10)/E10*100</f>
        <v>31.035388106630201</v>
      </c>
      <c r="I10" s="306">
        <f>(G10-F10)/F10*100</f>
        <v>180.77510451760674</v>
      </c>
    </row>
    <row r="11" spans="1:16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6" ht="18.399999999999999" thickTop="1" thickBot="1" x14ac:dyDescent="0.5">
      <c r="A12" s="375">
        <v>6.3</v>
      </c>
      <c r="B12" s="2056" t="s">
        <v>250</v>
      </c>
      <c r="C12" s="2057"/>
      <c r="D12" s="371" t="s">
        <v>221</v>
      </c>
      <c r="E12" s="309" t="s">
        <v>221</v>
      </c>
      <c r="F12" s="447">
        <f>F42+F43+F44</f>
        <v>0.39788100000000004</v>
      </c>
      <c r="G12" s="447">
        <f>G42+G43+G44</f>
        <v>1.7537880000000001</v>
      </c>
      <c r="H12" s="310" t="s">
        <v>221</v>
      </c>
      <c r="I12" s="311">
        <f>(G12-F12)/F12*100</f>
        <v>340.78204287211508</v>
      </c>
      <c r="L12" s="5">
        <v>1168</v>
      </c>
      <c r="M12" s="5">
        <v>-78978</v>
      </c>
      <c r="N12" s="5" t="s">
        <v>164</v>
      </c>
      <c r="O12">
        <f>L12+M12</f>
        <v>-77810</v>
      </c>
      <c r="P12" s="13">
        <f>O12/1000000</f>
        <v>-7.7810000000000004E-2</v>
      </c>
    </row>
    <row r="13" spans="1:16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M13" s="5">
        <f>M12/100000</f>
        <v>-0.78978000000000004</v>
      </c>
    </row>
    <row r="14" spans="1:16" ht="15" x14ac:dyDescent="0.35">
      <c r="A14" s="2003">
        <v>1</v>
      </c>
      <c r="B14" s="2021" t="s">
        <v>222</v>
      </c>
      <c r="C14" s="2022"/>
      <c r="D14" s="2022"/>
      <c r="E14" s="2022"/>
      <c r="F14" s="2022"/>
      <c r="G14" s="2022"/>
      <c r="H14" s="2022"/>
      <c r="I14" s="2023"/>
    </row>
    <row r="15" spans="1:16" ht="15.4" x14ac:dyDescent="0.4">
      <c r="A15" s="2004"/>
      <c r="B15" s="2006" t="s">
        <v>16</v>
      </c>
      <c r="C15" s="2007"/>
      <c r="D15" s="331" t="s">
        <v>221</v>
      </c>
      <c r="E15" s="307">
        <f>'TARGET SHEET 2021-22'!B19</f>
        <v>0.14000000000000001</v>
      </c>
      <c r="F15" s="426">
        <v>1.5498731E-2</v>
      </c>
      <c r="G15" s="404">
        <f>'actual fig'!L51/10000000</f>
        <v>0.1958308</v>
      </c>
      <c r="H15" s="314" t="s">
        <v>221</v>
      </c>
      <c r="I15" s="314">
        <f>(G15-F15)/F15*100</f>
        <v>1163.527962386082</v>
      </c>
    </row>
    <row r="16" spans="1:16" ht="15.4" x14ac:dyDescent="0.4">
      <c r="A16" s="2004"/>
      <c r="B16" s="2071" t="s">
        <v>15</v>
      </c>
      <c r="C16" s="320" t="s">
        <v>166</v>
      </c>
      <c r="D16" s="2064" t="s">
        <v>221</v>
      </c>
      <c r="E16" s="2205">
        <f>'TARGET SHEET 2021-22'!C19</f>
        <v>58.73</v>
      </c>
      <c r="F16" s="313">
        <v>1.21748E-2</v>
      </c>
      <c r="G16" s="404">
        <f>'actual fig'!M51/10000000</f>
        <v>0.1729067</v>
      </c>
      <c r="H16" s="2027" t="s">
        <v>221</v>
      </c>
      <c r="I16" s="314">
        <f>(G16-F16)/F16*100</f>
        <v>1320.2015638860596</v>
      </c>
      <c r="J16" s="5">
        <v>78.37</v>
      </c>
    </row>
    <row r="17" spans="1:23" ht="15.75" x14ac:dyDescent="0.45">
      <c r="A17" s="2005"/>
      <c r="B17" s="2071"/>
      <c r="C17" s="320" t="s">
        <v>228</v>
      </c>
      <c r="D17" s="2064"/>
      <c r="E17" s="2206"/>
      <c r="F17" s="313">
        <v>20.272600199999999</v>
      </c>
      <c r="G17" s="313">
        <f>'actual fig'!N51/10000000</f>
        <v>61.889937799999998</v>
      </c>
      <c r="H17" s="2029"/>
      <c r="I17" s="314">
        <f>(G17-F17)/F17*100</f>
        <v>205.28860229779502</v>
      </c>
      <c r="L17" s="755">
        <v>443683</v>
      </c>
    </row>
    <row r="18" spans="1:23" ht="27" customHeight="1" x14ac:dyDescent="0.35">
      <c r="A18" s="2003">
        <v>2</v>
      </c>
      <c r="B18" s="2021" t="s">
        <v>246</v>
      </c>
      <c r="C18" s="2022"/>
      <c r="D18" s="2022"/>
      <c r="E18" s="2022"/>
      <c r="F18" s="2022"/>
      <c r="G18" s="2022"/>
      <c r="H18" s="2022"/>
      <c r="I18" s="2023"/>
    </row>
    <row r="19" spans="1:23" ht="18.75" customHeight="1" x14ac:dyDescent="0.45">
      <c r="A19" s="2004"/>
      <c r="B19" s="2008" t="s">
        <v>230</v>
      </c>
      <c r="C19" s="2000" t="s">
        <v>231</v>
      </c>
      <c r="D19" s="2001"/>
      <c r="E19" s="2002"/>
      <c r="F19" s="315">
        <f>66884709/10000000</f>
        <v>6.6884709000000004</v>
      </c>
      <c r="G19" s="315">
        <f>196118236/10000000</f>
        <v>19.611823600000001</v>
      </c>
      <c r="H19" s="316" t="s">
        <v>221</v>
      </c>
      <c r="I19" s="314">
        <f>(G19-F19)/F19*100</f>
        <v>193.21834382205355</v>
      </c>
      <c r="L19">
        <v>3905717</v>
      </c>
      <c r="M19" s="5">
        <f>L19/10000000</f>
        <v>0.39057170000000002</v>
      </c>
      <c r="V19" s="5" t="s">
        <v>77</v>
      </c>
    </row>
    <row r="20" spans="1:23" ht="18.75" customHeight="1" x14ac:dyDescent="0.4">
      <c r="A20" s="2004"/>
      <c r="B20" s="2009"/>
      <c r="C20" s="2000" t="s">
        <v>232</v>
      </c>
      <c r="D20" s="2001"/>
      <c r="E20" s="2002"/>
      <c r="F20" s="315">
        <f>17759926/10000000</f>
        <v>1.7759925999999999</v>
      </c>
      <c r="G20" s="315">
        <f>10472266/10000000</f>
        <v>1.0472265999999999</v>
      </c>
      <c r="H20" s="316" t="s">
        <v>221</v>
      </c>
      <c r="I20" s="314">
        <f>(G20-F20)/F20*100</f>
        <v>-41.034292597840782</v>
      </c>
      <c r="V20" s="5" t="s">
        <v>203</v>
      </c>
      <c r="W20" s="5" t="s">
        <v>202</v>
      </c>
    </row>
    <row r="21" spans="1:23" ht="18.75" customHeight="1" x14ac:dyDescent="0.4">
      <c r="A21" s="2004"/>
      <c r="B21" s="2009"/>
      <c r="C21" s="2000" t="s">
        <v>239</v>
      </c>
      <c r="D21" s="2001"/>
      <c r="E21" s="2002"/>
      <c r="F21" s="315">
        <f>14473215/10000000</f>
        <v>1.4473214999999999</v>
      </c>
      <c r="G21" s="315">
        <f>46951516/10000000</f>
        <v>4.6951516</v>
      </c>
      <c r="H21" s="316" t="s">
        <v>221</v>
      </c>
      <c r="I21" s="314">
        <v>0</v>
      </c>
      <c r="U21" s="5">
        <v>1547760</v>
      </c>
      <c r="V21" s="5">
        <v>280853</v>
      </c>
      <c r="W21" s="5">
        <v>183087</v>
      </c>
    </row>
    <row r="22" spans="1:23" ht="18.75" customHeight="1" x14ac:dyDescent="0.4">
      <c r="A22" s="2004"/>
      <c r="B22" s="2009"/>
      <c r="C22" s="2000" t="s">
        <v>233</v>
      </c>
      <c r="D22" s="2001"/>
      <c r="E22" s="2002"/>
      <c r="F22" s="315">
        <f>10546620/10000000</f>
        <v>1.054662</v>
      </c>
      <c r="G22" s="315">
        <f>5613300/10000000</f>
        <v>0.56133</v>
      </c>
      <c r="H22" s="316" t="s">
        <v>221</v>
      </c>
      <c r="I22" s="314">
        <f>(G22-F22)/F22*100</f>
        <v>-46.776313169527299</v>
      </c>
      <c r="U22" s="5">
        <f>U21-V25</f>
        <v>613144</v>
      </c>
      <c r="V22" s="5">
        <v>18394</v>
      </c>
    </row>
    <row r="23" spans="1:23" ht="18.75" customHeight="1" x14ac:dyDescent="0.4">
      <c r="A23" s="2004"/>
      <c r="B23" s="2009"/>
      <c r="C23" s="2000" t="s">
        <v>234</v>
      </c>
      <c r="D23" s="2001"/>
      <c r="E23" s="2002"/>
      <c r="F23" s="833">
        <v>0</v>
      </c>
      <c r="G23" s="833">
        <v>0</v>
      </c>
      <c r="H23" s="316" t="s">
        <v>221</v>
      </c>
      <c r="I23" s="314" t="e">
        <f>(G23-F23)/F23*100</f>
        <v>#DIV/0!</v>
      </c>
      <c r="O23" s="5">
        <f>2500/3</f>
        <v>833.33333333333337</v>
      </c>
      <c r="U23" s="5">
        <f>U22/10000000</f>
        <v>6.1314399999999998E-2</v>
      </c>
      <c r="V23" s="5">
        <v>137518</v>
      </c>
    </row>
    <row r="24" spans="1:23" ht="18.75" customHeight="1" x14ac:dyDescent="0.4">
      <c r="A24" s="2004"/>
      <c r="B24" s="2009"/>
      <c r="C24" s="2000" t="s">
        <v>235</v>
      </c>
      <c r="D24" s="2001"/>
      <c r="E24" s="2002"/>
      <c r="F24" s="833">
        <v>0</v>
      </c>
      <c r="G24" s="833">
        <v>0</v>
      </c>
      <c r="H24" s="316"/>
      <c r="I24" s="314">
        <v>0</v>
      </c>
      <c r="P24" s="5" t="s">
        <v>265</v>
      </c>
      <c r="V24" s="5">
        <v>497851</v>
      </c>
    </row>
    <row r="25" spans="1:23" ht="31.5" customHeight="1" x14ac:dyDescent="0.4">
      <c r="A25" s="2005"/>
      <c r="B25" s="2010"/>
      <c r="C25" s="2011" t="s">
        <v>567</v>
      </c>
      <c r="D25" s="2012"/>
      <c r="E25" s="2013"/>
      <c r="F25" s="833">
        <v>0</v>
      </c>
      <c r="G25" s="833">
        <v>0</v>
      </c>
      <c r="H25" s="316" t="s">
        <v>221</v>
      </c>
      <c r="I25" s="314">
        <v>0</v>
      </c>
      <c r="N25" s="5">
        <f>0.14*100000</f>
        <v>14000.000000000002</v>
      </c>
      <c r="V25" s="5">
        <f>SUM(V21:V24)</f>
        <v>934616</v>
      </c>
    </row>
    <row r="26" spans="1:23" ht="24.75" customHeight="1" x14ac:dyDescent="0.35">
      <c r="A26" s="2014">
        <v>3</v>
      </c>
      <c r="B26" s="2021" t="s">
        <v>225</v>
      </c>
      <c r="C26" s="2022"/>
      <c r="D26" s="2022"/>
      <c r="E26" s="2022"/>
      <c r="F26" s="2022"/>
      <c r="G26" s="2022"/>
      <c r="H26" s="2022"/>
      <c r="I26" s="2023"/>
      <c r="N26" s="5">
        <f>N25/10000000</f>
        <v>1.4000000000000002E-3</v>
      </c>
    </row>
    <row r="27" spans="1:23" ht="15.4" x14ac:dyDescent="0.4">
      <c r="A27" s="2015"/>
      <c r="B27" s="2006" t="s">
        <v>2</v>
      </c>
      <c r="C27" s="2007"/>
      <c r="D27" s="331">
        <v>6</v>
      </c>
      <c r="E27" s="307">
        <f>'TARGET SHEET 2021-22'!R41</f>
        <v>0.5</v>
      </c>
      <c r="F27" s="134">
        <v>0.1051043</v>
      </c>
      <c r="G27" s="313">
        <f>'actual fig'!U51/10000000</f>
        <v>1.4049898999999999</v>
      </c>
      <c r="H27" s="496">
        <f>(G27-E27)/E27*100</f>
        <v>180.99797999999998</v>
      </c>
      <c r="I27" s="496">
        <f>(G27-F27)/F27*100</f>
        <v>1236.7577729931124</v>
      </c>
      <c r="K27" s="5">
        <f>2*10000000</f>
        <v>20000000</v>
      </c>
      <c r="L27" s="5">
        <v>23876641</v>
      </c>
      <c r="M27" s="5">
        <v>15888</v>
      </c>
      <c r="Q27" s="5">
        <v>1936433</v>
      </c>
      <c r="R27" s="5">
        <v>494905</v>
      </c>
      <c r="S27" s="5">
        <f>Q27-R27-R28-R29</f>
        <v>3090</v>
      </c>
    </row>
    <row r="28" spans="1:23" ht="15.4" x14ac:dyDescent="0.4">
      <c r="A28" s="2015"/>
      <c r="B28" s="2006" t="s">
        <v>23</v>
      </c>
      <c r="C28" s="2007"/>
      <c r="D28" s="331" t="s">
        <v>221</v>
      </c>
      <c r="E28" s="307">
        <f>'TARGET SHEET 2021-22'!B45</f>
        <v>2.5</v>
      </c>
      <c r="F28" s="134">
        <v>1.2648188</v>
      </c>
      <c r="G28" s="313">
        <f>'actual fig'!V51/10000000</f>
        <v>2.0141947</v>
      </c>
      <c r="H28" s="496">
        <f>(G28-E28)/E28*100</f>
        <v>-19.432212</v>
      </c>
      <c r="I28" s="496">
        <f>(G28-F28)/F28*100</f>
        <v>59.247688285468236</v>
      </c>
      <c r="K28" s="5">
        <f>K27/31</f>
        <v>645161.29032258061</v>
      </c>
      <c r="L28" s="5">
        <f>L27-M34</f>
        <v>18418</v>
      </c>
      <c r="M28" s="5">
        <v>1467371</v>
      </c>
      <c r="R28" s="5">
        <v>943533</v>
      </c>
      <c r="S28" s="5">
        <f>S27+400</f>
        <v>3490</v>
      </c>
      <c r="T28" s="5">
        <f>S28/10000000</f>
        <v>3.4900000000000003E-4</v>
      </c>
    </row>
    <row r="29" spans="1:23" ht="15.4" x14ac:dyDescent="0.4">
      <c r="A29" s="2015"/>
      <c r="B29" s="2006" t="s">
        <v>1</v>
      </c>
      <c r="C29" s="2007"/>
      <c r="D29" s="331" t="s">
        <v>221</v>
      </c>
      <c r="E29" s="307">
        <f>'TARGET SHEET 2021-22'!C45</f>
        <v>0.3</v>
      </c>
      <c r="F29" s="313">
        <v>4.1589800000000003E-2</v>
      </c>
      <c r="G29" s="313">
        <f>'actual fig'!W51/10000000</f>
        <v>8.3294599999999996E-2</v>
      </c>
      <c r="H29" s="496">
        <f>(G29-E29)/E29*100</f>
        <v>-72.235133333333337</v>
      </c>
      <c r="I29" s="496">
        <f>(G29-F29)/F29*100</f>
        <v>100.27651010584324</v>
      </c>
      <c r="K29" s="5">
        <f>K28*15</f>
        <v>9677419.3548387084</v>
      </c>
      <c r="M29" s="5">
        <v>2923510</v>
      </c>
      <c r="R29" s="5">
        <v>494905</v>
      </c>
    </row>
    <row r="30" spans="1:23" ht="15.4" x14ac:dyDescent="0.4">
      <c r="A30" s="2015"/>
      <c r="B30" s="2006" t="s">
        <v>24</v>
      </c>
      <c r="C30" s="2007"/>
      <c r="D30" s="332" t="s">
        <v>221</v>
      </c>
      <c r="E30" s="308" t="s">
        <v>221</v>
      </c>
      <c r="F30" s="313">
        <v>0</v>
      </c>
      <c r="G30" s="381">
        <f>'actual fig'!Y51/10000000</f>
        <v>4.8443E-2</v>
      </c>
      <c r="H30" s="496" t="s">
        <v>221</v>
      </c>
      <c r="I30" s="496" t="s">
        <v>221</v>
      </c>
      <c r="K30" s="5">
        <f>K29/10000000</f>
        <v>0.96774193548387089</v>
      </c>
      <c r="M30" s="5">
        <v>17118533</v>
      </c>
    </row>
    <row r="31" spans="1:23" ht="15.4" x14ac:dyDescent="0.4">
      <c r="A31" s="2015"/>
      <c r="B31" s="2017" t="s">
        <v>25</v>
      </c>
      <c r="C31" s="2030"/>
      <c r="D31" s="332" t="s">
        <v>221</v>
      </c>
      <c r="E31" s="308" t="s">
        <v>221</v>
      </c>
      <c r="F31" s="313">
        <v>0</v>
      </c>
      <c r="G31" s="315">
        <f>'actual fig'!X51/10000000</f>
        <v>0.76740640000000004</v>
      </c>
      <c r="H31" s="496" t="s">
        <v>221</v>
      </c>
      <c r="I31" s="496" t="e">
        <f>(G31-F31)/F31*100</f>
        <v>#DIV/0!</v>
      </c>
      <c r="M31" s="5">
        <v>858350</v>
      </c>
    </row>
    <row r="32" spans="1:23" ht="15.75" x14ac:dyDescent="0.45">
      <c r="A32" s="2016"/>
      <c r="B32" s="2017" t="s">
        <v>241</v>
      </c>
      <c r="C32" s="2030"/>
      <c r="D32" s="332" t="s">
        <v>221</v>
      </c>
      <c r="E32" s="308" t="s">
        <v>221</v>
      </c>
      <c r="F32" s="313">
        <v>1.3038225000000001</v>
      </c>
      <c r="G32" s="134">
        <f>'actual fig'!T51/10000000</f>
        <v>3.1739017999999999</v>
      </c>
      <c r="H32" s="496" t="s">
        <v>221</v>
      </c>
      <c r="I32" s="496">
        <f>(G32-F32)/F32*100</f>
        <v>143.43051297243295</v>
      </c>
      <c r="M32" s="5">
        <v>1467371</v>
      </c>
      <c r="O32" s="380">
        <v>3247525</v>
      </c>
      <c r="P32" s="5">
        <f>O32/10000000</f>
        <v>0.3247525</v>
      </c>
      <c r="T32" s="5">
        <v>62410</v>
      </c>
      <c r="U32" s="5">
        <v>1075</v>
      </c>
      <c r="V32" s="5">
        <v>73271</v>
      </c>
      <c r="W32" s="5">
        <f>T32+U32+V32</f>
        <v>136756</v>
      </c>
    </row>
    <row r="33" spans="1:23" x14ac:dyDescent="0.45">
      <c r="A33" s="403"/>
      <c r="B33" s="402" t="s">
        <v>266</v>
      </c>
      <c r="C33" s="409"/>
      <c r="D33" s="332"/>
      <c r="E33" s="308"/>
      <c r="F33" s="283">
        <v>2.1000000000000001E-2</v>
      </c>
      <c r="G33" s="134">
        <f>'actual fig'!Z51/10000000</f>
        <v>4.28143E-2</v>
      </c>
      <c r="H33" s="496" t="s">
        <v>221</v>
      </c>
      <c r="I33" s="496">
        <f>(G33-F33)/F33*100</f>
        <v>103.87761904761904</v>
      </c>
      <c r="M33" s="5">
        <v>7200</v>
      </c>
      <c r="O33" s="380"/>
      <c r="T33" s="5">
        <v>66420</v>
      </c>
      <c r="U33" s="5">
        <v>355</v>
      </c>
      <c r="W33" s="5">
        <f>T33+U33+V33</f>
        <v>66775</v>
      </c>
    </row>
    <row r="34" spans="1:23" ht="15" x14ac:dyDescent="0.4">
      <c r="A34" s="2020">
        <v>4</v>
      </c>
      <c r="B34" s="2021" t="s">
        <v>223</v>
      </c>
      <c r="C34" s="2022"/>
      <c r="D34" s="2022"/>
      <c r="E34" s="2022"/>
      <c r="F34" s="2022"/>
      <c r="G34" s="2022"/>
      <c r="H34" s="2022"/>
      <c r="I34" s="2023"/>
      <c r="M34" s="26">
        <f>SUM(M27:M33)</f>
        <v>23858223</v>
      </c>
      <c r="T34" s="5">
        <f>SUM(T32:T33)</f>
        <v>128830</v>
      </c>
      <c r="U34" s="5">
        <f>SUM(U32:U33)</f>
        <v>1430</v>
      </c>
      <c r="V34" s="5">
        <f>SUM(V32:V33)</f>
        <v>73271</v>
      </c>
      <c r="W34" s="5">
        <f>SUM(W32:W33)</f>
        <v>203531</v>
      </c>
    </row>
    <row r="35" spans="1:23" ht="15.4" x14ac:dyDescent="0.4">
      <c r="A35" s="2020"/>
      <c r="B35" s="2006" t="s">
        <v>27</v>
      </c>
      <c r="C35" s="2007"/>
      <c r="D35" s="331">
        <v>2.4300000000000002</v>
      </c>
      <c r="E35" s="307">
        <f>'TARGET SHEET 2021-22'!J13</f>
        <v>0.33700000000000002</v>
      </c>
      <c r="F35" s="389">
        <v>1.39396E-2</v>
      </c>
      <c r="G35" s="381">
        <f>'actual fig'!T67/10000000</f>
        <v>7.2367000000000004E-3</v>
      </c>
      <c r="H35" s="314">
        <f>(G35-E35)/E35*100</f>
        <v>-97.852611275964392</v>
      </c>
      <c r="I35" s="314">
        <f>(G35-F35)/F35*100</f>
        <v>-48.085310912795201</v>
      </c>
      <c r="J35" s="5">
        <f>E35*7</f>
        <v>2.359</v>
      </c>
      <c r="K35" s="5">
        <f>725000/10000000</f>
        <v>7.2499999999999995E-2</v>
      </c>
      <c r="L35" s="5">
        <v>116783</v>
      </c>
      <c r="M35" s="5">
        <v>100</v>
      </c>
      <c r="N35" s="5">
        <f>L35-M39</f>
        <v>116783</v>
      </c>
      <c r="T35" s="5">
        <f>T34/10000000</f>
        <v>1.2883E-2</v>
      </c>
    </row>
    <row r="36" spans="1:23" ht="15.4" x14ac:dyDescent="0.4">
      <c r="A36" s="2020"/>
      <c r="B36" s="2006" t="s">
        <v>28</v>
      </c>
      <c r="C36" s="2007"/>
      <c r="D36" s="333">
        <v>0.11</v>
      </c>
      <c r="E36" s="307">
        <f>'TARGET SHEET 2021-22'!K13</f>
        <v>0.21340000000000001</v>
      </c>
      <c r="F36" s="283">
        <v>9.3093899999999993E-2</v>
      </c>
      <c r="G36" s="836">
        <f>'actual fig'!U67/10000000</f>
        <v>0</v>
      </c>
      <c r="H36" s="314">
        <f>(G36-E36)/E36*100</f>
        <v>-100</v>
      </c>
      <c r="I36" s="314">
        <f>(G36-F36)/F36*100</f>
        <v>-100</v>
      </c>
      <c r="J36" s="5">
        <f>E36*7</f>
        <v>1.4938</v>
      </c>
      <c r="M36" s="5">
        <v>1568</v>
      </c>
    </row>
    <row r="37" spans="1:23" ht="15.4" x14ac:dyDescent="0.4">
      <c r="A37" s="2020"/>
      <c r="B37" s="378" t="s">
        <v>224</v>
      </c>
      <c r="C37" s="379"/>
      <c r="D37" s="331">
        <v>0.19</v>
      </c>
      <c r="E37" s="307">
        <f>'TARGET SHEET 2021-22'!L13</f>
        <v>0.12833</v>
      </c>
      <c r="F37" s="381">
        <v>2.5882100000000002E-2</v>
      </c>
      <c r="G37" s="836">
        <f>'actual fig'!V67/10000000</f>
        <v>4.3757999999999998E-2</v>
      </c>
      <c r="H37" s="314">
        <f>(G37-E37)/E37*100</f>
        <v>-65.901971479778695</v>
      </c>
      <c r="I37" s="314">
        <f>(G37-F37)/F37*100</f>
        <v>69.066652242283254</v>
      </c>
      <c r="J37" s="5">
        <f>E37*7</f>
        <v>0.89830999999999994</v>
      </c>
      <c r="M37" s="5">
        <v>100</v>
      </c>
      <c r="O37" s="5" t="s">
        <v>274</v>
      </c>
    </row>
    <row r="38" spans="1:23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836">
        <v>0</v>
      </c>
      <c r="G38" s="836">
        <v>0</v>
      </c>
      <c r="H38" s="314" t="s">
        <v>221</v>
      </c>
      <c r="I38" s="314">
        <v>0</v>
      </c>
      <c r="M38" s="5">
        <v>1064</v>
      </c>
    </row>
    <row r="39" spans="1:23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836">
        <v>0</v>
      </c>
      <c r="G39" s="836">
        <v>0</v>
      </c>
      <c r="H39" s="314" t="s">
        <v>221</v>
      </c>
      <c r="I39" s="314">
        <v>0</v>
      </c>
      <c r="L39" s="5">
        <f>116783-73677</f>
        <v>43106</v>
      </c>
      <c r="P39" s="5">
        <v>2.4300000000000002</v>
      </c>
      <c r="Q39" s="5">
        <v>0.20250000000000001</v>
      </c>
      <c r="R39" s="5">
        <f>Q39*4</f>
        <v>0.81</v>
      </c>
      <c r="T39" s="5">
        <f>269354-88926</f>
        <v>180428</v>
      </c>
    </row>
    <row r="40" spans="1:23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836">
        <v>2.5201999999999998E-3</v>
      </c>
      <c r="G40" s="381">
        <f>'actual fig'!X67/10000000</f>
        <v>9.2139899999999997E-2</v>
      </c>
      <c r="H40" s="314" t="s">
        <v>221</v>
      </c>
      <c r="I40" s="314">
        <f>(G40-F40)/F40*100</f>
        <v>3556.055074994048</v>
      </c>
      <c r="P40" s="5">
        <v>0.11</v>
      </c>
      <c r="Q40" s="5">
        <v>8.9999999999999993E-3</v>
      </c>
      <c r="R40" s="5">
        <f>Q40*4</f>
        <v>3.5999999999999997E-2</v>
      </c>
      <c r="T40" s="5">
        <f>T39/10000000</f>
        <v>1.8042800000000001E-2</v>
      </c>
    </row>
    <row r="41" spans="1:23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L41" s="5">
        <f>119576-84653</f>
        <v>34923</v>
      </c>
      <c r="P41" s="5">
        <v>0.19</v>
      </c>
      <c r="Q41" s="5">
        <v>1.6E-2</v>
      </c>
      <c r="R41" s="5">
        <f>Q41*4</f>
        <v>6.4000000000000001E-2</v>
      </c>
    </row>
    <row r="42" spans="1:23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315">
        <f>'actual fig'!L104/1000000</f>
        <v>3.1078999999999999E-2</v>
      </c>
      <c r="G42" s="404">
        <f>'actual fig'!L67/1000000</f>
        <v>0.45688699999999999</v>
      </c>
      <c r="H42" s="314" t="s">
        <v>221</v>
      </c>
      <c r="I42" s="314">
        <f>(G42-F42)/F42*100</f>
        <v>1370.0826924933233</v>
      </c>
    </row>
    <row r="43" spans="1:23" ht="16.149999999999999" thickBot="1" x14ac:dyDescent="0.5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313">
        <f>'actual fig'!M104/1000000</f>
        <v>1.0399999999999999E-4</v>
      </c>
      <c r="G43" s="404">
        <f>'actual fig'!M67/1000000</f>
        <v>0.107517</v>
      </c>
      <c r="H43" s="2027" t="s">
        <v>221</v>
      </c>
      <c r="I43" s="314">
        <f>(G43-F43)/F43*100</f>
        <v>103281.73076923077</v>
      </c>
      <c r="M43" s="429"/>
    </row>
    <row r="44" spans="1:23" ht="15.75" thickTop="1" x14ac:dyDescent="0.4">
      <c r="A44" s="2020"/>
      <c r="B44" s="2070"/>
      <c r="C44" s="320" t="s">
        <v>228</v>
      </c>
      <c r="D44" s="2068"/>
      <c r="E44" s="2066"/>
      <c r="F44" s="313">
        <f>'actual fig'!N104/1000000</f>
        <v>0.36669800000000002</v>
      </c>
      <c r="G44" s="313">
        <f>'actual fig'!N67/1000000</f>
        <v>1.189384</v>
      </c>
      <c r="H44" s="2029"/>
      <c r="I44" s="314">
        <f>(G44-F44)/F44*100</f>
        <v>224.34973738607792</v>
      </c>
    </row>
    <row r="45" spans="1:23" ht="15" x14ac:dyDescent="0.35">
      <c r="A45" s="2020">
        <v>6</v>
      </c>
      <c r="B45" s="2021" t="s">
        <v>273</v>
      </c>
      <c r="C45" s="2022"/>
      <c r="D45" s="2022"/>
      <c r="E45" s="2022"/>
      <c r="F45" s="2022"/>
      <c r="G45" s="2022"/>
      <c r="H45" s="2022"/>
      <c r="I45" s="2023"/>
    </row>
    <row r="46" spans="1:23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2"/>
      <c r="G46" s="312"/>
      <c r="H46" s="2027" t="s">
        <v>221</v>
      </c>
      <c r="I46" s="314" t="e">
        <f>(G46-F46)/F46*100</f>
        <v>#DIV/0!</v>
      </c>
    </row>
    <row r="47" spans="1:23" ht="15.4" x14ac:dyDescent="0.4">
      <c r="A47" s="2020"/>
      <c r="B47" s="2006" t="s">
        <v>37</v>
      </c>
      <c r="C47" s="2007"/>
      <c r="D47" s="303" t="s">
        <v>221</v>
      </c>
      <c r="E47" s="2025"/>
      <c r="F47" s="312"/>
      <c r="G47" s="312"/>
      <c r="H47" s="2028"/>
      <c r="I47" s="314" t="e">
        <f>(G47-F47)/F47*100</f>
        <v>#DIV/0!</v>
      </c>
    </row>
    <row r="48" spans="1:23" ht="15.4" x14ac:dyDescent="0.4">
      <c r="A48" s="2020"/>
      <c r="B48" s="2006" t="s">
        <v>38</v>
      </c>
      <c r="C48" s="2007"/>
      <c r="D48" s="303" t="s">
        <v>221</v>
      </c>
      <c r="E48" s="2026"/>
      <c r="F48" s="312"/>
      <c r="G48" s="312"/>
      <c r="H48" s="2029"/>
      <c r="I48" s="314" t="e">
        <f>(G48-F48)/F48*100</f>
        <v>#DIV/0!</v>
      </c>
    </row>
    <row r="50" spans="3:8" s="5" customFormat="1" ht="16.149999999999999" thickBot="1" x14ac:dyDescent="0.4">
      <c r="D50" s="84"/>
      <c r="E50" s="35"/>
      <c r="F50" s="824">
        <v>37181</v>
      </c>
      <c r="H50" s="11"/>
    </row>
    <row r="54" spans="3:8" s="5" customFormat="1" ht="13.5" x14ac:dyDescent="0.35">
      <c r="C54" s="12">
        <v>56.49</v>
      </c>
      <c r="D54" s="84">
        <v>18.96</v>
      </c>
      <c r="E54" s="428">
        <f>C54-D54</f>
        <v>37.53</v>
      </c>
      <c r="F54" s="12">
        <v>290</v>
      </c>
      <c r="G54" s="12">
        <f>G42*1000000</f>
        <v>456887</v>
      </c>
      <c r="H54" s="11">
        <f>G54/100000</f>
        <v>4.5688700000000004</v>
      </c>
    </row>
    <row r="55" spans="3:8" s="5" customFormat="1" ht="13.5" x14ac:dyDescent="0.35">
      <c r="D55" s="84"/>
      <c r="E55" s="35"/>
      <c r="G55" s="12">
        <f>G43*1000000</f>
        <v>107517</v>
      </c>
      <c r="H55" s="11">
        <f>G55/100000</f>
        <v>1.07517</v>
      </c>
    </row>
    <row r="56" spans="3:8" s="5" customFormat="1" ht="13.5" x14ac:dyDescent="0.35">
      <c r="D56" s="84"/>
      <c r="E56" s="35"/>
      <c r="G56" s="12">
        <f>G44*1000000</f>
        <v>1189384</v>
      </c>
      <c r="H56" s="11">
        <f>G56/100000</f>
        <v>11.893840000000001</v>
      </c>
    </row>
    <row r="57" spans="3:8" s="5" customFormat="1" ht="13.5" x14ac:dyDescent="0.35">
      <c r="D57" s="84"/>
      <c r="E57" s="35"/>
      <c r="H57" s="11">
        <f>G57/100000</f>
        <v>0</v>
      </c>
    </row>
    <row r="64" spans="3:8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U64"/>
  <sheetViews>
    <sheetView topLeftCell="C21" workbookViewId="0">
      <selection activeCell="G35" sqref="G35:G40"/>
    </sheetView>
  </sheetViews>
  <sheetFormatPr defaultColWidth="9.1328125" defaultRowHeight="16.899999999999999" x14ac:dyDescent="0.35"/>
  <cols>
    <col min="1" max="1" width="5.3984375" style="376" customWidth="1"/>
    <col min="2" max="2" width="37.73046875" style="300" customWidth="1"/>
    <col min="3" max="3" width="13" style="5" customWidth="1"/>
    <col min="4" max="4" width="9" style="84" customWidth="1"/>
    <col min="5" max="5" width="9.3984375" style="35" customWidth="1"/>
    <col min="6" max="6" width="11" style="5" customWidth="1"/>
    <col min="7" max="7" width="12" style="5" customWidth="1"/>
    <col min="8" max="8" width="8.86328125" style="11" customWidth="1"/>
    <col min="9" max="9" width="11.86328125" style="82" customWidth="1"/>
    <col min="10" max="10" width="9.1328125" style="5"/>
    <col min="11" max="11" width="14.265625" style="5" customWidth="1"/>
    <col min="12" max="12" width="13.1328125" style="5" customWidth="1"/>
    <col min="13" max="13" width="11.86328125" style="5" customWidth="1"/>
    <col min="14" max="14" width="10.73046875" style="5" customWidth="1"/>
    <col min="15" max="15" width="10.1328125" style="5" customWidth="1"/>
    <col min="16" max="16384" width="9.1328125" style="5"/>
  </cols>
  <sheetData>
    <row r="1" spans="1:13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3" s="301" customFormat="1" ht="17.25" thickBot="1" x14ac:dyDescent="0.5">
      <c r="A2" s="2092" t="s">
        <v>598</v>
      </c>
      <c r="B2" s="2093"/>
      <c r="C2" s="2093"/>
      <c r="D2" s="2093"/>
      <c r="E2" s="2093"/>
      <c r="F2" s="2093"/>
      <c r="G2" s="2093"/>
      <c r="H2" s="2093"/>
      <c r="I2" s="2094"/>
    </row>
    <row r="3" spans="1:13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3" s="35" customFormat="1" ht="15" x14ac:dyDescent="0.45">
      <c r="A4" s="2035"/>
      <c r="B4" s="2047"/>
      <c r="C4" s="2048"/>
      <c r="D4" s="366" t="s">
        <v>9</v>
      </c>
      <c r="E4" s="383">
        <f>G4</f>
        <v>44531</v>
      </c>
      <c r="F4" s="383">
        <v>44166</v>
      </c>
      <c r="G4" s="383">
        <v>44531</v>
      </c>
      <c r="H4" s="2041" t="s">
        <v>12</v>
      </c>
      <c r="I4" s="2041" t="s">
        <v>13</v>
      </c>
    </row>
    <row r="5" spans="1:13" ht="15" x14ac:dyDescent="0.45">
      <c r="A5" s="2036"/>
      <c r="B5" s="2047"/>
      <c r="C5" s="2048"/>
      <c r="D5" s="2097" t="s">
        <v>249</v>
      </c>
      <c r="E5" s="2098"/>
      <c r="F5" s="366" t="s">
        <v>77</v>
      </c>
      <c r="G5" s="366" t="s">
        <v>249</v>
      </c>
      <c r="H5" s="2042"/>
      <c r="I5" s="2042"/>
      <c r="K5"/>
    </row>
    <row r="6" spans="1:13" x14ac:dyDescent="0.45">
      <c r="A6" s="372">
        <v>1</v>
      </c>
      <c r="B6" s="2049" t="s">
        <v>279</v>
      </c>
      <c r="C6" s="2049"/>
      <c r="D6" s="304"/>
      <c r="E6" s="305">
        <f>E15+E16</f>
        <v>58.44</v>
      </c>
      <c r="F6" s="305">
        <f>F15+F16+F17</f>
        <v>29.149559987</v>
      </c>
      <c r="G6" s="305">
        <f>G15+G16+G17</f>
        <v>60.324309400000004</v>
      </c>
      <c r="H6" s="306">
        <f>(G6-E6)/E6*100</f>
        <v>3.2243487337440224</v>
      </c>
      <c r="I6" s="306">
        <f>(G6-F6)/F6*100</f>
        <v>106.94758146230403</v>
      </c>
      <c r="K6" s="319"/>
      <c r="L6"/>
    </row>
    <row r="7" spans="1:13" x14ac:dyDescent="0.35">
      <c r="A7" s="373">
        <v>2</v>
      </c>
      <c r="B7" s="2050" t="s">
        <v>281</v>
      </c>
      <c r="C7" s="2051"/>
      <c r="D7" s="307"/>
      <c r="E7" s="307">
        <v>10.32</v>
      </c>
      <c r="F7" s="307">
        <f>F19+F20+F21+F22+F23+F24+F25</f>
        <v>10.9905762</v>
      </c>
      <c r="G7" s="307">
        <f>G19+G20+G21+G22+G23+G24+G25</f>
        <v>30.849263200000003</v>
      </c>
      <c r="H7" s="306">
        <f>(G7-E7)/E7*100</f>
        <v>198.92696899224808</v>
      </c>
      <c r="I7" s="308">
        <f>(G7-F7)/F7*100</f>
        <v>180.68831550433183</v>
      </c>
    </row>
    <row r="8" spans="1:13" x14ac:dyDescent="0.35">
      <c r="A8" s="374">
        <v>3</v>
      </c>
      <c r="B8" s="2021" t="s">
        <v>282</v>
      </c>
      <c r="C8" s="2023"/>
      <c r="D8" s="364"/>
      <c r="E8" s="364">
        <v>3.58</v>
      </c>
      <c r="F8" s="364">
        <f>F27+F28+F29+F30+F31+F32+F33</f>
        <v>2.6519283000000002</v>
      </c>
      <c r="G8" s="364">
        <f>G27+G28+G29+G30+G31+G32+G33</f>
        <v>7.3444962</v>
      </c>
      <c r="H8" s="306">
        <f>(G8-E8)/E8*100</f>
        <v>105.15352513966481</v>
      </c>
      <c r="I8" s="365">
        <f>(G8-F8)/F8*100</f>
        <v>176.94927498605449</v>
      </c>
    </row>
    <row r="9" spans="1:13" x14ac:dyDescent="0.35">
      <c r="A9" s="373">
        <v>4</v>
      </c>
      <c r="B9" s="2052" t="s">
        <v>283</v>
      </c>
      <c r="C9" s="2053"/>
      <c r="D9" s="307"/>
      <c r="E9" s="307">
        <f>E35+E36+E37</f>
        <v>0.67873000000000006</v>
      </c>
      <c r="F9" s="307">
        <v>0.83</v>
      </c>
      <c r="G9" s="307">
        <f>G35+G36+G37+G38+G39+G40</f>
        <v>0.55606290000000003</v>
      </c>
      <c r="H9" s="306">
        <f>(G9-E9)/E9*100</f>
        <v>-18.073033459549457</v>
      </c>
      <c r="I9" s="308">
        <f>(G9-F9)/F9*100</f>
        <v>-33.004469879518069</v>
      </c>
    </row>
    <row r="10" spans="1:13" ht="17.649999999999999" x14ac:dyDescent="0.35">
      <c r="A10" s="374">
        <v>5</v>
      </c>
      <c r="B10" s="2117" t="s">
        <v>284</v>
      </c>
      <c r="C10" s="2118"/>
      <c r="D10" s="321"/>
      <c r="E10" s="321">
        <f>SUM(E6:E9)</f>
        <v>73.018729999999991</v>
      </c>
      <c r="F10" s="446">
        <f>SUM(F6:F9)</f>
        <v>43.622064486999996</v>
      </c>
      <c r="G10" s="446">
        <f>SUM(G6:G9)</f>
        <v>99.074131699999995</v>
      </c>
      <c r="H10" s="306">
        <f>(G10-E10)/E10*100</f>
        <v>35.683175672871883</v>
      </c>
      <c r="I10" s="322">
        <f>(G10-F10)/F10*100</f>
        <v>127.11930960884604</v>
      </c>
      <c r="K10" s="12"/>
    </row>
    <row r="11" spans="1:13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3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0.58807200000000004</v>
      </c>
      <c r="G12" s="447">
        <f>G42+G43+G44</f>
        <v>1.930814</v>
      </c>
      <c r="H12" s="310" t="s">
        <v>221</v>
      </c>
      <c r="I12" s="311">
        <f>(G12-F12)/F12*100</f>
        <v>228.32952427593898</v>
      </c>
    </row>
    <row r="13" spans="1:13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3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K14" s="383">
        <f>F4</f>
        <v>44166</v>
      </c>
      <c r="L14" s="383">
        <v>44166</v>
      </c>
    </row>
    <row r="15" spans="1:13" ht="15.4" x14ac:dyDescent="0.4">
      <c r="A15" s="2004"/>
      <c r="B15" s="2006" t="s">
        <v>16</v>
      </c>
      <c r="C15" s="2007"/>
      <c r="D15" s="331"/>
      <c r="E15" s="307">
        <v>0.14000000000000001</v>
      </c>
      <c r="F15" s="264">
        <v>2.5583986999999999E-2</v>
      </c>
      <c r="G15" s="433">
        <f>'actual fig'!L52/10000000</f>
        <v>0.27969699999999997</v>
      </c>
      <c r="H15" s="314">
        <f>(G15-E15)/E15*100</f>
        <v>99.783571428571392</v>
      </c>
      <c r="I15" s="314">
        <f>(G15-F15)/F15*100</f>
        <v>993.25024281790013</v>
      </c>
      <c r="J15" s="12">
        <f>K15/10000000</f>
        <v>1.777869932</v>
      </c>
      <c r="K15" s="41">
        <f>17778699.32</f>
        <v>17778699.32</v>
      </c>
      <c r="L15" s="476">
        <v>255839.87</v>
      </c>
      <c r="M15" s="264">
        <f>L15/10000000</f>
        <v>2.5583986999999999E-2</v>
      </c>
    </row>
    <row r="16" spans="1:13" ht="15.4" x14ac:dyDescent="0.4">
      <c r="A16" s="2004"/>
      <c r="B16" s="2071" t="s">
        <v>15</v>
      </c>
      <c r="C16" s="320" t="s">
        <v>166</v>
      </c>
      <c r="D16" s="2064"/>
      <c r="E16" s="2065">
        <v>58.3</v>
      </c>
      <c r="F16" s="134">
        <v>1.38315E-2</v>
      </c>
      <c r="G16" s="433">
        <f>'actual fig'!M52/10000000</f>
        <v>0.31032549999999998</v>
      </c>
      <c r="H16" s="2027" t="s">
        <v>221</v>
      </c>
      <c r="I16" s="314">
        <f>(G16-F16)/F16*100</f>
        <v>2143.6142139319668</v>
      </c>
      <c r="J16" s="12">
        <f>K16/10000000</f>
        <v>16.273868146000002</v>
      </c>
      <c r="K16" s="41">
        <v>162738681.46000001</v>
      </c>
      <c r="L16" s="477">
        <v>138315</v>
      </c>
      <c r="M16" s="264">
        <f>L16/10000000</f>
        <v>1.38315E-2</v>
      </c>
    </row>
    <row r="17" spans="1:21" ht="15.75" x14ac:dyDescent="0.45">
      <c r="A17" s="2005"/>
      <c r="B17" s="2071"/>
      <c r="C17" s="320" t="s">
        <v>228</v>
      </c>
      <c r="D17" s="2064"/>
      <c r="E17" s="2066"/>
      <c r="F17" s="475">
        <v>29.110144500000001</v>
      </c>
      <c r="G17" s="264">
        <f>'actual fig'!N52/10000000</f>
        <v>59.734286900000001</v>
      </c>
      <c r="H17" s="2029"/>
      <c r="I17" s="314">
        <f>(G17-F17)/F17*100</f>
        <v>105.20092883771154</v>
      </c>
      <c r="J17" s="12">
        <f>K17/10000000</f>
        <v>60.591659399999998</v>
      </c>
      <c r="K17" s="478">
        <v>605916594</v>
      </c>
      <c r="L17" s="319">
        <v>291101445</v>
      </c>
      <c r="M17" s="264">
        <f>L17/10000000</f>
        <v>29.110144500000001</v>
      </c>
      <c r="P17">
        <v>605916594</v>
      </c>
    </row>
    <row r="18" spans="1:21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21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v>6.26</v>
      </c>
      <c r="G19" s="264">
        <f>235825962/10000000</f>
        <v>23.582596200000001</v>
      </c>
      <c r="H19" s="316" t="s">
        <v>221</v>
      </c>
      <c r="I19" s="314">
        <f>(G19-F19)/F19*100</f>
        <v>276.71878913738016</v>
      </c>
      <c r="L19"/>
    </row>
    <row r="20" spans="1:21" ht="15.4" x14ac:dyDescent="0.4">
      <c r="A20" s="2004"/>
      <c r="B20" s="2009"/>
      <c r="C20" s="2000" t="s">
        <v>232</v>
      </c>
      <c r="D20" s="2001"/>
      <c r="E20" s="2002"/>
      <c r="F20" s="264">
        <f>14362944/10000000</f>
        <v>1.4362944</v>
      </c>
      <c r="G20" s="264">
        <f>17574860/10000000</f>
        <v>1.7574860000000001</v>
      </c>
      <c r="H20" s="316" t="s">
        <v>221</v>
      </c>
      <c r="I20" s="314">
        <f>(G20-F20)/F20*100</f>
        <v>22.362518436331726</v>
      </c>
    </row>
    <row r="21" spans="1:21" ht="15.4" x14ac:dyDescent="0.4">
      <c r="A21" s="2004"/>
      <c r="B21" s="2009"/>
      <c r="C21" s="2000" t="s">
        <v>239</v>
      </c>
      <c r="D21" s="2001"/>
      <c r="E21" s="2002"/>
      <c r="F21" s="264">
        <f>22756535/10000000</f>
        <v>2.2756535000000002</v>
      </c>
      <c r="G21" s="264">
        <f>48800951/10000000</f>
        <v>4.8800951000000001</v>
      </c>
      <c r="H21" s="316" t="s">
        <v>221</v>
      </c>
      <c r="I21" s="314">
        <f>(G21-F21)/F21*100</f>
        <v>114.44807392689616</v>
      </c>
    </row>
    <row r="22" spans="1:21" ht="15.4" x14ac:dyDescent="0.4">
      <c r="A22" s="2004"/>
      <c r="B22" s="2009"/>
      <c r="C22" s="2000" t="s">
        <v>233</v>
      </c>
      <c r="D22" s="2001"/>
      <c r="E22" s="2002"/>
      <c r="F22" s="264">
        <f>7319383/10000000</f>
        <v>0.73193830000000004</v>
      </c>
      <c r="G22" s="264">
        <f>6290859/10000000</f>
        <v>0.62908589999999998</v>
      </c>
      <c r="H22" s="316" t="s">
        <v>221</v>
      </c>
      <c r="I22" s="314">
        <f>(G22-F22)/F22*100</f>
        <v>-14.052058759597641</v>
      </c>
    </row>
    <row r="23" spans="1:21" ht="15.4" x14ac:dyDescent="0.4">
      <c r="A23" s="2004"/>
      <c r="B23" s="2009"/>
      <c r="C23" s="2000" t="s">
        <v>234</v>
      </c>
      <c r="D23" s="2001"/>
      <c r="E23" s="2002"/>
      <c r="F23" s="264">
        <v>0</v>
      </c>
      <c r="G23" s="264">
        <v>0</v>
      </c>
      <c r="H23" s="316" t="s">
        <v>221</v>
      </c>
      <c r="I23" s="314" t="e">
        <f>(G23-F23)/F23*100</f>
        <v>#DIV/0!</v>
      </c>
    </row>
    <row r="24" spans="1:21" ht="15.4" x14ac:dyDescent="0.4">
      <c r="A24" s="2004"/>
      <c r="B24" s="2009"/>
      <c r="C24" s="2000" t="s">
        <v>235</v>
      </c>
      <c r="D24" s="2001"/>
      <c r="E24" s="2002"/>
      <c r="F24" s="264">
        <f>2866900/10000000</f>
        <v>0.28669</v>
      </c>
      <c r="G24" s="476">
        <f>0</f>
        <v>0</v>
      </c>
      <c r="H24" s="316"/>
      <c r="I24" s="314">
        <v>0</v>
      </c>
      <c r="M24" s="5">
        <f>970545+185878</f>
        <v>1156423</v>
      </c>
    </row>
    <row r="25" spans="1:21" ht="15.4" x14ac:dyDescent="0.4">
      <c r="A25" s="2005"/>
      <c r="B25" s="2010"/>
      <c r="C25" s="2011" t="s">
        <v>236</v>
      </c>
      <c r="D25" s="2012"/>
      <c r="E25" s="2013"/>
      <c r="F25" s="264">
        <v>0</v>
      </c>
      <c r="G25" s="476">
        <v>0</v>
      </c>
      <c r="H25" s="316" t="s">
        <v>221</v>
      </c>
      <c r="I25" s="314">
        <v>0</v>
      </c>
      <c r="M25" s="5">
        <f>M24/10000000</f>
        <v>0.1156423</v>
      </c>
    </row>
    <row r="26" spans="1:21" ht="15" x14ac:dyDescent="0.35">
      <c r="A26" s="2014">
        <v>3</v>
      </c>
      <c r="B26" s="2021" t="s">
        <v>303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21" ht="15.4" x14ac:dyDescent="0.4">
      <c r="A27" s="2015"/>
      <c r="B27" s="2006" t="s">
        <v>2</v>
      </c>
      <c r="C27" s="2007"/>
      <c r="D27" s="331"/>
      <c r="E27" s="307">
        <v>0.5</v>
      </c>
      <c r="F27" s="134">
        <v>0.08</v>
      </c>
      <c r="G27" s="134">
        <f>'actual fig'!U52/10000000</f>
        <v>1.4544739</v>
      </c>
      <c r="H27" s="314" t="s">
        <v>221</v>
      </c>
      <c r="I27" s="314">
        <f t="shared" ref="I27:I33" si="0">(G27-F27)/F27*100</f>
        <v>1718.0923749999997</v>
      </c>
      <c r="K27" s="6" t="s">
        <v>126</v>
      </c>
      <c r="L27" s="6" t="s">
        <v>299</v>
      </c>
      <c r="N27" s="5" t="s">
        <v>343</v>
      </c>
      <c r="O27" s="5">
        <f>F27*10000000</f>
        <v>800000</v>
      </c>
      <c r="P27" s="5">
        <f>G27*10000000</f>
        <v>14544739</v>
      </c>
    </row>
    <row r="28" spans="1:21" ht="15.4" x14ac:dyDescent="0.4">
      <c r="A28" s="2015"/>
      <c r="B28" s="2006" t="s">
        <v>23</v>
      </c>
      <c r="C28" s="2007"/>
      <c r="D28" s="331"/>
      <c r="E28" s="307">
        <v>5.5</v>
      </c>
      <c r="F28" s="134">
        <v>1.33</v>
      </c>
      <c r="G28" s="134">
        <f>'actual fig'!V52/10000000</f>
        <v>2.5028763999999999</v>
      </c>
      <c r="H28" s="314" t="s">
        <v>221</v>
      </c>
      <c r="I28" s="314">
        <f t="shared" si="0"/>
        <v>88.186195488721779</v>
      </c>
      <c r="K28" s="6"/>
      <c r="L28" s="6">
        <f>6383+570</f>
        <v>6953</v>
      </c>
      <c r="M28" s="41">
        <v>757017</v>
      </c>
      <c r="N28" s="12"/>
      <c r="O28" s="11">
        <f>O27/100000</f>
        <v>8</v>
      </c>
      <c r="P28" s="11">
        <f>P27/100000</f>
        <v>145.44739000000001</v>
      </c>
      <c r="Q28" s="5">
        <f>5743117/100000</f>
        <v>57.431170000000002</v>
      </c>
      <c r="R28" s="5">
        <f>139396/100000</f>
        <v>1.3939600000000001</v>
      </c>
    </row>
    <row r="29" spans="1:21" ht="15.4" x14ac:dyDescent="0.4">
      <c r="A29" s="2015"/>
      <c r="B29" s="2006" t="s">
        <v>1</v>
      </c>
      <c r="C29" s="2007"/>
      <c r="D29" s="331"/>
      <c r="E29" s="307">
        <v>0.35</v>
      </c>
      <c r="F29" s="134">
        <v>0.04</v>
      </c>
      <c r="G29" s="134">
        <f>'actual fig'!W52/10000000</f>
        <v>8.5816400000000001E-2</v>
      </c>
      <c r="H29" s="314" t="s">
        <v>221</v>
      </c>
      <c r="I29" s="314">
        <f t="shared" si="0"/>
        <v>114.541</v>
      </c>
      <c r="L29" s="5">
        <f>L28/10000000</f>
        <v>6.9530000000000004E-4</v>
      </c>
      <c r="O29" s="11"/>
    </row>
    <row r="30" spans="1:21" ht="15.75" x14ac:dyDescent="0.45">
      <c r="A30" s="2015"/>
      <c r="B30" s="2006" t="s">
        <v>24</v>
      </c>
      <c r="C30" s="2007"/>
      <c r="D30" s="332"/>
      <c r="E30" s="308"/>
      <c r="F30" s="134">
        <v>0</v>
      </c>
      <c r="G30" s="134">
        <f>'actual fig'!Y52/10000000</f>
        <v>4.3907000000000002E-2</v>
      </c>
      <c r="H30" s="316" t="s">
        <v>221</v>
      </c>
      <c r="I30" s="314" t="e">
        <f t="shared" si="0"/>
        <v>#DIV/0!</v>
      </c>
      <c r="L30">
        <v>12012330</v>
      </c>
      <c r="O30" s="11"/>
      <c r="S30" s="5">
        <v>7.29</v>
      </c>
      <c r="T30" s="5">
        <v>6.7</v>
      </c>
      <c r="U30" s="5">
        <f>S30-T30</f>
        <v>0.58999999999999986</v>
      </c>
    </row>
    <row r="31" spans="1:21" ht="15.4" x14ac:dyDescent="0.4">
      <c r="A31" s="2015"/>
      <c r="B31" s="2017" t="s">
        <v>25</v>
      </c>
      <c r="C31" s="2030"/>
      <c r="D31" s="332"/>
      <c r="E31" s="308"/>
      <c r="F31" s="476">
        <v>0</v>
      </c>
      <c r="G31" s="433">
        <f>'actual fig'!X52/10000000</f>
        <v>1.2394000000000001E-2</v>
      </c>
      <c r="H31" s="316" t="s">
        <v>221</v>
      </c>
      <c r="I31" s="314" t="e">
        <f t="shared" si="0"/>
        <v>#DIV/0!</v>
      </c>
      <c r="L31" s="319">
        <v>648677</v>
      </c>
    </row>
    <row r="32" spans="1:21" ht="15.75" x14ac:dyDescent="0.45">
      <c r="A32" s="2016"/>
      <c r="B32" s="2017" t="s">
        <v>241</v>
      </c>
      <c r="C32" s="2030"/>
      <c r="D32" s="332"/>
      <c r="E32" s="308"/>
      <c r="F32" s="264">
        <f>12012330/10000000</f>
        <v>1.201233</v>
      </c>
      <c r="G32" s="264">
        <f>'actual fig'!T52/10000000</f>
        <v>3.1935641000000001</v>
      </c>
      <c r="H32" s="316" t="s">
        <v>221</v>
      </c>
      <c r="I32" s="314">
        <f t="shared" si="0"/>
        <v>165.85717342097664</v>
      </c>
      <c r="K32" s="437"/>
      <c r="L32">
        <v>12012330</v>
      </c>
    </row>
    <row r="33" spans="1:18" x14ac:dyDescent="0.4">
      <c r="A33" s="403"/>
      <c r="B33" s="402" t="s">
        <v>266</v>
      </c>
      <c r="C33" s="409"/>
      <c r="D33" s="332"/>
      <c r="E33" s="308"/>
      <c r="F33" s="426">
        <v>6.9530000000000004E-4</v>
      </c>
      <c r="G33" s="404">
        <f>'actual fig'!Z52/10000000</f>
        <v>5.14644E-2</v>
      </c>
      <c r="H33" s="316"/>
      <c r="I33" s="314">
        <f t="shared" si="0"/>
        <v>7301.7546382856308</v>
      </c>
    </row>
    <row r="34" spans="1:18" ht="15" x14ac:dyDescent="0.35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</row>
    <row r="35" spans="1:18" ht="15.4" x14ac:dyDescent="0.4">
      <c r="A35" s="2020"/>
      <c r="B35" s="2006" t="s">
        <v>27</v>
      </c>
      <c r="C35" s="2007"/>
      <c r="D35" s="331">
        <v>2.4300000000000002</v>
      </c>
      <c r="E35" s="307">
        <f>'TARGET SHEET 2021-22'!J13</f>
        <v>0.33700000000000002</v>
      </c>
      <c r="F35" s="283">
        <f>2025836/10000000</f>
        <v>0.2025836</v>
      </c>
      <c r="G35" s="283">
        <f>'actual fig'!T68/10000000</f>
        <v>0.47961890000000001</v>
      </c>
      <c r="H35" s="314">
        <f>(G35-E35)/E35*100</f>
        <v>42.320148367952513</v>
      </c>
      <c r="I35" s="314">
        <f>(G35-F35)/F35*100</f>
        <v>136.75109929925225</v>
      </c>
      <c r="K35" s="432" t="s">
        <v>203</v>
      </c>
      <c r="L35" s="432" t="s">
        <v>275</v>
      </c>
      <c r="Q35" s="6" t="s">
        <v>126</v>
      </c>
    </row>
    <row r="36" spans="1:18" ht="15.4" x14ac:dyDescent="0.4">
      <c r="A36" s="2020"/>
      <c r="B36" s="2006" t="s">
        <v>28</v>
      </c>
      <c r="C36" s="2007"/>
      <c r="D36" s="333">
        <v>0.11</v>
      </c>
      <c r="E36" s="307">
        <f>'TARGET SHEET 2021-22'!K13</f>
        <v>0.21340000000000001</v>
      </c>
      <c r="F36" s="134">
        <f>0</f>
        <v>0</v>
      </c>
      <c r="G36" s="389">
        <f>'actual fig'!U68/10000000</f>
        <v>4.6385999999999997E-3</v>
      </c>
      <c r="H36" s="314">
        <f>(G36-E36)/E36*100</f>
        <v>-97.826335520149954</v>
      </c>
      <c r="I36" s="314">
        <v>0</v>
      </c>
      <c r="K36" s="5" t="s">
        <v>126</v>
      </c>
      <c r="L36" s="5" t="s">
        <v>299</v>
      </c>
      <c r="Q36" s="172">
        <v>0.57431169999999998</v>
      </c>
      <c r="R36" s="5" t="s">
        <v>27</v>
      </c>
    </row>
    <row r="37" spans="1:18" ht="15.4" x14ac:dyDescent="0.4">
      <c r="A37" s="2020"/>
      <c r="B37" s="378" t="s">
        <v>224</v>
      </c>
      <c r="C37" s="379"/>
      <c r="D37" s="331">
        <v>0.19</v>
      </c>
      <c r="E37" s="307">
        <f>'TARGET SHEET 2021-22'!L13</f>
        <v>0.12833</v>
      </c>
      <c r="F37" s="389">
        <v>0</v>
      </c>
      <c r="G37" s="389">
        <f>'actual fig'!V68/10000000</f>
        <v>2.5342099999999999E-2</v>
      </c>
      <c r="H37" s="314">
        <f>(G37-E37)/E37*100</f>
        <v>-80.252396166134176</v>
      </c>
      <c r="I37" s="314">
        <v>0</v>
      </c>
      <c r="K37" s="6">
        <f>461865+202877+25352+1289035</f>
        <v>1979129</v>
      </c>
      <c r="L37" s="6">
        <f>M37-N37</f>
        <v>25202</v>
      </c>
      <c r="M37" s="5">
        <v>329700</v>
      </c>
      <c r="N37" s="5">
        <v>304498</v>
      </c>
      <c r="Q37" s="172">
        <v>0.1038307</v>
      </c>
      <c r="R37" s="5" t="s">
        <v>28</v>
      </c>
    </row>
    <row r="38" spans="1:18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134">
        <v>0</v>
      </c>
      <c r="G38" s="210">
        <v>0</v>
      </c>
      <c r="H38" s="314" t="s">
        <v>221</v>
      </c>
      <c r="I38" s="314">
        <v>0</v>
      </c>
      <c r="J38" s="5">
        <f>K38/10000000</f>
        <v>4.5026900000000002E-2</v>
      </c>
      <c r="K38" s="30">
        <f>K39-K37</f>
        <v>450269</v>
      </c>
      <c r="L38" s="30">
        <f>M39/10000000</f>
        <v>3.89428E-2</v>
      </c>
      <c r="Q38" s="172">
        <v>1.3424E-2</v>
      </c>
      <c r="R38" s="5" t="s">
        <v>4</v>
      </c>
    </row>
    <row r="39" spans="1:18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389">
        <f>10732/10000000</f>
        <v>1.0732000000000001E-3</v>
      </c>
      <c r="G39" s="210">
        <v>0</v>
      </c>
      <c r="H39" s="314" t="s">
        <v>221</v>
      </c>
      <c r="I39" s="314">
        <v>0</v>
      </c>
      <c r="K39" s="5">
        <v>2429398</v>
      </c>
      <c r="L39" s="5">
        <v>648677</v>
      </c>
      <c r="M39" s="5">
        <f>L39-5242-254007</f>
        <v>389428</v>
      </c>
      <c r="Q39" s="172">
        <v>0</v>
      </c>
      <c r="R39" s="5" t="s">
        <v>29</v>
      </c>
    </row>
    <row r="40" spans="1:18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283">
        <v>6.5000000000000002E-2</v>
      </c>
      <c r="G40" s="283">
        <f>'actual fig'!X68/10000000</f>
        <v>4.6463299999999999E-2</v>
      </c>
      <c r="H40" s="314"/>
      <c r="I40" s="314">
        <f>(G40-F40)/F40*100</f>
        <v>-28.518000000000004</v>
      </c>
      <c r="Q40" s="172">
        <v>0</v>
      </c>
      <c r="R40" s="5" t="s">
        <v>64</v>
      </c>
    </row>
    <row r="41" spans="1:18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K41" s="383">
        <v>43770</v>
      </c>
      <c r="L41" s="383">
        <v>44136</v>
      </c>
      <c r="M41" s="5" t="s">
        <v>350</v>
      </c>
      <c r="N41" s="5" t="s">
        <v>351</v>
      </c>
      <c r="Q41" s="172">
        <v>2.9382100000000001E-2</v>
      </c>
      <c r="R41" s="5" t="s">
        <v>3</v>
      </c>
    </row>
    <row r="42" spans="1:18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4.2096000000000001E-2</v>
      </c>
      <c r="G42" s="264">
        <f>'actual fig'!L68/1000000</f>
        <v>0.58939699999999995</v>
      </c>
      <c r="H42" s="314" t="s">
        <v>221</v>
      </c>
      <c r="I42" s="314">
        <f>(G42-F42)/F42*100</f>
        <v>1300.1259026985936</v>
      </c>
      <c r="J42" s="12">
        <f>K42/1000000</f>
        <v>3.161527</v>
      </c>
      <c r="K42" s="5">
        <v>3161527</v>
      </c>
      <c r="L42" s="12">
        <v>42096</v>
      </c>
      <c r="M42" s="12">
        <f>L42/1000000</f>
        <v>4.2096000000000001E-2</v>
      </c>
      <c r="N42" s="42">
        <f>L42/100000</f>
        <v>0.42096</v>
      </c>
      <c r="R42" s="5" t="s">
        <v>31</v>
      </c>
    </row>
    <row r="43" spans="1:18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283">
        <v>1.1900000000000001E-4</v>
      </c>
      <c r="G43" s="283">
        <f>'actual fig'!M68/1000000</f>
        <v>0.141848</v>
      </c>
      <c r="H43" s="2027" t="s">
        <v>221</v>
      </c>
      <c r="I43" s="314">
        <f>(G43-F43)/F43*100</f>
        <v>119100</v>
      </c>
      <c r="J43" s="12">
        <f>K43/1000000</f>
        <v>2.7041879999999998</v>
      </c>
      <c r="K43" s="5">
        <v>2704188</v>
      </c>
      <c r="L43" s="12">
        <v>119</v>
      </c>
      <c r="M43" s="12">
        <f>L43/1000000</f>
        <v>1.1900000000000001E-4</v>
      </c>
      <c r="N43" s="42">
        <f>L43/100000</f>
        <v>1.1900000000000001E-3</v>
      </c>
    </row>
    <row r="44" spans="1:18" ht="15.4" x14ac:dyDescent="0.4">
      <c r="A44" s="2020"/>
      <c r="B44" s="2070"/>
      <c r="C44" s="320" t="s">
        <v>228</v>
      </c>
      <c r="D44" s="2068"/>
      <c r="E44" s="2066"/>
      <c r="F44" s="323">
        <v>0.54585700000000004</v>
      </c>
      <c r="G44" s="323">
        <f>'actual fig'!N68/1000000</f>
        <v>1.1995690000000001</v>
      </c>
      <c r="H44" s="2029"/>
      <c r="I44" s="314">
        <f>(G44-F44)/F44*100</f>
        <v>119.75883793740852</v>
      </c>
      <c r="J44" s="12">
        <f>K44/1000000</f>
        <v>0.99375899999999995</v>
      </c>
      <c r="K44" s="319">
        <v>993759</v>
      </c>
      <c r="L44" s="319">
        <v>545857</v>
      </c>
      <c r="M44" s="12">
        <f>L44/1000000</f>
        <v>0.54585700000000004</v>
      </c>
      <c r="N44" s="42">
        <f>L44/100000</f>
        <v>5.4585699999999999</v>
      </c>
    </row>
    <row r="45" spans="1:18" ht="15" x14ac:dyDescent="0.35">
      <c r="A45" s="2020">
        <v>6</v>
      </c>
      <c r="B45" s="2021" t="s">
        <v>342</v>
      </c>
      <c r="C45" s="2022"/>
      <c r="D45" s="2022"/>
      <c r="E45" s="2022"/>
      <c r="F45" s="2022"/>
      <c r="G45" s="2022"/>
      <c r="H45" s="2022"/>
      <c r="I45" s="2023"/>
      <c r="L45" s="12"/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/>
      <c r="G46" s="78"/>
      <c r="H46" s="2027" t="s">
        <v>221</v>
      </c>
      <c r="I46" s="314" t="e">
        <f>(G46-F46)/F46*100</f>
        <v>#DIV/0!</v>
      </c>
      <c r="L46" s="5">
        <v>3.51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78"/>
      <c r="G47" s="78"/>
      <c r="H47" s="2028"/>
      <c r="I47" s="314" t="e">
        <f>(G47-F47)/F47*100</f>
        <v>#DIV/0!</v>
      </c>
      <c r="L47" s="5">
        <f>L46-0.88</f>
        <v>2.63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78"/>
      <c r="G48" s="78"/>
      <c r="H48" s="2029"/>
      <c r="I48" s="314" t="e">
        <f>(G48-F48)/F48*100</f>
        <v>#DIV/0!</v>
      </c>
    </row>
    <row r="49" spans="2:9" s="5" customFormat="1" ht="14.25" x14ac:dyDescent="0.35">
      <c r="B49" s="300"/>
      <c r="D49" s="84"/>
      <c r="E49" s="35"/>
      <c r="F49" s="319"/>
      <c r="G49" s="319">
        <v>993759</v>
      </c>
      <c r="H49" s="11"/>
      <c r="I49" s="82"/>
    </row>
    <row r="50" spans="2:9" s="5" customFormat="1" ht="13.5" x14ac:dyDescent="0.35">
      <c r="B50" s="300"/>
      <c r="D50" s="84"/>
      <c r="E50" s="479">
        <f>G42</f>
        <v>0.58939699999999995</v>
      </c>
      <c r="F50" s="5">
        <v>31079</v>
      </c>
      <c r="G50" s="12">
        <f>F50/100000</f>
        <v>0.31079000000000001</v>
      </c>
      <c r="H50" s="11"/>
    </row>
    <row r="51" spans="2:9" s="5" customFormat="1" ht="13.5" x14ac:dyDescent="0.35">
      <c r="B51" s="300"/>
      <c r="D51" s="84"/>
      <c r="E51" s="479">
        <f>G43</f>
        <v>0.141848</v>
      </c>
      <c r="F51" s="5">
        <v>104</v>
      </c>
      <c r="G51" s="12">
        <f>F51/100000</f>
        <v>1.0399999999999999E-3</v>
      </c>
      <c r="H51" s="11"/>
    </row>
    <row r="52" spans="2:9" s="5" customFormat="1" ht="13.5" x14ac:dyDescent="0.35">
      <c r="B52" s="300"/>
      <c r="D52" s="84"/>
      <c r="E52" s="479">
        <f>G44</f>
        <v>1.1995690000000001</v>
      </c>
      <c r="F52" s="5">
        <v>366698</v>
      </c>
      <c r="G52" s="12">
        <f>F52/100000</f>
        <v>3.6669800000000001</v>
      </c>
      <c r="H52" s="11"/>
    </row>
    <row r="53" spans="2:9" s="5" customFormat="1" ht="13.5" x14ac:dyDescent="0.35">
      <c r="B53" s="300"/>
      <c r="C53" s="5">
        <v>10.16</v>
      </c>
      <c r="D53" s="84">
        <f>F35*10000000</f>
        <v>2025836</v>
      </c>
      <c r="E53" s="84">
        <f>G35*10000000</f>
        <v>4796189</v>
      </c>
      <c r="F53" s="12">
        <f t="shared" ref="F53:F58" si="1">E53/100000</f>
        <v>47.961889999999997</v>
      </c>
      <c r="H53" s="11"/>
      <c r="I53" s="82"/>
    </row>
    <row r="54" spans="2:9" s="5" customFormat="1" ht="13.5" x14ac:dyDescent="0.35">
      <c r="C54" s="12">
        <f>C53*10000000</f>
        <v>101600000</v>
      </c>
      <c r="D54" s="84">
        <f t="shared" ref="D54:E58" si="2">F36*10000000</f>
        <v>0</v>
      </c>
      <c r="E54" s="84">
        <f>G36*10000000</f>
        <v>46386</v>
      </c>
      <c r="F54" s="12">
        <f t="shared" si="1"/>
        <v>0.46385999999999999</v>
      </c>
      <c r="G54" s="12"/>
      <c r="H54" s="11"/>
    </row>
    <row r="55" spans="2:9" s="5" customFormat="1" ht="13.5" x14ac:dyDescent="0.35">
      <c r="B55" s="300"/>
      <c r="D55" s="84">
        <f t="shared" si="2"/>
        <v>0</v>
      </c>
      <c r="E55" s="84">
        <f t="shared" si="2"/>
        <v>253421</v>
      </c>
      <c r="F55" s="12">
        <f t="shared" si="1"/>
        <v>2.5342099999999999</v>
      </c>
      <c r="G55" s="5">
        <f>G42*1000000</f>
        <v>589397</v>
      </c>
      <c r="H55" s="11">
        <f>G55/100000</f>
        <v>5.8939700000000004</v>
      </c>
      <c r="I55" s="82"/>
    </row>
    <row r="56" spans="2:9" s="5" customFormat="1" ht="13.5" x14ac:dyDescent="0.35">
      <c r="B56" s="300"/>
      <c r="D56" s="84">
        <f t="shared" si="2"/>
        <v>0</v>
      </c>
      <c r="E56" s="84">
        <f t="shared" si="2"/>
        <v>0</v>
      </c>
      <c r="F56" s="12">
        <f t="shared" si="1"/>
        <v>0</v>
      </c>
      <c r="G56" s="5">
        <f>G43*1000000</f>
        <v>141848</v>
      </c>
      <c r="H56" s="11">
        <f>G56/100000</f>
        <v>1.41848</v>
      </c>
      <c r="I56" s="82"/>
    </row>
    <row r="57" spans="2:9" s="5" customFormat="1" ht="13.5" x14ac:dyDescent="0.35">
      <c r="B57" s="300"/>
      <c r="D57" s="84">
        <f t="shared" si="2"/>
        <v>10732</v>
      </c>
      <c r="E57" s="84">
        <f t="shared" si="2"/>
        <v>0</v>
      </c>
      <c r="F57" s="12">
        <f t="shared" si="1"/>
        <v>0</v>
      </c>
      <c r="G57" s="5">
        <f>G44*1000000</f>
        <v>1199569</v>
      </c>
      <c r="H57" s="11">
        <f>G57/100000</f>
        <v>11.99569</v>
      </c>
      <c r="I57" s="82"/>
    </row>
    <row r="58" spans="2:9" s="5" customFormat="1" ht="13.5" x14ac:dyDescent="0.35">
      <c r="B58" s="300"/>
      <c r="D58" s="84">
        <f t="shared" si="2"/>
        <v>650000</v>
      </c>
      <c r="E58" s="84">
        <f t="shared" si="2"/>
        <v>464633</v>
      </c>
      <c r="F58" s="12">
        <f t="shared" si="1"/>
        <v>4.6463299999999998</v>
      </c>
      <c r="H58" s="11"/>
      <c r="I58" s="82"/>
    </row>
    <row r="64" spans="2:9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V56"/>
  <sheetViews>
    <sheetView topLeftCell="A23" workbookViewId="0">
      <selection activeCell="G46" sqref="G46:G48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0" style="5" customWidth="1"/>
    <col min="4" max="4" width="11.398437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0.86328125" style="11" customWidth="1"/>
    <col min="9" max="9" width="11.59765625" style="82" customWidth="1"/>
    <col min="10" max="10" width="9.1328125" style="5"/>
    <col min="11" max="11" width="12.3984375" style="5" bestFit="1" customWidth="1"/>
    <col min="12" max="16" width="9.1328125" style="5"/>
    <col min="17" max="17" width="10.1328125" style="5" bestFit="1" customWidth="1"/>
    <col min="18" max="16384" width="9.1328125" style="5"/>
  </cols>
  <sheetData>
    <row r="1" spans="1:22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22" s="301" customFormat="1" ht="21.75" customHeight="1" thickBot="1" x14ac:dyDescent="0.5">
      <c r="A2" s="2092" t="s">
        <v>725</v>
      </c>
      <c r="B2" s="2093"/>
      <c r="C2" s="2093"/>
      <c r="D2" s="2093"/>
      <c r="E2" s="2093"/>
      <c r="F2" s="2093"/>
      <c r="G2" s="2093"/>
      <c r="H2" s="2093"/>
      <c r="I2" s="2094"/>
    </row>
    <row r="3" spans="1:22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22" s="35" customFormat="1" ht="33.75" customHeight="1" x14ac:dyDescent="0.45">
      <c r="A4" s="2035"/>
      <c r="B4" s="2047"/>
      <c r="C4" s="2048"/>
      <c r="D4" s="421" t="s">
        <v>9</v>
      </c>
      <c r="E4" s="422" t="str">
        <f>G4</f>
        <v xml:space="preserve"> JUNE-22</v>
      </c>
      <c r="F4" s="422" t="s">
        <v>719</v>
      </c>
      <c r="G4" s="422" t="s">
        <v>724</v>
      </c>
      <c r="H4" s="1061" t="s">
        <v>12</v>
      </c>
      <c r="I4" s="1061" t="s">
        <v>13</v>
      </c>
    </row>
    <row r="5" spans="1:22" ht="20.25" hidden="1" customHeight="1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1062"/>
      <c r="I5" s="1062"/>
    </row>
    <row r="6" spans="1:22" ht="30" customHeight="1" x14ac:dyDescent="0.35">
      <c r="A6" s="372">
        <v>1</v>
      </c>
      <c r="B6" s="2049" t="s">
        <v>290</v>
      </c>
      <c r="C6" s="2049"/>
      <c r="D6" s="304">
        <f>D15+D16</f>
        <v>908.19999999999993</v>
      </c>
      <c r="E6" s="305">
        <v>85.2</v>
      </c>
      <c r="F6" s="305">
        <f>F15+F16+F17</f>
        <v>30.518793200000001</v>
      </c>
      <c r="G6" s="305">
        <f>G15+G16+G17</f>
        <v>77.743882999999997</v>
      </c>
      <c r="H6" s="306">
        <f>(G6-E6)/E6*100</f>
        <v>-8.7513110328638568</v>
      </c>
      <c r="I6" s="306">
        <f>(G6-F6)/F6*100</f>
        <v>154.74101315382285</v>
      </c>
    </row>
    <row r="7" spans="1:22" ht="26.25" customHeight="1" x14ac:dyDescent="0.35">
      <c r="A7" s="373">
        <v>2</v>
      </c>
      <c r="B7" s="2050" t="s">
        <v>291</v>
      </c>
      <c r="C7" s="2051"/>
      <c r="D7" s="307">
        <v>322.42</v>
      </c>
      <c r="E7" s="307">
        <f>'target FY 22-23'!N37</f>
        <v>16.28</v>
      </c>
      <c r="F7" s="307">
        <f>F20+F21+F22+F23+F24+F25+F26</f>
        <v>13.885429799999999</v>
      </c>
      <c r="G7" s="307">
        <f>G20+G21+G22+G23+G24+G25+G26</f>
        <v>35.257206599999996</v>
      </c>
      <c r="H7" s="308">
        <f>(G7-E7)/E7*100</f>
        <v>116.56760810810806</v>
      </c>
      <c r="I7" s="308">
        <f>(G7-F7)/F7*100</f>
        <v>153.91512619940653</v>
      </c>
    </row>
    <row r="8" spans="1:22" ht="32.25" customHeight="1" x14ac:dyDescent="0.35">
      <c r="A8" s="374">
        <v>3</v>
      </c>
      <c r="B8" s="2021" t="s">
        <v>292</v>
      </c>
      <c r="C8" s="2023"/>
      <c r="D8" s="364">
        <v>96.78</v>
      </c>
      <c r="E8" s="364">
        <f>'target FY 22-23'!O37</f>
        <v>4.53</v>
      </c>
      <c r="F8" s="364">
        <f>F31+F32+F33+F34+F35+F36+F37</f>
        <v>3.547342</v>
      </c>
      <c r="G8" s="364">
        <f>G31+G32+G33+G34+G35+G36+G37</f>
        <v>11.640122699999999</v>
      </c>
      <c r="H8" s="306">
        <f>(G8-E8)/E8*100</f>
        <v>156.95635099337747</v>
      </c>
      <c r="I8" s="306">
        <f>(G8-F8)/F8*100</f>
        <v>228.13646668406932</v>
      </c>
    </row>
    <row r="9" spans="1:22" ht="34.5" customHeight="1" x14ac:dyDescent="0.35">
      <c r="A9" s="373">
        <v>4</v>
      </c>
      <c r="B9" s="2052" t="s">
        <v>293</v>
      </c>
      <c r="C9" s="2053"/>
      <c r="D9" s="307">
        <v>17.53</v>
      </c>
      <c r="E9" s="307">
        <v>1.46</v>
      </c>
      <c r="F9" s="307">
        <f>F39+F40+F41+F42+F43+F44</f>
        <v>0.57127220000000001</v>
      </c>
      <c r="G9" s="307">
        <f>G39+G40+G41+G42+G43+G44</f>
        <v>1.1415768000000002</v>
      </c>
      <c r="H9" s="306">
        <f>(G9-E9)/E9*100</f>
        <v>-21.809808219178066</v>
      </c>
      <c r="I9" s="308">
        <f>(G9-F9)/F9*100</f>
        <v>99.830623650161897</v>
      </c>
    </row>
    <row r="10" spans="1:22" ht="28.5" customHeight="1" x14ac:dyDescent="0.35">
      <c r="A10" s="374">
        <v>5</v>
      </c>
      <c r="B10" s="2054" t="s">
        <v>294</v>
      </c>
      <c r="C10" s="2055"/>
      <c r="D10" s="321">
        <f>SUM(D6:D9)</f>
        <v>1344.9299999999998</v>
      </c>
      <c r="E10" s="321">
        <f>SUM(E6:E9)</f>
        <v>107.47</v>
      </c>
      <c r="F10" s="321">
        <f>SUM(F6:F9)</f>
        <v>48.522837200000005</v>
      </c>
      <c r="G10" s="321">
        <f>SUM(G6:G9)</f>
        <v>125.7827891</v>
      </c>
      <c r="H10" s="322">
        <f>(G10-E10)/E10*100</f>
        <v>17.039907974318417</v>
      </c>
      <c r="I10" s="322">
        <f>(G10-F10)/F10*100</f>
        <v>159.2238961245242</v>
      </c>
    </row>
    <row r="11" spans="1:22" ht="6.7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22" ht="18" thickBot="1" x14ac:dyDescent="0.4">
      <c r="A12" s="1040">
        <v>6.3</v>
      </c>
      <c r="B12" s="2324" t="s">
        <v>250</v>
      </c>
      <c r="C12" s="2325"/>
      <c r="D12" s="1041">
        <f>D46+D47</f>
        <v>80.319999999999993</v>
      </c>
      <c r="E12" s="1042">
        <f>'target FY 22-23'!M64</f>
        <v>7.1899999999999995</v>
      </c>
      <c r="F12" s="1043">
        <f>F46+F47+F48</f>
        <v>0.69028900000000004</v>
      </c>
      <c r="G12" s="1043">
        <f>G46+G47+G48</f>
        <v>3.30911</v>
      </c>
      <c r="H12" s="1044" t="s">
        <v>221</v>
      </c>
      <c r="I12" s="1045">
        <f>(G12-F12)/F12*100</f>
        <v>379.38037546592807</v>
      </c>
    </row>
    <row r="13" spans="1:22" ht="17.649999999999999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P13" s="5" t="s">
        <v>195</v>
      </c>
      <c r="Q13" s="5" t="s">
        <v>227</v>
      </c>
    </row>
    <row r="14" spans="1:22" ht="15" x14ac:dyDescent="0.35">
      <c r="A14" s="2003">
        <v>1</v>
      </c>
      <c r="B14" s="2309" t="s">
        <v>278</v>
      </c>
      <c r="C14" s="2310"/>
      <c r="D14" s="2310"/>
      <c r="E14" s="2310"/>
      <c r="F14" s="2310"/>
      <c r="G14" s="2310"/>
      <c r="H14" s="2310"/>
      <c r="I14" s="2311"/>
      <c r="P14" s="5">
        <f>236119+80632</f>
        <v>316751</v>
      </c>
      <c r="Q14" s="5">
        <f>2975302+2614612</f>
        <v>5589914</v>
      </c>
      <c r="S14" s="5">
        <f>P14/10000000</f>
        <v>3.1675099999999998E-2</v>
      </c>
      <c r="T14" s="5">
        <f>Q14/10000000</f>
        <v>0.55899140000000003</v>
      </c>
    </row>
    <row r="15" spans="1:22" ht="15.4" x14ac:dyDescent="0.4">
      <c r="A15" s="2004"/>
      <c r="B15" s="2006" t="s">
        <v>16</v>
      </c>
      <c r="C15" s="2007"/>
      <c r="D15" s="333">
        <f>'target FY 22-23'!K56</f>
        <v>21.180000000000003</v>
      </c>
      <c r="E15" s="307">
        <v>1.86</v>
      </c>
      <c r="F15" s="315">
        <v>5.7094699999999998E-2</v>
      </c>
      <c r="G15" s="315">
        <f>'actual fig'!L6/10000000</f>
        <v>0.86312160000000004</v>
      </c>
      <c r="H15" s="316">
        <f>(G15-E15)/E15*100</f>
        <v>-53.595612903225806</v>
      </c>
      <c r="I15" s="314">
        <f>(G15-F15)/F15*100</f>
        <v>1411.7368162018543</v>
      </c>
      <c r="K15" s="5">
        <f>((G16+G17)-E16)/E16*100</f>
        <v>-7.7504662826973911</v>
      </c>
      <c r="P15" s="5">
        <f>205980+106850</f>
        <v>312830</v>
      </c>
      <c r="Q15" s="5">
        <f>10155491+8782325</f>
        <v>18937816</v>
      </c>
      <c r="S15" s="5">
        <f>P15/10000000</f>
        <v>3.1282999999999998E-2</v>
      </c>
      <c r="T15" s="5">
        <f>Q15/10000000</f>
        <v>1.8937816000000001</v>
      </c>
      <c r="V15" s="5">
        <v>5.7094699999999998E-2</v>
      </c>
    </row>
    <row r="16" spans="1:22" ht="15.4" x14ac:dyDescent="0.4">
      <c r="A16" s="2004"/>
      <c r="B16" s="2071" t="s">
        <v>15</v>
      </c>
      <c r="C16" s="320" t="s">
        <v>166</v>
      </c>
      <c r="D16" s="2166">
        <f>'target FY 22-23'!L56</f>
        <v>887.02</v>
      </c>
      <c r="E16" s="2065">
        <v>83.34</v>
      </c>
      <c r="F16" s="313">
        <v>4.4491200000000002E-2</v>
      </c>
      <c r="G16" s="313">
        <f>'actual fig'!M6/10000000</f>
        <v>3.1360679999999999</v>
      </c>
      <c r="H16" s="2154">
        <v>-3.52</v>
      </c>
      <c r="I16" s="314">
        <f>(G16-F16)/F16*100</f>
        <v>6948.7377279102375</v>
      </c>
      <c r="K16" s="12"/>
      <c r="P16" s="5">
        <f>SUM(P14:P15)</f>
        <v>629581</v>
      </c>
      <c r="Q16" s="5">
        <f>SUM(Q14:Q15)</f>
        <v>24527730</v>
      </c>
      <c r="V16" s="5">
        <v>4.4491200000000002E-2</v>
      </c>
    </row>
    <row r="17" spans="1:22" ht="15.4" x14ac:dyDescent="0.4">
      <c r="A17" s="2005"/>
      <c r="B17" s="2071"/>
      <c r="C17" s="320" t="s">
        <v>228</v>
      </c>
      <c r="D17" s="2064"/>
      <c r="E17" s="2066"/>
      <c r="F17" s="313">
        <v>30.417207300000001</v>
      </c>
      <c r="G17" s="313">
        <f>'actual fig'!N6/10000000</f>
        <v>73.744693400000003</v>
      </c>
      <c r="H17" s="2155"/>
      <c r="I17" s="314">
        <f>(G17-F17)/F17*100</f>
        <v>142.44399780909538</v>
      </c>
      <c r="K17" s="12"/>
      <c r="V17" s="5">
        <v>30.417207300000001</v>
      </c>
    </row>
    <row r="18" spans="1:22" ht="21.75" customHeight="1" x14ac:dyDescent="0.35">
      <c r="A18" s="2003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  <c r="P18" s="5">
        <f>61500+14874</f>
        <v>76374</v>
      </c>
      <c r="Q18" s="5">
        <f>499212+410178</f>
        <v>909390</v>
      </c>
      <c r="S18" s="5">
        <f>P18/1000000</f>
        <v>7.6373999999999997E-2</v>
      </c>
      <c r="T18" s="5">
        <f>Q18/1000000</f>
        <v>0.90939000000000003</v>
      </c>
    </row>
    <row r="19" spans="1:22" ht="27" customHeight="1" x14ac:dyDescent="0.35">
      <c r="A19" s="2004"/>
      <c r="B19" s="1069" t="s">
        <v>230</v>
      </c>
      <c r="C19" s="1098" t="str">
        <f>F4</f>
        <v xml:space="preserve"> JUNE-21</v>
      </c>
      <c r="D19" s="1098" t="str">
        <f>G4</f>
        <v xml:space="preserve"> JUNE-22</v>
      </c>
      <c r="E19" s="1069" t="s">
        <v>681</v>
      </c>
      <c r="F19" s="1098" t="str">
        <f>F4</f>
        <v xml:space="preserve"> JUNE-21</v>
      </c>
      <c r="G19" s="1098" t="str">
        <f>G4</f>
        <v xml:space="preserve"> JUNE-22</v>
      </c>
      <c r="H19" s="1071" t="s">
        <v>682</v>
      </c>
      <c r="I19" s="1072" t="s">
        <v>681</v>
      </c>
      <c r="P19" s="5">
        <f>27534+8523</f>
        <v>36057</v>
      </c>
      <c r="Q19" s="5">
        <f>295315+223082</f>
        <v>518397</v>
      </c>
      <c r="S19" s="5">
        <f>P19/1000000</f>
        <v>3.6056999999999999E-2</v>
      </c>
      <c r="T19" s="5">
        <f>Q19/1000000</f>
        <v>0.518397</v>
      </c>
      <c r="V19" s="5">
        <v>10.496821799999999</v>
      </c>
    </row>
    <row r="20" spans="1:22" ht="18.75" customHeight="1" x14ac:dyDescent="0.4">
      <c r="A20" s="2004"/>
      <c r="B20" s="1055" t="s">
        <v>231</v>
      </c>
      <c r="C20" s="85">
        <v>71802</v>
      </c>
      <c r="D20" s="303">
        <v>149076</v>
      </c>
      <c r="E20" s="314">
        <f>(D20-C20)/C20*100</f>
        <v>107.62095763349211</v>
      </c>
      <c r="F20" s="315">
        <v>10.496821799999999</v>
      </c>
      <c r="G20" s="315">
        <f>237432110/10000000</f>
        <v>23.743210999999999</v>
      </c>
      <c r="H20" s="1060">
        <f>G20/G7*100</f>
        <v>67.342859204279677</v>
      </c>
      <c r="I20" s="314">
        <f>(G20-F20)/F20*100</f>
        <v>126.19428482628905</v>
      </c>
      <c r="P20" s="5">
        <f>SUM(P18:P19)</f>
        <v>112431</v>
      </c>
      <c r="Q20" s="5">
        <f>SUM(Q18:Q19)</f>
        <v>1427787</v>
      </c>
      <c r="V20" s="5">
        <v>0.17907580000000001</v>
      </c>
    </row>
    <row r="21" spans="1:22" ht="18.75" customHeight="1" x14ac:dyDescent="0.4">
      <c r="A21" s="2004"/>
      <c r="B21" s="1055" t="s">
        <v>232</v>
      </c>
      <c r="C21" s="303">
        <v>2614</v>
      </c>
      <c r="D21" s="303">
        <v>56881</v>
      </c>
      <c r="E21" s="314">
        <f>(D21-C21)/C21*100</f>
        <v>2076.0137719969398</v>
      </c>
      <c r="F21" s="315">
        <v>0.17907580000000001</v>
      </c>
      <c r="G21" s="315">
        <f>39674902/10000000</f>
        <v>3.9674901999999999</v>
      </c>
      <c r="H21" s="1060">
        <f>G21/G7*100</f>
        <v>11.252990757356256</v>
      </c>
      <c r="I21" s="314">
        <f>(G21-F21)/F21*100</f>
        <v>2115.5367726962545</v>
      </c>
      <c r="V21" s="5">
        <v>2.3103766000000001</v>
      </c>
    </row>
    <row r="22" spans="1:22" ht="18.75" customHeight="1" x14ac:dyDescent="0.4">
      <c r="A22" s="2004"/>
      <c r="B22" s="1055" t="s">
        <v>239</v>
      </c>
      <c r="C22" s="303">
        <v>20580</v>
      </c>
      <c r="D22" s="303">
        <v>58691</v>
      </c>
      <c r="E22" s="314">
        <f>(D22-C22)/C22*100</f>
        <v>185.18464528668611</v>
      </c>
      <c r="F22" s="315">
        <v>2.3103766000000001</v>
      </c>
      <c r="G22" s="315">
        <f>69106346/10000000</f>
        <v>6.9106345999999998</v>
      </c>
      <c r="H22" s="1060">
        <f>G22/G7*100</f>
        <v>19.600629960287328</v>
      </c>
      <c r="I22" s="314">
        <f>(G22-F22)/F22*100</f>
        <v>199.11290652787949</v>
      </c>
      <c r="V22" s="5">
        <v>0.89915560000000005</v>
      </c>
    </row>
    <row r="23" spans="1:22" ht="18.75" customHeight="1" x14ac:dyDescent="0.4">
      <c r="A23" s="2004"/>
      <c r="B23" s="1055" t="s">
        <v>233</v>
      </c>
      <c r="C23" s="303">
        <v>27590</v>
      </c>
      <c r="D23" s="303">
        <v>16678</v>
      </c>
      <c r="E23" s="314">
        <f>(D23-C23)/C23*100</f>
        <v>-39.550561797752806</v>
      </c>
      <c r="F23" s="315">
        <v>0.89915560000000005</v>
      </c>
      <c r="G23" s="315">
        <f>6130008/10000000</f>
        <v>0.61300080000000001</v>
      </c>
      <c r="H23" s="1060">
        <f>G23/G7*100</f>
        <v>1.7386539068582934</v>
      </c>
      <c r="I23" s="314">
        <f>(G23-F23)/F23*100</f>
        <v>-31.824836546644431</v>
      </c>
      <c r="V23" s="5">
        <v>0</v>
      </c>
    </row>
    <row r="24" spans="1:22" ht="18.75" customHeight="1" x14ac:dyDescent="0.4">
      <c r="A24" s="2004"/>
      <c r="B24" s="1055" t="s">
        <v>234</v>
      </c>
      <c r="C24" s="303">
        <v>0</v>
      </c>
      <c r="D24" s="303">
        <v>0</v>
      </c>
      <c r="E24" s="836">
        <v>0</v>
      </c>
      <c r="F24" s="315">
        <v>0</v>
      </c>
      <c r="G24" s="315">
        <v>0</v>
      </c>
      <c r="H24" s="1060">
        <f>G24/G7*100</f>
        <v>0</v>
      </c>
      <c r="I24" s="314">
        <v>0</v>
      </c>
      <c r="V24" s="5">
        <v>0</v>
      </c>
    </row>
    <row r="25" spans="1:22" ht="18.75" customHeight="1" x14ac:dyDescent="0.4">
      <c r="A25" s="2004"/>
      <c r="B25" s="1055" t="s">
        <v>235</v>
      </c>
      <c r="C25" s="303">
        <v>0</v>
      </c>
      <c r="D25" s="303">
        <v>0</v>
      </c>
      <c r="E25" s="836">
        <v>0</v>
      </c>
      <c r="F25" s="315">
        <v>0</v>
      </c>
      <c r="G25" s="315">
        <v>0</v>
      </c>
      <c r="H25" s="1060">
        <f>G25/G7*100</f>
        <v>0</v>
      </c>
      <c r="I25" s="314">
        <v>0</v>
      </c>
      <c r="V25" s="5">
        <v>0</v>
      </c>
    </row>
    <row r="26" spans="1:22" ht="27" customHeight="1" x14ac:dyDescent="0.4">
      <c r="A26" s="2005"/>
      <c r="B26" s="1056" t="s">
        <v>693</v>
      </c>
      <c r="C26" s="1059">
        <v>0</v>
      </c>
      <c r="D26" s="1059">
        <v>0</v>
      </c>
      <c r="E26" s="836">
        <v>0</v>
      </c>
      <c r="F26" s="315">
        <v>0</v>
      </c>
      <c r="G26" s="315">
        <f>228700/10000000</f>
        <v>2.2870000000000001E-2</v>
      </c>
      <c r="H26" s="1060">
        <f>G26/G7*100</f>
        <v>6.4866171218453825E-2</v>
      </c>
      <c r="I26" s="314" t="e">
        <f>(G26-F26)/F26*100</f>
        <v>#DIV/0!</v>
      </c>
    </row>
    <row r="27" spans="1:22" s="26" customFormat="1" ht="19.5" customHeight="1" x14ac:dyDescent="0.4">
      <c r="A27" s="1053"/>
      <c r="B27" s="1063" t="s">
        <v>683</v>
      </c>
      <c r="C27" s="1063">
        <f>SUM(C20:C26)</f>
        <v>122586</v>
      </c>
      <c r="D27" s="1063">
        <f>SUM(D20:D26)</f>
        <v>281326</v>
      </c>
      <c r="E27" s="394">
        <f>(D27-C27)/C27*100</f>
        <v>129.49276426345585</v>
      </c>
      <c r="F27" s="1054">
        <f>SUM(F20:F26)</f>
        <v>13.885429799999999</v>
      </c>
      <c r="G27" s="1054">
        <f>SUM(G20:G26)</f>
        <v>35.257206599999996</v>
      </c>
      <c r="H27" s="1066">
        <f>SUM(H20:H26)</f>
        <v>100.00000000000001</v>
      </c>
      <c r="I27" s="394">
        <f>(G27-F27)/F27*100</f>
        <v>153.91512619940653</v>
      </c>
      <c r="V27" s="26">
        <v>0.2937554</v>
      </c>
    </row>
    <row r="28" spans="1:22" ht="13.9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V28" s="5">
        <v>1.9458335</v>
      </c>
    </row>
    <row r="29" spans="1:22" ht="24" hidden="1" customHeight="1" x14ac:dyDescent="0.35">
      <c r="A29" s="1064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V29" s="5">
        <v>8.2169300000000001E-2</v>
      </c>
    </row>
    <row r="30" spans="1:22" ht="15" x14ac:dyDescent="0.45">
      <c r="A30" s="2014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K30" s="5" t="s">
        <v>713</v>
      </c>
      <c r="L30" s="226" t="s">
        <v>443</v>
      </c>
      <c r="M30" s="777" t="s">
        <v>436</v>
      </c>
      <c r="N30" s="777" t="s">
        <v>124</v>
      </c>
      <c r="O30" s="777" t="s">
        <v>125</v>
      </c>
      <c r="P30" s="777" t="s">
        <v>123</v>
      </c>
      <c r="Q30" s="777" t="s">
        <v>196</v>
      </c>
      <c r="R30" s="777" t="s">
        <v>275</v>
      </c>
      <c r="S30" s="226" t="s">
        <v>63</v>
      </c>
      <c r="V30" s="5">
        <v>2.5499999999999998E-2</v>
      </c>
    </row>
    <row r="31" spans="1:22" ht="15.4" x14ac:dyDescent="0.4">
      <c r="A31" s="2015"/>
      <c r="B31" s="2006" t="s">
        <v>2</v>
      </c>
      <c r="C31" s="2007"/>
      <c r="D31" s="331">
        <v>12.05</v>
      </c>
      <c r="E31" s="315">
        <f>'target FY 22-23'!U37</f>
        <v>1</v>
      </c>
      <c r="F31" s="313">
        <v>0.2937554</v>
      </c>
      <c r="G31" s="313">
        <f>'actual fig'!U6/10000000</f>
        <v>2.0496884999999998</v>
      </c>
      <c r="H31" s="314">
        <f>(G31-E31)/E31*100</f>
        <v>104.96884999999997</v>
      </c>
      <c r="I31" s="314">
        <f t="shared" ref="I31:I37" si="0">(G31-F31)/F31*100</f>
        <v>597.75347108512722</v>
      </c>
      <c r="L31" s="5">
        <v>2.1800000000000002</v>
      </c>
      <c r="M31" s="5">
        <v>1.1499999999999999</v>
      </c>
      <c r="P31" s="5">
        <f>4967585/10000000</f>
        <v>0.49675849999999999</v>
      </c>
      <c r="Q31" s="42">
        <f>(1070650+969290)/10000000</f>
        <v>0.20399400000000001</v>
      </c>
      <c r="S31" s="5">
        <f>L31+M30:M31</f>
        <v>3.33</v>
      </c>
      <c r="V31" s="5">
        <v>0</v>
      </c>
    </row>
    <row r="32" spans="1:22" ht="15.4" x14ac:dyDescent="0.4">
      <c r="A32" s="2015"/>
      <c r="B32" s="2006" t="s">
        <v>23</v>
      </c>
      <c r="C32" s="2007"/>
      <c r="D32" s="331">
        <v>27.75</v>
      </c>
      <c r="E32" s="315">
        <f>'target FY 22-23'!V37</f>
        <v>2.11</v>
      </c>
      <c r="F32" s="381">
        <v>1.9458335</v>
      </c>
      <c r="G32" s="313">
        <f>'actual fig'!V6/10000000</f>
        <v>2.4922323999999998</v>
      </c>
      <c r="H32" s="314">
        <f>(G32-E32)/E32*100</f>
        <v>18.115279620853077</v>
      </c>
      <c r="I32" s="314">
        <f t="shared" si="0"/>
        <v>28.080454982402131</v>
      </c>
      <c r="V32" s="5">
        <v>1.1633777999999999</v>
      </c>
    </row>
    <row r="33" spans="1:22" ht="15.75" x14ac:dyDescent="0.45">
      <c r="A33" s="2015"/>
      <c r="B33" s="2006" t="s">
        <v>1</v>
      </c>
      <c r="C33" s="2007"/>
      <c r="D33" s="331">
        <v>5.77</v>
      </c>
      <c r="E33" s="315">
        <f>'target FY 22-23'!W37</f>
        <v>0.41</v>
      </c>
      <c r="F33" s="313">
        <v>8.2169300000000001E-2</v>
      </c>
      <c r="G33" s="313">
        <f>'actual fig'!W6/10000000</f>
        <v>9.1728299999999999E-2</v>
      </c>
      <c r="H33" s="314">
        <f>(G33-E33)/E33*100</f>
        <v>-77.62724390243902</v>
      </c>
      <c r="I33" s="314">
        <f t="shared" si="0"/>
        <v>11.633298567713243</v>
      </c>
      <c r="K33" s="5" t="s">
        <v>714</v>
      </c>
      <c r="L33" s="226" t="s">
        <v>443</v>
      </c>
      <c r="M33" s="777" t="s">
        <v>436</v>
      </c>
      <c r="N33" s="777" t="s">
        <v>124</v>
      </c>
      <c r="O33" s="777" t="s">
        <v>125</v>
      </c>
      <c r="P33" s="777" t="s">
        <v>123</v>
      </c>
      <c r="Q33" s="777" t="s">
        <v>196</v>
      </c>
      <c r="R33" s="777" t="s">
        <v>275</v>
      </c>
      <c r="S33" s="226" t="s">
        <v>63</v>
      </c>
      <c r="V33" s="5">
        <v>3.6706000000000003E-2</v>
      </c>
    </row>
    <row r="34" spans="1:22" ht="15.4" x14ac:dyDescent="0.4">
      <c r="A34" s="2015"/>
      <c r="B34" s="2006" t="s">
        <v>24</v>
      </c>
      <c r="C34" s="2007"/>
      <c r="D34" s="603" t="s">
        <v>221</v>
      </c>
      <c r="E34" s="315"/>
      <c r="F34" s="313">
        <v>2.5499999999999998E-2</v>
      </c>
      <c r="G34" s="381">
        <f>'actual fig'!Y6/10000000</f>
        <v>0.30458299999999999</v>
      </c>
      <c r="H34" s="316" t="s">
        <v>221</v>
      </c>
      <c r="I34" s="314">
        <f t="shared" si="0"/>
        <v>1094.443137254902</v>
      </c>
      <c r="Q34" s="5">
        <f>(70600+86590)/10000000</f>
        <v>1.5719E-2</v>
      </c>
    </row>
    <row r="35" spans="1:22" ht="15.4" x14ac:dyDescent="0.4">
      <c r="A35" s="2015"/>
      <c r="B35" s="2017" t="s">
        <v>25</v>
      </c>
      <c r="C35" s="2030"/>
      <c r="D35" s="603" t="s">
        <v>221</v>
      </c>
      <c r="E35" s="315"/>
      <c r="F35" s="315">
        <v>0</v>
      </c>
      <c r="G35" s="404">
        <f>'actual fig'!X6/10000000</f>
        <v>3.3313066999999998</v>
      </c>
      <c r="H35" s="316" t="s">
        <v>221</v>
      </c>
      <c r="I35" s="314" t="e">
        <f t="shared" si="0"/>
        <v>#DIV/0!</v>
      </c>
      <c r="V35" s="5">
        <v>0.48096559999999999</v>
      </c>
    </row>
    <row r="36" spans="1:22" ht="15.4" x14ac:dyDescent="0.4">
      <c r="A36" s="2016"/>
      <c r="B36" s="2017" t="s">
        <v>241</v>
      </c>
      <c r="C36" s="2030"/>
      <c r="D36" s="540" t="s">
        <v>221</v>
      </c>
      <c r="E36" s="316"/>
      <c r="F36" s="315">
        <v>1.1633777999999999</v>
      </c>
      <c r="G36" s="315">
        <f>'actual fig'!T6/10000000</f>
        <v>3.3116533000000001</v>
      </c>
      <c r="H36" s="316" t="s">
        <v>221</v>
      </c>
      <c r="I36" s="314">
        <f t="shared" si="0"/>
        <v>184.65845746755701</v>
      </c>
      <c r="V36" s="5">
        <v>2.5377899999999998E-2</v>
      </c>
    </row>
    <row r="37" spans="1:22" x14ac:dyDescent="0.4">
      <c r="A37" s="403"/>
      <c r="B37" s="2006" t="s">
        <v>260</v>
      </c>
      <c r="C37" s="2019"/>
      <c r="D37" s="540" t="s">
        <v>221</v>
      </c>
      <c r="E37" s="316"/>
      <c r="F37" s="134">
        <v>3.6706000000000003E-2</v>
      </c>
      <c r="G37" s="404">
        <f>'actual fig'!Z6/10000000</f>
        <v>5.8930499999999997E-2</v>
      </c>
      <c r="H37" s="413"/>
      <c r="I37" s="314">
        <f t="shared" si="0"/>
        <v>60.547321963711632</v>
      </c>
      <c r="V37" s="5">
        <v>5.1777000000000004E-3</v>
      </c>
    </row>
    <row r="38" spans="1:22" ht="15" x14ac:dyDescent="0.35">
      <c r="A38" s="2020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  <c r="V38" s="5">
        <v>0</v>
      </c>
    </row>
    <row r="39" spans="1:22" ht="15.4" x14ac:dyDescent="0.4">
      <c r="A39" s="2020"/>
      <c r="B39" s="2006" t="s">
        <v>27</v>
      </c>
      <c r="C39" s="2007"/>
      <c r="D39" s="331">
        <v>12.24</v>
      </c>
      <c r="E39" s="404">
        <v>1.02</v>
      </c>
      <c r="F39" s="313">
        <v>0.48096559999999999</v>
      </c>
      <c r="G39" s="313">
        <f>'actual fig'!T22/10000000</f>
        <v>0.99820699999999996</v>
      </c>
      <c r="H39" s="314">
        <f>(G39-E39)/E39*100</f>
        <v>-2.1365686274509863</v>
      </c>
      <c r="I39" s="314">
        <f>(G39-F39)/F39*100</f>
        <v>107.54228576846243</v>
      </c>
      <c r="V39" s="5">
        <v>3.9713100000000001E-2</v>
      </c>
    </row>
    <row r="40" spans="1:22" ht="15.4" x14ac:dyDescent="0.4">
      <c r="A40" s="2020"/>
      <c r="B40" s="2006" t="s">
        <v>28</v>
      </c>
      <c r="C40" s="2007"/>
      <c r="D40" s="333">
        <v>2.84</v>
      </c>
      <c r="E40" s="315">
        <v>0.23599999999999999</v>
      </c>
      <c r="F40" s="314">
        <v>2.5377899999999998E-2</v>
      </c>
      <c r="G40" s="381">
        <f>'actual fig'!U22/10000000</f>
        <v>4.2574899999999999E-2</v>
      </c>
      <c r="H40" s="314">
        <f>(G40-E40)/E40*100</f>
        <v>-81.959788135593215</v>
      </c>
      <c r="I40" s="836">
        <v>0</v>
      </c>
      <c r="V40" s="5">
        <v>2.0037900000000001E-2</v>
      </c>
    </row>
    <row r="41" spans="1:22" ht="15.4" x14ac:dyDescent="0.4">
      <c r="A41" s="2020"/>
      <c r="B41" s="378" t="s">
        <v>224</v>
      </c>
      <c r="C41" s="379"/>
      <c r="D41" s="331">
        <v>2.4500000000000002</v>
      </c>
      <c r="E41" s="323">
        <v>0.20416666666666669</v>
      </c>
      <c r="F41" s="381">
        <v>5.1777000000000004E-3</v>
      </c>
      <c r="G41" s="313">
        <f>'actual fig'!V22/10000000</f>
        <v>2.3478599999999999E-2</v>
      </c>
      <c r="H41" s="314">
        <f>(G41-E41)/E41*100</f>
        <v>-88.500277551020417</v>
      </c>
      <c r="I41" s="836">
        <v>0</v>
      </c>
    </row>
    <row r="42" spans="1:22" ht="15.4" x14ac:dyDescent="0.4">
      <c r="A42" s="2020"/>
      <c r="B42" s="2006" t="s">
        <v>64</v>
      </c>
      <c r="C42" s="2007"/>
      <c r="D42" s="540" t="s">
        <v>221</v>
      </c>
      <c r="E42" s="315"/>
      <c r="F42" s="314">
        <v>0</v>
      </c>
      <c r="G42" s="313">
        <v>0</v>
      </c>
      <c r="H42" s="314" t="s">
        <v>221</v>
      </c>
      <c r="I42" s="836">
        <v>0</v>
      </c>
      <c r="V42" s="5">
        <v>0.135772</v>
      </c>
    </row>
    <row r="43" spans="1:22" ht="15.4" x14ac:dyDescent="0.4">
      <c r="A43" s="2020"/>
      <c r="B43" s="2006" t="s">
        <v>4</v>
      </c>
      <c r="C43" s="2007"/>
      <c r="D43" s="540" t="s">
        <v>221</v>
      </c>
      <c r="E43" s="315"/>
      <c r="F43" s="314">
        <v>3.9713100000000001E-2</v>
      </c>
      <c r="G43" s="313">
        <v>0</v>
      </c>
      <c r="H43" s="314" t="s">
        <v>221</v>
      </c>
      <c r="I43" s="836">
        <v>0</v>
      </c>
      <c r="R43" s="5">
        <v>167677</v>
      </c>
      <c r="V43" s="5">
        <v>5.0237999999999998E-2</v>
      </c>
    </row>
    <row r="44" spans="1:22" x14ac:dyDescent="0.4">
      <c r="A44" s="373"/>
      <c r="B44" s="2006" t="s">
        <v>259</v>
      </c>
      <c r="C44" s="2019"/>
      <c r="D44" s="540" t="s">
        <v>221</v>
      </c>
      <c r="E44" s="315"/>
      <c r="F44" s="1039">
        <v>2.0037900000000001E-2</v>
      </c>
      <c r="G44" s="313">
        <f>'actual fig'!X22/10000000</f>
        <v>7.7316300000000004E-2</v>
      </c>
      <c r="H44" s="407" t="s">
        <v>221</v>
      </c>
      <c r="I44" s="314">
        <f>(G44-F44)/F44*100</f>
        <v>285.85031365562259</v>
      </c>
      <c r="V44" s="5">
        <v>0.50427900000000003</v>
      </c>
    </row>
    <row r="45" spans="1:22" ht="15" x14ac:dyDescent="0.35">
      <c r="A45" s="2020"/>
      <c r="B45" s="2309" t="s">
        <v>419</v>
      </c>
      <c r="C45" s="2310"/>
      <c r="D45" s="2310"/>
      <c r="E45" s="2310"/>
      <c r="F45" s="2310"/>
      <c r="G45" s="2310"/>
      <c r="H45" s="2310"/>
      <c r="I45" s="2311"/>
    </row>
    <row r="46" spans="1:22" ht="15.75" thickBot="1" x14ac:dyDescent="0.45">
      <c r="A46" s="2020"/>
      <c r="B46" s="2006" t="s">
        <v>16</v>
      </c>
      <c r="C46" s="2007"/>
      <c r="D46" s="331">
        <v>37.090000000000003</v>
      </c>
      <c r="E46" s="315">
        <f>'target FY 22-23'!K64</f>
        <v>3.18</v>
      </c>
      <c r="F46" s="315">
        <f>'actual fig'!L62/1000000</f>
        <v>0.135772</v>
      </c>
      <c r="G46" s="315">
        <f>'actual fig'!L22/1000000</f>
        <v>1.401597</v>
      </c>
      <c r="H46" s="316">
        <f>(G46-E46)/E46*100</f>
        <v>-55.924622641509437</v>
      </c>
      <c r="I46" s="314">
        <f>(G46-F46)/F46*100</f>
        <v>932.31667796010947</v>
      </c>
      <c r="K46" s="5">
        <f>((G47+G48)-E47)/E47*100</f>
        <v>-52.431097256857861</v>
      </c>
      <c r="M46" s="910">
        <v>693514</v>
      </c>
    </row>
    <row r="47" spans="1:22" ht="15.4" x14ac:dyDescent="0.4">
      <c r="A47" s="2020"/>
      <c r="B47" s="2069" t="s">
        <v>15</v>
      </c>
      <c r="C47" s="320" t="s">
        <v>166</v>
      </c>
      <c r="D47" s="2067">
        <v>43.23</v>
      </c>
      <c r="E47" s="2154">
        <f>'target FY 22-23'!L64</f>
        <v>4.01</v>
      </c>
      <c r="F47" s="313">
        <f>'actual fig'!M62/1000000</f>
        <v>5.0237999999999998E-2</v>
      </c>
      <c r="G47" s="313">
        <f>'actual fig'!M22/1000000</f>
        <v>0.80140699999999998</v>
      </c>
      <c r="H47" s="2027">
        <v>-60.6</v>
      </c>
      <c r="I47" s="314">
        <f>(G47-F47)/F47*100</f>
        <v>1495.2207492336479</v>
      </c>
      <c r="M47" s="5">
        <f>M46/1000000</f>
        <v>0.69351399999999996</v>
      </c>
    </row>
    <row r="48" spans="1:22" ht="15.4" x14ac:dyDescent="0.4">
      <c r="A48" s="2020"/>
      <c r="B48" s="2070"/>
      <c r="C48" s="320" t="s">
        <v>228</v>
      </c>
      <c r="D48" s="2068"/>
      <c r="E48" s="2155"/>
      <c r="F48" s="313">
        <f>'actual fig'!N62/1000000</f>
        <v>0.50427900000000003</v>
      </c>
      <c r="G48" s="313">
        <f>'actual fig'!N22/1000000</f>
        <v>1.106106</v>
      </c>
      <c r="H48" s="2029"/>
      <c r="I48" s="314">
        <f>(G48-F48)/F48*100</f>
        <v>119.34405358938207</v>
      </c>
    </row>
    <row r="49" spans="1:9" ht="15" x14ac:dyDescent="0.35">
      <c r="A49" s="2020">
        <v>6</v>
      </c>
      <c r="B49" s="2309" t="s">
        <v>729</v>
      </c>
      <c r="C49" s="2310"/>
      <c r="D49" s="2310"/>
      <c r="E49" s="2310"/>
      <c r="F49" s="2310"/>
      <c r="G49" s="2310"/>
      <c r="H49" s="2310"/>
      <c r="I49" s="2311"/>
    </row>
    <row r="50" spans="1:9" ht="15.4" x14ac:dyDescent="0.4">
      <c r="A50" s="2020"/>
      <c r="B50" s="2006" t="s">
        <v>36</v>
      </c>
      <c r="C50" s="2007"/>
      <c r="D50" s="303" t="s">
        <v>221</v>
      </c>
      <c r="E50" s="2024" t="s">
        <v>221</v>
      </c>
      <c r="F50" s="313">
        <v>140.85</v>
      </c>
      <c r="G50" s="313">
        <v>197.64</v>
      </c>
      <c r="H50" s="2027" t="s">
        <v>221</v>
      </c>
      <c r="I50" s="314">
        <f>(G50-F50)/F50*100</f>
        <v>40.319488817891369</v>
      </c>
    </row>
    <row r="51" spans="1:9" ht="15.4" x14ac:dyDescent="0.4">
      <c r="A51" s="2020"/>
      <c r="B51" s="2006" t="s">
        <v>37</v>
      </c>
      <c r="C51" s="2007"/>
      <c r="D51" s="303" t="s">
        <v>221</v>
      </c>
      <c r="E51" s="2025"/>
      <c r="F51" s="313">
        <v>30.94</v>
      </c>
      <c r="G51" s="313">
        <v>43.06</v>
      </c>
      <c r="H51" s="2028"/>
      <c r="I51" s="314">
        <f>(G51-F51)/F51*100</f>
        <v>39.172592113768587</v>
      </c>
    </row>
    <row r="52" spans="1:9" ht="15.4" x14ac:dyDescent="0.4">
      <c r="A52" s="2020"/>
      <c r="B52" s="2006" t="s">
        <v>38</v>
      </c>
      <c r="C52" s="2007"/>
      <c r="D52" s="303" t="s">
        <v>221</v>
      </c>
      <c r="E52" s="2026"/>
      <c r="F52" s="313">
        <v>171.79</v>
      </c>
      <c r="G52" s="313">
        <v>240.7</v>
      </c>
      <c r="H52" s="2029"/>
      <c r="I52" s="314">
        <f>(G52-F52)/F52*100</f>
        <v>40.112928575586473</v>
      </c>
    </row>
    <row r="54" spans="1:9" x14ac:dyDescent="0.35">
      <c r="D54" s="84">
        <f>D39*10000000</f>
        <v>122400000</v>
      </c>
      <c r="E54" s="35">
        <f>D54/100000</f>
        <v>1224</v>
      </c>
      <c r="F54" s="11">
        <f>E54/12</f>
        <v>102</v>
      </c>
      <c r="G54" s="11">
        <f>F54*2</f>
        <v>204</v>
      </c>
    </row>
    <row r="55" spans="1:9" x14ac:dyDescent="0.35">
      <c r="D55" s="84">
        <f>D40*10000000</f>
        <v>28400000</v>
      </c>
      <c r="E55" s="35">
        <f>D55/100000</f>
        <v>284</v>
      </c>
      <c r="F55" s="11">
        <f>E55/12</f>
        <v>23.666666666666668</v>
      </c>
      <c r="G55" s="11">
        <f>F55*2</f>
        <v>47.333333333333336</v>
      </c>
    </row>
    <row r="56" spans="1:9" x14ac:dyDescent="0.35">
      <c r="D56" s="84">
        <f>D41*10000000</f>
        <v>24500000</v>
      </c>
      <c r="E56" s="35">
        <f>D56/100000</f>
        <v>245</v>
      </c>
      <c r="F56" s="11">
        <f>E56/12</f>
        <v>20.416666666666668</v>
      </c>
      <c r="G56" s="11">
        <f>F56*2</f>
        <v>40.833333333333336</v>
      </c>
    </row>
  </sheetData>
  <mergeCells count="60">
    <mergeCell ref="A11:I11"/>
    <mergeCell ref="A1:I1"/>
    <mergeCell ref="A2:I2"/>
    <mergeCell ref="A3:A5"/>
    <mergeCell ref="B3:C5"/>
    <mergeCell ref="D3:E3"/>
    <mergeCell ref="F3:G3"/>
    <mergeCell ref="H3:I3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6"/>
    <mergeCell ref="C18:E18"/>
    <mergeCell ref="F18:G18"/>
    <mergeCell ref="B28:C29"/>
    <mergeCell ref="D28:E28"/>
    <mergeCell ref="F28:G28"/>
    <mergeCell ref="H28:I28"/>
    <mergeCell ref="A30:A36"/>
    <mergeCell ref="B30:I30"/>
    <mergeCell ref="B31:C31"/>
    <mergeCell ref="B32:C32"/>
    <mergeCell ref="B33:C33"/>
    <mergeCell ref="B34:C34"/>
    <mergeCell ref="B35:C35"/>
    <mergeCell ref="B36:C36"/>
    <mergeCell ref="B37:C37"/>
    <mergeCell ref="A38:A43"/>
    <mergeCell ref="B38:I38"/>
    <mergeCell ref="B39:C39"/>
    <mergeCell ref="B40:C40"/>
    <mergeCell ref="B42:C42"/>
    <mergeCell ref="B43:C43"/>
    <mergeCell ref="B44:C44"/>
    <mergeCell ref="A45:A48"/>
    <mergeCell ref="B45:I45"/>
    <mergeCell ref="B46:C46"/>
    <mergeCell ref="B47:B48"/>
    <mergeCell ref="D47:D48"/>
    <mergeCell ref="E47:E48"/>
    <mergeCell ref="H47:H48"/>
    <mergeCell ref="A49:A52"/>
    <mergeCell ref="B49:I49"/>
    <mergeCell ref="B50:C50"/>
    <mergeCell ref="E50:E52"/>
    <mergeCell ref="H50:H52"/>
    <mergeCell ref="B51:C51"/>
    <mergeCell ref="B52:C52"/>
  </mergeCells>
  <pageMargins left="0.2" right="0.2" top="0.33" bottom="0.4" header="0.3" footer="0.3"/>
  <pageSetup paperSize="9" scale="40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U64"/>
  <sheetViews>
    <sheetView workbookViewId="0">
      <selection activeCell="G27" sqref="G27"/>
    </sheetView>
  </sheetViews>
  <sheetFormatPr defaultColWidth="9.1328125" defaultRowHeight="16.899999999999999" x14ac:dyDescent="0.35"/>
  <cols>
    <col min="1" max="1" width="5.3984375" style="376" customWidth="1"/>
    <col min="2" max="2" width="37.73046875" style="300" customWidth="1"/>
    <col min="3" max="3" width="13" style="5" customWidth="1"/>
    <col min="4" max="4" width="9" style="84" customWidth="1"/>
    <col min="5" max="5" width="9.3984375" style="35" customWidth="1"/>
    <col min="6" max="6" width="11" style="5" customWidth="1"/>
    <col min="7" max="7" width="12" style="5" customWidth="1"/>
    <col min="8" max="8" width="8.86328125" style="11" customWidth="1"/>
    <col min="9" max="9" width="11.86328125" style="82" customWidth="1"/>
    <col min="10" max="10" width="9.1328125" style="5"/>
    <col min="11" max="11" width="14.265625" style="5" customWidth="1"/>
    <col min="12" max="12" width="13.1328125" style="5" customWidth="1"/>
    <col min="13" max="13" width="11.86328125" style="5" customWidth="1"/>
    <col min="14" max="14" width="10.73046875" style="5" customWidth="1"/>
    <col min="15" max="15" width="10.1328125" style="5" customWidth="1"/>
    <col min="16" max="16384" width="9.1328125" style="5"/>
  </cols>
  <sheetData>
    <row r="1" spans="1:13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3" s="301" customFormat="1" ht="17.25" thickBot="1" x14ac:dyDescent="0.5">
      <c r="A2" s="2092" t="s">
        <v>617</v>
      </c>
      <c r="B2" s="2093"/>
      <c r="C2" s="2093"/>
      <c r="D2" s="2093"/>
      <c r="E2" s="2093"/>
      <c r="F2" s="2093"/>
      <c r="G2" s="2093"/>
      <c r="H2" s="2093"/>
      <c r="I2" s="2094"/>
    </row>
    <row r="3" spans="1:13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3" s="35" customFormat="1" ht="15" x14ac:dyDescent="0.45">
      <c r="A4" s="2035"/>
      <c r="B4" s="2047"/>
      <c r="C4" s="2048"/>
      <c r="D4" s="366" t="s">
        <v>9</v>
      </c>
      <c r="E4" s="383">
        <f>G4</f>
        <v>44562</v>
      </c>
      <c r="F4" s="383">
        <v>44198</v>
      </c>
      <c r="G4" s="383">
        <v>44562</v>
      </c>
      <c r="H4" s="2041" t="s">
        <v>12</v>
      </c>
      <c r="I4" s="2041" t="s">
        <v>13</v>
      </c>
    </row>
    <row r="5" spans="1:13" ht="15" x14ac:dyDescent="0.45">
      <c r="A5" s="2036"/>
      <c r="B5" s="2047"/>
      <c r="C5" s="2048"/>
      <c r="D5" s="2097" t="s">
        <v>438</v>
      </c>
      <c r="E5" s="2098"/>
      <c r="F5" s="366" t="s">
        <v>249</v>
      </c>
      <c r="G5" s="366" t="s">
        <v>438</v>
      </c>
      <c r="H5" s="2042"/>
      <c r="I5" s="2042"/>
      <c r="K5"/>
    </row>
    <row r="6" spans="1:13" x14ac:dyDescent="0.45">
      <c r="A6" s="372">
        <v>1</v>
      </c>
      <c r="B6" s="2049" t="s">
        <v>279</v>
      </c>
      <c r="C6" s="2049"/>
      <c r="D6" s="304"/>
      <c r="E6" s="305">
        <f>E15+E16</f>
        <v>64.03</v>
      </c>
      <c r="F6" s="305">
        <f>F15+F16+F17</f>
        <v>43.093520888</v>
      </c>
      <c r="G6" s="305">
        <f>G15+G16+G17</f>
        <v>52.103080999999996</v>
      </c>
      <c r="H6" s="306">
        <f>(G6-E6)/E6*100</f>
        <v>-18.6270794939872</v>
      </c>
      <c r="I6" s="306">
        <f>(G6-F6)/F6*100</f>
        <v>20.906994662645062</v>
      </c>
      <c r="K6" s="319"/>
      <c r="L6"/>
    </row>
    <row r="7" spans="1:13" x14ac:dyDescent="0.35">
      <c r="A7" s="373">
        <v>2</v>
      </c>
      <c r="B7" s="2050" t="s">
        <v>281</v>
      </c>
      <c r="C7" s="2051"/>
      <c r="D7" s="307"/>
      <c r="E7" s="307">
        <v>19.78</v>
      </c>
      <c r="F7" s="307">
        <f>F19+F20+F21+F22+F23+F24+F25</f>
        <v>10.306924199999999</v>
      </c>
      <c r="G7" s="307">
        <f>G19+G20+G21+G22+G23+G24+G25</f>
        <v>25.841326500000001</v>
      </c>
      <c r="H7" s="306">
        <f>(G7-E7)/E7*100</f>
        <v>30.643713346814959</v>
      </c>
      <c r="I7" s="308">
        <f>(G7-F7)/F7*100</f>
        <v>150.71811918438289</v>
      </c>
    </row>
    <row r="8" spans="1:13" x14ac:dyDescent="0.35">
      <c r="A8" s="374">
        <v>3</v>
      </c>
      <c r="B8" s="2021" t="s">
        <v>282</v>
      </c>
      <c r="C8" s="2023"/>
      <c r="D8" s="364"/>
      <c r="E8" s="364">
        <v>6.26</v>
      </c>
      <c r="F8" s="364">
        <f>F27+F28+F29+F30+F31+F32+F33</f>
        <v>2.9175481999999997</v>
      </c>
      <c r="G8" s="364">
        <f>G27+G28+G29+G30+G31+G32+G33</f>
        <v>7.2981416999999995</v>
      </c>
      <c r="H8" s="306">
        <f>(G8-E8)/E8*100</f>
        <v>16.583733226837058</v>
      </c>
      <c r="I8" s="365">
        <f>(G8-F8)/F8*100</f>
        <v>150.14639689585937</v>
      </c>
    </row>
    <row r="9" spans="1:13" x14ac:dyDescent="0.35">
      <c r="A9" s="373">
        <v>4</v>
      </c>
      <c r="B9" s="2052" t="s">
        <v>283</v>
      </c>
      <c r="C9" s="2053"/>
      <c r="D9" s="307"/>
      <c r="E9" s="307">
        <f>E35+E36+E37</f>
        <v>0.67873000000000006</v>
      </c>
      <c r="F9" s="307">
        <v>0.28999999999999998</v>
      </c>
      <c r="G9" s="307">
        <f>G35+G36+G37+G38+G39+G40</f>
        <v>0.75910840000000002</v>
      </c>
      <c r="H9" s="306">
        <f>(G9-E9)/E9*100</f>
        <v>11.842470496368209</v>
      </c>
      <c r="I9" s="308">
        <f>(G9-F9)/F9*100</f>
        <v>161.76151724137932</v>
      </c>
    </row>
    <row r="10" spans="1:13" ht="17.649999999999999" x14ac:dyDescent="0.35">
      <c r="A10" s="374">
        <v>5</v>
      </c>
      <c r="B10" s="2117" t="s">
        <v>284</v>
      </c>
      <c r="C10" s="2118"/>
      <c r="D10" s="321"/>
      <c r="E10" s="321">
        <f>SUM(E6:E9)</f>
        <v>90.748730000000009</v>
      </c>
      <c r="F10" s="446">
        <f>SUM(F6:F9)</f>
        <v>56.607993287999996</v>
      </c>
      <c r="G10" s="446">
        <f>SUM(G6:G9)</f>
        <v>86.001657600000001</v>
      </c>
      <c r="H10" s="306">
        <f>(G10-E10)/E10*100</f>
        <v>-5.2310069793814273</v>
      </c>
      <c r="I10" s="322">
        <f>(G10-F10)/F10*100</f>
        <v>51.924936046498225</v>
      </c>
      <c r="K10" s="12"/>
    </row>
    <row r="11" spans="1:13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3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0.87855099999999997</v>
      </c>
      <c r="G12" s="447">
        <f>G42+G43+G44</f>
        <v>1.693702</v>
      </c>
      <c r="H12" s="310" t="s">
        <v>221</v>
      </c>
      <c r="I12" s="311">
        <f>(G12-F12)/F12*100</f>
        <v>92.783572040780797</v>
      </c>
    </row>
    <row r="13" spans="1:13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3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K14" s="383">
        <f>F4</f>
        <v>44198</v>
      </c>
      <c r="L14" s="383">
        <v>44166</v>
      </c>
    </row>
    <row r="15" spans="1:13" ht="15.4" x14ac:dyDescent="0.4">
      <c r="A15" s="2004"/>
      <c r="B15" s="2006" t="s">
        <v>16</v>
      </c>
      <c r="C15" s="2007"/>
      <c r="D15" s="331"/>
      <c r="E15" s="307">
        <v>0.15</v>
      </c>
      <c r="F15" s="264">
        <v>5.1386088000000003E-2</v>
      </c>
      <c r="G15" s="433">
        <f>'actual fig'!L53/10000000</f>
        <v>0.26399119999999998</v>
      </c>
      <c r="H15" s="314">
        <f>(G15-E15)/E15*100</f>
        <v>75.994133333333323</v>
      </c>
      <c r="I15" s="314">
        <f>(G15-F15)/F15*100</f>
        <v>413.74060621232729</v>
      </c>
      <c r="J15" s="12">
        <f>K15/10000000</f>
        <v>1.777869932</v>
      </c>
      <c r="K15" s="41">
        <f>17778699.32</f>
        <v>17778699.32</v>
      </c>
      <c r="L15" s="476">
        <v>255839.87</v>
      </c>
      <c r="M15" s="264">
        <f>L15/10000000</f>
        <v>2.5583986999999999E-2</v>
      </c>
    </row>
    <row r="16" spans="1:13" ht="15.4" x14ac:dyDescent="0.4">
      <c r="A16" s="2004"/>
      <c r="B16" s="2071" t="s">
        <v>15</v>
      </c>
      <c r="C16" s="320" t="s">
        <v>166</v>
      </c>
      <c r="D16" s="2064"/>
      <c r="E16" s="2065">
        <v>63.88</v>
      </c>
      <c r="F16" s="134">
        <v>2.4579400000000001E-2</v>
      </c>
      <c r="G16" s="433">
        <f>'actual fig'!M53/10000000</f>
        <v>0.26462340000000001</v>
      </c>
      <c r="H16" s="2027" t="s">
        <v>221</v>
      </c>
      <c r="I16" s="314">
        <f>(G16-F16)/F16*100</f>
        <v>976.60642651976866</v>
      </c>
      <c r="J16" s="12">
        <f>K16/10000000</f>
        <v>16.273868146000002</v>
      </c>
      <c r="K16" s="41">
        <v>162738681.46000001</v>
      </c>
      <c r="L16" s="477">
        <v>138315</v>
      </c>
      <c r="M16" s="264">
        <f>L16/10000000</f>
        <v>1.38315E-2</v>
      </c>
    </row>
    <row r="17" spans="1:21" ht="15.75" x14ac:dyDescent="0.45">
      <c r="A17" s="2005"/>
      <c r="B17" s="2071"/>
      <c r="C17" s="320" t="s">
        <v>228</v>
      </c>
      <c r="D17" s="2064"/>
      <c r="E17" s="2066"/>
      <c r="F17" s="475">
        <v>43.017555399999999</v>
      </c>
      <c r="G17" s="264">
        <f>'actual fig'!N53/10000000</f>
        <v>51.574466399999999</v>
      </c>
      <c r="H17" s="2029"/>
      <c r="I17" s="314">
        <f>(G17-F17)/F17*100</f>
        <v>19.891671947495183</v>
      </c>
      <c r="J17" s="12">
        <f>K17/10000000</f>
        <v>60.591659399999998</v>
      </c>
      <c r="K17" s="478">
        <v>605916594</v>
      </c>
      <c r="L17" s="319">
        <v>291101445</v>
      </c>
      <c r="M17" s="264">
        <f>L17/10000000</f>
        <v>29.110144500000001</v>
      </c>
      <c r="P17">
        <v>605916594</v>
      </c>
    </row>
    <row r="18" spans="1:21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21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v>6.4164916999999999</v>
      </c>
      <c r="G19" s="264">
        <f>182789368/10000000</f>
        <v>18.2789368</v>
      </c>
      <c r="H19" s="316" t="s">
        <v>221</v>
      </c>
      <c r="I19" s="314">
        <f>(G19-F19)/F19*100</f>
        <v>184.87431535211056</v>
      </c>
      <c r="L19"/>
    </row>
    <row r="20" spans="1:21" ht="15.4" x14ac:dyDescent="0.4">
      <c r="A20" s="2004"/>
      <c r="B20" s="2009"/>
      <c r="C20" s="2000" t="s">
        <v>232</v>
      </c>
      <c r="D20" s="2001"/>
      <c r="E20" s="2002"/>
      <c r="F20" s="264">
        <v>0.90325049999999996</v>
      </c>
      <c r="G20" s="264">
        <f>12072314/10000000</f>
        <v>1.2072314</v>
      </c>
      <c r="H20" s="316" t="s">
        <v>221</v>
      </c>
      <c r="I20" s="314">
        <f>(G20-F20)/F20*100</f>
        <v>33.654108135007952</v>
      </c>
    </row>
    <row r="21" spans="1:21" ht="15.4" x14ac:dyDescent="0.4">
      <c r="A21" s="2004"/>
      <c r="B21" s="2009"/>
      <c r="C21" s="2000" t="s">
        <v>239</v>
      </c>
      <c r="D21" s="2001"/>
      <c r="E21" s="2002"/>
      <c r="F21" s="264">
        <v>2.0437732999999998</v>
      </c>
      <c r="G21" s="264">
        <f>57515435/10000000</f>
        <v>5.7515435000000004</v>
      </c>
      <c r="H21" s="316" t="s">
        <v>221</v>
      </c>
      <c r="I21" s="314">
        <f>(G21-F21)/F21*100</f>
        <v>181.41788034905832</v>
      </c>
    </row>
    <row r="22" spans="1:21" ht="15.4" x14ac:dyDescent="0.4">
      <c r="A22" s="2004"/>
      <c r="B22" s="2009"/>
      <c r="C22" s="2000" t="s">
        <v>233</v>
      </c>
      <c r="D22" s="2001"/>
      <c r="E22" s="2002"/>
      <c r="F22" s="264">
        <v>0.79103080000000003</v>
      </c>
      <c r="G22" s="264">
        <f>6036148/10000000</f>
        <v>0.60361480000000001</v>
      </c>
      <c r="H22" s="316" t="s">
        <v>221</v>
      </c>
      <c r="I22" s="314">
        <f>(G22-F22)/F22*100</f>
        <v>-23.692629920352029</v>
      </c>
    </row>
    <row r="23" spans="1:21" ht="15.4" x14ac:dyDescent="0.4">
      <c r="A23" s="2004"/>
      <c r="B23" s="2009"/>
      <c r="C23" s="2000" t="s">
        <v>234</v>
      </c>
      <c r="D23" s="2001"/>
      <c r="E23" s="2002"/>
      <c r="F23" s="476">
        <v>0</v>
      </c>
      <c r="G23" s="476">
        <v>0</v>
      </c>
      <c r="H23" s="316" t="s">
        <v>221</v>
      </c>
      <c r="I23" s="314" t="e">
        <f>(G23-F23)/F23*100</f>
        <v>#DIV/0!</v>
      </c>
    </row>
    <row r="24" spans="1:21" ht="15.4" x14ac:dyDescent="0.4">
      <c r="A24" s="2004"/>
      <c r="B24" s="2009"/>
      <c r="C24" s="2000" t="s">
        <v>235</v>
      </c>
      <c r="D24" s="2001"/>
      <c r="E24" s="2002"/>
      <c r="F24" s="264">
        <v>0.1012854</v>
      </c>
      <c r="G24" s="476">
        <v>0</v>
      </c>
      <c r="H24" s="316"/>
      <c r="I24" s="314">
        <v>0</v>
      </c>
      <c r="M24" s="5">
        <f>970545+185878</f>
        <v>1156423</v>
      </c>
    </row>
    <row r="25" spans="1:21" ht="15.4" x14ac:dyDescent="0.4">
      <c r="A25" s="2005"/>
      <c r="B25" s="2010"/>
      <c r="C25" s="2011" t="s">
        <v>236</v>
      </c>
      <c r="D25" s="2012"/>
      <c r="E25" s="2013"/>
      <c r="F25" s="264">
        <v>5.1092499999999999E-2</v>
      </c>
      <c r="G25" s="476">
        <v>0</v>
      </c>
      <c r="H25" s="316" t="s">
        <v>221</v>
      </c>
      <c r="I25" s="314">
        <v>0</v>
      </c>
      <c r="M25" s="5">
        <f>M24/10000000</f>
        <v>0.1156423</v>
      </c>
    </row>
    <row r="26" spans="1:21" ht="15" x14ac:dyDescent="0.35">
      <c r="A26" s="2014">
        <v>3</v>
      </c>
      <c r="B26" s="2021">
        <v>0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21" ht="15.4" x14ac:dyDescent="0.4">
      <c r="A27" s="2015"/>
      <c r="B27" s="2006" t="s">
        <v>2</v>
      </c>
      <c r="C27" s="2007"/>
      <c r="D27" s="331"/>
      <c r="E27" s="307">
        <v>0.5</v>
      </c>
      <c r="F27" s="283">
        <v>9.9167199999999997E-2</v>
      </c>
      <c r="G27" s="134">
        <f>'actual fig'!U53/10000000</f>
        <v>1.4294363999999999</v>
      </c>
      <c r="H27" s="316">
        <f>(G27-E27)/E27*100</f>
        <v>185.88727999999998</v>
      </c>
      <c r="I27" s="314">
        <f t="shared" ref="I27:I33" si="0">(G27-F27)/F27*100</f>
        <v>1341.4407183020194</v>
      </c>
      <c r="K27" s="6" t="s">
        <v>126</v>
      </c>
      <c r="L27" s="6" t="s">
        <v>299</v>
      </c>
      <c r="N27" s="5" t="s">
        <v>343</v>
      </c>
      <c r="O27" s="5">
        <f>F27*10000000</f>
        <v>991672</v>
      </c>
      <c r="P27" s="5">
        <f>G27*10000000</f>
        <v>14294364</v>
      </c>
    </row>
    <row r="28" spans="1:21" ht="15.4" x14ac:dyDescent="0.4">
      <c r="A28" s="2015"/>
      <c r="B28" s="2006" t="s">
        <v>23</v>
      </c>
      <c r="C28" s="2007"/>
      <c r="D28" s="331"/>
      <c r="E28" s="307">
        <v>2.5</v>
      </c>
      <c r="F28" s="134">
        <v>1.3466939</v>
      </c>
      <c r="G28" s="134">
        <f>'actual fig'!V53/10000000</f>
        <v>2.2167968999999998</v>
      </c>
      <c r="H28" s="316">
        <f>(G28-E28)/E28*100</f>
        <v>-11.328124000000006</v>
      </c>
      <c r="I28" s="314">
        <f t="shared" si="0"/>
        <v>64.610302311460671</v>
      </c>
      <c r="K28" s="6"/>
      <c r="L28" s="6">
        <f>6383+570</f>
        <v>6953</v>
      </c>
      <c r="M28" s="41">
        <v>757017</v>
      </c>
      <c r="N28" s="12"/>
      <c r="O28" s="11">
        <f>O27/100000</f>
        <v>9.9167199999999998</v>
      </c>
      <c r="P28" s="11">
        <f>P27/100000</f>
        <v>142.94363999999999</v>
      </c>
      <c r="Q28" s="5">
        <f>5743117/100000</f>
        <v>57.431170000000002</v>
      </c>
      <c r="R28" s="5">
        <f>139396/100000</f>
        <v>1.3939600000000001</v>
      </c>
    </row>
    <row r="29" spans="1:21" ht="15.4" x14ac:dyDescent="0.4">
      <c r="A29" s="2015"/>
      <c r="B29" s="2006" t="s">
        <v>1</v>
      </c>
      <c r="C29" s="2007"/>
      <c r="D29" s="331"/>
      <c r="E29" s="307">
        <v>0.4</v>
      </c>
      <c r="F29" s="134">
        <v>6.5474599999999994E-2</v>
      </c>
      <c r="G29" s="134">
        <f>'actual fig'!W53/10000000</f>
        <v>9.4876199999999994E-2</v>
      </c>
      <c r="H29" s="316">
        <f>(G29-E29)/E29*100</f>
        <v>-76.280950000000018</v>
      </c>
      <c r="I29" s="314">
        <f t="shared" si="0"/>
        <v>44.905352610019769</v>
      </c>
      <c r="L29" s="5">
        <f>L28/10000000</f>
        <v>6.9530000000000004E-4</v>
      </c>
      <c r="O29" s="11"/>
    </row>
    <row r="30" spans="1:21" ht="15.75" x14ac:dyDescent="0.45">
      <c r="A30" s="2015"/>
      <c r="B30" s="2006" t="s">
        <v>24</v>
      </c>
      <c r="C30" s="2007"/>
      <c r="D30" s="332"/>
      <c r="E30" s="308"/>
      <c r="F30" s="134">
        <v>0</v>
      </c>
      <c r="G30" s="134">
        <f>'actual fig'!Y53/10000000</f>
        <v>3.8806E-2</v>
      </c>
      <c r="H30" s="316" t="s">
        <v>221</v>
      </c>
      <c r="I30" s="314" t="e">
        <f t="shared" si="0"/>
        <v>#DIV/0!</v>
      </c>
      <c r="L30">
        <v>12012330</v>
      </c>
      <c r="O30" s="11"/>
      <c r="S30" s="5">
        <v>7.29</v>
      </c>
      <c r="T30" s="5">
        <v>6.7</v>
      </c>
      <c r="U30" s="5">
        <f>S30-T30</f>
        <v>0.58999999999999986</v>
      </c>
    </row>
    <row r="31" spans="1:21" ht="15.4" x14ac:dyDescent="0.4">
      <c r="A31" s="2015"/>
      <c r="B31" s="2017" t="s">
        <v>25</v>
      </c>
      <c r="C31" s="2030"/>
      <c r="D31" s="332"/>
      <c r="E31" s="308"/>
      <c r="F31" s="476">
        <v>0</v>
      </c>
      <c r="G31" s="433">
        <f>'actual fig'!X53/10000000</f>
        <v>8.8400000000000006E-3</v>
      </c>
      <c r="H31" s="316" t="s">
        <v>221</v>
      </c>
      <c r="I31" s="314" t="e">
        <f t="shared" si="0"/>
        <v>#DIV/0!</v>
      </c>
      <c r="L31" s="319">
        <v>648677</v>
      </c>
    </row>
    <row r="32" spans="1:21" ht="15.75" x14ac:dyDescent="0.45">
      <c r="A32" s="2016"/>
      <c r="B32" s="2017" t="s">
        <v>241</v>
      </c>
      <c r="C32" s="2030"/>
      <c r="D32" s="332"/>
      <c r="E32" s="308"/>
      <c r="F32" s="264">
        <v>1.4045855</v>
      </c>
      <c r="G32" s="264">
        <f>'actual fig'!T53/10000000</f>
        <v>3.4730986000000001</v>
      </c>
      <c r="H32" s="316" t="s">
        <v>221</v>
      </c>
      <c r="I32" s="314">
        <f t="shared" si="0"/>
        <v>147.26857852369969</v>
      </c>
      <c r="K32" s="437"/>
      <c r="L32">
        <v>12012330</v>
      </c>
    </row>
    <row r="33" spans="1:18" x14ac:dyDescent="0.4">
      <c r="A33" s="403"/>
      <c r="B33" s="402" t="s">
        <v>266</v>
      </c>
      <c r="C33" s="409"/>
      <c r="D33" s="332"/>
      <c r="E33" s="308"/>
      <c r="F33" s="426">
        <v>1.627E-3</v>
      </c>
      <c r="G33" s="404">
        <f>'actual fig'!Z53/10000000</f>
        <v>3.6287600000000003E-2</v>
      </c>
      <c r="H33" s="316"/>
      <c r="I33" s="314">
        <f t="shared" si="0"/>
        <v>2130.3380454824833</v>
      </c>
    </row>
    <row r="34" spans="1:18" ht="15" x14ac:dyDescent="0.35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</row>
    <row r="35" spans="1:18" ht="15.4" x14ac:dyDescent="0.4">
      <c r="A35" s="2020"/>
      <c r="B35" s="2006" t="s">
        <v>27</v>
      </c>
      <c r="C35" s="2007"/>
      <c r="D35" s="331">
        <v>2.4300000000000002</v>
      </c>
      <c r="E35" s="307">
        <f>'TARGET SHEET 2021-22'!J13</f>
        <v>0.33700000000000002</v>
      </c>
      <c r="F35" s="283">
        <v>0.26276379999999999</v>
      </c>
      <c r="G35" s="283">
        <f>'actual fig'!T69/10000000</f>
        <v>0.34388449999999998</v>
      </c>
      <c r="H35" s="314">
        <f>(G35-E35)/E35*100</f>
        <v>2.04287833827892</v>
      </c>
      <c r="I35" s="314">
        <f>(G35-F35)/F35*100</f>
        <v>30.87209882030934</v>
      </c>
      <c r="K35" s="432" t="s">
        <v>203</v>
      </c>
      <c r="L35" s="432" t="s">
        <v>275</v>
      </c>
      <c r="Q35" s="6" t="s">
        <v>126</v>
      </c>
    </row>
    <row r="36" spans="1:18" ht="15.4" x14ac:dyDescent="0.4">
      <c r="A36" s="2020"/>
      <c r="B36" s="2006" t="s">
        <v>28</v>
      </c>
      <c r="C36" s="2007"/>
      <c r="D36" s="333">
        <v>0.11</v>
      </c>
      <c r="E36" s="307">
        <f>'TARGET SHEET 2021-22'!K13</f>
        <v>0.21340000000000001</v>
      </c>
      <c r="F36" s="134">
        <v>1.3338900000000001E-2</v>
      </c>
      <c r="G36" s="389">
        <f>167677/10000000</f>
        <v>1.67677E-2</v>
      </c>
      <c r="H36" s="314">
        <f>(G36-E36)/E36*100</f>
        <v>-92.142596063730082</v>
      </c>
      <c r="I36" s="314">
        <v>0</v>
      </c>
      <c r="K36" s="5" t="s">
        <v>126</v>
      </c>
      <c r="L36" s="5" t="s">
        <v>299</v>
      </c>
      <c r="Q36" s="172">
        <v>0.57431169999999998</v>
      </c>
      <c r="R36" s="5" t="s">
        <v>27</v>
      </c>
    </row>
    <row r="37" spans="1:18" ht="15.4" x14ac:dyDescent="0.4">
      <c r="A37" s="2020"/>
      <c r="B37" s="378" t="s">
        <v>224</v>
      </c>
      <c r="C37" s="379"/>
      <c r="D37" s="331">
        <v>0.19</v>
      </c>
      <c r="E37" s="307">
        <f>'TARGET SHEET 2021-22'!L13</f>
        <v>0.12833</v>
      </c>
      <c r="F37" s="389">
        <v>3.5606000000000001E-3</v>
      </c>
      <c r="G37" s="389">
        <f>59695/10000000</f>
        <v>5.9695E-3</v>
      </c>
      <c r="H37" s="314">
        <f>(G37-E37)/E37*100</f>
        <v>-95.348320735603522</v>
      </c>
      <c r="I37" s="314">
        <v>0</v>
      </c>
      <c r="K37" s="6">
        <f>461865+202877+25352+1289035</f>
        <v>1979129</v>
      </c>
      <c r="L37" s="6">
        <f>M37-N37</f>
        <v>25202</v>
      </c>
      <c r="M37" s="5">
        <v>329700</v>
      </c>
      <c r="N37" s="5">
        <v>304498</v>
      </c>
      <c r="Q37" s="172">
        <v>0.1038307</v>
      </c>
      <c r="R37" s="5" t="s">
        <v>28</v>
      </c>
    </row>
    <row r="38" spans="1:18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134">
        <v>0</v>
      </c>
      <c r="G38" s="210">
        <v>0</v>
      </c>
      <c r="H38" s="314" t="s">
        <v>221</v>
      </c>
      <c r="I38" s="314">
        <v>0</v>
      </c>
      <c r="J38" s="5">
        <f>K38/10000000</f>
        <v>4.5026900000000002E-2</v>
      </c>
      <c r="K38" s="30">
        <f>K39-K37</f>
        <v>450269</v>
      </c>
      <c r="L38" s="30">
        <f>M39/10000000</f>
        <v>3.89428E-2</v>
      </c>
      <c r="Q38" s="172">
        <v>1.3424E-2</v>
      </c>
      <c r="R38" s="5" t="s">
        <v>4</v>
      </c>
    </row>
    <row r="39" spans="1:18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389">
        <v>0</v>
      </c>
      <c r="G39" s="210">
        <v>0</v>
      </c>
      <c r="H39" s="314" t="s">
        <v>221</v>
      </c>
      <c r="I39" s="314">
        <v>0</v>
      </c>
      <c r="K39" s="5">
        <v>2429398</v>
      </c>
      <c r="L39" s="5">
        <v>648677</v>
      </c>
      <c r="M39" s="5">
        <f>L39-5242-254007</f>
        <v>389428</v>
      </c>
      <c r="Q39" s="172">
        <v>0</v>
      </c>
      <c r="R39" s="5" t="s">
        <v>29</v>
      </c>
    </row>
    <row r="40" spans="1:18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283">
        <v>0.01</v>
      </c>
      <c r="G40" s="283">
        <f>'actual fig'!AA69/10000000</f>
        <v>0.39248670000000002</v>
      </c>
      <c r="H40" s="314"/>
      <c r="I40" s="314">
        <f>(G40-F40)/F40*100</f>
        <v>3824.8669999999997</v>
      </c>
      <c r="Q40" s="172">
        <v>0</v>
      </c>
      <c r="R40" s="5" t="s">
        <v>64</v>
      </c>
    </row>
    <row r="41" spans="1:18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K41" s="383">
        <v>43770</v>
      </c>
      <c r="L41" s="383">
        <v>44136</v>
      </c>
      <c r="M41" s="5" t="s">
        <v>350</v>
      </c>
      <c r="N41" s="5" t="s">
        <v>351</v>
      </c>
      <c r="Q41" s="172">
        <v>2.9382100000000001E-2</v>
      </c>
      <c r="R41" s="5" t="s">
        <v>3</v>
      </c>
    </row>
    <row r="42" spans="1:18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0.116926</v>
      </c>
      <c r="G42" s="264">
        <f>'actual fig'!L69/1000000</f>
        <v>0.54072900000000002</v>
      </c>
      <c r="H42" s="314" t="s">
        <v>221</v>
      </c>
      <c r="I42" s="314">
        <f>(G42-F42)/F42*100</f>
        <v>362.45403075449434</v>
      </c>
      <c r="J42" s="12">
        <f>K42/1000000</f>
        <v>3.161527</v>
      </c>
      <c r="K42" s="5">
        <v>3161527</v>
      </c>
      <c r="L42" s="12">
        <v>42096</v>
      </c>
      <c r="M42" s="12">
        <f>L42/1000000</f>
        <v>4.2096000000000001E-2</v>
      </c>
      <c r="N42" s="42">
        <f>L42/100000</f>
        <v>0.42096</v>
      </c>
      <c r="R42" s="5" t="s">
        <v>31</v>
      </c>
    </row>
    <row r="43" spans="1:18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283">
        <v>1.3610000000000001E-2</v>
      </c>
      <c r="G43" s="283">
        <f>'actual fig'!M69/1000000</f>
        <v>0.129798</v>
      </c>
      <c r="H43" s="2027" t="s">
        <v>221</v>
      </c>
      <c r="I43" s="314">
        <f>(G43-F43)/F43*100</f>
        <v>853.69581190301244</v>
      </c>
      <c r="J43" s="12">
        <f>K43/1000000</f>
        <v>2.7041879999999998</v>
      </c>
      <c r="K43" s="5">
        <v>2704188</v>
      </c>
      <c r="L43" s="12">
        <v>119</v>
      </c>
      <c r="M43" s="12">
        <f>L43/1000000</f>
        <v>1.1900000000000001E-4</v>
      </c>
      <c r="N43" s="42">
        <f>L43/100000</f>
        <v>1.1900000000000001E-3</v>
      </c>
    </row>
    <row r="44" spans="1:18" ht="15.4" x14ac:dyDescent="0.4">
      <c r="A44" s="2020"/>
      <c r="B44" s="2070"/>
      <c r="C44" s="320" t="s">
        <v>228</v>
      </c>
      <c r="D44" s="2068"/>
      <c r="E44" s="2066"/>
      <c r="F44" s="323">
        <v>0.74801499999999999</v>
      </c>
      <c r="G44" s="323">
        <f>'actual fig'!N69/1000000</f>
        <v>1.0231749999999999</v>
      </c>
      <c r="H44" s="2029"/>
      <c r="I44" s="314">
        <f>(G44-F44)/F44*100</f>
        <v>36.785358582381363</v>
      </c>
      <c r="J44" s="12">
        <f>K44/1000000</f>
        <v>0.99375899999999995</v>
      </c>
      <c r="K44" s="319">
        <v>993759</v>
      </c>
      <c r="L44" s="319">
        <v>545857</v>
      </c>
      <c r="M44" s="12">
        <f>L44/1000000</f>
        <v>0.54585700000000004</v>
      </c>
      <c r="N44" s="42">
        <f>L44/100000</f>
        <v>5.4585699999999999</v>
      </c>
    </row>
    <row r="45" spans="1:18" ht="15" x14ac:dyDescent="0.35">
      <c r="A45" s="2020">
        <v>6</v>
      </c>
      <c r="B45" s="2021" t="s">
        <v>618</v>
      </c>
      <c r="C45" s="2022"/>
      <c r="D45" s="2022"/>
      <c r="E45" s="2022"/>
      <c r="F45" s="2022"/>
      <c r="G45" s="2022"/>
      <c r="H45" s="2022"/>
      <c r="I45" s="2023"/>
      <c r="L45" s="12"/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/>
      <c r="G46" s="78"/>
      <c r="H46" s="2027" t="s">
        <v>221</v>
      </c>
      <c r="I46" s="314" t="e">
        <f>(G46-F46)/F46*100</f>
        <v>#DIV/0!</v>
      </c>
      <c r="L46" s="5">
        <v>3.51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78"/>
      <c r="G47" s="78"/>
      <c r="H47" s="2028"/>
      <c r="I47" s="314" t="e">
        <f>(G47-F47)/F47*100</f>
        <v>#DIV/0!</v>
      </c>
      <c r="L47" s="5">
        <f>L46-0.88</f>
        <v>2.63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78"/>
      <c r="G48" s="78"/>
      <c r="H48" s="2029"/>
      <c r="I48" s="314" t="e">
        <f>(G48-F48)/F48*100</f>
        <v>#DIV/0!</v>
      </c>
    </row>
    <row r="49" spans="2:9" s="5" customFormat="1" ht="14.25" x14ac:dyDescent="0.35">
      <c r="B49" s="300"/>
      <c r="D49" s="84"/>
      <c r="E49" s="35"/>
      <c r="F49" s="319"/>
      <c r="G49" s="319">
        <v>993759</v>
      </c>
      <c r="H49" s="11"/>
      <c r="I49" s="82"/>
    </row>
    <row r="50" spans="2:9" s="5" customFormat="1" ht="13.5" x14ac:dyDescent="0.35">
      <c r="B50" s="300"/>
      <c r="D50" s="84"/>
      <c r="E50" s="479">
        <f>G42</f>
        <v>0.54072900000000002</v>
      </c>
      <c r="F50" s="5">
        <v>31079</v>
      </c>
      <c r="G50" s="12">
        <f>F50/100000</f>
        <v>0.31079000000000001</v>
      </c>
      <c r="H50" s="11"/>
    </row>
    <row r="51" spans="2:9" s="5" customFormat="1" ht="13.5" x14ac:dyDescent="0.35">
      <c r="B51" s="300"/>
      <c r="D51" s="84"/>
      <c r="E51" s="479">
        <f>G43</f>
        <v>0.129798</v>
      </c>
      <c r="F51" s="5">
        <v>104</v>
      </c>
      <c r="G51" s="12">
        <f>F51/100000</f>
        <v>1.0399999999999999E-3</v>
      </c>
      <c r="H51" s="11"/>
    </row>
    <row r="52" spans="2:9" s="5" customFormat="1" ht="13.5" x14ac:dyDescent="0.35">
      <c r="B52" s="300"/>
      <c r="D52" s="84"/>
      <c r="E52" s="479">
        <f>G44</f>
        <v>1.0231749999999999</v>
      </c>
      <c r="F52" s="5">
        <v>366698</v>
      </c>
      <c r="G52" s="12">
        <f>F52/100000</f>
        <v>3.6669800000000001</v>
      </c>
      <c r="H52" s="11"/>
    </row>
    <row r="53" spans="2:9" s="5" customFormat="1" ht="13.5" x14ac:dyDescent="0.35">
      <c r="B53" s="300"/>
      <c r="C53" s="5">
        <v>10.16</v>
      </c>
      <c r="D53" s="84">
        <f>F35*10000000</f>
        <v>2627638</v>
      </c>
      <c r="E53" s="84">
        <f>G35*10000000</f>
        <v>3438845</v>
      </c>
      <c r="F53" s="12">
        <f t="shared" ref="F53:F58" si="1">E53/100000</f>
        <v>34.388449999999999</v>
      </c>
      <c r="H53" s="11"/>
      <c r="I53" s="82"/>
    </row>
    <row r="54" spans="2:9" s="5" customFormat="1" ht="13.5" x14ac:dyDescent="0.35">
      <c r="C54" s="12">
        <f>C53*10000000</f>
        <v>101600000</v>
      </c>
      <c r="D54" s="84">
        <f t="shared" ref="D54:E58" si="2">F36*10000000</f>
        <v>133389</v>
      </c>
      <c r="E54" s="84">
        <f>G36*10000000</f>
        <v>167677</v>
      </c>
      <c r="F54" s="12">
        <f t="shared" si="1"/>
        <v>1.6767700000000001</v>
      </c>
      <c r="G54" s="12"/>
      <c r="H54" s="11"/>
    </row>
    <row r="55" spans="2:9" s="5" customFormat="1" ht="13.5" x14ac:dyDescent="0.35">
      <c r="B55" s="300"/>
      <c r="D55" s="84">
        <f t="shared" si="2"/>
        <v>35606</v>
      </c>
      <c r="E55" s="84">
        <f t="shared" si="2"/>
        <v>59695</v>
      </c>
      <c r="F55" s="12">
        <f t="shared" si="1"/>
        <v>0.59694999999999998</v>
      </c>
      <c r="G55" s="5">
        <f>G42*1000000</f>
        <v>540729</v>
      </c>
      <c r="H55" s="11">
        <f>G55/100000</f>
        <v>5.4072899999999997</v>
      </c>
      <c r="I55" s="82"/>
    </row>
    <row r="56" spans="2:9" s="5" customFormat="1" ht="13.5" x14ac:dyDescent="0.35">
      <c r="B56" s="300"/>
      <c r="D56" s="84">
        <f t="shared" si="2"/>
        <v>0</v>
      </c>
      <c r="E56" s="84">
        <f t="shared" si="2"/>
        <v>0</v>
      </c>
      <c r="F56" s="12">
        <f t="shared" si="1"/>
        <v>0</v>
      </c>
      <c r="G56" s="5">
        <f>G43*1000000</f>
        <v>129798</v>
      </c>
      <c r="H56" s="11">
        <f>G56/100000</f>
        <v>1.2979799999999999</v>
      </c>
      <c r="I56" s="82"/>
    </row>
    <row r="57" spans="2:9" s="5" customFormat="1" ht="13.5" x14ac:dyDescent="0.35">
      <c r="B57" s="300"/>
      <c r="D57" s="84">
        <f t="shared" si="2"/>
        <v>0</v>
      </c>
      <c r="E57" s="84">
        <f t="shared" si="2"/>
        <v>0</v>
      </c>
      <c r="F57" s="12">
        <f t="shared" si="1"/>
        <v>0</v>
      </c>
      <c r="G57" s="5">
        <f>G44*1000000</f>
        <v>1023175</v>
      </c>
      <c r="H57" s="11">
        <f>G57/100000</f>
        <v>10.23175</v>
      </c>
      <c r="I57" s="82"/>
    </row>
    <row r="58" spans="2:9" s="5" customFormat="1" ht="13.5" x14ac:dyDescent="0.35">
      <c r="B58" s="300"/>
      <c r="D58" s="84">
        <f t="shared" si="2"/>
        <v>100000</v>
      </c>
      <c r="E58" s="84">
        <f t="shared" si="2"/>
        <v>3924867</v>
      </c>
      <c r="F58" s="12">
        <f t="shared" si="1"/>
        <v>39.248669999999997</v>
      </c>
      <c r="H58" s="11"/>
      <c r="I58" s="82"/>
    </row>
    <row r="64" spans="2:9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16FDA-FB44-42E3-BD66-1965E108D421}">
  <sheetPr>
    <tabColor rgb="FF7030A0"/>
    <pageSetUpPr fitToPage="1"/>
  </sheetPr>
  <dimension ref="A1:AX153"/>
  <sheetViews>
    <sheetView topLeftCell="F1" zoomScale="90" zoomScaleNormal="90" workbookViewId="0">
      <selection activeCell="W41" sqref="W41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0.86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0" width="10.265625" style="5" customWidth="1"/>
    <col min="21" max="21" width="10.59765625" style="5" customWidth="1"/>
    <col min="22" max="22" width="9.1328125" style="5"/>
    <col min="23" max="23" width="12.3984375" style="5" bestFit="1" customWidth="1"/>
    <col min="24" max="24" width="13.3984375" style="172" hidden="1" customWidth="1"/>
    <col min="25" max="25" width="11.265625" style="5" hidden="1" customWidth="1"/>
    <col min="26" max="26" width="10.265625" style="5" hidden="1" customWidth="1"/>
    <col min="27" max="27" width="10.59765625" style="5" hidden="1" customWidth="1"/>
    <col min="28" max="28" width="0" style="5" hidden="1" customWidth="1"/>
    <col min="29" max="29" width="37.3984375" style="5" hidden="1" customWidth="1"/>
    <col min="30" max="30" width="16.59765625" style="5" hidden="1" customWidth="1"/>
    <col min="31" max="31" width="16.86328125" style="5" hidden="1" customWidth="1"/>
    <col min="32" max="32" width="17.59765625" style="5" hidden="1" customWidth="1"/>
    <col min="33" max="33" width="16.3984375" style="5" hidden="1" customWidth="1"/>
    <col min="34" max="34" width="15.1328125" style="5" hidden="1" customWidth="1"/>
    <col min="35" max="35" width="0" style="5" hidden="1" customWidth="1"/>
    <col min="36" max="36" width="9.1328125" style="5"/>
    <col min="37" max="37" width="4.59765625" style="5" bestFit="1" customWidth="1"/>
    <col min="38" max="38" width="45.73046875" style="5" customWidth="1"/>
    <col min="39" max="40" width="11.3984375" style="5" hidden="1" customWidth="1"/>
    <col min="41" max="41" width="12.73046875" style="5" hidden="1" customWidth="1"/>
    <col min="42" max="42" width="15.59765625" style="5" customWidth="1"/>
    <col min="43" max="43" width="16.73046875" style="5" customWidth="1"/>
    <col min="44" max="44" width="14.1328125" style="5" hidden="1" customWidth="1"/>
    <col min="45" max="45" width="22.1328125" style="5" customWidth="1"/>
    <col min="46" max="16384" width="9.1328125" style="5"/>
  </cols>
  <sheetData>
    <row r="1" spans="1:50" ht="21.75" customHeight="1" x14ac:dyDescent="0.35">
      <c r="A1" s="2156" t="s">
        <v>1028</v>
      </c>
      <c r="B1" s="2156"/>
      <c r="C1" s="2156"/>
      <c r="D1" s="2156"/>
      <c r="E1" s="2156"/>
      <c r="F1" s="2156"/>
      <c r="G1" s="2156"/>
      <c r="H1" s="2156"/>
      <c r="I1" s="2156"/>
      <c r="M1" s="2345" t="s">
        <v>1029</v>
      </c>
      <c r="N1" s="2345"/>
      <c r="O1" s="2345"/>
      <c r="P1" s="2345"/>
      <c r="Q1" s="2345"/>
      <c r="R1" s="2345"/>
      <c r="S1" s="2345"/>
      <c r="T1" s="2345"/>
      <c r="U1" s="2345"/>
      <c r="AK1" s="2327" t="s">
        <v>1036</v>
      </c>
      <c r="AL1" s="2327"/>
      <c r="AM1" s="2327"/>
      <c r="AN1" s="2327"/>
      <c r="AO1" s="2327"/>
      <c r="AP1" s="2327"/>
      <c r="AQ1" s="2327"/>
      <c r="AR1" s="2327"/>
      <c r="AS1" s="2327"/>
    </row>
    <row r="2" spans="1:50" s="301" customFormat="1" ht="20.25" customHeight="1" thickBot="1" x14ac:dyDescent="0.4">
      <c r="A2" s="2346" t="s">
        <v>986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1019</v>
      </c>
      <c r="N2" s="2093"/>
      <c r="O2" s="2093"/>
      <c r="P2" s="2093"/>
      <c r="Q2" s="2093"/>
      <c r="R2" s="2093"/>
      <c r="S2" s="2093"/>
      <c r="T2" s="2093"/>
      <c r="U2" s="2094"/>
      <c r="X2" s="1149"/>
      <c r="AC2" s="2326" t="s">
        <v>781</v>
      </c>
      <c r="AD2" s="2326"/>
      <c r="AE2" s="2326"/>
      <c r="AF2" s="2326"/>
      <c r="AG2" s="2326"/>
      <c r="AH2" s="2326"/>
      <c r="AK2" s="2328" t="s">
        <v>1034</v>
      </c>
      <c r="AL2" s="2329"/>
      <c r="AM2" s="2329"/>
      <c r="AN2" s="2329"/>
      <c r="AO2" s="2329"/>
      <c r="AP2" s="2329"/>
      <c r="AQ2" s="2329"/>
      <c r="AR2" s="2329"/>
      <c r="AS2" s="2330"/>
    </row>
    <row r="3" spans="1:50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  <c r="AK3" s="2358" t="s">
        <v>757</v>
      </c>
      <c r="AL3" s="2342" t="s">
        <v>353</v>
      </c>
      <c r="AM3" s="1190" t="s">
        <v>10</v>
      </c>
      <c r="AN3" s="2107" t="s">
        <v>8</v>
      </c>
      <c r="AO3" s="2108"/>
      <c r="AP3" s="2107" t="s">
        <v>10</v>
      </c>
      <c r="AQ3" s="2108"/>
      <c r="AR3" s="2109" t="s">
        <v>813</v>
      </c>
      <c r="AS3" s="2110"/>
    </row>
    <row r="4" spans="1:50" s="35" customFormat="1" ht="28.5" customHeight="1" x14ac:dyDescent="0.35">
      <c r="A4" s="2360"/>
      <c r="B4" s="2343"/>
      <c r="C4" s="2333" t="s">
        <v>666</v>
      </c>
      <c r="D4" s="1424" t="s">
        <v>879</v>
      </c>
      <c r="E4" s="1787" t="str">
        <f>G4</f>
        <v xml:space="preserve"> DEC-23</v>
      </c>
      <c r="F4" s="1057" t="s">
        <v>1023</v>
      </c>
      <c r="G4" s="1057" t="s">
        <v>1024</v>
      </c>
      <c r="H4" s="2335" t="s">
        <v>12</v>
      </c>
      <c r="I4" s="2335" t="s">
        <v>13</v>
      </c>
      <c r="J4" s="323"/>
      <c r="K4" s="323"/>
      <c r="L4" s="1574"/>
      <c r="M4" s="2358"/>
      <c r="N4" s="2343"/>
      <c r="O4" s="2337" t="s">
        <v>666</v>
      </c>
      <c r="P4" s="421" t="s">
        <v>9</v>
      </c>
      <c r="Q4" s="1057" t="str">
        <f>E4</f>
        <v xml:space="preserve"> DEC-23</v>
      </c>
      <c r="R4" s="1057" t="str">
        <f>F4</f>
        <v xml:space="preserve"> DEC-22</v>
      </c>
      <c r="S4" s="1057" t="str">
        <f>G4</f>
        <v xml:space="preserve"> DEC-23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  <c r="AK4" s="2358"/>
      <c r="AL4" s="2343"/>
      <c r="AM4" s="2337" t="s">
        <v>666</v>
      </c>
      <c r="AN4" s="421" t="s">
        <v>9</v>
      </c>
      <c r="AO4" s="1057" t="str">
        <f>AC4</f>
        <v>HEAD</v>
      </c>
      <c r="AP4" s="1829">
        <v>2022</v>
      </c>
      <c r="AQ4" s="1829">
        <v>2023</v>
      </c>
      <c r="AR4" s="2331" t="s">
        <v>12</v>
      </c>
      <c r="AS4" s="2331" t="s">
        <v>13</v>
      </c>
    </row>
    <row r="5" spans="1:50" ht="18.75" hidden="1" customHeight="1" x14ac:dyDescent="0.5">
      <c r="A5" s="2361"/>
      <c r="B5" s="2344"/>
      <c r="C5" s="2334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M5" s="2359"/>
      <c r="N5" s="2344"/>
      <c r="O5" s="2338"/>
      <c r="P5" s="2157" t="s">
        <v>249</v>
      </c>
      <c r="Q5" s="2158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  <c r="AK5" s="2359"/>
      <c r="AL5" s="2344"/>
      <c r="AM5" s="2338"/>
      <c r="AN5" s="2157" t="s">
        <v>249</v>
      </c>
      <c r="AO5" s="2158"/>
      <c r="AP5" s="602" t="s">
        <v>249</v>
      </c>
      <c r="AQ5" s="602" t="s">
        <v>438</v>
      </c>
      <c r="AR5" s="2332"/>
      <c r="AS5" s="2332"/>
    </row>
    <row r="6" spans="1:50" ht="30" customHeight="1" x14ac:dyDescent="0.35">
      <c r="A6" s="1229">
        <v>1</v>
      </c>
      <c r="B6" s="1191" t="s">
        <v>290</v>
      </c>
      <c r="C6" s="1518">
        <v>1024.2159494</v>
      </c>
      <c r="D6" s="1425">
        <v>1063.73</v>
      </c>
      <c r="E6" s="1446">
        <f>E15+E16</f>
        <v>9.8738709677419347</v>
      </c>
      <c r="F6" s="434">
        <f>F15+F16+F17</f>
        <v>71.162051899999994</v>
      </c>
      <c r="G6" s="434">
        <f>G15+G16+G17</f>
        <v>84.525136000000003</v>
      </c>
      <c r="H6" s="1313">
        <f>(G6-E6)/E6*100</f>
        <v>756.04861838021509</v>
      </c>
      <c r="I6" s="517">
        <f>(G6-F6)/F6*100</f>
        <v>18.778385028552009</v>
      </c>
      <c r="J6" s="82">
        <f>G6/27</f>
        <v>3.1305605925925928</v>
      </c>
      <c r="K6" s="323">
        <f>J6*30</f>
        <v>93.91681777777778</v>
      </c>
      <c r="L6" s="491">
        <f>K6+'OCT-23'!S6</f>
        <v>785.14163607777766</v>
      </c>
      <c r="M6" s="1203">
        <v>1</v>
      </c>
      <c r="N6" s="1179" t="s">
        <v>290</v>
      </c>
      <c r="O6" s="1185">
        <v>1024.2159494</v>
      </c>
      <c r="P6" s="1425">
        <v>1063.73</v>
      </c>
      <c r="Q6" s="1446">
        <f>Q15+Q16</f>
        <v>691.43387096774188</v>
      </c>
      <c r="R6" s="434">
        <f>R15+R16+R17</f>
        <v>728.33199309999986</v>
      </c>
      <c r="S6" s="434">
        <f>S15+S16+S17</f>
        <v>875.50959399999988</v>
      </c>
      <c r="T6" s="1313">
        <f>(S6-Q6)/Q6*100</f>
        <v>26.622317876129308</v>
      </c>
      <c r="U6" s="1313">
        <f>(S6-R6)/R6*100</f>
        <v>20.207488109037737</v>
      </c>
      <c r="V6" s="12">
        <f>G6+'OCT-23'!S6</f>
        <v>775.7499542999999</v>
      </c>
      <c r="W6" s="11">
        <f>(S6-P6)/P6*100</f>
        <v>-17.694377896646717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  <c r="AK6" s="1203">
        <v>1</v>
      </c>
      <c r="AL6" s="1179" t="s">
        <v>290</v>
      </c>
      <c r="AM6" s="1185">
        <v>1024.2159494</v>
      </c>
      <c r="AN6" s="1425">
        <v>1063.73</v>
      </c>
      <c r="AO6" s="1446">
        <f>AO15+AO16</f>
        <v>0</v>
      </c>
      <c r="AP6" s="434">
        <v>920.70763947899991</v>
      </c>
      <c r="AQ6" s="434">
        <v>1151.1239443999998</v>
      </c>
      <c r="AR6" s="1313" t="e">
        <f>(AQ6-AO6)/AO6*100</f>
        <v>#DIV/0!</v>
      </c>
      <c r="AS6" s="1313">
        <f>(AQ6-AP6)/AP6*100</f>
        <v>25.026001201791416</v>
      </c>
      <c r="AT6" s="12">
        <f>'MARCH -23 '!F6+'FEB -23'!F6+'JAN-23'!F6</f>
        <v>192.37564637900002</v>
      </c>
      <c r="AU6" s="12">
        <f>'MARCH -23 '!G6+'FEB -23'!G6+'JAN-23'!G6</f>
        <v>275.61435039999998</v>
      </c>
      <c r="AW6" s="12">
        <f>AP6+AT6</f>
        <v>1113.083285858</v>
      </c>
      <c r="AX6" s="12">
        <f>AQ6+AU6</f>
        <v>1426.7382947999997</v>
      </c>
    </row>
    <row r="7" spans="1:50" ht="26.25" customHeight="1" x14ac:dyDescent="0.35">
      <c r="A7" s="1230">
        <v>2</v>
      </c>
      <c r="B7" s="1154" t="s">
        <v>291</v>
      </c>
      <c r="C7" s="1518">
        <v>403.10200000000003</v>
      </c>
      <c r="D7" s="1425">
        <v>485.81999999999994</v>
      </c>
      <c r="E7" s="1446">
        <f>'TARGET 23-24'!T5</f>
        <v>3.5119354838709675</v>
      </c>
      <c r="F7" s="434">
        <f>F20+F21+F22+F23+F24+F25+F26</f>
        <v>28.700000000000003</v>
      </c>
      <c r="G7" s="434">
        <f>G20+G21+G22+G23+G24+G25+G26</f>
        <v>33.590000000000003</v>
      </c>
      <c r="H7" s="1313">
        <f>(G7-E7)/E7*100</f>
        <v>856.45264994948127</v>
      </c>
      <c r="I7" s="517">
        <f>(G7-F7)/F7*100</f>
        <v>17.038327526132406</v>
      </c>
      <c r="J7" s="82">
        <f t="shared" ref="J7:J8" si="0">G7/27</f>
        <v>1.2440740740740741</v>
      </c>
      <c r="K7" s="323">
        <f t="shared" ref="K7:K8" si="1">J7*30</f>
        <v>37.322222222222223</v>
      </c>
      <c r="L7" s="491">
        <f>K7+'OCT-23'!S7</f>
        <v>293.77922222222219</v>
      </c>
      <c r="M7" s="1204">
        <v>2</v>
      </c>
      <c r="N7" s="1154" t="s">
        <v>291</v>
      </c>
      <c r="O7" s="1186">
        <v>403.10200000000003</v>
      </c>
      <c r="P7" s="1425">
        <v>485.81999999999994</v>
      </c>
      <c r="Q7" s="1446">
        <f>E7+'NOV-2023'!Q7</f>
        <v>336.45193548387095</v>
      </c>
      <c r="R7" s="434">
        <f>R20+R21+R22+R23+R24+R25+R26</f>
        <v>304.98770659999997</v>
      </c>
      <c r="S7" s="434">
        <f>S20+S21+S22+S23+S24+S25+S26</f>
        <v>321.45699999999994</v>
      </c>
      <c r="T7" s="1313">
        <f>(S7-Q7)/Q7*100</f>
        <v>-4.4567838381746672</v>
      </c>
      <c r="U7" s="1313">
        <f>(S7-R7)/R7*100</f>
        <v>5.3999859809431321</v>
      </c>
      <c r="V7" s="12">
        <f>G7+'OCT-23'!S7</f>
        <v>290.04700000000003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  <c r="AK7" s="1204">
        <v>2</v>
      </c>
      <c r="AL7" s="1154" t="s">
        <v>291</v>
      </c>
      <c r="AM7" s="1186">
        <v>403.10200000000003</v>
      </c>
      <c r="AN7" s="1425">
        <v>485.81999999999994</v>
      </c>
      <c r="AO7" s="1446" t="e">
        <f>AC7+'NOV-2023'!AO7</f>
        <v>#VALUE!</v>
      </c>
      <c r="AP7" s="434">
        <v>364.48303309999994</v>
      </c>
      <c r="AQ7" s="434">
        <v>411.60699999999997</v>
      </c>
      <c r="AR7" s="1313" t="e">
        <f>(AQ7-AO7)/AO7*100</f>
        <v>#VALUE!</v>
      </c>
      <c r="AS7" s="1313">
        <f>(AQ7-AP7)/AP7*100</f>
        <v>12.928987804782411</v>
      </c>
      <c r="AT7" s="12">
        <f>'MARCH -23 '!F7+'FEB -23'!F7+'JAN-23'!F7</f>
        <v>59.495326500000004</v>
      </c>
      <c r="AU7" s="12">
        <f>'MARCH -23 '!G7+'FEB -23'!G7+'JAN-23'!G7</f>
        <v>90.15</v>
      </c>
      <c r="AW7" s="12">
        <f t="shared" ref="AW7:AW9" si="2">AP7+AT7</f>
        <v>423.97835959999998</v>
      </c>
      <c r="AX7" s="12">
        <f t="shared" ref="AX7:AX9" si="3">AQ7+AU7</f>
        <v>501.75699999999995</v>
      </c>
    </row>
    <row r="8" spans="1:50" ht="32.25" customHeight="1" x14ac:dyDescent="0.35">
      <c r="A8" s="1231">
        <v>3</v>
      </c>
      <c r="B8" s="1155" t="s">
        <v>292</v>
      </c>
      <c r="C8" s="1518">
        <v>106.68749520000001</v>
      </c>
      <c r="D8" s="1425">
        <v>150.59</v>
      </c>
      <c r="E8" s="1446">
        <f>'TARGET 23-24'!U5</f>
        <v>0.93967741935483873</v>
      </c>
      <c r="F8" s="1314">
        <f>F31+F32+F33+F35+F36+F37+F38</f>
        <v>6.9688199000000006</v>
      </c>
      <c r="G8" s="1314">
        <f>G31+G34+G35+G36+G37+G38</f>
        <v>7.1671940999999997</v>
      </c>
      <c r="H8" s="1313">
        <f>(G8-E8)/E8*100</f>
        <v>662.72920391349123</v>
      </c>
      <c r="I8" s="517">
        <f>(G8-F8)/F8*100</f>
        <v>2.8465967387103666</v>
      </c>
      <c r="J8" s="82">
        <f t="shared" si="0"/>
        <v>0.26545163333333333</v>
      </c>
      <c r="K8" s="323">
        <f t="shared" si="1"/>
        <v>7.9635489999999995</v>
      </c>
      <c r="L8" s="491">
        <f>K8+'OCT-23'!S8</f>
        <v>77.828935856000015</v>
      </c>
      <c r="M8" s="1205">
        <v>3</v>
      </c>
      <c r="N8" s="1155" t="s">
        <v>292</v>
      </c>
      <c r="O8" s="1187">
        <v>106.68749520000001</v>
      </c>
      <c r="P8" s="1425">
        <v>150.59</v>
      </c>
      <c r="Q8" s="1446">
        <f>E8+'NOV-2023'!Q8</f>
        <v>106.62967741935483</v>
      </c>
      <c r="R8" s="1314">
        <f>R31+R32+R33+R35+R36+R37+R38</f>
        <v>80.237536300000002</v>
      </c>
      <c r="S8" s="1314">
        <f>S31+S32+S33+S35+S36+S37+S38</f>
        <v>88.255435456000001</v>
      </c>
      <c r="T8" s="1313">
        <f>(S8-Q8)/Q8*100</f>
        <v>-17.231827393692971</v>
      </c>
      <c r="U8" s="1313">
        <f>(S8-R8)/R8*100</f>
        <v>9.9927035720811368</v>
      </c>
      <c r="V8" s="12">
        <f>G8+'OCT-23'!S8</f>
        <v>77.032580956000018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  <c r="AK8" s="1205">
        <v>3</v>
      </c>
      <c r="AL8" s="1155" t="s">
        <v>292</v>
      </c>
      <c r="AM8" s="1187">
        <v>106.68749520000001</v>
      </c>
      <c r="AN8" s="1425">
        <v>150.59</v>
      </c>
      <c r="AO8" s="1446" t="e">
        <f>AC8+'NOV-2023'!AO8</f>
        <v>#VALUE!</v>
      </c>
      <c r="AP8" s="434">
        <v>101.6245095</v>
      </c>
      <c r="AQ8" s="434">
        <v>112.53733095600001</v>
      </c>
      <c r="AR8" s="1313" t="e">
        <f>(AQ8-AO8)/AO8*100</f>
        <v>#VALUE!</v>
      </c>
      <c r="AS8" s="1313">
        <f>(AQ8-AP8)/AP8*100</f>
        <v>10.738375525443498</v>
      </c>
      <c r="AT8" s="12">
        <f>'MARCH -23 '!F8+'FEB -23'!F8+'JAN-23'!F8</f>
        <v>21.3869732</v>
      </c>
      <c r="AU8" s="12">
        <f>'MARCH -23 '!G8+'FEB -23'!G8+'JAN-23'!G8</f>
        <v>24.281895499999997</v>
      </c>
      <c r="AW8" s="12">
        <f t="shared" si="2"/>
        <v>123.0114827</v>
      </c>
      <c r="AX8" s="12">
        <f t="shared" si="3"/>
        <v>136.819226456</v>
      </c>
    </row>
    <row r="9" spans="1:50" ht="34.5" customHeight="1" x14ac:dyDescent="0.35">
      <c r="A9" s="1230">
        <v>4</v>
      </c>
      <c r="B9" s="1156" t="s">
        <v>293</v>
      </c>
      <c r="C9" s="1518">
        <v>17.701250099999996</v>
      </c>
      <c r="D9" s="1425">
        <f>D40+D41+D42</f>
        <v>19.149999999999999</v>
      </c>
      <c r="E9" s="1425">
        <v>1.595</v>
      </c>
      <c r="F9" s="434">
        <f>F40+F41+F42+F44+F45</f>
        <v>2.1321292999999999</v>
      </c>
      <c r="G9" s="434">
        <f>G40+G41+G42+G44+G45</f>
        <v>1.6523919999999999</v>
      </c>
      <c r="H9" s="1313">
        <f>(G9-E9)/E9*100</f>
        <v>3.5982445141065758</v>
      </c>
      <c r="I9" s="517">
        <f>(G9-F9)/F9*100</f>
        <v>-22.500384943821185</v>
      </c>
      <c r="K9" s="84">
        <f>K10*31</f>
        <v>178.86256295909092</v>
      </c>
      <c r="M9" s="1204">
        <v>4</v>
      </c>
      <c r="N9" s="1156" t="s">
        <v>293</v>
      </c>
      <c r="O9" s="1185">
        <v>17.701250099999996</v>
      </c>
      <c r="P9" s="1425">
        <f>P40+P41+P42</f>
        <v>19.149999999999999</v>
      </c>
      <c r="Q9" s="1425">
        <v>12.77</v>
      </c>
      <c r="R9" s="434">
        <f>R40+R41+R42+R44+R45</f>
        <v>10.473423500000001</v>
      </c>
      <c r="S9" s="434">
        <f>S40+S41+S42+S44+S45</f>
        <v>12.3392076</v>
      </c>
      <c r="T9" s="1313">
        <f>(S9-Q9)/Q9*100</f>
        <v>-3.3734722004698487</v>
      </c>
      <c r="U9" s="1313">
        <f>(S9-R9)/R9*100</f>
        <v>17.814462482110066</v>
      </c>
      <c r="V9" s="12">
        <f>G9+'OCT-23'!S9</f>
        <v>12.339207600000002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  <c r="AK9" s="1204">
        <v>4</v>
      </c>
      <c r="AL9" s="1156" t="s">
        <v>293</v>
      </c>
      <c r="AM9" s="1185">
        <v>17.701250099999996</v>
      </c>
      <c r="AN9" s="1425">
        <f>AN40+AN41+AN42</f>
        <v>19.149999999999999</v>
      </c>
      <c r="AO9" s="1425">
        <v>12.77</v>
      </c>
      <c r="AP9" s="434">
        <v>12.592730500000002</v>
      </c>
      <c r="AQ9" s="434">
        <v>17.570118799999999</v>
      </c>
      <c r="AR9" s="1313">
        <f>(AQ9-AO9)/AO9*100</f>
        <v>37.589027407987466</v>
      </c>
      <c r="AS9" s="1313">
        <f>(AQ9-AP9)/AP9*100</f>
        <v>39.525885986363299</v>
      </c>
      <c r="AT9" s="12">
        <f>'MARCH -23 '!F9+'FEB -23'!F9+'JAN-23'!F9</f>
        <v>2.1193070000000001</v>
      </c>
      <c r="AU9" s="12">
        <f>'MARCH -23 '!G9+'FEB -23'!G9+'JAN-23'!G9</f>
        <v>5.2309112000000004</v>
      </c>
      <c r="AW9" s="12">
        <f t="shared" si="2"/>
        <v>14.712037500000001</v>
      </c>
      <c r="AX9" s="12">
        <f t="shared" si="3"/>
        <v>22.801030000000001</v>
      </c>
    </row>
    <row r="10" spans="1:50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1719.29</v>
      </c>
      <c r="E10" s="1447">
        <f>E6+E7+E8+E9</f>
        <v>15.920483870967741</v>
      </c>
      <c r="F10" s="321">
        <f>SUM(F6:F9)</f>
        <v>108.9630011</v>
      </c>
      <c r="G10" s="321">
        <f>SUM(G6:G9)</f>
        <v>126.93472210000002</v>
      </c>
      <c r="H10" s="1162">
        <f>(G10-E10)/E10*100</f>
        <v>697.30442321213297</v>
      </c>
      <c r="I10" s="322">
        <f>(G10-F10)/F10*100</f>
        <v>16.493415947222857</v>
      </c>
      <c r="K10" s="84">
        <f>G10/22</f>
        <v>5.7697600954545463</v>
      </c>
      <c r="M10" s="1205">
        <v>5</v>
      </c>
      <c r="N10" s="1157" t="s">
        <v>294</v>
      </c>
      <c r="O10" s="1185">
        <v>1551.7066947000001</v>
      </c>
      <c r="P10" s="321">
        <f t="shared" ref="P10" si="4">P6+P7+P8+P9</f>
        <v>1719.29</v>
      </c>
      <c r="Q10" s="321">
        <f>Q6+Q7+Q8+Q9</f>
        <v>1147.2854838709677</v>
      </c>
      <c r="R10" s="321">
        <f>R6+R7+R8+R9</f>
        <v>1124.0306595</v>
      </c>
      <c r="S10" s="321">
        <f>S6+S7+S8+S9</f>
        <v>1297.5612370559998</v>
      </c>
      <c r="T10" s="1162">
        <f>(S10-Q10)/Q10*100</f>
        <v>13.098374841979016</v>
      </c>
      <c r="U10" s="1162">
        <f>(S10-R10)/R10*100</f>
        <v>15.438242372604943</v>
      </c>
      <c r="V10" s="12">
        <f>SUM(V6:V9)</f>
        <v>1155.1687428559999</v>
      </c>
      <c r="X10" s="12">
        <f>SUM(X6:X9)</f>
        <v>389.94179218299996</v>
      </c>
      <c r="Y10" s="12">
        <f>SUM(Y6:Y9)</f>
        <v>752.12112639999998</v>
      </c>
      <c r="Z10" s="12">
        <f>S10-Y10</f>
        <v>545.44011065599977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  <c r="AK10" s="1205">
        <v>5</v>
      </c>
      <c r="AL10" s="1157" t="s">
        <v>294</v>
      </c>
      <c r="AM10" s="1185">
        <v>1551.7066947000001</v>
      </c>
      <c r="AN10" s="321">
        <f t="shared" ref="AN10" si="5">AN6+AN7+AN8+AN9</f>
        <v>1719.29</v>
      </c>
      <c r="AO10" s="321" t="e">
        <f>AO6+AO7+AO8+AO9</f>
        <v>#VALUE!</v>
      </c>
      <c r="AP10" s="321">
        <f>AP6+AP7+AP8+AP9</f>
        <v>1399.4079125789999</v>
      </c>
      <c r="AQ10" s="321">
        <f>AQ6+AQ7+AQ8+AQ9</f>
        <v>1692.8383941559998</v>
      </c>
      <c r="AR10" s="1162" t="e">
        <f>(AQ10-AO10)/AO10*100</f>
        <v>#VALUE!</v>
      </c>
      <c r="AS10" s="1162">
        <f>(AQ10-AP10)/AP10*100</f>
        <v>20.968187970027294</v>
      </c>
    </row>
    <row r="11" spans="1:50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  <c r="AK11" s="2061"/>
      <c r="AL11" s="2062"/>
      <c r="AM11" s="2062"/>
      <c r="AN11" s="2062"/>
      <c r="AO11" s="2062"/>
      <c r="AP11" s="2062"/>
      <c r="AQ11" s="2062"/>
      <c r="AR11" s="2062"/>
      <c r="AS11" s="2063"/>
    </row>
    <row r="12" spans="1:50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312">
        <f>E47+E48</f>
        <v>0.49645161290322581</v>
      </c>
      <c r="F12" s="1294">
        <f>F47+F48+F49</f>
        <v>3.5475190000000003</v>
      </c>
      <c r="G12" s="1294">
        <f>G47+G48+G49</f>
        <v>3.6825109999999999</v>
      </c>
      <c r="H12" s="1534">
        <f>(G12-E12)/E12*100</f>
        <v>641.76634827810256</v>
      </c>
      <c r="I12" s="308">
        <f>(G12-F12)/F12*100</f>
        <v>3.8052509373452135</v>
      </c>
      <c r="L12" s="1476"/>
      <c r="M12" s="1204">
        <v>6.3</v>
      </c>
      <c r="N12" s="1316" t="s">
        <v>814</v>
      </c>
      <c r="O12" s="1185">
        <v>47.027382000000003</v>
      </c>
      <c r="P12" s="332">
        <v>55.06</v>
      </c>
      <c r="Q12" s="307">
        <f>Q47+Q48</f>
        <v>35.176451612903229</v>
      </c>
      <c r="R12" s="1294">
        <f>R47+R48+R49</f>
        <v>33.437007999999999</v>
      </c>
      <c r="S12" s="1294">
        <f>S47+S48+S49</f>
        <v>40.889756000000006</v>
      </c>
      <c r="T12" s="1534">
        <f>(S12-Q12)/Q12*100</f>
        <v>16.241843975533492</v>
      </c>
      <c r="U12" s="1161">
        <f>(S12-R12)/R12*100</f>
        <v>22.288920109119832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  <c r="AK12" s="1204">
        <v>6.3</v>
      </c>
      <c r="AL12" s="1316" t="s">
        <v>814</v>
      </c>
      <c r="AM12" s="1185">
        <v>47.027382000000003</v>
      </c>
      <c r="AN12" s="332">
        <v>55.06</v>
      </c>
      <c r="AO12" s="307">
        <f>AO47+AO48</f>
        <v>0</v>
      </c>
      <c r="AP12" s="1830">
        <f>AP47+AP48+AP49</f>
        <v>39.726403000000005</v>
      </c>
      <c r="AQ12" s="1830">
        <f>AQ47+AQ48+AQ49</f>
        <v>53.628017999999997</v>
      </c>
      <c r="AR12" s="1534" t="e">
        <f>(AQ12-AO12)/AO12*100</f>
        <v>#DIV/0!</v>
      </c>
      <c r="AS12" s="1161">
        <f>(AQ12-AP12)/AP12*100</f>
        <v>34.993389660775456</v>
      </c>
    </row>
    <row r="13" spans="1:50" s="1310" customFormat="1" ht="13.5" customHeight="1" x14ac:dyDescent="0.35">
      <c r="A13" s="1309"/>
      <c r="B13" s="2352" t="s">
        <v>229</v>
      </c>
      <c r="C13" s="2353"/>
      <c r="D13" s="2353"/>
      <c r="E13" s="2353"/>
      <c r="F13" s="2353"/>
      <c r="G13" s="2353"/>
      <c r="H13" s="2353"/>
      <c r="I13" s="2354"/>
      <c r="L13" s="1311"/>
      <c r="M13" s="1309"/>
      <c r="N13" s="2355" t="s">
        <v>229</v>
      </c>
      <c r="O13" s="2356"/>
      <c r="P13" s="2356"/>
      <c r="Q13" s="2356"/>
      <c r="R13" s="2356"/>
      <c r="S13" s="2356"/>
      <c r="T13" s="2356"/>
      <c r="U13" s="2357"/>
      <c r="X13" s="1311"/>
      <c r="AK13" s="1309"/>
      <c r="AL13" s="2355" t="s">
        <v>229</v>
      </c>
      <c r="AM13" s="2356"/>
      <c r="AN13" s="2356"/>
      <c r="AO13" s="2356"/>
      <c r="AP13" s="2356"/>
      <c r="AQ13" s="2356"/>
      <c r="AR13" s="2356"/>
      <c r="AS13" s="2357"/>
    </row>
    <row r="14" spans="1:50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2368">
        <v>1</v>
      </c>
      <c r="N14" s="2021" t="s">
        <v>278</v>
      </c>
      <c r="O14" s="2022"/>
      <c r="P14" s="2022"/>
      <c r="Q14" s="2022"/>
      <c r="R14" s="2022"/>
      <c r="S14" s="2022"/>
      <c r="T14" s="2022"/>
      <c r="U14" s="2023"/>
      <c r="AK14" s="2368">
        <v>1</v>
      </c>
      <c r="AL14" s="2021" t="s">
        <v>278</v>
      </c>
      <c r="AM14" s="2022"/>
      <c r="AN14" s="2022"/>
      <c r="AO14" s="2022"/>
      <c r="AP14" s="2022"/>
      <c r="AQ14" s="2022"/>
      <c r="AR14" s="2022"/>
      <c r="AS14" s="2023"/>
    </row>
    <row r="15" spans="1:50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f>'TARGET 23-24'!Q5</f>
        <v>0.11612903225806452</v>
      </c>
      <c r="F15" s="315">
        <f>E60</f>
        <v>0.83037729999999998</v>
      </c>
      <c r="G15" s="315">
        <f>F60</f>
        <v>0.84228420000000004</v>
      </c>
      <c r="H15" s="316">
        <f>(G15-E15)/E15*100</f>
        <v>625.30028333333337</v>
      </c>
      <c r="I15" s="314">
        <f>(G15-F15)/F15*100</f>
        <v>1.4339144386533753</v>
      </c>
      <c r="J15" s="1128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12.6</v>
      </c>
      <c r="Q15" s="307">
        <f>E15+'NOV-2023'!Q15</f>
        <v>8.186129032258064</v>
      </c>
      <c r="R15" s="315">
        <f>F15+'NOV-2023'!R15</f>
        <v>8.2249628000000001</v>
      </c>
      <c r="S15" s="315">
        <f>G15+'NOV-2023'!S15</f>
        <v>10.181514399999999</v>
      </c>
      <c r="T15" s="316">
        <f>(S15-Q15)/Q15*100</f>
        <v>24.375200535918353</v>
      </c>
      <c r="U15" s="314">
        <f>(S15-R15)/R15*100</f>
        <v>23.787968986315647</v>
      </c>
      <c r="V15" s="5">
        <f>S15/153</f>
        <v>6.6545845751633984E-2</v>
      </c>
      <c r="Y15" s="12">
        <f>R16+R17</f>
        <v>720.10703029999991</v>
      </c>
      <c r="Z15" s="12">
        <f>S16+S17</f>
        <v>865.32807959999991</v>
      </c>
      <c r="AA15" s="5">
        <f>(Z15-Y15)/Y15*100</f>
        <v>20.166592352181347</v>
      </c>
      <c r="AK15" s="2369"/>
      <c r="AL15" s="378" t="s">
        <v>816</v>
      </c>
      <c r="AM15" s="1282">
        <v>11.460276500000001</v>
      </c>
      <c r="AN15" s="1428">
        <v>12.6</v>
      </c>
      <c r="AO15" s="307">
        <f>AC15+'NOV-2023'!AO15</f>
        <v>0</v>
      </c>
      <c r="AP15" s="434">
        <v>9.3273619790000009</v>
      </c>
      <c r="AQ15" s="434">
        <v>13.180152999999999</v>
      </c>
      <c r="AR15" s="316" t="e">
        <f>(AQ15-AO15)/AO15*100</f>
        <v>#DIV/0!</v>
      </c>
      <c r="AS15" s="314">
        <f>(AQ15-AP15)/AP15*100</f>
        <v>41.306331089908674</v>
      </c>
      <c r="AT15" s="12">
        <f>'MARCH -23 '!F15+'FEB -23'!F15+'JAN-23'!F15</f>
        <v>1.1023991790000001</v>
      </c>
      <c r="AU15" s="12">
        <f>'MARCH -23 '!G15+'FEB -23'!G15+'JAN-23'!G15</f>
        <v>2.9986385999999996</v>
      </c>
      <c r="AW15" s="12">
        <f>AP15+AT15</f>
        <v>10.429761158000002</v>
      </c>
      <c r="AX15" s="12">
        <f>AQ15+AU15</f>
        <v>16.178791599999997</v>
      </c>
    </row>
    <row r="16" spans="1:50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f>'TARGET 23-24'!R5</f>
        <v>9.757741935483871</v>
      </c>
      <c r="F16" s="315">
        <f t="shared" ref="F16:G17" si="6">E61</f>
        <v>11.860859400000001</v>
      </c>
      <c r="G16" s="315">
        <f t="shared" si="6"/>
        <v>12.760276599999999</v>
      </c>
      <c r="H16" s="2154">
        <f>L16</f>
        <v>757.60468306390271</v>
      </c>
      <c r="I16" s="314">
        <f>(G16-F16)/F16*100</f>
        <v>7.5830694022053615</v>
      </c>
      <c r="J16" s="323">
        <f>F16+F17</f>
        <v>70.331674599999999</v>
      </c>
      <c r="K16" s="323">
        <f>G16+G17</f>
        <v>83.682851799999995</v>
      </c>
      <c r="L16" s="1476">
        <f>(K16-E16)/E16*100</f>
        <v>757.60468306390271</v>
      </c>
      <c r="M16" s="2369"/>
      <c r="N16" s="1281" t="s">
        <v>817</v>
      </c>
      <c r="O16" s="1282">
        <v>126.72018780000001</v>
      </c>
      <c r="P16" s="2379">
        <v>1051.1300000000001</v>
      </c>
      <c r="Q16" s="2065">
        <f>E16+'NOV-2023'!Q16</f>
        <v>683.24774193548387</v>
      </c>
      <c r="R16" s="315">
        <f>F16+'NOV-2023'!R16</f>
        <v>80.386571399999994</v>
      </c>
      <c r="S16" s="315">
        <f>G16+'NOV-2023'!S16</f>
        <v>147.28819669999999</v>
      </c>
      <c r="T16" s="2154">
        <f>X16</f>
        <v>26.649241042308354</v>
      </c>
      <c r="U16" s="314">
        <f>(S16-R16)/R16*100</f>
        <v>83.224877159022597</v>
      </c>
      <c r="V16" s="12">
        <f>R16+R17</f>
        <v>720.10703029999991</v>
      </c>
      <c r="W16" s="12">
        <f>S16+S17</f>
        <v>865.32807959999991</v>
      </c>
      <c r="X16" s="1151">
        <f>(W16-Q16)/Q16*100</f>
        <v>26.649241042308354</v>
      </c>
      <c r="AK16" s="2369"/>
      <c r="AL16" s="1281" t="s">
        <v>817</v>
      </c>
      <c r="AM16" s="1282">
        <v>126.72018780000001</v>
      </c>
      <c r="AN16" s="2379">
        <v>1051.1300000000001</v>
      </c>
      <c r="AO16" s="2065">
        <f>AC16+'NOV-2023'!AO16</f>
        <v>0</v>
      </c>
      <c r="AP16" s="434">
        <v>81.68234799999999</v>
      </c>
      <c r="AQ16" s="434">
        <v>190.2826149</v>
      </c>
      <c r="AR16" s="2154">
        <f>AV16</f>
        <v>0</v>
      </c>
      <c r="AS16" s="314">
        <f>(AQ16-AP16)/AP16*100</f>
        <v>132.95438923964332</v>
      </c>
      <c r="AT16" s="12">
        <f>'MARCH -23 '!F16+'FEB -23'!F16+'JAN-23'!F16</f>
        <v>1.2957765999999999</v>
      </c>
      <c r="AU16" s="12">
        <f>'MARCH -23 '!G16+'FEB -23'!G16+'JAN-23'!G16</f>
        <v>42.994418199999998</v>
      </c>
      <c r="AW16" s="12">
        <f t="shared" ref="AW16:AW17" si="7">AP16+AT16</f>
        <v>82.978124599999987</v>
      </c>
      <c r="AX16" s="12">
        <f t="shared" ref="AX16:AX17" si="8">AQ16+AU16</f>
        <v>233.27703309999998</v>
      </c>
    </row>
    <row r="17" spans="1:50" ht="15.75" x14ac:dyDescent="0.45">
      <c r="A17" s="2375"/>
      <c r="B17" s="1606" t="s">
        <v>1018</v>
      </c>
      <c r="C17" s="1519">
        <v>886.03548510000007</v>
      </c>
      <c r="D17" s="2380"/>
      <c r="E17" s="2066"/>
      <c r="F17" s="315">
        <f t="shared" si="6"/>
        <v>58.470815199999997</v>
      </c>
      <c r="G17" s="315">
        <f t="shared" si="6"/>
        <v>70.922575199999997</v>
      </c>
      <c r="H17" s="2155"/>
      <c r="I17" s="314">
        <f>(G17-F17)/F17*100</f>
        <v>21.29568393635121</v>
      </c>
      <c r="J17" s="323"/>
      <c r="L17" s="1477">
        <f>(K16-J16)/J16*100</f>
        <v>18.983164094887051</v>
      </c>
      <c r="M17" s="2245"/>
      <c r="N17" s="1606" t="s">
        <v>931</v>
      </c>
      <c r="O17" s="1282">
        <v>886.03548510000007</v>
      </c>
      <c r="P17" s="2380"/>
      <c r="Q17" s="2066"/>
      <c r="R17" s="315">
        <f>F17+'NOV-2023'!R17</f>
        <v>639.72045889999993</v>
      </c>
      <c r="S17" s="315">
        <f>G17+'NOV-2023'!S17</f>
        <v>718.03988289999995</v>
      </c>
      <c r="T17" s="2155"/>
      <c r="U17" s="314">
        <f>(S17-R17)/R17*100</f>
        <v>12.242757427935064</v>
      </c>
      <c r="V17" s="84"/>
      <c r="W17" s="1198"/>
      <c r="X17" s="1477">
        <f>(W16-V16)/V16*100</f>
        <v>20.166592352181347</v>
      </c>
      <c r="AK17" s="2245"/>
      <c r="AL17" s="1606" t="s">
        <v>931</v>
      </c>
      <c r="AM17" s="1282">
        <v>886.03548510000007</v>
      </c>
      <c r="AN17" s="2380"/>
      <c r="AO17" s="2066"/>
      <c r="AP17" s="434">
        <v>829.69792949999987</v>
      </c>
      <c r="AQ17" s="434">
        <v>947.66117650000001</v>
      </c>
      <c r="AR17" s="2155"/>
      <c r="AS17" s="314">
        <f>(AQ17-AP17)/AP17*100</f>
        <v>14.217613761081486</v>
      </c>
      <c r="AT17" s="12">
        <f>'MARCH -23 '!F17+'FEB -23'!F17+'JAN-23'!F17</f>
        <v>189.9774706</v>
      </c>
      <c r="AU17" s="12">
        <f>'MARCH -23 '!G17+'FEB -23'!G17+'JAN-23'!G17</f>
        <v>229.6212936</v>
      </c>
      <c r="AW17" s="12">
        <f t="shared" si="7"/>
        <v>1019.6754000999999</v>
      </c>
      <c r="AX17" s="12">
        <f t="shared" si="8"/>
        <v>1177.2824701</v>
      </c>
    </row>
    <row r="18" spans="1:50" ht="16.5" customHeight="1" x14ac:dyDescent="0.4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J18" s="323">
        <f>F16+F15</f>
        <v>12.691236700000001</v>
      </c>
      <c r="K18" s="323">
        <f>G16+G15</f>
        <v>13.602560799999999</v>
      </c>
      <c r="L18" s="314">
        <f>(K18-J18)/J18*100</f>
        <v>7.1807351918666678</v>
      </c>
      <c r="M18" s="2368">
        <v>2</v>
      </c>
      <c r="N18" s="1155" t="s">
        <v>678</v>
      </c>
      <c r="O18" s="2370" t="s">
        <v>680</v>
      </c>
      <c r="P18" s="2371"/>
      <c r="Q18" s="2372"/>
      <c r="R18" s="2370" t="s">
        <v>684</v>
      </c>
      <c r="S18" s="2371"/>
      <c r="T18" s="2371"/>
      <c r="U18" s="2372"/>
      <c r="V18" s="323">
        <f>R16+R15</f>
        <v>88.611534199999994</v>
      </c>
      <c r="W18" s="323">
        <f>S16+S15</f>
        <v>157.46971109999998</v>
      </c>
      <c r="X18" s="314">
        <f>(W18-V18)/V18*100</f>
        <v>77.70791638093543</v>
      </c>
      <c r="AK18" s="2368">
        <v>2</v>
      </c>
      <c r="AL18" s="1155" t="s">
        <v>678</v>
      </c>
      <c r="AM18" s="2370" t="s">
        <v>680</v>
      </c>
      <c r="AN18" s="2371"/>
      <c r="AO18" s="2372"/>
      <c r="AP18" s="2370" t="s">
        <v>684</v>
      </c>
      <c r="AQ18" s="2371"/>
      <c r="AR18" s="2371"/>
      <c r="AS18" s="2372"/>
      <c r="AT18" s="12"/>
      <c r="AU18" s="12"/>
    </row>
    <row r="19" spans="1:50" ht="26.25" hidden="1" customHeight="1" x14ac:dyDescent="0.35">
      <c r="A19" s="1983"/>
      <c r="B19" s="1531" t="s">
        <v>230</v>
      </c>
      <c r="C19" s="1788" t="str">
        <f>F19</f>
        <v xml:space="preserve"> DEC-22</v>
      </c>
      <c r="D19" s="1788" t="str">
        <f>G19</f>
        <v xml:space="preserve"> DEC-23</v>
      </c>
      <c r="E19" s="1531" t="s">
        <v>681</v>
      </c>
      <c r="F19" s="1788" t="str">
        <f>F4</f>
        <v xml:space="preserve"> DEC-22</v>
      </c>
      <c r="G19" s="1788" t="str">
        <f>G4</f>
        <v xml:space="preserve"> DEC-23</v>
      </c>
      <c r="H19" s="1528" t="s">
        <v>682</v>
      </c>
      <c r="I19" s="1530" t="s">
        <v>681</v>
      </c>
      <c r="L19" s="1476"/>
      <c r="M19" s="2369"/>
      <c r="N19" s="1514" t="s">
        <v>230</v>
      </c>
      <c r="O19" s="1527" t="str">
        <f>R4</f>
        <v xml:space="preserve"> DEC-22</v>
      </c>
      <c r="P19" s="1788" t="str">
        <f>S4</f>
        <v xml:space="preserve"> DEC-23</v>
      </c>
      <c r="Q19" s="1789" t="s">
        <v>681</v>
      </c>
      <c r="R19" s="1788" t="str">
        <f>R4</f>
        <v xml:space="preserve"> DEC-22</v>
      </c>
      <c r="S19" s="1788" t="str">
        <f>S4</f>
        <v xml:space="preserve"> DEC-23</v>
      </c>
      <c r="T19" s="1528" t="s">
        <v>682</v>
      </c>
      <c r="U19" s="1526" t="s">
        <v>681</v>
      </c>
      <c r="AK19" s="2369"/>
      <c r="AL19" s="1514" t="s">
        <v>230</v>
      </c>
      <c r="AM19" s="1527">
        <f>AP4</f>
        <v>2022</v>
      </c>
      <c r="AN19" s="1788">
        <f>AQ4</f>
        <v>2023</v>
      </c>
      <c r="AO19" s="1789" t="s">
        <v>681</v>
      </c>
      <c r="AP19" s="1831">
        <f>AP4</f>
        <v>2022</v>
      </c>
      <c r="AQ19" s="1831">
        <f>AQ4</f>
        <v>2023</v>
      </c>
      <c r="AR19" s="1528" t="s">
        <v>682</v>
      </c>
      <c r="AS19" s="1526" t="s">
        <v>681</v>
      </c>
    </row>
    <row r="20" spans="1:50" ht="18.75" customHeight="1" x14ac:dyDescent="0.45">
      <c r="A20" s="1983"/>
      <c r="B20" s="1055" t="s">
        <v>231</v>
      </c>
      <c r="C20" s="85">
        <v>54521</v>
      </c>
      <c r="D20" s="1409">
        <v>53553</v>
      </c>
      <c r="E20" s="1744">
        <f>(D20-C20)/C20*100</f>
        <v>-1.7754626657618164</v>
      </c>
      <c r="F20" s="315">
        <v>8.9</v>
      </c>
      <c r="G20" s="315">
        <v>15.78</v>
      </c>
      <c r="H20" s="1060">
        <f>G20/G7*100</f>
        <v>46.978267341470669</v>
      </c>
      <c r="I20" s="314">
        <f>(G20-F20)/F20*100</f>
        <v>77.303370786516851</v>
      </c>
      <c r="L20" s="1476"/>
      <c r="M20" s="2369"/>
      <c r="N20" s="1055" t="s">
        <v>231</v>
      </c>
      <c r="O20" s="833">
        <f>C20+'NOV-2023'!O20</f>
        <v>797581</v>
      </c>
      <c r="P20" s="833">
        <f>D20+'NOV-2023'!P20</f>
        <v>479730</v>
      </c>
      <c r="Q20" s="314">
        <f>(P20-O20)/O20*100</f>
        <v>-39.851877113421708</v>
      </c>
      <c r="R20" s="315">
        <f>F20+'NOV-2023'!R20</f>
        <v>146.63321099999999</v>
      </c>
      <c r="S20" s="315">
        <f>G20+'NOV-2023'!S20</f>
        <v>133.91999999999999</v>
      </c>
      <c r="T20" s="1060">
        <f>S20/S7*100</f>
        <v>41.660315376551146</v>
      </c>
      <c r="U20" s="314">
        <f>(S20-R20)/R20*100</f>
        <v>-8.6700761125663419</v>
      </c>
      <c r="AK20" s="2369"/>
      <c r="AL20" s="1055" t="s">
        <v>231</v>
      </c>
      <c r="AM20" s="833">
        <f>AA20+'NOV-2023'!AM20</f>
        <v>0</v>
      </c>
      <c r="AN20" s="833">
        <f>AB20+'NOV-2023'!AN20</f>
        <v>0</v>
      </c>
      <c r="AO20" s="314" t="e">
        <f>(AN20-AM20)/AM20*100</f>
        <v>#DIV/0!</v>
      </c>
      <c r="AP20" s="414">
        <v>182.65214779999999</v>
      </c>
      <c r="AQ20" s="414">
        <v>168.87</v>
      </c>
      <c r="AR20" s="1060">
        <f>AQ20/AQ7*100</f>
        <v>41.026999054923749</v>
      </c>
      <c r="AS20" s="314">
        <f>(AQ20-AP20)/AP20*100</f>
        <v>-7.5455711668340921</v>
      </c>
      <c r="AT20" s="12">
        <f>'MARCH -23 '!F20+'FEB -23'!F20+'JAN-23'!F20</f>
        <v>36.018936800000006</v>
      </c>
      <c r="AU20" s="12">
        <f>'MARCH -23 '!G20+'FEB -23'!G20+'JAN-23'!G20</f>
        <v>34.950000000000003</v>
      </c>
      <c r="AW20" s="12">
        <f>AP20+AT20</f>
        <v>218.6710846</v>
      </c>
      <c r="AX20" s="12">
        <f>AQ20+AU20</f>
        <v>203.82</v>
      </c>
    </row>
    <row r="21" spans="1:50" ht="18.75" customHeight="1" x14ac:dyDescent="0.45">
      <c r="A21" s="1983"/>
      <c r="B21" s="1055" t="s">
        <v>232</v>
      </c>
      <c r="C21" s="85">
        <v>69447</v>
      </c>
      <c r="D21" s="1410">
        <v>71420</v>
      </c>
      <c r="E21" s="1744">
        <f>(D21-C21)/C21*100</f>
        <v>2.8410154506314167</v>
      </c>
      <c r="F21" s="315">
        <v>8.8000000000000007</v>
      </c>
      <c r="G21" s="315">
        <v>5.42</v>
      </c>
      <c r="H21" s="1060">
        <f>G21/G7*100</f>
        <v>16.135754688895503</v>
      </c>
      <c r="I21" s="314">
        <f>(G21-F21)/F21*100</f>
        <v>-38.409090909090914</v>
      </c>
      <c r="L21" s="1476"/>
      <c r="M21" s="2369"/>
      <c r="N21" s="1055" t="s">
        <v>232</v>
      </c>
      <c r="O21" s="833">
        <f>C21+'NOV-2023'!O21</f>
        <v>723918</v>
      </c>
      <c r="P21" s="833">
        <f>D21+'NOV-2023'!P21</f>
        <v>721585</v>
      </c>
      <c r="Q21" s="314">
        <f>(P21-O21)/O21*100</f>
        <v>-0.32227406971507822</v>
      </c>
      <c r="R21" s="315">
        <f>F21+'NOV-2023'!R21</f>
        <v>72.347490199999996</v>
      </c>
      <c r="S21" s="315">
        <f>G21+'NOV-2023'!S21</f>
        <v>70.790000000000006</v>
      </c>
      <c r="T21" s="1060">
        <f>S21/S7*100</f>
        <v>22.021607866682018</v>
      </c>
      <c r="U21" s="314">
        <f>(S21-R21)/R21*100</f>
        <v>-2.1527909201748501</v>
      </c>
      <c r="W21" s="5">
        <v>2.17</v>
      </c>
      <c r="X21" s="172">
        <v>2.95</v>
      </c>
      <c r="Y21" s="5">
        <f>(X21-W21)/W21*100</f>
        <v>35.944700460829502</v>
      </c>
      <c r="AK21" s="2369"/>
      <c r="AL21" s="1055" t="s">
        <v>232</v>
      </c>
      <c r="AM21" s="833">
        <f>AA21+'NOV-2023'!AM21</f>
        <v>0</v>
      </c>
      <c r="AN21" s="833">
        <f>AB21+'NOV-2023'!AN21</f>
        <v>0</v>
      </c>
      <c r="AO21" s="314" t="e">
        <f>(AN21-AM21)/AM21*100</f>
        <v>#DIV/0!</v>
      </c>
      <c r="AP21" s="414">
        <v>76.57472159999999</v>
      </c>
      <c r="AQ21" s="414">
        <v>95.570000000000007</v>
      </c>
      <c r="AR21" s="1060">
        <f>AQ21/AQ7*100</f>
        <v>23.218749924078068</v>
      </c>
      <c r="AS21" s="314">
        <f>(AQ21-AP21)/AP21*100</f>
        <v>24.806199752478133</v>
      </c>
      <c r="AT21" s="12">
        <f>'MARCH -23 '!F21+'FEB -23'!F21+'JAN-23'!F21</f>
        <v>4.2272314</v>
      </c>
      <c r="AU21" s="12">
        <f>'MARCH -23 '!G21+'FEB -23'!G21+'JAN-23'!G21</f>
        <v>24.78</v>
      </c>
      <c r="AW21" s="12">
        <f t="shared" ref="AW21:AW23" si="9">AP21+AT21</f>
        <v>80.801952999999983</v>
      </c>
      <c r="AX21" s="12">
        <f t="shared" ref="AX21:AX23" si="10">AQ21+AU21</f>
        <v>120.35000000000001</v>
      </c>
    </row>
    <row r="22" spans="1:50" ht="18.75" customHeight="1" x14ac:dyDescent="0.45">
      <c r="A22" s="1983"/>
      <c r="B22" s="1055" t="s">
        <v>239</v>
      </c>
      <c r="C22" s="85">
        <v>85028</v>
      </c>
      <c r="D22" s="1410">
        <v>87663</v>
      </c>
      <c r="E22" s="1744">
        <f>(D22-C22)/C22*100</f>
        <v>3.0989791598061815</v>
      </c>
      <c r="F22" s="315">
        <v>10.18</v>
      </c>
      <c r="G22" s="315">
        <v>11.62</v>
      </c>
      <c r="H22" s="1060">
        <f>G22/G7*100</f>
        <v>34.593629056266742</v>
      </c>
      <c r="I22" s="314">
        <f>(G22-F22)/F22*100</f>
        <v>14.145383104125733</v>
      </c>
      <c r="J22" s="1486"/>
      <c r="L22" s="1476"/>
      <c r="M22" s="2369"/>
      <c r="N22" s="1055" t="s">
        <v>239</v>
      </c>
      <c r="O22" s="833">
        <f>C22+'NOV-2023'!O22</f>
        <v>641760.5</v>
      </c>
      <c r="P22" s="833">
        <f>D22+'NOV-2023'!P22</f>
        <v>737536</v>
      </c>
      <c r="Q22" s="314">
        <f>(P22-O22)/O22*100</f>
        <v>14.923869574397303</v>
      </c>
      <c r="R22" s="315">
        <f>F22+'NOV-2023'!R22</f>
        <v>78.157634599999994</v>
      </c>
      <c r="S22" s="315">
        <f>G22+'NOV-2023'!S22</f>
        <v>108.04</v>
      </c>
      <c r="T22" s="1060">
        <f>S22/S7*100</f>
        <v>33.609471873376542</v>
      </c>
      <c r="U22" s="314">
        <f>(S22-R22)/R22*100</f>
        <v>38.233456722345608</v>
      </c>
      <c r="AK22" s="2369"/>
      <c r="AL22" s="1055" t="s">
        <v>239</v>
      </c>
      <c r="AM22" s="833">
        <f>AA22+'NOV-2023'!AM22</f>
        <v>0</v>
      </c>
      <c r="AN22" s="833">
        <f>AB22+'NOV-2023'!AN22</f>
        <v>0</v>
      </c>
      <c r="AO22" s="314" t="e">
        <f>(AN22-AM22)/AM22*100</f>
        <v>#DIV/0!</v>
      </c>
      <c r="AP22" s="414">
        <v>94.683178099999992</v>
      </c>
      <c r="AQ22" s="414">
        <v>135.71</v>
      </c>
      <c r="AR22" s="1060">
        <f>AQ22/AQ7*100</f>
        <v>32.970770662306528</v>
      </c>
      <c r="AS22" s="314">
        <f>(AQ22-AP22)/AP22*100</f>
        <v>43.330634568127174</v>
      </c>
      <c r="AT22" s="12">
        <f>'MARCH -23 '!F22+'FEB -23'!F22+'JAN-23'!F22</f>
        <v>16.525543500000001</v>
      </c>
      <c r="AU22" s="12">
        <f>'MARCH -23 '!G22+'FEB -23'!G22+'JAN-23'!G22</f>
        <v>27.67</v>
      </c>
      <c r="AW22" s="12">
        <f t="shared" si="9"/>
        <v>111.20872159999999</v>
      </c>
      <c r="AX22" s="12">
        <f t="shared" si="10"/>
        <v>163.38</v>
      </c>
    </row>
    <row r="23" spans="1:50" ht="18.75" customHeight="1" x14ac:dyDescent="0.45">
      <c r="A23" s="1983"/>
      <c r="B23" s="1055" t="s">
        <v>233</v>
      </c>
      <c r="C23" s="85">
        <v>14178</v>
      </c>
      <c r="D23" s="1410">
        <v>19778</v>
      </c>
      <c r="E23" s="1744">
        <f>(D23-C23)/C23*100</f>
        <v>39.497813513894762</v>
      </c>
      <c r="F23" s="315">
        <v>0.82</v>
      </c>
      <c r="G23" s="315">
        <v>0.71</v>
      </c>
      <c r="H23" s="1060">
        <f>G23/G7*100</f>
        <v>2.1137243227150933</v>
      </c>
      <c r="I23" s="314">
        <f>(G23-F23)/F23*100</f>
        <v>-13.414634146341461</v>
      </c>
      <c r="J23" s="1486"/>
      <c r="L23" s="1476"/>
      <c r="M23" s="2369"/>
      <c r="N23" s="1055" t="s">
        <v>233</v>
      </c>
      <c r="O23" s="833">
        <f>C23+'NOV-2023'!O23</f>
        <v>204297</v>
      </c>
      <c r="P23" s="833">
        <f>D23+'NOV-2023'!P23</f>
        <v>215490</v>
      </c>
      <c r="Q23" s="314">
        <f>(P23-O23)/O23*100</f>
        <v>5.4787882347758412</v>
      </c>
      <c r="R23" s="315">
        <f>F23+'NOV-2023'!R23</f>
        <v>7.4190008000000001</v>
      </c>
      <c r="S23" s="315">
        <f>G23+'NOV-2023'!S23</f>
        <v>7.95</v>
      </c>
      <c r="T23" s="1060">
        <f>S23/S7*100</f>
        <v>2.4731146000864817</v>
      </c>
      <c r="U23" s="314">
        <f>(S23-R23)/R23*100</f>
        <v>7.1572872724316197</v>
      </c>
      <c r="Z23" s="5">
        <f>25.63+0.96</f>
        <v>26.59</v>
      </c>
      <c r="AK23" s="2369"/>
      <c r="AL23" s="1055" t="s">
        <v>233</v>
      </c>
      <c r="AM23" s="833">
        <f>AA23+'NOV-2023'!AM23</f>
        <v>0</v>
      </c>
      <c r="AN23" s="833">
        <f>AB23+'NOV-2023'!AN23</f>
        <v>0</v>
      </c>
      <c r="AO23" s="314" t="e">
        <f>(AN23-AM23)/AM23*100</f>
        <v>#DIV/0!</v>
      </c>
      <c r="AP23" s="414">
        <v>10.1126156</v>
      </c>
      <c r="AQ23" s="414">
        <v>10.65</v>
      </c>
      <c r="AR23" s="1060">
        <f>AQ23/AQ7*100</f>
        <v>2.5874195531174156</v>
      </c>
      <c r="AS23" s="314">
        <f>(AQ23-AP23)/AP23*100</f>
        <v>5.3140000693786931</v>
      </c>
      <c r="AT23" s="12">
        <f>'MARCH -23 '!F23+'FEB -23'!F23+'JAN-23'!F23</f>
        <v>2.6936147999999998</v>
      </c>
      <c r="AU23" s="12">
        <f>'MARCH -23 '!G23+'FEB -23'!G23+'JAN-23'!G23</f>
        <v>2.7</v>
      </c>
      <c r="AW23" s="12">
        <f t="shared" si="9"/>
        <v>12.8062304</v>
      </c>
      <c r="AX23" s="12">
        <f t="shared" si="10"/>
        <v>13.350000000000001</v>
      </c>
    </row>
    <row r="24" spans="1:50" ht="18.75" customHeight="1" x14ac:dyDescent="0.45">
      <c r="A24" s="1983"/>
      <c r="B24" s="1055" t="s">
        <v>739</v>
      </c>
      <c r="C24" s="85">
        <v>0</v>
      </c>
      <c r="D24" s="1409">
        <v>0</v>
      </c>
      <c r="E24" s="1793">
        <v>0</v>
      </c>
      <c r="F24" s="833">
        <v>0</v>
      </c>
      <c r="G24" s="833">
        <v>0</v>
      </c>
      <c r="H24" s="1651">
        <f>G24/G7*100</f>
        <v>0</v>
      </c>
      <c r="I24" s="836">
        <v>0</v>
      </c>
      <c r="L24" s="1476"/>
      <c r="M24" s="2369"/>
      <c r="N24" s="1055" t="s">
        <v>739</v>
      </c>
      <c r="O24" s="833">
        <f>C24+'NOV-2023'!O24</f>
        <v>2661</v>
      </c>
      <c r="P24" s="833">
        <f>D24+'NOV-2023'!P24</f>
        <v>0</v>
      </c>
      <c r="Q24" s="836">
        <v>0</v>
      </c>
      <c r="R24" s="315">
        <f>F24+'NOV-2023'!R24</f>
        <v>4.1799999999999997E-2</v>
      </c>
      <c r="S24" s="315">
        <f>G24+'NOV-2023'!S24</f>
        <v>0.03</v>
      </c>
      <c r="T24" s="1060">
        <f>S24/S7*100</f>
        <v>9.332507924854648E-3</v>
      </c>
      <c r="U24" s="314">
        <v>0</v>
      </c>
      <c r="AK24" s="2369"/>
      <c r="AL24" s="1055" t="s">
        <v>739</v>
      </c>
      <c r="AM24" s="833">
        <f>AA24+'NOV-2023'!AM24</f>
        <v>0</v>
      </c>
      <c r="AN24" s="833">
        <f>AB24+'NOV-2023'!AN24</f>
        <v>0</v>
      </c>
      <c r="AO24" s="836">
        <v>0</v>
      </c>
      <c r="AP24" s="414">
        <v>4.1799999999999997E-2</v>
      </c>
      <c r="AQ24" s="414">
        <v>0.03</v>
      </c>
      <c r="AR24" s="1060">
        <f>AQ24/AQ7*100</f>
        <v>7.2885057834293386E-3</v>
      </c>
      <c r="AS24" s="314">
        <v>0</v>
      </c>
      <c r="AT24" s="12">
        <f>'MARCH -23 '!F24+'FEB -23'!F24+'JAN-23'!F24</f>
        <v>0</v>
      </c>
      <c r="AU24" s="12">
        <f>'MARCH -23 '!G24+'FEB -23'!G24+'JAN-23'!G24</f>
        <v>0</v>
      </c>
      <c r="AW24" s="12">
        <f t="shared" ref="AW24:AW26" si="11">AP24+AT24</f>
        <v>4.1799999999999997E-2</v>
      </c>
      <c r="AX24" s="12">
        <f t="shared" ref="AX24:AX26" si="12">AQ24+AU24</f>
        <v>0.03</v>
      </c>
    </row>
    <row r="25" spans="1:50" ht="18.75" customHeight="1" x14ac:dyDescent="0.45">
      <c r="A25" s="1983"/>
      <c r="B25" s="1055" t="s">
        <v>235</v>
      </c>
      <c r="C25" s="85">
        <v>0</v>
      </c>
      <c r="D25" s="1409">
        <v>0</v>
      </c>
      <c r="E25" s="1793">
        <v>0</v>
      </c>
      <c r="F25" s="833">
        <v>0</v>
      </c>
      <c r="G25" s="833">
        <v>0</v>
      </c>
      <c r="H25" s="1651">
        <f>G25/G7*100</f>
        <v>0</v>
      </c>
      <c r="I25" s="836">
        <v>0</v>
      </c>
      <c r="L25" s="1476"/>
      <c r="M25" s="2369"/>
      <c r="N25" s="1055" t="s">
        <v>235</v>
      </c>
      <c r="O25" s="833">
        <f>C25+'NOV-2023'!O25</f>
        <v>1368</v>
      </c>
      <c r="P25" s="833">
        <f>D25+'NOV-2023'!P25</f>
        <v>0</v>
      </c>
      <c r="Q25" s="836">
        <v>0</v>
      </c>
      <c r="R25" s="315">
        <f>F25+'NOV-2023'!R25</f>
        <v>4.3999999999999997E-2</v>
      </c>
      <c r="S25" s="315">
        <f>G25+'NOV-2023'!S25</f>
        <v>0</v>
      </c>
      <c r="T25" s="1060">
        <f>S25/S7*100</f>
        <v>0</v>
      </c>
      <c r="U25" s="314">
        <v>0</v>
      </c>
      <c r="AK25" s="2369"/>
      <c r="AL25" s="1055" t="s">
        <v>235</v>
      </c>
      <c r="AM25" s="833">
        <f>AA25+'NOV-2023'!AM25</f>
        <v>0</v>
      </c>
      <c r="AN25" s="833">
        <f>AB25+'NOV-2023'!AN25</f>
        <v>0</v>
      </c>
      <c r="AO25" s="836">
        <v>0</v>
      </c>
      <c r="AP25" s="414">
        <v>4.3999999999999997E-2</v>
      </c>
      <c r="AQ25" s="414">
        <v>0</v>
      </c>
      <c r="AR25" s="1060">
        <f>AQ25/AQ7*100</f>
        <v>0</v>
      </c>
      <c r="AS25" s="314">
        <v>0</v>
      </c>
      <c r="AT25" s="12">
        <f>'MARCH -23 '!F25+'FEB -23'!F25+'JAN-23'!F25</f>
        <v>0</v>
      </c>
      <c r="AU25" s="12">
        <f>'MARCH -23 '!G25+'FEB -23'!G25+'JAN-23'!G25</f>
        <v>0</v>
      </c>
      <c r="AW25" s="12">
        <f t="shared" si="11"/>
        <v>4.3999999999999997E-2</v>
      </c>
      <c r="AX25" s="12">
        <f t="shared" si="12"/>
        <v>0</v>
      </c>
    </row>
    <row r="26" spans="1:50" ht="15.75" x14ac:dyDescent="0.45">
      <c r="A26" s="1984"/>
      <c r="B26" s="1056" t="s">
        <v>693</v>
      </c>
      <c r="C26" s="1520">
        <v>0</v>
      </c>
      <c r="D26" s="1411">
        <v>0</v>
      </c>
      <c r="E26" s="1793">
        <v>0</v>
      </c>
      <c r="F26" s="833">
        <v>0</v>
      </c>
      <c r="G26" s="315">
        <v>0.06</v>
      </c>
      <c r="H26" s="1060" t="s">
        <v>221</v>
      </c>
      <c r="I26" s="314" t="s">
        <v>221</v>
      </c>
      <c r="L26" s="1476"/>
      <c r="M26" s="2245"/>
      <c r="N26" s="1056" t="s">
        <v>693</v>
      </c>
      <c r="O26" s="833">
        <f>C26+'NOV-2023'!O26</f>
        <v>1380</v>
      </c>
      <c r="P26" s="833">
        <f>D26+'NOV-2023'!P26</f>
        <v>3883</v>
      </c>
      <c r="Q26" s="836">
        <v>0</v>
      </c>
      <c r="R26" s="315">
        <f>F26+'NOV-2023'!R26</f>
        <v>0.34457000000000004</v>
      </c>
      <c r="S26" s="315">
        <f>G26+'NOV-2023'!S26</f>
        <v>0.72700000000000009</v>
      </c>
      <c r="T26" s="1060">
        <f>S26/S7*100</f>
        <v>0.22615777537897766</v>
      </c>
      <c r="U26" s="314">
        <f>(S26-R26)/R26*100</f>
        <v>110.98760774298401</v>
      </c>
      <c r="V26" s="5">
        <f>0.48+0.04+0.23</f>
        <v>0.75</v>
      </c>
      <c r="AK26" s="2245"/>
      <c r="AL26" s="1056" t="s">
        <v>693</v>
      </c>
      <c r="AM26" s="833">
        <f>AA26+'NOV-2023'!AM26</f>
        <v>0</v>
      </c>
      <c r="AN26" s="833">
        <f>AB26+'NOV-2023'!AN26</f>
        <v>0</v>
      </c>
      <c r="AO26" s="836">
        <v>0</v>
      </c>
      <c r="AP26" s="414">
        <v>0.37457000000000007</v>
      </c>
      <c r="AQ26" s="414">
        <v>0.77700000000000014</v>
      </c>
      <c r="AR26" s="1060">
        <f>AQ26/AQ7*100</f>
        <v>0.18877229979081994</v>
      </c>
      <c r="AS26" s="314">
        <f>(AQ26-AP26)/AP26*100</f>
        <v>107.43786208185386</v>
      </c>
      <c r="AT26" s="12">
        <f>'MARCH -23 '!F26+'FEB -23'!F26+'JAN-23'!F26</f>
        <v>0.03</v>
      </c>
      <c r="AU26" s="12">
        <f>'MARCH -23 '!G26+'FEB -23'!G26+'JAN-23'!G26</f>
        <v>0.05</v>
      </c>
      <c r="AW26" s="12">
        <f t="shared" si="11"/>
        <v>0.4045700000000001</v>
      </c>
      <c r="AX26" s="12">
        <f t="shared" si="12"/>
        <v>0.82700000000000018</v>
      </c>
    </row>
    <row r="27" spans="1:50" s="26" customFormat="1" ht="19.5" customHeight="1" x14ac:dyDescent="0.4">
      <c r="A27" s="1216"/>
      <c r="B27" s="1063" t="s">
        <v>683</v>
      </c>
      <c r="C27" s="1513">
        <f>SUM(C20:C26)</f>
        <v>223174</v>
      </c>
      <c r="D27" s="1412">
        <f>SUM(D20:D26)</f>
        <v>232414</v>
      </c>
      <c r="E27" s="1794">
        <f>(D27-C27)/C27*100</f>
        <v>4.1402672354306507</v>
      </c>
      <c r="F27" s="1054">
        <f>SUM(F20:F26)</f>
        <v>28.700000000000003</v>
      </c>
      <c r="G27" s="1054">
        <f>G20+G21+G22+G23+G24+G25+G26</f>
        <v>33.590000000000003</v>
      </c>
      <c r="H27" s="1066">
        <f>SUM(H20:H26)</f>
        <v>99.821375409348008</v>
      </c>
      <c r="I27" s="394">
        <f>(G27-F27)/F27*100</f>
        <v>17.038327526132406</v>
      </c>
      <c r="J27" s="762"/>
      <c r="K27" s="762"/>
      <c r="L27" s="1475"/>
      <c r="M27" s="1202"/>
      <c r="N27" s="1063" t="s">
        <v>683</v>
      </c>
      <c r="O27" s="1259">
        <f>SUM(O20:O26)</f>
        <v>2372965.5</v>
      </c>
      <c r="P27" s="1259">
        <f>SUM(P20:P26)</f>
        <v>2158224</v>
      </c>
      <c r="Q27" s="394">
        <f>(P27-O27)/O27*100</f>
        <v>-9.04949945542824</v>
      </c>
      <c r="R27" s="394">
        <f>SUM(R20:R26)</f>
        <v>304.98770659999997</v>
      </c>
      <c r="S27" s="1054">
        <f>SUM(S20:S26)</f>
        <v>321.45699999999994</v>
      </c>
      <c r="T27" s="1066">
        <f>SUM(T20:T26)</f>
        <v>100.00000000000001</v>
      </c>
      <c r="U27" s="394">
        <f>(S27-R27)/R27*100</f>
        <v>5.3999859809431321</v>
      </c>
      <c r="V27" s="26">
        <f>76.54+0.12</f>
        <v>76.660000000000011</v>
      </c>
      <c r="W27" s="26">
        <f>P27/1000000</f>
        <v>2.1582240000000001</v>
      </c>
      <c r="X27" s="432"/>
      <c r="AK27" s="1202"/>
      <c r="AL27" s="1063" t="s">
        <v>683</v>
      </c>
      <c r="AM27" s="1259">
        <f>SUM(AM20:AM26)</f>
        <v>0</v>
      </c>
      <c r="AN27" s="1259">
        <f>SUM(AN20:AN26)</f>
        <v>0</v>
      </c>
      <c r="AO27" s="394" t="e">
        <f>(AN27-AM27)/AM27*100</f>
        <v>#DIV/0!</v>
      </c>
      <c r="AP27" s="394">
        <f>SUM(AP20:AP26)</f>
        <v>364.48303310000006</v>
      </c>
      <c r="AQ27" s="1054">
        <f>SUM(AQ20:AQ26)</f>
        <v>411.60699999999991</v>
      </c>
      <c r="AR27" s="1066">
        <f>SUM(AR20:AR26)</f>
        <v>100.00000000000001</v>
      </c>
      <c r="AS27" s="394">
        <f>(AQ27-AP27)/AP27*100</f>
        <v>12.928987804782361</v>
      </c>
      <c r="AT27" s="12">
        <f>'MARCH -23 '!F27+'FEB -23'!F27+'JAN-23'!F27</f>
        <v>59.495326500000004</v>
      </c>
      <c r="AU27" s="12">
        <f>'MARCH -23 '!G27+'FEB -23'!G27+'JAN-23'!G27</f>
        <v>90.15</v>
      </c>
      <c r="AW27" s="848">
        <f>SUM(AW20:AW26)</f>
        <v>423.97835959999998</v>
      </c>
      <c r="AX27" s="848">
        <f>SUM(AX20:AX26)</f>
        <v>501.75700000000001</v>
      </c>
    </row>
    <row r="28" spans="1:50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  <c r="AK28" s="1201"/>
      <c r="AL28" s="2313" t="s">
        <v>7</v>
      </c>
      <c r="AM28" s="2313"/>
      <c r="AN28" s="2314" t="s">
        <v>8</v>
      </c>
      <c r="AO28" s="2314"/>
      <c r="AP28" s="2314" t="s">
        <v>10</v>
      </c>
      <c r="AQ28" s="2314"/>
      <c r="AR28" s="2315" t="s">
        <v>11</v>
      </c>
      <c r="AS28" s="2315"/>
    </row>
    <row r="29" spans="1:50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  <c r="AK29" s="606"/>
      <c r="AL29" s="2313"/>
      <c r="AM29" s="2313"/>
      <c r="AN29" s="272" t="s">
        <v>9</v>
      </c>
      <c r="AO29" s="1057">
        <f>AQ29</f>
        <v>44652</v>
      </c>
      <c r="AP29" s="1057">
        <v>44287</v>
      </c>
      <c r="AQ29" s="1057">
        <v>44652</v>
      </c>
      <c r="AR29" s="1065" t="s">
        <v>12</v>
      </c>
      <c r="AS29" s="1065" t="s">
        <v>13</v>
      </c>
    </row>
    <row r="30" spans="1:50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4">
        <v>3</v>
      </c>
      <c r="N30" s="2021" t="s">
        <v>623</v>
      </c>
      <c r="O30" s="2022"/>
      <c r="P30" s="2022"/>
      <c r="Q30" s="2022"/>
      <c r="R30" s="2022"/>
      <c r="S30" s="2022"/>
      <c r="T30" s="2022"/>
      <c r="U30" s="2023"/>
      <c r="AK30" s="2384">
        <v>3</v>
      </c>
      <c r="AL30" s="2021" t="s">
        <v>623</v>
      </c>
      <c r="AM30" s="2022"/>
      <c r="AN30" s="2022"/>
      <c r="AO30" s="2022"/>
      <c r="AP30" s="2022"/>
      <c r="AQ30" s="2022"/>
      <c r="AR30" s="2022"/>
      <c r="AS30" s="2023"/>
    </row>
    <row r="31" spans="1:50" ht="15.4" x14ac:dyDescent="0.4">
      <c r="A31" s="2382"/>
      <c r="B31" s="378" t="s">
        <v>2</v>
      </c>
      <c r="C31" s="1521">
        <v>24.66</v>
      </c>
      <c r="D31" s="1429">
        <v>22.5</v>
      </c>
      <c r="E31" s="307">
        <f>'TARGET 23-24'!Z5</f>
        <v>0.17903225806451611</v>
      </c>
      <c r="F31" s="134">
        <f>E71</f>
        <v>1.1892347000000001</v>
      </c>
      <c r="G31" s="134">
        <f>F71</f>
        <v>1.2621579000000001</v>
      </c>
      <c r="H31" s="314">
        <f>(G31-E31)/E31*100</f>
        <v>604.98909729729735</v>
      </c>
      <c r="I31" s="314">
        <f>(G31-F31)/F31*100</f>
        <v>6.131943509552821</v>
      </c>
      <c r="J31" s="84">
        <v>1.52</v>
      </c>
      <c r="K31" s="1128">
        <f>11596205/10000000</f>
        <v>1.1596204999999999</v>
      </c>
      <c r="L31" s="1749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f>E31+'NOV-2023'!Q31</f>
        <v>15.629032258064518</v>
      </c>
      <c r="R31" s="315">
        <f>F31+'NOV-2023'!R31</f>
        <v>17.819234699999999</v>
      </c>
      <c r="S31" s="315">
        <f>G31+'NOV-2023'!S31</f>
        <v>21.188203899999998</v>
      </c>
      <c r="T31" s="314">
        <f>(S31-Q31)/Q31*100</f>
        <v>35.56951927760575</v>
      </c>
      <c r="U31" s="314">
        <f t="shared" ref="U31:U38" si="13">(S31-R31)/R31*100</f>
        <v>18.906363021303036</v>
      </c>
      <c r="W31" s="5">
        <f>(Q31*10000000)/100000</f>
        <v>1562.9032258064517</v>
      </c>
      <c r="AK31" s="2385"/>
      <c r="AL31" s="378" t="s">
        <v>2</v>
      </c>
      <c r="AM31" s="1283">
        <v>24.66</v>
      </c>
      <c r="AN31" s="1429">
        <v>22.5</v>
      </c>
      <c r="AO31" s="307">
        <f>AC31+'NOV-2023'!AO31</f>
        <v>0</v>
      </c>
      <c r="AP31" s="414">
        <v>22.843019899999998</v>
      </c>
      <c r="AQ31" s="414">
        <v>27.4715299</v>
      </c>
      <c r="AR31" s="314" t="e">
        <f>(AQ31-AO31)/AO31*100</f>
        <v>#DIV/0!</v>
      </c>
      <c r="AS31" s="314">
        <f t="shared" ref="AS31:AS33" si="14">(AQ31-AP31)/AP31*100</f>
        <v>20.262250876907927</v>
      </c>
      <c r="AT31" s="12">
        <f>'MARCH -23 '!F31+'FEB -23'!F31+'JAN-23'!F31</f>
        <v>5.0237851999999998</v>
      </c>
      <c r="AU31" s="12">
        <f>'MARCH -23 '!G31+'FEB -23'!G31+'JAN-23'!G31</f>
        <v>6.2833260000000006</v>
      </c>
      <c r="AW31" s="12">
        <f t="shared" ref="AW31:AW32" si="15">AP31+AT31</f>
        <v>27.866805099999997</v>
      </c>
      <c r="AX31" s="12">
        <f t="shared" ref="AX31:AX33" si="16">AQ31+AU31</f>
        <v>33.754855900000003</v>
      </c>
    </row>
    <row r="32" spans="1:50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07">
        <f>'TARGET 23-24'!W5</f>
        <v>0.2661290322580645</v>
      </c>
      <c r="F32" s="134">
        <f t="shared" ref="F32:G33" si="17">E72</f>
        <v>1.6237000000000001</v>
      </c>
      <c r="G32" s="134">
        <f t="shared" si="17"/>
        <v>1.8367999999999998</v>
      </c>
      <c r="H32" s="314">
        <f>(G32-E32)/E32*100</f>
        <v>590.19151515151509</v>
      </c>
      <c r="I32" s="314">
        <f>(G32-F32)/F32*100</f>
        <v>13.124345630350408</v>
      </c>
      <c r="J32" s="1128">
        <v>2.3697997000000002</v>
      </c>
      <c r="K32" s="84">
        <f>0.58-0.12</f>
        <v>0.45999999999999996</v>
      </c>
      <c r="L32" s="1749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f>E32+'NOV-2023'!Q32</f>
        <v>27.236129032258066</v>
      </c>
      <c r="R32" s="315">
        <f>F32+'NOV-2023'!R32</f>
        <v>21.793391199999999</v>
      </c>
      <c r="S32" s="315">
        <f>G32+'NOV-2023'!S32</f>
        <v>21.797560000000004</v>
      </c>
      <c r="T32" s="314">
        <f>(S32-Q32)/Q32*100</f>
        <v>-19.968215842334651</v>
      </c>
      <c r="U32" s="314">
        <f t="shared" si="13"/>
        <v>1.9128734769858793E-2</v>
      </c>
      <c r="W32" s="5">
        <f>(Q32*10000000)/100000</f>
        <v>2723.6129032258063</v>
      </c>
      <c r="AK32" s="2385"/>
      <c r="AL32" s="378" t="s">
        <v>23</v>
      </c>
      <c r="AM32" s="1283">
        <v>27.693304099999999</v>
      </c>
      <c r="AN32" s="333">
        <f>AB32</f>
        <v>0</v>
      </c>
      <c r="AO32" s="307">
        <f>AC32+'NOV-2023'!AO32</f>
        <v>0</v>
      </c>
      <c r="AP32" s="414">
        <v>28.4281966</v>
      </c>
      <c r="AQ32" s="414">
        <v>27.218602500000003</v>
      </c>
      <c r="AR32" s="314" t="e">
        <f>(AQ32-AO32)/AO32*100</f>
        <v>#DIV/0!</v>
      </c>
      <c r="AS32" s="314">
        <f t="shared" si="14"/>
        <v>-4.2549097187543605</v>
      </c>
      <c r="AT32" s="12">
        <f>'MARCH -23 '!F32+'FEB -23'!F32+'JAN-23'!F32</f>
        <v>6.6348053999999994</v>
      </c>
      <c r="AU32" s="12">
        <f>'MARCH -23 '!G32+'FEB -23'!G32+'JAN-23'!G32</f>
        <v>5.4210425000000004</v>
      </c>
      <c r="AW32" s="12">
        <f t="shared" si="15"/>
        <v>35.063001999999997</v>
      </c>
      <c r="AX32" s="12">
        <f t="shared" si="16"/>
        <v>32.639645000000002</v>
      </c>
    </row>
    <row r="33" spans="1:50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07">
        <f>'TARGET 23-24'!X5</f>
        <v>2.6129032258064518E-2</v>
      </c>
      <c r="F33" s="134">
        <f t="shared" si="17"/>
        <v>6.0299999999999999E-2</v>
      </c>
      <c r="G33" s="134">
        <f t="shared" si="17"/>
        <v>7.7100000000000002E-2</v>
      </c>
      <c r="H33" s="314">
        <f>(G33-E33)/E33*100</f>
        <v>195.07407407407408</v>
      </c>
      <c r="I33" s="314">
        <f>(G33-F33)/F33*100</f>
        <v>27.86069651741294</v>
      </c>
      <c r="J33" s="1128">
        <v>7.7621999999999997E-2</v>
      </c>
      <c r="L33" s="1749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f>E33+'NOV-2023'!Q33</f>
        <v>2.4361290322580649</v>
      </c>
      <c r="R33" s="315">
        <f>F33+'NOV-2023'!R33</f>
        <v>0.78982429999999992</v>
      </c>
      <c r="S33" s="315">
        <f>G33+'NOV-2023'!S33</f>
        <v>0.87554365600000006</v>
      </c>
      <c r="T33" s="314">
        <f>(S33-Q33)/Q33*100</f>
        <v>-64.060045900423731</v>
      </c>
      <c r="U33" s="314">
        <f t="shared" si="13"/>
        <v>10.852965146805452</v>
      </c>
      <c r="W33" s="5">
        <f>(Q33*10000000)/100000</f>
        <v>243.61290322580649</v>
      </c>
      <c r="AK33" s="2385"/>
      <c r="AL33" s="378" t="s">
        <v>1</v>
      </c>
      <c r="AM33" s="1283">
        <v>1.0446717999999999</v>
      </c>
      <c r="AN33" s="333">
        <f>AB33</f>
        <v>0</v>
      </c>
      <c r="AO33" s="307">
        <f>AC33+'NOV-2023'!AO33</f>
        <v>0</v>
      </c>
      <c r="AP33" s="414">
        <v>1.0394612999999999</v>
      </c>
      <c r="AQ33" s="414">
        <v>1.106845056</v>
      </c>
      <c r="AR33" s="314" t="e">
        <f>(AQ33-AO33)/AO33*100</f>
        <v>#DIV/0!</v>
      </c>
      <c r="AS33" s="314">
        <f t="shared" si="14"/>
        <v>6.4825651517762264</v>
      </c>
      <c r="AT33" s="12">
        <f>'MARCH -23 '!F33+'FEB -23'!F33+'JAN-23'!F33</f>
        <v>0.249637</v>
      </c>
      <c r="AU33" s="12">
        <f>'MARCH -23 '!G33+'FEB -23'!G33+'JAN-23'!G33</f>
        <v>0.23130139999999999</v>
      </c>
      <c r="AW33" s="12">
        <f>AP33+AT33</f>
        <v>1.2890983</v>
      </c>
      <c r="AX33" s="12">
        <f t="shared" si="16"/>
        <v>1.338146456</v>
      </c>
    </row>
    <row r="34" spans="1:50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0.29225806451612901</v>
      </c>
      <c r="F34" s="1483">
        <f>SUM(F32:F33)</f>
        <v>1.6840000000000002</v>
      </c>
      <c r="G34" s="1483">
        <f>SUM(G32:G33)</f>
        <v>1.9138999999999997</v>
      </c>
      <c r="H34" s="1484">
        <f>(G34-E34)/E34*100</f>
        <v>554.86644591611469</v>
      </c>
      <c r="I34" s="1484">
        <f>(G34-F34)/F34*100</f>
        <v>13.652019002375267</v>
      </c>
      <c r="L34" s="1749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29.672258064516132</v>
      </c>
      <c r="R34" s="1814">
        <f>SUM(R32:R33)</f>
        <v>22.583215499999998</v>
      </c>
      <c r="S34" s="1814">
        <f>SUM(S32:S33)</f>
        <v>22.673103656000006</v>
      </c>
      <c r="T34" s="1484">
        <f>(S34-Q34)/Q34*100</f>
        <v>-23.58820954339884</v>
      </c>
      <c r="U34" s="1484">
        <f>(S34-R34)/R34*100</f>
        <v>0.39803081186559897</v>
      </c>
      <c r="AK34" s="2385"/>
      <c r="AL34" s="1055" t="s">
        <v>1035</v>
      </c>
      <c r="AM34" s="1505">
        <f>AM33+AM32</f>
        <v>28.737975899999999</v>
      </c>
      <c r="AN34" s="1483">
        <f>AN33+AN32</f>
        <v>0</v>
      </c>
      <c r="AO34" s="1483">
        <f>AO33+AO32</f>
        <v>0</v>
      </c>
      <c r="AP34" s="1814">
        <v>29.467657899999999</v>
      </c>
      <c r="AQ34" s="1814">
        <v>28.325447556000004</v>
      </c>
      <c r="AR34" s="1484" t="e">
        <f>(AQ34-AO34)/AO34*100</f>
        <v>#DIV/0!</v>
      </c>
      <c r="AS34" s="1484">
        <f>(AQ34-AP34)/AP34*100</f>
        <v>-3.8761490576419213</v>
      </c>
      <c r="AT34" s="1814">
        <f>SUM(AT32:AT33)</f>
        <v>6.8844423999999993</v>
      </c>
      <c r="AU34" s="1814">
        <f>SUM(AU32:AU33)</f>
        <v>5.6523439</v>
      </c>
      <c r="AW34" s="1814">
        <f>SUM(AW32:AW33)</f>
        <v>36.352100299999996</v>
      </c>
      <c r="AX34" s="1814">
        <f>SUM(AX32:AX33)</f>
        <v>33.977791455999999</v>
      </c>
    </row>
    <row r="35" spans="1:50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f>E74</f>
        <v>0.19834399999999999</v>
      </c>
      <c r="G35" s="313">
        <f>F74</f>
        <v>0.209205</v>
      </c>
      <c r="H35" s="517" t="s">
        <v>221</v>
      </c>
      <c r="I35" s="314">
        <f>(G35-F35)/F35*100</f>
        <v>5.4758399548259638</v>
      </c>
      <c r="J35" s="84">
        <v>0.21881</v>
      </c>
      <c r="L35" s="1749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f>F35+'NOV-2023'!R35</f>
        <v>2.3818579999999998</v>
      </c>
      <c r="S35" s="315">
        <f>G35+'NOV-2023'!S35</f>
        <v>2.3812909999999996</v>
      </c>
      <c r="T35" s="316" t="s">
        <v>221</v>
      </c>
      <c r="U35" s="314">
        <f t="shared" si="13"/>
        <v>-2.3804945550918916E-2</v>
      </c>
      <c r="W35" s="5" t="e">
        <f>(Q35*10000000)/100000</f>
        <v>#VALUE!</v>
      </c>
      <c r="AK35" s="2385"/>
      <c r="AL35" s="378" t="s">
        <v>24</v>
      </c>
      <c r="AM35" s="1283">
        <v>3.1600820000000001</v>
      </c>
      <c r="AN35" s="603" t="s">
        <v>221</v>
      </c>
      <c r="AO35" s="315" t="s">
        <v>221</v>
      </c>
      <c r="AP35" s="414">
        <v>2.5102359999999999</v>
      </c>
      <c r="AQ35" s="414">
        <v>3.0990619999999995</v>
      </c>
      <c r="AR35" s="316" t="s">
        <v>221</v>
      </c>
      <c r="AS35" s="314">
        <f t="shared" ref="AS35:AS38" si="18">(AQ35-AP35)/AP35*100</f>
        <v>23.456997668745075</v>
      </c>
      <c r="AT35" s="12">
        <f>'JAN-23'!F34+'FEB -23'!F34+'MARCH -23 '!F34</f>
        <v>0.12837799999999999</v>
      </c>
      <c r="AU35" s="12">
        <f>'JAN-23'!G34+'FEB -23'!G34+'MARCH -23 '!G34</f>
        <v>0.71777100000000005</v>
      </c>
      <c r="AW35" s="12">
        <f t="shared" ref="AW35:AW38" si="19">AP35+AT35</f>
        <v>2.638614</v>
      </c>
      <c r="AX35" s="12">
        <f t="shared" ref="AX35:AX38" si="20">AQ35+AU35</f>
        <v>3.8168329999999995</v>
      </c>
    </row>
    <row r="36" spans="1:50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f t="shared" ref="F36:G37" si="21">E75</f>
        <v>0.69250849999999997</v>
      </c>
      <c r="G36" s="313">
        <f t="shared" si="21"/>
        <v>4.5686999999999998E-2</v>
      </c>
      <c r="H36" s="517" t="s">
        <v>221</v>
      </c>
      <c r="I36" s="314">
        <v>0</v>
      </c>
      <c r="J36" s="84">
        <v>3.63459E-2</v>
      </c>
      <c r="L36" s="1749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f>F36+'NOV-2023'!R36</f>
        <v>5.5922877999999994</v>
      </c>
      <c r="S36" s="315">
        <f>G36+'NOV-2023'!S36</f>
        <v>4.8354583999999994</v>
      </c>
      <c r="T36" s="316" t="s">
        <v>221</v>
      </c>
      <c r="U36" s="314">
        <f t="shared" si="13"/>
        <v>-13.533448689818862</v>
      </c>
      <c r="AK36" s="2385"/>
      <c r="AL36" s="1278" t="s">
        <v>25</v>
      </c>
      <c r="AM36" s="1284">
        <v>6.2230024999999998</v>
      </c>
      <c r="AN36" s="603" t="s">
        <v>221</v>
      </c>
      <c r="AO36" s="315" t="s">
        <v>221</v>
      </c>
      <c r="AP36" s="414">
        <v>5.9911277999999992</v>
      </c>
      <c r="AQ36" s="414">
        <v>5.4252916999999989</v>
      </c>
      <c r="AR36" s="316" t="s">
        <v>221</v>
      </c>
      <c r="AS36" s="314">
        <f t="shared" si="18"/>
        <v>-9.4445673484047585</v>
      </c>
      <c r="AT36" s="12">
        <f>'JAN-23'!F35+'FEB -23'!F35+'MARCH -23 '!F35</f>
        <v>0.39884000000000003</v>
      </c>
      <c r="AU36" s="12">
        <f>'JAN-23'!G35+'FEB -23'!G35+'MARCH -23 '!G35</f>
        <v>0.5898333</v>
      </c>
      <c r="AW36" s="12">
        <f t="shared" si="19"/>
        <v>6.3899677999999991</v>
      </c>
      <c r="AX36" s="12">
        <f t="shared" si="20"/>
        <v>6.0151249999999994</v>
      </c>
    </row>
    <row r="37" spans="1:50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f t="shared" si="21"/>
        <v>3.2047327000000001</v>
      </c>
      <c r="G37" s="313">
        <f t="shared" si="21"/>
        <v>3.7362441999999998</v>
      </c>
      <c r="H37" s="517" t="s">
        <v>221</v>
      </c>
      <c r="I37" s="314">
        <f>(G37-F37)/F37*100</f>
        <v>16.585205374538713</v>
      </c>
      <c r="J37" s="84">
        <v>3.210709</v>
      </c>
      <c r="K37" s="323">
        <f>(20880+ 10612529)/10000000</f>
        <v>1.0633409</v>
      </c>
      <c r="L37" s="1749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f>F37+'NOV-2023'!R37</f>
        <v>31.2989</v>
      </c>
      <c r="S37" s="315">
        <f>G37+'NOV-2023'!S37</f>
        <v>36.463330600000006</v>
      </c>
      <c r="T37" s="316" t="s">
        <v>221</v>
      </c>
      <c r="U37" s="314">
        <f t="shared" si="13"/>
        <v>16.500358159551954</v>
      </c>
      <c r="AK37" s="2385"/>
      <c r="AL37" s="1279" t="s">
        <v>241</v>
      </c>
      <c r="AM37" s="1284">
        <v>43.050880200000002</v>
      </c>
      <c r="AN37" s="540" t="s">
        <v>221</v>
      </c>
      <c r="AO37" s="315" t="s">
        <v>221</v>
      </c>
      <c r="AP37" s="414">
        <v>40.120414699999998</v>
      </c>
      <c r="AQ37" s="414">
        <v>47.034348500000007</v>
      </c>
      <c r="AR37" s="316" t="s">
        <v>221</v>
      </c>
      <c r="AS37" s="314">
        <f t="shared" si="18"/>
        <v>17.232956966419415</v>
      </c>
      <c r="AT37" s="12">
        <f>'JAN-23'!F36+'FEB -23'!F36+'MARCH -23 '!F36</f>
        <v>8.8215146999999998</v>
      </c>
      <c r="AU37" s="12">
        <f>'JAN-23'!G36+'FEB -23'!G36+'MARCH -23 '!G36</f>
        <v>10.571017899999999</v>
      </c>
      <c r="AW37" s="12">
        <f t="shared" si="19"/>
        <v>48.941929399999999</v>
      </c>
      <c r="AX37" s="12">
        <f t="shared" si="20"/>
        <v>57.605366400000008</v>
      </c>
    </row>
    <row r="38" spans="1:50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836">
        <v>0</v>
      </c>
      <c r="G38" s="836">
        <v>0</v>
      </c>
      <c r="H38" s="413"/>
      <c r="I38" s="314">
        <v>0</v>
      </c>
      <c r="J38" s="84">
        <v>6.4195500000000003E-2</v>
      </c>
      <c r="L38" s="1749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f>F38+'NOV-2023'!R38</f>
        <v>0.56204030000000005</v>
      </c>
      <c r="S38" s="315">
        <f>G38+'NOV-2023'!S38</f>
        <v>0.71404789999999996</v>
      </c>
      <c r="T38" s="413"/>
      <c r="U38" s="314">
        <f t="shared" si="13"/>
        <v>27.04567626200468</v>
      </c>
      <c r="AK38" s="2386"/>
      <c r="AL38" s="378" t="s">
        <v>260</v>
      </c>
      <c r="AM38" s="1283">
        <v>0.85555460000000005</v>
      </c>
      <c r="AN38" s="540" t="s">
        <v>221</v>
      </c>
      <c r="AO38" s="315" t="s">
        <v>221</v>
      </c>
      <c r="AP38" s="414">
        <v>0.69205320000000003</v>
      </c>
      <c r="AQ38" s="414">
        <v>0.94173799999999996</v>
      </c>
      <c r="AR38" s="413"/>
      <c r="AS38" s="314">
        <f t="shared" si="18"/>
        <v>36.078844805572743</v>
      </c>
      <c r="AT38" s="12">
        <f>'JAN-23'!F37+'FEB -23'!F37+'MARCH -23 '!F37</f>
        <v>0.13001289999999999</v>
      </c>
      <c r="AU38" s="12">
        <f>'JAN-23'!G37+'FEB -23'!G37+'MARCH -23 '!G37</f>
        <v>0.22769010000000001</v>
      </c>
      <c r="AW38" s="12">
        <f t="shared" si="19"/>
        <v>0.82206610000000002</v>
      </c>
      <c r="AX38" s="12">
        <f t="shared" si="20"/>
        <v>1.1694281</v>
      </c>
    </row>
    <row r="39" spans="1:50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J39" s="323">
        <v>9.68218E-2</v>
      </c>
      <c r="L39" s="1749"/>
      <c r="M39" s="1286">
        <v>4</v>
      </c>
      <c r="N39" s="2021" t="s">
        <v>622</v>
      </c>
      <c r="O39" s="2022"/>
      <c r="P39" s="2022"/>
      <c r="Q39" s="2022"/>
      <c r="R39" s="2022"/>
      <c r="S39" s="2022"/>
      <c r="T39" s="2022"/>
      <c r="U39" s="2023"/>
      <c r="AK39" s="1286">
        <v>4</v>
      </c>
      <c r="AL39" s="2021" t="s">
        <v>622</v>
      </c>
      <c r="AM39" s="2022"/>
      <c r="AN39" s="2022"/>
      <c r="AO39" s="2022"/>
      <c r="AP39" s="2022"/>
      <c r="AQ39" s="2022"/>
      <c r="AR39" s="2022"/>
      <c r="AS39" s="2023"/>
      <c r="AX39" s="12"/>
    </row>
    <row r="40" spans="1:50" ht="15.4" x14ac:dyDescent="0.4">
      <c r="A40" s="2387"/>
      <c r="B40" s="378" t="s">
        <v>27</v>
      </c>
      <c r="C40" s="1521">
        <v>12.02</v>
      </c>
      <c r="D40" s="1429">
        <v>13.95</v>
      </c>
      <c r="E40" s="307">
        <v>1.1625000000000001</v>
      </c>
      <c r="F40" s="313">
        <v>1.2100426</v>
      </c>
      <c r="G40" s="313">
        <f>'ACTUAL- 23-24'!O27/10000000</f>
        <v>1.3363186</v>
      </c>
      <c r="H40" s="314">
        <f>(G40-E40)/E40*100</f>
        <v>14.952137634408597</v>
      </c>
      <c r="I40" s="314">
        <f>(G40-F40)/F40*100</f>
        <v>10.435665653424108</v>
      </c>
      <c r="K40" s="1128">
        <v>0.5185746</v>
      </c>
      <c r="L40" s="1476"/>
      <c r="M40" s="1286"/>
      <c r="N40" s="378" t="s">
        <v>27</v>
      </c>
      <c r="O40" s="1283">
        <v>12.02</v>
      </c>
      <c r="P40" s="1429">
        <v>13.95</v>
      </c>
      <c r="Q40" s="307">
        <v>9.3000000000000007</v>
      </c>
      <c r="R40" s="315">
        <f>F40+'OCT-23'!R40</f>
        <v>7.0175040000000006</v>
      </c>
      <c r="S40" s="315">
        <f>G40+'OCT-23'!S40</f>
        <v>8.2163185999999993</v>
      </c>
      <c r="T40" s="314">
        <f>(S40-Q40)/Q40*100</f>
        <v>-11.652488172043025</v>
      </c>
      <c r="U40" s="314">
        <f>(S40-R40)/R40*100</f>
        <v>17.083205082604849</v>
      </c>
      <c r="W40" s="12">
        <v>6.8847902000000003</v>
      </c>
      <c r="X40" s="491">
        <v>1.5093639999999999</v>
      </c>
      <c r="Y40" s="12">
        <v>0.98931259999999999</v>
      </c>
      <c r="Z40" s="12">
        <v>0.63322219999999996</v>
      </c>
      <c r="AA40" s="12">
        <v>0.67428080000000001</v>
      </c>
      <c r="AK40" s="1286"/>
      <c r="AL40" s="378" t="s">
        <v>27</v>
      </c>
      <c r="AM40" s="1283">
        <v>12.02</v>
      </c>
      <c r="AN40" s="1429">
        <v>13.95</v>
      </c>
      <c r="AO40" s="307">
        <v>9.3000000000000007</v>
      </c>
      <c r="AP40" s="434">
        <v>8.5733862000000016</v>
      </c>
      <c r="AQ40" s="434">
        <v>12.131736399999999</v>
      </c>
      <c r="AR40" s="314">
        <f>(AQ40-AO40)/AO40*100</f>
        <v>30.448778494623639</v>
      </c>
      <c r="AS40" s="314">
        <f>(AQ40-AP40)/AP40*100</f>
        <v>41.504606429604173</v>
      </c>
      <c r="AT40" s="12">
        <f>'JAN-23'!F39+'FEB -23'!F39+'MARCH -23 '!F39</f>
        <v>1.5558822000000001</v>
      </c>
      <c r="AU40" s="12">
        <f>'JAN-23'!G39+'FEB -23'!G39+'MARCH -23 '!G39</f>
        <v>3.9154178000000002</v>
      </c>
      <c r="AW40" s="12">
        <f t="shared" ref="AW40:AW45" si="22">AP40+AT40</f>
        <v>10.129268400000001</v>
      </c>
      <c r="AX40" s="12">
        <f t="shared" ref="AX40:AX45" si="23">AQ40+AU40</f>
        <v>16.047154200000001</v>
      </c>
    </row>
    <row r="41" spans="1:50" ht="15.4" x14ac:dyDescent="0.4">
      <c r="A41" s="2387"/>
      <c r="B41" s="378" t="s">
        <v>28</v>
      </c>
      <c r="C41" s="1521">
        <v>1.94</v>
      </c>
      <c r="D41" s="1429">
        <v>1.95</v>
      </c>
      <c r="E41" s="307">
        <v>0.16250000000000001</v>
      </c>
      <c r="F41" s="313">
        <v>0.1550318</v>
      </c>
      <c r="G41" s="313">
        <f>'ACTUAL- 23-24'!P27/10000000</f>
        <v>8.97892E-2</v>
      </c>
      <c r="H41" s="314">
        <f>(G41-E41)/E41*100</f>
        <v>-44.745107692307698</v>
      </c>
      <c r="I41" s="314">
        <f>(G41-F41)/F41*100</f>
        <v>-42.083366122305229</v>
      </c>
      <c r="J41" s="84">
        <f t="shared" ref="J41:J46" si="24">E40*8</f>
        <v>9.3000000000000007</v>
      </c>
      <c r="K41" s="1128">
        <v>1.5909099999999999E-2</v>
      </c>
      <c r="L41" s="1476">
        <v>2.1361249999999998</v>
      </c>
      <c r="M41" s="1286"/>
      <c r="N41" s="378" t="s">
        <v>28</v>
      </c>
      <c r="O41" s="1283">
        <v>1.94</v>
      </c>
      <c r="P41" s="1429">
        <v>1.95</v>
      </c>
      <c r="Q41" s="307">
        <v>1.3</v>
      </c>
      <c r="R41" s="315">
        <f>F41+'OCT-23'!R41</f>
        <v>0.79031479999999998</v>
      </c>
      <c r="S41" s="315">
        <f>G41+'OCT-23'!S41</f>
        <v>1.5997892</v>
      </c>
      <c r="T41" s="314">
        <f t="shared" ref="T41:T42" si="25">(S41-Q41)/Q41*100</f>
        <v>23.060707692307687</v>
      </c>
      <c r="U41" s="314">
        <f>(S41-R41)/R41*100</f>
        <v>102.42429978535137</v>
      </c>
      <c r="W41" s="5">
        <f>(E41*10000000)/100000</f>
        <v>16.25</v>
      </c>
      <c r="X41" s="172">
        <v>19.73</v>
      </c>
      <c r="Y41" s="5">
        <v>3.12</v>
      </c>
      <c r="Z41" s="11">
        <f t="shared" ref="Z41:Z45" si="26">(X41-W41)/W41*100</f>
        <v>21.415384615384617</v>
      </c>
      <c r="AA41" s="11">
        <f t="shared" ref="AA41:AA45" si="27">(X41-Y41)/Y41*100</f>
        <v>532.3717948717948</v>
      </c>
      <c r="AK41" s="1286"/>
      <c r="AL41" s="378" t="s">
        <v>28</v>
      </c>
      <c r="AM41" s="1283">
        <v>1.94</v>
      </c>
      <c r="AN41" s="1429">
        <v>1.95</v>
      </c>
      <c r="AO41" s="307">
        <v>1.3</v>
      </c>
      <c r="AP41" s="434">
        <v>0.80708250000000004</v>
      </c>
      <c r="AQ41" s="434">
        <v>2.2478996000000002</v>
      </c>
      <c r="AR41" s="314">
        <f t="shared" ref="AR41:AR42" si="28">(AQ41-AO41)/AO41*100</f>
        <v>72.915353846153849</v>
      </c>
      <c r="AS41" s="314">
        <f>(AQ41-AP41)/AP41*100</f>
        <v>178.52166290311092</v>
      </c>
      <c r="AT41" s="12">
        <f>'JAN-23'!F40+'FEB -23'!F40+'MARCH -23 '!F40</f>
        <v>1.67677E-2</v>
      </c>
      <c r="AU41" s="12">
        <f>'JAN-23'!G40+'FEB -23'!G40+'MARCH -23 '!G40</f>
        <v>0.64811039999999998</v>
      </c>
      <c r="AW41" s="12">
        <f t="shared" si="22"/>
        <v>0.82385020000000009</v>
      </c>
      <c r="AX41" s="12">
        <f t="shared" si="23"/>
        <v>2.8960100000000004</v>
      </c>
    </row>
    <row r="42" spans="1:50" ht="15.4" x14ac:dyDescent="0.4">
      <c r="A42" s="2387"/>
      <c r="B42" s="378" t="s">
        <v>224</v>
      </c>
      <c r="C42" s="1521">
        <v>1.96</v>
      </c>
      <c r="D42" s="1429">
        <v>3.25</v>
      </c>
      <c r="E42" s="307">
        <v>0.27</v>
      </c>
      <c r="F42" s="313">
        <v>0.44543159999999998</v>
      </c>
      <c r="G42" s="313">
        <f>'ACTUAL- 23-24'!Q27/10000000</f>
        <v>0.14057620000000001</v>
      </c>
      <c r="H42" s="314">
        <f>(G42-E42)/E42*100</f>
        <v>-47.934740740740736</v>
      </c>
      <c r="I42" s="314">
        <f>(G42-F42)/F42*100</f>
        <v>-68.440451912257686</v>
      </c>
      <c r="J42" s="84">
        <f t="shared" si="24"/>
        <v>1.3</v>
      </c>
      <c r="K42" s="1128">
        <v>7.9338400000000003E-2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7">
        <v>2.16</v>
      </c>
      <c r="R42" s="315">
        <f>F42+'OCT-23'!R42</f>
        <v>1.2477319999999998</v>
      </c>
      <c r="S42" s="315">
        <f>G42+'OCT-23'!S42</f>
        <v>1.1298888</v>
      </c>
      <c r="T42" s="314">
        <f t="shared" si="25"/>
        <v>-47.690333333333335</v>
      </c>
      <c r="U42" s="314">
        <f>(S42-R42)/R42*100</f>
        <v>-9.4445922682114301</v>
      </c>
      <c r="W42" s="11">
        <f>(E42*10000000)/100000</f>
        <v>27</v>
      </c>
      <c r="X42" s="172">
        <v>45.45</v>
      </c>
      <c r="Y42" s="5">
        <v>0</v>
      </c>
      <c r="Z42" s="11">
        <f t="shared" si="26"/>
        <v>68.333333333333343</v>
      </c>
      <c r="AA42" s="11" t="e">
        <f t="shared" si="27"/>
        <v>#DIV/0!</v>
      </c>
      <c r="AK42" s="1286"/>
      <c r="AL42" s="378" t="s">
        <v>224</v>
      </c>
      <c r="AM42" s="1283">
        <v>1.96</v>
      </c>
      <c r="AN42" s="1429">
        <v>3.25</v>
      </c>
      <c r="AO42" s="307">
        <v>2.16</v>
      </c>
      <c r="AP42" s="434">
        <v>1.2556138999999999</v>
      </c>
      <c r="AQ42" s="434">
        <v>1.5762178</v>
      </c>
      <c r="AR42" s="314">
        <f t="shared" si="28"/>
        <v>-27.026953703703711</v>
      </c>
      <c r="AS42" s="314">
        <f>(AQ42-AP42)/AP42*100</f>
        <v>25.533637370532457</v>
      </c>
      <c r="AT42" s="12">
        <f>'JAN-23'!F41+'FEB -23'!F41+'MARCH -23 '!F41</f>
        <v>7.8819000000000007E-3</v>
      </c>
      <c r="AU42" s="12">
        <f>'JAN-23'!G41+'FEB -23'!G41+'MARCH -23 '!G41</f>
        <v>0.44632900000000003</v>
      </c>
      <c r="AW42" s="12">
        <f t="shared" si="22"/>
        <v>1.2634958000000001</v>
      </c>
      <c r="AX42" s="12">
        <f t="shared" si="23"/>
        <v>2.0225468000000002</v>
      </c>
    </row>
    <row r="43" spans="1:50" ht="15.4" hidden="1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>
        <v>0</v>
      </c>
      <c r="H43" s="314" t="e">
        <f>(G43-E43)/E43*100</f>
        <v>#VALUE!</v>
      </c>
      <c r="I43" s="314" t="e">
        <f t="shared" ref="I43:I44" si="29">(G43-F43)/F43*100</f>
        <v>#DIV/0!</v>
      </c>
      <c r="J43" s="323">
        <f t="shared" si="24"/>
        <v>2.16</v>
      </c>
      <c r="K43" s="1128">
        <v>0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15">
        <f>F43+'OCT-23'!R43</f>
        <v>0</v>
      </c>
      <c r="S43" s="315">
        <f>G43+'OCT-23'!S43</f>
        <v>0</v>
      </c>
      <c r="T43" s="314" t="s">
        <v>221</v>
      </c>
      <c r="U43" s="314">
        <v>0</v>
      </c>
      <c r="W43" s="5" t="e">
        <f>(E43*10000000)/100000</f>
        <v>#VALUE!</v>
      </c>
      <c r="Z43" s="11" t="e">
        <f t="shared" si="26"/>
        <v>#VALUE!</v>
      </c>
      <c r="AA43" s="11" t="e">
        <f t="shared" si="27"/>
        <v>#DIV/0!</v>
      </c>
      <c r="AK43" s="1286"/>
      <c r="AL43" s="378" t="s">
        <v>30</v>
      </c>
      <c r="AM43" s="1283">
        <v>0</v>
      </c>
      <c r="AN43" s="540" t="s">
        <v>221</v>
      </c>
      <c r="AO43" s="307" t="s">
        <v>221</v>
      </c>
      <c r="AP43" s="434">
        <v>0</v>
      </c>
      <c r="AQ43" s="434">
        <v>0</v>
      </c>
      <c r="AR43" s="314" t="s">
        <v>221</v>
      </c>
      <c r="AS43" s="314">
        <v>0</v>
      </c>
      <c r="AT43" s="12">
        <f>'JAN-23'!F42+'FEB -23'!F42+'MARCH -23 '!F42</f>
        <v>0</v>
      </c>
      <c r="AU43" s="12">
        <f>'JAN-23'!G42+'FEB -23'!G42+'MARCH -23 '!G42</f>
        <v>0</v>
      </c>
      <c r="AW43" s="12">
        <f t="shared" si="22"/>
        <v>0</v>
      </c>
      <c r="AX43" s="12">
        <f t="shared" si="23"/>
        <v>0</v>
      </c>
    </row>
    <row r="44" spans="1:50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5.5114999999999999E-3</v>
      </c>
      <c r="G44" s="313">
        <v>0</v>
      </c>
      <c r="H44" s="314"/>
      <c r="I44" s="314">
        <f t="shared" si="29"/>
        <v>-100</v>
      </c>
      <c r="J44" s="84" t="e">
        <f t="shared" si="24"/>
        <v>#VALUE!</v>
      </c>
      <c r="K44" s="1128">
        <v>6.3045000000000002E-3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15">
        <f>F44+'OCT-23'!R44</f>
        <v>0.20511170000000001</v>
      </c>
      <c r="S44" s="315">
        <f>G44+'OCT-23'!S44</f>
        <v>0.63322220000000007</v>
      </c>
      <c r="T44" s="314" t="s">
        <v>221</v>
      </c>
      <c r="U44" s="314">
        <f>(S44-R44)/R44*100</f>
        <v>208.72066293634154</v>
      </c>
      <c r="X44" s="172">
        <v>0</v>
      </c>
      <c r="Y44" s="5">
        <v>0.06</v>
      </c>
      <c r="Z44" s="11" t="e">
        <f t="shared" si="26"/>
        <v>#DIV/0!</v>
      </c>
      <c r="AA44" s="11">
        <f t="shared" si="27"/>
        <v>-100</v>
      </c>
      <c r="AK44" s="1286"/>
      <c r="AL44" s="378" t="s">
        <v>4</v>
      </c>
      <c r="AM44" s="1283">
        <v>0.211532</v>
      </c>
      <c r="AN44" s="540" t="s">
        <v>221</v>
      </c>
      <c r="AO44" s="307" t="s">
        <v>221</v>
      </c>
      <c r="AP44" s="434">
        <v>0.20574140000000002</v>
      </c>
      <c r="AQ44" s="434">
        <v>0.63602220000000009</v>
      </c>
      <c r="AR44" s="314" t="s">
        <v>221</v>
      </c>
      <c r="AS44" s="314">
        <f>(AQ44-AP44)/AP44*100</f>
        <v>209.13671239721322</v>
      </c>
      <c r="AT44" s="12">
        <f>'JAN-23'!F43+'FEB -23'!F43+'MARCH -23 '!F43</f>
        <v>6.2969999999999996E-4</v>
      </c>
      <c r="AU44" s="12">
        <f>'JAN-23'!G43+'FEB -23'!G43+'MARCH -23 '!G43</f>
        <v>2.8E-3</v>
      </c>
      <c r="AW44" s="12">
        <f t="shared" si="22"/>
        <v>0.20637110000000003</v>
      </c>
      <c r="AX44" s="12">
        <f t="shared" si="23"/>
        <v>0.63882220000000012</v>
      </c>
    </row>
    <row r="45" spans="1:50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0.3161118</v>
      </c>
      <c r="G45" s="313">
        <f>'ACTUAL- 23-24'!S27/10000000</f>
        <v>8.5708000000000006E-2</v>
      </c>
      <c r="H45" s="314"/>
      <c r="I45" s="314">
        <f>(G45-F45)/F45*100</f>
        <v>-72.886807768643877</v>
      </c>
      <c r="J45" s="84" t="e">
        <f t="shared" si="24"/>
        <v>#VALUE!</v>
      </c>
      <c r="K45" s="1128">
        <v>7.3470099999999997E-2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15">
        <f>F45+'OCT-23'!R45</f>
        <v>1.212761</v>
      </c>
      <c r="S45" s="315">
        <f>G45+'OCT-23'!S45</f>
        <v>0.75998880000000002</v>
      </c>
      <c r="T45" s="407" t="s">
        <v>221</v>
      </c>
      <c r="U45" s="314">
        <f>(S45-R45)/R45*100</f>
        <v>-37.334000681090501</v>
      </c>
      <c r="W45" s="595">
        <f>W40+W41+W42+W44</f>
        <v>50.134790199999998</v>
      </c>
      <c r="X45" s="172">
        <f>X40+X41+X42+X44</f>
        <v>66.689364000000012</v>
      </c>
      <c r="Y45" s="172">
        <f>Y40+Y41+Y42+Y44</f>
        <v>4.1693125999999996</v>
      </c>
      <c r="Z45" s="11">
        <f t="shared" si="26"/>
        <v>33.020131796622174</v>
      </c>
      <c r="AA45" s="11">
        <f t="shared" si="27"/>
        <v>1499.528996698401</v>
      </c>
      <c r="AK45" s="1204"/>
      <c r="AL45" s="378" t="s">
        <v>259</v>
      </c>
      <c r="AM45" s="1283">
        <v>1.5697181</v>
      </c>
      <c r="AN45" s="540" t="s">
        <v>221</v>
      </c>
      <c r="AO45" s="315" t="s">
        <v>221</v>
      </c>
      <c r="AP45" s="434">
        <v>1.7509065000000001</v>
      </c>
      <c r="AQ45" s="434">
        <v>0.97824280000000008</v>
      </c>
      <c r="AR45" s="407" t="s">
        <v>221</v>
      </c>
      <c r="AS45" s="314">
        <f>(AQ45-AP45)/AP45*100</f>
        <v>-44.129352424015792</v>
      </c>
      <c r="AT45" s="12">
        <f>'JAN-23'!F44+'FEB -23'!F44+'MARCH -23 '!F44</f>
        <v>0.53814550000000005</v>
      </c>
      <c r="AU45" s="12">
        <f>'JAN-23'!G44+'FEB -23'!G44+'MARCH -23 '!G44</f>
        <v>0.218254</v>
      </c>
      <c r="AW45" s="12">
        <f t="shared" si="22"/>
        <v>2.2890520000000003</v>
      </c>
      <c r="AX45" s="12">
        <f t="shared" si="23"/>
        <v>1.1964968</v>
      </c>
    </row>
    <row r="46" spans="1:50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24"/>
        <v>#VALUE!</v>
      </c>
      <c r="L46" s="1476">
        <v>0.93056630000000007</v>
      </c>
      <c r="M46" s="2388"/>
      <c r="N46" s="2021" t="s">
        <v>419</v>
      </c>
      <c r="O46" s="2022"/>
      <c r="P46" s="2022"/>
      <c r="Q46" s="2022"/>
      <c r="R46" s="2022"/>
      <c r="S46" s="2022"/>
      <c r="T46" s="2022"/>
      <c r="U46" s="2023"/>
      <c r="AK46" s="2388"/>
      <c r="AL46" s="2021" t="s">
        <v>1037</v>
      </c>
      <c r="AM46" s="2022"/>
      <c r="AN46" s="2022"/>
      <c r="AO46" s="2022"/>
      <c r="AP46" s="2022"/>
      <c r="AQ46" s="2022"/>
      <c r="AR46" s="2022"/>
      <c r="AS46" s="2023"/>
    </row>
    <row r="47" spans="1:50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07">
        <f>'TARGET 23-24'!E31</f>
        <v>0.19354838709677419</v>
      </c>
      <c r="F47" s="315">
        <f>E66</f>
        <v>1.4131959999999999</v>
      </c>
      <c r="G47" s="315">
        <f>F66</f>
        <v>1.3391420000000001</v>
      </c>
      <c r="H47" s="316">
        <f>(G47-E47)/E47*100</f>
        <v>591.89003333333335</v>
      </c>
      <c r="I47" s="314">
        <f>(G47-F47)/F47*100</f>
        <v>-5.2401789985253178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f>'NOV-2023'!Q47+'DEC-2023 (2)'!E47</f>
        <v>14.233548387096773</v>
      </c>
      <c r="R47" s="315">
        <f>F47+'NOV-2023'!R47</f>
        <v>13.521331</v>
      </c>
      <c r="S47" s="315">
        <f>G47+'NOV-2023'!S47</f>
        <v>15.949171</v>
      </c>
      <c r="T47" s="316">
        <f>(S47-Q47)/Q47*100</f>
        <v>12.053372541020767</v>
      </c>
      <c r="U47" s="314">
        <f>(S47-R47)/R47*100</f>
        <v>17.955628776486574</v>
      </c>
      <c r="V47" s="5">
        <f>S47/153</f>
        <v>0.10424294771241829</v>
      </c>
      <c r="AK47" s="2388"/>
      <c r="AL47" s="378" t="s">
        <v>794</v>
      </c>
      <c r="AM47" s="1283">
        <v>18.824966</v>
      </c>
      <c r="AN47" s="331">
        <v>22.9</v>
      </c>
      <c r="AO47" s="307">
        <f>'NOV-2023'!AO47+'DEC-2023 (2)'!AC47</f>
        <v>0</v>
      </c>
      <c r="AP47" s="434">
        <v>15.677056</v>
      </c>
      <c r="AQ47" s="434">
        <v>20.965299999999999</v>
      </c>
      <c r="AR47" s="316" t="e">
        <f>(AQ47-AO47)/AO47*100</f>
        <v>#DIV/0!</v>
      </c>
      <c r="AS47" s="314">
        <f>(AQ47-AP47)/AP47*100</f>
        <v>33.732379344693278</v>
      </c>
      <c r="AT47" s="12">
        <f>'JAN-23'!F46+'FEB -23'!F46+'MARCH -23 '!F46</f>
        <v>2.1557249999999999</v>
      </c>
      <c r="AU47" s="12">
        <f>'JAN-23'!G46+'FEB -23'!G46+'MARCH -23 '!G46</f>
        <v>5.0161289999999994</v>
      </c>
      <c r="AW47" s="12">
        <f>AP47+AT47</f>
        <v>17.832781000000001</v>
      </c>
      <c r="AX47" s="12">
        <f>AQ47+AU47</f>
        <v>25.981428999999999</v>
      </c>
    </row>
    <row r="48" spans="1:50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065">
        <f>'TARGET 23-24'!F31</f>
        <v>0.30290322580645163</v>
      </c>
      <c r="F48" s="315">
        <f t="shared" ref="F48:G49" si="30">E67</f>
        <v>1.328233</v>
      </c>
      <c r="G48" s="315">
        <f t="shared" si="30"/>
        <v>1.3876459999999999</v>
      </c>
      <c r="H48" s="2027">
        <f>L48</f>
        <v>673.63619808306714</v>
      </c>
      <c r="I48" s="314">
        <f>(G48-F48)/F48*100</f>
        <v>4.4730856709628464</v>
      </c>
      <c r="J48" s="12">
        <f>F48+F49</f>
        <v>2.1343230000000002</v>
      </c>
      <c r="K48" s="12">
        <f>G48+G49</f>
        <v>2.343369</v>
      </c>
      <c r="L48" s="1151">
        <f>(K48-E48)/E48*100</f>
        <v>673.63619808306714</v>
      </c>
      <c r="M48" s="2388"/>
      <c r="N48" s="1280" t="s">
        <v>792</v>
      </c>
      <c r="O48" s="1285">
        <v>15.344440000000001</v>
      </c>
      <c r="P48" s="2067">
        <v>32.97</v>
      </c>
      <c r="Q48" s="2065">
        <f>'NOV-2023'!Q48+'DEC-2023 (2)'!E48</f>
        <v>20.942903225806454</v>
      </c>
      <c r="R48" s="315">
        <f>F48+'NOV-2023'!R48</f>
        <v>10.455227000000001</v>
      </c>
      <c r="S48" s="315">
        <f>G48+'NOV-2023'!S48</f>
        <v>15.222360000000002</v>
      </c>
      <c r="T48" s="2027">
        <f>X48</f>
        <v>19.088479429477996</v>
      </c>
      <c r="U48" s="314">
        <f>(S48-R48)/R48*100</f>
        <v>45.595691035689626</v>
      </c>
      <c r="V48" s="12">
        <f>R48+R49</f>
        <v>19.915677000000002</v>
      </c>
      <c r="W48" s="12">
        <f>S48+S49</f>
        <v>24.940585000000002</v>
      </c>
      <c r="X48" s="1151">
        <f>(W48-Q48)/Q48*100</f>
        <v>19.088479429477996</v>
      </c>
      <c r="AK48" s="2388"/>
      <c r="AL48" s="1280" t="s">
        <v>792</v>
      </c>
      <c r="AM48" s="1285">
        <v>15.344440000000001</v>
      </c>
      <c r="AN48" s="2067">
        <v>32.97</v>
      </c>
      <c r="AO48" s="2065">
        <f>'NOV-2023'!AO48+'DEC-2023 (2)'!AC48</f>
        <v>0</v>
      </c>
      <c r="AP48" s="434">
        <v>11.068145000000001</v>
      </c>
      <c r="AQ48" s="434">
        <v>19.835702000000001</v>
      </c>
      <c r="AR48" s="2027">
        <f>AV48</f>
        <v>0</v>
      </c>
      <c r="AS48" s="314">
        <f>(AQ48-AP48)/AP48*100</f>
        <v>79.214330856706326</v>
      </c>
      <c r="AT48" s="12">
        <f>'JAN-23'!F47+'FEB -23'!F47+'MARCH -23 '!F47</f>
        <v>0.61291800000000007</v>
      </c>
      <c r="AU48" s="12">
        <f>'JAN-23'!G47+'FEB -23'!G47+'MARCH -23 '!G47</f>
        <v>4.6133420000000003</v>
      </c>
      <c r="AW48" s="12">
        <f t="shared" ref="AW48:AW49" si="31">AP48+AT48</f>
        <v>11.681063000000002</v>
      </c>
      <c r="AX48" s="12">
        <f t="shared" ref="AX48" si="32">AQ48+AU48</f>
        <v>24.449044000000001</v>
      </c>
    </row>
    <row r="49" spans="1:50" ht="16.5" x14ac:dyDescent="0.55000000000000004">
      <c r="A49" s="2387"/>
      <c r="B49" s="1606" t="s">
        <v>934</v>
      </c>
      <c r="C49" s="1524">
        <v>12.857975999999999</v>
      </c>
      <c r="D49" s="2066"/>
      <c r="E49" s="2066"/>
      <c r="F49" s="315">
        <f t="shared" si="30"/>
        <v>0.80608999999999997</v>
      </c>
      <c r="G49" s="315">
        <f t="shared" si="30"/>
        <v>0.95572299999999999</v>
      </c>
      <c r="H49" s="2029"/>
      <c r="I49" s="314">
        <f>(G49-F49)/F49*100</f>
        <v>18.562815566500021</v>
      </c>
      <c r="J49" s="84">
        <v>31105</v>
      </c>
      <c r="K49" s="1198"/>
      <c r="L49" s="1477">
        <f>(K48-J48)/J48*100</f>
        <v>9.7944875260211237</v>
      </c>
      <c r="M49" s="2388"/>
      <c r="N49" s="320" t="s">
        <v>931</v>
      </c>
      <c r="O49" s="1285">
        <v>12.857975999999999</v>
      </c>
      <c r="P49" s="2068"/>
      <c r="Q49" s="2066"/>
      <c r="R49" s="315">
        <f>F49+'NOV-2023'!R49</f>
        <v>9.4604499999999998</v>
      </c>
      <c r="S49" s="315">
        <f>G49+'NOV-2023'!S49</f>
        <v>9.7182250000000003</v>
      </c>
      <c r="T49" s="2029"/>
      <c r="U49" s="314">
        <f>(S49-R49)/R49*100</f>
        <v>2.7247646782129871</v>
      </c>
      <c r="V49" s="84"/>
      <c r="W49" s="1198"/>
      <c r="X49" s="1477">
        <f>(W48-V48)/V48*100</f>
        <v>25.230917332109769</v>
      </c>
      <c r="AK49" s="2388"/>
      <c r="AL49" s="320" t="s">
        <v>931</v>
      </c>
      <c r="AM49" s="1285">
        <v>12.857975999999999</v>
      </c>
      <c r="AN49" s="2068"/>
      <c r="AO49" s="2066"/>
      <c r="AP49" s="434">
        <v>12.981202</v>
      </c>
      <c r="AQ49" s="434">
        <v>12.827016</v>
      </c>
      <c r="AR49" s="2029"/>
      <c r="AS49" s="314">
        <f>(AQ49-AP49)/AP49*100</f>
        <v>-1.187763660098651</v>
      </c>
      <c r="AT49" s="12">
        <f>'JAN-23'!F48+'FEB -23'!F48+'MARCH -23 '!F48</f>
        <v>3.5207519999999999</v>
      </c>
      <c r="AU49" s="12">
        <f>'JAN-23'!G48+'FEB -23'!G48+'MARCH -23 '!G48</f>
        <v>3.1087910000000001</v>
      </c>
      <c r="AW49" s="12">
        <f t="shared" si="31"/>
        <v>16.501953999999998</v>
      </c>
      <c r="AX49" s="12">
        <f>AQ49+AU49</f>
        <v>15.935807</v>
      </c>
    </row>
    <row r="50" spans="1:50" ht="16.5" customHeight="1" x14ac:dyDescent="0.55000000000000004">
      <c r="A50" s="2387">
        <v>6</v>
      </c>
      <c r="B50" s="2021" t="s">
        <v>1022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8">
        <v>6</v>
      </c>
      <c r="N50" s="2021" t="s">
        <v>1022</v>
      </c>
      <c r="O50" s="2022"/>
      <c r="P50" s="2022"/>
      <c r="Q50" s="2022"/>
      <c r="R50" s="2022"/>
      <c r="S50" s="2022"/>
      <c r="T50" s="2022"/>
      <c r="U50" s="2023"/>
      <c r="V50" s="323">
        <f>R48+R47</f>
        <v>23.976558000000001</v>
      </c>
      <c r="W50" s="323">
        <f>S48+S47</f>
        <v>31.171531000000002</v>
      </c>
      <c r="X50" s="314">
        <f>(W50-V50)/V50*100</f>
        <v>30.008364837021229</v>
      </c>
      <c r="AK50" s="2388">
        <v>6</v>
      </c>
      <c r="AL50" s="2021" t="s">
        <v>1022</v>
      </c>
      <c r="AM50" s="2022"/>
      <c r="AN50" s="2022"/>
      <c r="AO50" s="2022"/>
      <c r="AP50" s="2022"/>
      <c r="AQ50" s="2022"/>
      <c r="AR50" s="2022"/>
      <c r="AS50" s="2023"/>
    </row>
    <row r="51" spans="1:50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190.16</v>
      </c>
      <c r="G51" s="313">
        <v>396.55</v>
      </c>
      <c r="H51" s="2027" t="s">
        <v>221</v>
      </c>
      <c r="I51" s="314">
        <f>(G51-F51)/F51*100</f>
        <v>108.53491796381995</v>
      </c>
      <c r="K51" s="84">
        <v>1.4243969999999999</v>
      </c>
      <c r="M51" s="2388"/>
      <c r="N51" s="2006" t="s">
        <v>36</v>
      </c>
      <c r="O51" s="2007"/>
      <c r="P51" s="2368">
        <v>0.55000000000000004</v>
      </c>
      <c r="Q51" s="2024" t="s">
        <v>221</v>
      </c>
      <c r="R51" s="313">
        <v>190.16</v>
      </c>
      <c r="S51" s="313">
        <v>396.55</v>
      </c>
      <c r="T51" s="2027"/>
      <c r="U51" s="314">
        <f>(S51-R51)/R51*100</f>
        <v>108.53491796381995</v>
      </c>
      <c r="AK51" s="2388"/>
      <c r="AL51" s="2006" t="s">
        <v>36</v>
      </c>
      <c r="AM51" s="2007"/>
      <c r="AN51" s="2368">
        <v>0.55000000000000004</v>
      </c>
      <c r="AO51" s="2024" t="s">
        <v>221</v>
      </c>
      <c r="AP51" s="313">
        <v>190.16</v>
      </c>
      <c r="AQ51" s="313">
        <v>396.55</v>
      </c>
      <c r="AR51" s="2027"/>
      <c r="AS51" s="314">
        <f>(AQ51-AP51)/AP51*100</f>
        <v>108.53491796381995</v>
      </c>
    </row>
    <row r="52" spans="1:50" ht="15.4" x14ac:dyDescent="0.4">
      <c r="A52" s="2387"/>
      <c r="B52" s="378" t="s">
        <v>37</v>
      </c>
      <c r="C52" s="1525"/>
      <c r="D52" s="2369"/>
      <c r="E52" s="2025"/>
      <c r="F52" s="313">
        <v>34.49</v>
      </c>
      <c r="G52" s="313">
        <v>23.2</v>
      </c>
      <c r="H52" s="2028"/>
      <c r="I52" s="314">
        <f>(G52-F52)/F52*100</f>
        <v>-32.734125833574957</v>
      </c>
      <c r="K52" s="84">
        <v>1.1149039999999999</v>
      </c>
      <c r="M52" s="2388"/>
      <c r="N52" s="2006" t="s">
        <v>37</v>
      </c>
      <c r="O52" s="2007"/>
      <c r="P52" s="2369"/>
      <c r="Q52" s="2025"/>
      <c r="R52" s="313">
        <v>34.49</v>
      </c>
      <c r="S52" s="313">
        <v>23.2</v>
      </c>
      <c r="T52" s="2028"/>
      <c r="U52" s="314">
        <f>(S52-R52)/R52*100</f>
        <v>-32.734125833574957</v>
      </c>
      <c r="AK52" s="2388"/>
      <c r="AL52" s="2006" t="s">
        <v>37</v>
      </c>
      <c r="AM52" s="2007"/>
      <c r="AN52" s="2369"/>
      <c r="AO52" s="2025"/>
      <c r="AP52" s="313">
        <v>34.49</v>
      </c>
      <c r="AQ52" s="313">
        <v>23.2</v>
      </c>
      <c r="AR52" s="2028"/>
      <c r="AS52" s="314">
        <f>(AQ52-AP52)/AP52*100</f>
        <v>-32.734125833574957</v>
      </c>
    </row>
    <row r="53" spans="1:50" ht="15.4" x14ac:dyDescent="0.4">
      <c r="A53" s="2387"/>
      <c r="B53" s="378" t="s">
        <v>38</v>
      </c>
      <c r="C53" s="1525"/>
      <c r="D53" s="2245"/>
      <c r="E53" s="2026"/>
      <c r="F53" s="313">
        <v>245.52</v>
      </c>
      <c r="G53" s="313">
        <f>SUM(G51:G52)</f>
        <v>419.75</v>
      </c>
      <c r="H53" s="2029"/>
      <c r="I53" s="314">
        <f>(G53-F53)/F53*100</f>
        <v>70.963668947539901</v>
      </c>
      <c r="K53" s="84">
        <v>1.0979049999999999</v>
      </c>
      <c r="M53" s="2388"/>
      <c r="N53" s="2006" t="s">
        <v>38</v>
      </c>
      <c r="O53" s="2007"/>
      <c r="P53" s="2245"/>
      <c r="Q53" s="2026"/>
      <c r="R53" s="313">
        <v>245.52</v>
      </c>
      <c r="S53" s="313">
        <f>SUM(S51:S52)</f>
        <v>419.75</v>
      </c>
      <c r="T53" s="2029"/>
      <c r="U53" s="314">
        <f>(S53-R53)/R53*100</f>
        <v>70.963668947539901</v>
      </c>
      <c r="AK53" s="2388"/>
      <c r="AL53" s="2006" t="s">
        <v>38</v>
      </c>
      <c r="AM53" s="2007"/>
      <c r="AN53" s="2245"/>
      <c r="AO53" s="2026"/>
      <c r="AP53" s="313">
        <v>245.52</v>
      </c>
      <c r="AQ53" s="313">
        <f>SUM(AQ51:AQ52)</f>
        <v>419.75</v>
      </c>
      <c r="AR53" s="2029"/>
      <c r="AS53" s="314">
        <f>(AQ53-AP53)/AP53*100</f>
        <v>70.963668947539901</v>
      </c>
    </row>
    <row r="54" spans="1:50" x14ac:dyDescent="0.4">
      <c r="B54" s="1748"/>
      <c r="C54" s="1810" t="s">
        <v>195</v>
      </c>
      <c r="D54" s="1810" t="s">
        <v>227</v>
      </c>
      <c r="E54" s="1811" t="s">
        <v>494</v>
      </c>
      <c r="F54" s="1740"/>
      <c r="G54" s="1810" t="s">
        <v>195</v>
      </c>
      <c r="H54" s="1810" t="s">
        <v>227</v>
      </c>
      <c r="I54" s="1811" t="s">
        <v>494</v>
      </c>
      <c r="N54" s="1740"/>
      <c r="O54" s="1810" t="s">
        <v>195</v>
      </c>
      <c r="P54" s="1810" t="s">
        <v>227</v>
      </c>
      <c r="Q54" s="1811" t="s">
        <v>494</v>
      </c>
      <c r="R54" s="1810"/>
      <c r="S54" s="1810" t="s">
        <v>195</v>
      </c>
      <c r="T54" s="1810" t="s">
        <v>227</v>
      </c>
      <c r="U54" s="1811" t="s">
        <v>494</v>
      </c>
    </row>
    <row r="55" spans="1:50" ht="15.75" x14ac:dyDescent="0.45">
      <c r="B55" s="1742" t="s">
        <v>989</v>
      </c>
      <c r="C55" s="1743">
        <f>F15+F16</f>
        <v>12.691236700000001</v>
      </c>
      <c r="D55" s="1743">
        <f>G15+G16</f>
        <v>13.602560799999999</v>
      </c>
      <c r="E55" s="1744">
        <f>(D55-C55)/C55*100</f>
        <v>7.1807351918666678</v>
      </c>
      <c r="F55" s="1745" t="s">
        <v>991</v>
      </c>
      <c r="G55" s="1745">
        <f>F48+F47</f>
        <v>2.7414290000000001</v>
      </c>
      <c r="H55" s="1745">
        <f>G48+G47</f>
        <v>2.726788</v>
      </c>
      <c r="I55" s="1744">
        <f>(H55-G55)/G55*100</f>
        <v>-0.53406453349695082</v>
      </c>
      <c r="N55" s="1742" t="s">
        <v>989</v>
      </c>
      <c r="O55" s="1743">
        <f>R15+R16</f>
        <v>88.611534199999994</v>
      </c>
      <c r="P55" s="1743">
        <f>S15+S16</f>
        <v>157.46971109999998</v>
      </c>
      <c r="Q55" s="1744">
        <f>(P55-O55)/O55*100</f>
        <v>77.70791638093543</v>
      </c>
      <c r="R55" s="1745" t="s">
        <v>991</v>
      </c>
      <c r="S55" s="1745">
        <f>R48+R47</f>
        <v>23.976558000000001</v>
      </c>
      <c r="T55" s="1745">
        <f>S48+S47</f>
        <v>31.171531000000002</v>
      </c>
      <c r="U55" s="1744">
        <f>(T55-S55)/S55*100</f>
        <v>30.008364837021229</v>
      </c>
      <c r="W55" s="12" t="e">
        <f>R56+R57</f>
        <v>#VALUE!</v>
      </c>
      <c r="X55" s="12">
        <f>S56+S57</f>
        <v>19.915677000000002</v>
      </c>
      <c r="Z55" s="314" t="e">
        <f>(X55-W55)/W55*100</f>
        <v>#VALUE!</v>
      </c>
    </row>
    <row r="56" spans="1:50" ht="15.75" x14ac:dyDescent="0.45">
      <c r="B56" s="1742" t="s">
        <v>990</v>
      </c>
      <c r="C56" s="1743">
        <f>F16+F17</f>
        <v>70.331674599999999</v>
      </c>
      <c r="D56" s="1743">
        <f>G16+G17</f>
        <v>83.682851799999995</v>
      </c>
      <c r="E56" s="1744">
        <f>(D56-C56)/C56*100</f>
        <v>18.983164094887051</v>
      </c>
      <c r="F56" s="1746" t="s">
        <v>992</v>
      </c>
      <c r="G56" s="1747">
        <f>F48+F49</f>
        <v>2.1343230000000002</v>
      </c>
      <c r="H56" s="1747">
        <f>G48+G49</f>
        <v>2.343369</v>
      </c>
      <c r="I56" s="1744">
        <f>(H56-G56)/G56*100</f>
        <v>9.7944875260211237</v>
      </c>
      <c r="J56" s="314"/>
      <c r="K56" s="5"/>
      <c r="N56" s="1742" t="s">
        <v>990</v>
      </c>
      <c r="O56" s="1743">
        <f>R16+R17</f>
        <v>720.10703029999991</v>
      </c>
      <c r="P56" s="1743">
        <f>S16+S17</f>
        <v>865.32807959999991</v>
      </c>
      <c r="Q56" s="1744">
        <f>(P56-O56)/O56*100</f>
        <v>20.166592352181347</v>
      </c>
      <c r="R56" s="1746" t="s">
        <v>992</v>
      </c>
      <c r="S56" s="1747">
        <f>R48+R49</f>
        <v>19.915677000000002</v>
      </c>
      <c r="T56" s="1747">
        <f>S48+S49</f>
        <v>24.940585000000002</v>
      </c>
      <c r="U56" s="1744">
        <f>(T56-S56)/S56*100</f>
        <v>25.230917332109769</v>
      </c>
    </row>
    <row r="57" spans="1:50" ht="15.75" x14ac:dyDescent="0.45">
      <c r="J57" s="35"/>
      <c r="L57" s="35"/>
      <c r="Q57" s="229"/>
      <c r="R57" s="12"/>
      <c r="S57" s="12"/>
      <c r="U57" s="314"/>
    </row>
    <row r="58" spans="1:50" x14ac:dyDescent="0.4">
      <c r="D58" s="1407"/>
      <c r="E58" s="1192">
        <v>44917</v>
      </c>
      <c r="F58" s="1192">
        <v>45283</v>
      </c>
      <c r="H58" s="1192">
        <f>E58</f>
        <v>44917</v>
      </c>
      <c r="I58" s="1192">
        <f>F58</f>
        <v>45283</v>
      </c>
      <c r="K58" s="84">
        <v>2.94</v>
      </c>
      <c r="R58" s="12">
        <f>SUM(R55:R57)</f>
        <v>0</v>
      </c>
      <c r="S58" s="12">
        <f>SUM(S55:S57)</f>
        <v>43.892234999999999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50" ht="15.75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S59" s="9" t="s">
        <v>152</v>
      </c>
      <c r="T59" s="1291">
        <f>E58</f>
        <v>44917</v>
      </c>
      <c r="U59" s="1291">
        <f>F58</f>
        <v>45283</v>
      </c>
      <c r="V59" s="26"/>
      <c r="W59" s="1291">
        <v>44958</v>
      </c>
      <c r="X59" s="1291">
        <v>44958</v>
      </c>
      <c r="Y59" s="26"/>
      <c r="Z59" s="1291">
        <f>T59</f>
        <v>44917</v>
      </c>
      <c r="AA59" s="1291">
        <f>X59</f>
        <v>44958</v>
      </c>
      <c r="AC59" s="5">
        <v>57578</v>
      </c>
      <c r="AD59" s="5">
        <v>76550</v>
      </c>
    </row>
    <row r="60" spans="1:50" ht="16.149999999999999" x14ac:dyDescent="0.55000000000000004">
      <c r="D60" s="1407" t="s">
        <v>94</v>
      </c>
      <c r="E60" s="1193">
        <f>H60/10000000</f>
        <v>0.83037729999999998</v>
      </c>
      <c r="F60" s="1193">
        <f>I60/10000000</f>
        <v>0.84228420000000004</v>
      </c>
      <c r="H60" s="598">
        <f>E152</f>
        <v>8303773</v>
      </c>
      <c r="I60" s="598">
        <f>E115</f>
        <v>8422842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50" ht="16.149999999999999" x14ac:dyDescent="0.55000000000000004">
      <c r="D61" s="1407" t="s">
        <v>502</v>
      </c>
      <c r="E61" s="1193">
        <f>H61/10000000</f>
        <v>11.860859400000001</v>
      </c>
      <c r="F61" s="1193">
        <f t="shared" ref="E61:F62" si="33">I61/10000000</f>
        <v>12.760276599999999</v>
      </c>
      <c r="H61" s="598">
        <f>G152</f>
        <v>118608594</v>
      </c>
      <c r="I61" s="598">
        <f>G115</f>
        <v>127602766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50" ht="16.899999999999999" thickBot="1" x14ac:dyDescent="0.6">
      <c r="D62" s="1407" t="s">
        <v>767</v>
      </c>
      <c r="E62" s="1193">
        <f t="shared" si="33"/>
        <v>58.470815199999997</v>
      </c>
      <c r="F62" s="1193">
        <f>I62/10000000</f>
        <v>70.922575199999997</v>
      </c>
      <c r="H62" s="1496">
        <f>I152</f>
        <v>584708152</v>
      </c>
      <c r="I62" s="1496">
        <f>I115</f>
        <v>709225752</v>
      </c>
      <c r="J62" s="1320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50" ht="16.5" x14ac:dyDescent="0.55000000000000004">
      <c r="E63" s="428"/>
      <c r="F63" s="428"/>
      <c r="J63" s="1215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50" ht="15.4" x14ac:dyDescent="0.4">
      <c r="E64" s="428"/>
      <c r="F64" s="428"/>
      <c r="I64" s="82">
        <f>J65/1000000</f>
        <v>0.23699999999999999</v>
      </c>
      <c r="K64" s="212"/>
      <c r="L64" s="1217"/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6.149999999999999" x14ac:dyDescent="0.55000000000000004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>
        <f>SUM(T60:T64)</f>
        <v>665125</v>
      </c>
      <c r="U65" s="26">
        <f t="shared" ref="U65:AA65" si="34">SUM(U60:U64)</f>
        <v>3363834</v>
      </c>
      <c r="W65" s="9">
        <f>SUM(W60:W64)</f>
        <v>1174725</v>
      </c>
      <c r="X65" s="9">
        <f t="shared" si="34"/>
        <v>7176648</v>
      </c>
      <c r="Y65" s="26"/>
      <c r="Z65" s="9">
        <f t="shared" si="34"/>
        <v>403700</v>
      </c>
      <c r="AA65" s="9">
        <f t="shared" si="34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6.149999999999999" x14ac:dyDescent="0.55000000000000004">
      <c r="D66" s="1407" t="s">
        <v>94</v>
      </c>
      <c r="E66" s="1193">
        <f>H66/1000000</f>
        <v>1.4131959999999999</v>
      </c>
      <c r="F66" s="1193">
        <f>I66/1000000</f>
        <v>1.3391420000000001</v>
      </c>
      <c r="H66" s="598">
        <f>D152</f>
        <v>1413196</v>
      </c>
      <c r="I66" s="598">
        <f>D115</f>
        <v>1339142</v>
      </c>
      <c r="J66" s="323">
        <f>H66/100000</f>
        <v>14.131959999999999</v>
      </c>
      <c r="K66" s="323">
        <f t="shared" ref="K66:K68" si="35">I66/100000</f>
        <v>13.39142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6.149999999999999" x14ac:dyDescent="0.55000000000000004">
      <c r="D67" s="1407" t="s">
        <v>502</v>
      </c>
      <c r="E67" s="1193">
        <f t="shared" ref="E67:F68" si="36">H67/1000000</f>
        <v>1.328233</v>
      </c>
      <c r="F67" s="1193">
        <f t="shared" si="36"/>
        <v>1.3876459999999999</v>
      </c>
      <c r="H67" s="598">
        <f>F152</f>
        <v>1328233</v>
      </c>
      <c r="I67" s="598">
        <f>F115</f>
        <v>1387646</v>
      </c>
      <c r="J67" s="323">
        <f>H67/100000</f>
        <v>13.28233</v>
      </c>
      <c r="K67" s="323">
        <f t="shared" si="35"/>
        <v>13.87646</v>
      </c>
      <c r="L67" s="491">
        <f>K66/100000</f>
        <v>1.3391419999999999E-4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6.149999999999999" x14ac:dyDescent="0.55000000000000004">
      <c r="D68" s="1407" t="s">
        <v>767</v>
      </c>
      <c r="E68" s="1193">
        <f t="shared" si="36"/>
        <v>0.80608999999999997</v>
      </c>
      <c r="F68" s="1193">
        <f>I68/1000000</f>
        <v>0.95572299999999999</v>
      </c>
      <c r="H68" s="1496">
        <f>H152</f>
        <v>806090</v>
      </c>
      <c r="I68" s="1496">
        <f>H115</f>
        <v>955723</v>
      </c>
      <c r="J68" s="323">
        <f>H68/100000</f>
        <v>8.0609000000000002</v>
      </c>
      <c r="K68" s="323">
        <f t="shared" si="35"/>
        <v>9.5572300000000006</v>
      </c>
      <c r="L68" s="491">
        <f>K67/100000</f>
        <v>1.387646E-4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J69" s="323"/>
      <c r="K69" s="212"/>
      <c r="L69" s="491">
        <f>K68/100000</f>
        <v>9.5572300000000007E-5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6.149999999999999" x14ac:dyDescent="0.55000000000000004">
      <c r="D71" s="1418" t="s">
        <v>436</v>
      </c>
      <c r="E71" s="134">
        <f>H71</f>
        <v>1.1892347000000001</v>
      </c>
      <c r="F71" s="134">
        <f>I71</f>
        <v>1.2621579000000001</v>
      </c>
      <c r="H71" s="1372">
        <f>J71/10000000</f>
        <v>1.1892347000000001</v>
      </c>
      <c r="I71" s="1372">
        <f>K71/10000000</f>
        <v>1.2621579000000001</v>
      </c>
      <c r="J71">
        <v>11892347</v>
      </c>
      <c r="K71">
        <v>12621579</v>
      </c>
      <c r="L71" s="1217"/>
      <c r="N71" s="755">
        <v>185546505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5">
        <f>66.07-3.11</f>
        <v>62.959999999999994</v>
      </c>
      <c r="D72" s="1418" t="s">
        <v>769</v>
      </c>
      <c r="E72" s="134">
        <f>J79/100</f>
        <v>1.6237000000000001</v>
      </c>
      <c r="F72" s="134">
        <f>K79/100</f>
        <v>1.8367999999999998</v>
      </c>
      <c r="H72" s="1263"/>
      <c r="I72" s="1263"/>
      <c r="J72" s="85"/>
      <c r="K72" s="134"/>
      <c r="L72" s="1217"/>
      <c r="N72" s="5">
        <v>8209935</v>
      </c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6.0299999999999999E-2</v>
      </c>
      <c r="F73" s="283">
        <f>K77/100</f>
        <v>7.7100000000000002E-2</v>
      </c>
      <c r="H73" s="1263"/>
      <c r="I73" s="1263"/>
      <c r="J73" s="283"/>
      <c r="K73" s="283"/>
      <c r="L73" s="1217"/>
      <c r="U73" s="1239"/>
      <c r="AB73" s="1239"/>
    </row>
    <row r="74" spans="3:30" ht="15.4" x14ac:dyDescent="0.45">
      <c r="D74" s="1418" t="s">
        <v>196</v>
      </c>
      <c r="E74" s="134">
        <f>H74/10000000</f>
        <v>0.19834399999999999</v>
      </c>
      <c r="F74" s="134">
        <f>I74/10000000</f>
        <v>0.209205</v>
      </c>
      <c r="H74" s="1578">
        <f>J152</f>
        <v>1983440</v>
      </c>
      <c r="I74" s="1578">
        <f>J115</f>
        <v>2092050</v>
      </c>
      <c r="J74" s="598"/>
      <c r="K74" s="210">
        <f>J116</f>
        <v>92080</v>
      </c>
      <c r="L74" s="1217"/>
      <c r="M74" s="1210"/>
      <c r="N74" s="12"/>
      <c r="O74" s="1132">
        <v>0.41666666666666669</v>
      </c>
      <c r="P74" s="1132">
        <v>0.61805555555555558</v>
      </c>
      <c r="Q74" s="1132">
        <f>P74-O74</f>
        <v>0.2013888888888889</v>
      </c>
      <c r="X74" s="5"/>
    </row>
    <row r="75" spans="3:30" ht="16.149999999999999" x14ac:dyDescent="0.55000000000000004">
      <c r="D75" s="1418" t="s">
        <v>123</v>
      </c>
      <c r="E75" s="425">
        <f>H75</f>
        <v>0.69250849999999997</v>
      </c>
      <c r="F75" s="425">
        <f>I75</f>
        <v>4.5686999999999998E-2</v>
      </c>
      <c r="H75" s="1372">
        <f>J75/10000000</f>
        <v>0.69250849999999997</v>
      </c>
      <c r="I75" s="1372">
        <f>K75/10000000</f>
        <v>4.5686999999999998E-2</v>
      </c>
      <c r="J75" s="210">
        <f>L152</f>
        <v>6925085</v>
      </c>
      <c r="K75" s="1498">
        <f>L115</f>
        <v>456870</v>
      </c>
    </row>
    <row r="76" spans="3:30" ht="16.149999999999999" x14ac:dyDescent="0.55000000000000004">
      <c r="D76" s="1418" t="s">
        <v>435</v>
      </c>
      <c r="E76" s="134">
        <f>H76/10000000</f>
        <v>3.2047327000000001</v>
      </c>
      <c r="F76" s="134">
        <f>I76/10000000</f>
        <v>3.7362441999999998</v>
      </c>
      <c r="H76" s="1578">
        <f>K152</f>
        <v>32047327</v>
      </c>
      <c r="I76" s="1578">
        <f>K115</f>
        <v>37362442</v>
      </c>
      <c r="J76" s="1498"/>
      <c r="K76" s="1499"/>
      <c r="N76" s="755"/>
    </row>
    <row r="77" spans="3:30" x14ac:dyDescent="0.4">
      <c r="D77" s="1417" t="s">
        <v>266</v>
      </c>
      <c r="E77" s="134">
        <f>H77/10000000</f>
        <v>5.4324999999999998E-3</v>
      </c>
      <c r="F77" s="134">
        <f>I77/10000000</f>
        <v>6.1449E-3</v>
      </c>
      <c r="H77" s="1224">
        <f>200+200+6975+225+45875+850</f>
        <v>54325</v>
      </c>
      <c r="I77" s="1224">
        <f>2000+7770+39695+8019+3150+815</f>
        <v>61449</v>
      </c>
      <c r="J77" s="85">
        <v>6.03</v>
      </c>
      <c r="K77" s="134">
        <v>7.71</v>
      </c>
    </row>
    <row r="78" spans="3:30" x14ac:dyDescent="0.4">
      <c r="E78" s="428"/>
      <c r="F78" s="428"/>
      <c r="J78" s="85">
        <v>168.4</v>
      </c>
      <c r="K78" s="85">
        <v>191.39</v>
      </c>
      <c r="L78" s="172">
        <f>J77/100</f>
        <v>6.0299999999999999E-2</v>
      </c>
    </row>
    <row r="79" spans="3:30" x14ac:dyDescent="0.4">
      <c r="E79" s="428"/>
      <c r="F79" s="428"/>
      <c r="J79" s="85">
        <f>J78-J77</f>
        <v>162.37</v>
      </c>
      <c r="K79" s="134">
        <f>K78-K77</f>
        <v>183.67999999999998</v>
      </c>
    </row>
    <row r="80" spans="3:30" x14ac:dyDescent="0.4">
      <c r="E80" s="428"/>
      <c r="F80" s="428"/>
      <c r="L80" s="172">
        <f>J79/100</f>
        <v>1.6237000000000001</v>
      </c>
    </row>
    <row r="81" spans="3:21" x14ac:dyDescent="0.4">
      <c r="C81" s="9"/>
      <c r="D81" s="235" t="s">
        <v>164</v>
      </c>
      <c r="E81" s="265" t="s">
        <v>710</v>
      </c>
      <c r="F81" s="29" t="s">
        <v>164</v>
      </c>
      <c r="G81" s="265" t="s">
        <v>710</v>
      </c>
      <c r="H81" s="29" t="s">
        <v>164</v>
      </c>
      <c r="I81" s="265" t="s">
        <v>710</v>
      </c>
      <c r="J81" s="29"/>
      <c r="K81" s="29"/>
      <c r="L81" s="1596"/>
    </row>
    <row r="82" spans="3:21" x14ac:dyDescent="0.4">
      <c r="C82" s="9"/>
      <c r="D82" s="235">
        <v>23</v>
      </c>
      <c r="E82" s="29">
        <v>23</v>
      </c>
      <c r="F82" s="29">
        <v>23</v>
      </c>
      <c r="G82" s="29">
        <v>23</v>
      </c>
      <c r="H82" s="29">
        <v>23</v>
      </c>
      <c r="I82" s="29">
        <v>23</v>
      </c>
      <c r="J82" s="29" t="s">
        <v>196</v>
      </c>
      <c r="K82" s="780">
        <v>23</v>
      </c>
      <c r="L82" s="1596"/>
    </row>
    <row r="83" spans="3:21" x14ac:dyDescent="0.4">
      <c r="C83" s="9"/>
      <c r="D83" s="1939" t="s">
        <v>795</v>
      </c>
      <c r="E83" s="1939"/>
      <c r="F83" s="1939" t="s">
        <v>796</v>
      </c>
      <c r="G83" s="1939"/>
      <c r="H83" s="1939" t="s">
        <v>797</v>
      </c>
      <c r="I83" s="1939"/>
      <c r="J83" s="29">
        <v>23</v>
      </c>
      <c r="K83" s="9" t="s">
        <v>882</v>
      </c>
      <c r="L83" s="1596" t="s">
        <v>123</v>
      </c>
      <c r="O83" s="5" t="s">
        <v>195</v>
      </c>
      <c r="P83" s="5" t="s">
        <v>227</v>
      </c>
    </row>
    <row r="84" spans="3:21" ht="16.149999999999999" x14ac:dyDescent="0.55000000000000004">
      <c r="C84" s="1239">
        <v>45261</v>
      </c>
      <c r="D84" s="1599"/>
      <c r="E84" s="1600"/>
      <c r="F84" s="224"/>
      <c r="G84" s="224"/>
      <c r="H84" s="1601"/>
      <c r="I84" s="1602"/>
      <c r="J84" s="1575"/>
      <c r="K84" s="1602"/>
      <c r="L84" s="1577"/>
      <c r="N84" s="378" t="s">
        <v>27</v>
      </c>
      <c r="O84" s="1449"/>
      <c r="P84" s="476">
        <v>905484</v>
      </c>
      <c r="Q84" s="27">
        <f>P84/10000000</f>
        <v>9.0548400000000001E-2</v>
      </c>
      <c r="R84" s="7"/>
      <c r="S84" s="1453"/>
      <c r="T84" s="828"/>
      <c r="U84" s="85"/>
    </row>
    <row r="85" spans="3:21" x14ac:dyDescent="0.4">
      <c r="C85" s="1239">
        <v>45262</v>
      </c>
      <c r="D85" s="1451"/>
      <c r="E85" s="476"/>
      <c r="F85" s="7"/>
      <c r="G85" s="7"/>
      <c r="H85" s="224"/>
      <c r="I85" s="1576"/>
      <c r="J85" s="1576"/>
      <c r="K85" s="1575"/>
      <c r="L85" s="1577"/>
      <c r="N85" s="378" t="s">
        <v>28</v>
      </c>
      <c r="O85" s="1451"/>
      <c r="P85" s="476">
        <v>358386</v>
      </c>
      <c r="Q85" s="27">
        <f t="shared" ref="Q85:Q86" si="37">P85/10000000</f>
        <v>3.5838599999999998E-2</v>
      </c>
      <c r="R85" s="7"/>
      <c r="S85" s="224"/>
      <c r="T85" s="1576"/>
      <c r="U85" s="1576"/>
    </row>
    <row r="86" spans="3:21" x14ac:dyDescent="0.4">
      <c r="C86" s="1239">
        <v>45263</v>
      </c>
      <c r="D86" s="1451"/>
      <c r="E86" s="476"/>
      <c r="F86" s="7"/>
      <c r="G86" s="7"/>
      <c r="H86" s="7"/>
      <c r="I86" s="210"/>
      <c r="J86" s="210"/>
      <c r="K86" s="85"/>
      <c r="L86" s="1297"/>
      <c r="N86" s="378" t="s">
        <v>224</v>
      </c>
      <c r="O86" s="1451"/>
      <c r="P86" s="476">
        <v>1459000</v>
      </c>
      <c r="Q86" s="27">
        <f t="shared" si="37"/>
        <v>0.1459</v>
      </c>
      <c r="R86" s="7"/>
      <c r="S86" s="7"/>
      <c r="T86" s="210"/>
      <c r="U86" s="210"/>
    </row>
    <row r="87" spans="3:21" x14ac:dyDescent="0.4">
      <c r="C87" s="1239">
        <v>45264</v>
      </c>
      <c r="D87" s="1451"/>
      <c r="E87" s="476"/>
      <c r="F87" s="7"/>
      <c r="G87" s="7"/>
      <c r="H87" s="7"/>
      <c r="I87" s="210"/>
      <c r="J87" s="210"/>
      <c r="K87" s="85"/>
      <c r="L87" s="1297"/>
      <c r="N87" s="378" t="s">
        <v>30</v>
      </c>
      <c r="O87" s="1451"/>
      <c r="P87" s="476"/>
      <c r="Q87" s="7"/>
      <c r="R87" s="7"/>
      <c r="S87" s="7"/>
      <c r="T87" s="210"/>
      <c r="U87" s="210"/>
    </row>
    <row r="88" spans="3:21" ht="16.5" thickBot="1" x14ac:dyDescent="0.6">
      <c r="C88" s="1239">
        <v>45265</v>
      </c>
      <c r="D88" s="1451"/>
      <c r="E88" s="476"/>
      <c r="F88" s="7"/>
      <c r="G88" s="7"/>
      <c r="H88" s="824"/>
      <c r="I88" s="755"/>
      <c r="J88" s="1604"/>
      <c r="K88" s="755"/>
      <c r="L88" s="1297"/>
      <c r="N88" s="378" t="s">
        <v>4</v>
      </c>
      <c r="O88" s="1451"/>
      <c r="P88" s="476"/>
      <c r="Q88" s="7"/>
      <c r="R88" s="7"/>
      <c r="S88" s="7"/>
      <c r="T88" s="210"/>
      <c r="U88" s="210"/>
    </row>
    <row r="89" spans="3:21" ht="16.5" thickBot="1" x14ac:dyDescent="0.6">
      <c r="C89" s="1239">
        <v>45266</v>
      </c>
      <c r="D89" s="1451"/>
      <c r="E89" s="476"/>
      <c r="F89" s="6"/>
      <c r="G89" s="6"/>
      <c r="H89" s="1255"/>
      <c r="I89" s="828"/>
      <c r="J89" s="1604"/>
      <c r="K89" s="755"/>
      <c r="L89" s="1297"/>
      <c r="O89" s="1451"/>
      <c r="P89" s="476"/>
      <c r="Q89" s="6"/>
      <c r="R89" s="6"/>
      <c r="S89" s="824"/>
      <c r="T89" s="755"/>
      <c r="U89" s="210"/>
    </row>
    <row r="90" spans="3:21" x14ac:dyDescent="0.4">
      <c r="C90" s="1239">
        <v>45267</v>
      </c>
      <c r="D90" s="1451"/>
      <c r="E90" s="476"/>
      <c r="F90" s="6"/>
      <c r="G90" s="6"/>
      <c r="H90" s="1461"/>
      <c r="I90" s="1460"/>
      <c r="J90" s="1593"/>
      <c r="K90" s="85"/>
      <c r="L90" s="1594"/>
    </row>
    <row r="91" spans="3:21" x14ac:dyDescent="0.4">
      <c r="C91" s="1239">
        <v>45268</v>
      </c>
      <c r="D91" s="1451"/>
      <c r="E91" s="476"/>
      <c r="F91" s="6"/>
      <c r="G91" s="6"/>
      <c r="H91" s="31"/>
      <c r="I91" s="79"/>
      <c r="J91" s="1593"/>
      <c r="K91" s="85"/>
      <c r="L91" s="1594"/>
    </row>
    <row r="92" spans="3:21" x14ac:dyDescent="0.4">
      <c r="C92" s="1239">
        <v>45269</v>
      </c>
      <c r="D92" s="1451"/>
      <c r="E92" s="476"/>
      <c r="F92" s="6"/>
      <c r="G92" s="6"/>
      <c r="H92" s="31"/>
      <c r="I92" s="79"/>
      <c r="J92" s="1593"/>
      <c r="K92" s="85"/>
      <c r="L92" s="1594"/>
    </row>
    <row r="93" spans="3:21" ht="16.149999999999999" x14ac:dyDescent="0.55000000000000004">
      <c r="C93" s="1239">
        <v>45270</v>
      </c>
      <c r="D93" s="1451">
        <v>577401</v>
      </c>
      <c r="E93" s="476">
        <v>3597020</v>
      </c>
      <c r="F93" s="6">
        <v>564624</v>
      </c>
      <c r="G93" s="6">
        <v>50005871</v>
      </c>
      <c r="H93" s="755">
        <v>413048</v>
      </c>
      <c r="I93" s="1319">
        <v>287009217</v>
      </c>
      <c r="J93" s="1593">
        <v>890330</v>
      </c>
      <c r="K93" s="84">
        <v>14356225</v>
      </c>
      <c r="L93" s="1594">
        <v>283380</v>
      </c>
      <c r="O93" s="41"/>
      <c r="P93" s="41"/>
      <c r="Q93" s="41"/>
      <c r="R93" s="41"/>
    </row>
    <row r="94" spans="3:21" ht="16.5" thickBot="1" x14ac:dyDescent="0.6">
      <c r="C94" s="1239">
        <v>45271</v>
      </c>
      <c r="D94" s="1451"/>
      <c r="E94" s="476"/>
      <c r="F94" s="6"/>
      <c r="G94" s="6"/>
      <c r="H94" s="1255"/>
      <c r="I94" s="828"/>
      <c r="J94" s="1593"/>
      <c r="K94" s="910"/>
      <c r="L94" s="1594"/>
      <c r="O94" s="41">
        <f>D103+F103</f>
        <v>1147559</v>
      </c>
      <c r="P94" s="41">
        <f>E103+G103</f>
        <v>57043308</v>
      </c>
      <c r="Q94" s="5">
        <f>H103</f>
        <v>0</v>
      </c>
      <c r="R94" s="5">
        <f>I103</f>
        <v>0</v>
      </c>
    </row>
    <row r="95" spans="3:21" ht="15.75" x14ac:dyDescent="0.4">
      <c r="C95" s="1239">
        <v>45272</v>
      </c>
      <c r="D95" s="1451"/>
      <c r="E95" s="476"/>
      <c r="F95" s="6"/>
      <c r="G95" s="6"/>
      <c r="H95" s="1255"/>
      <c r="I95" s="1453"/>
      <c r="J95" s="1593"/>
      <c r="K95" s="85"/>
      <c r="L95" s="1594"/>
      <c r="O95" s="41">
        <f>D116+F116</f>
        <v>113291</v>
      </c>
      <c r="P95" s="41">
        <f>E116+G116</f>
        <v>6476265</v>
      </c>
      <c r="Q95" s="41">
        <f>H116</f>
        <v>581268</v>
      </c>
      <c r="R95" s="41">
        <f>I116</f>
        <v>452927600</v>
      </c>
    </row>
    <row r="96" spans="3:21" ht="16.149999999999999" x14ac:dyDescent="0.55000000000000004">
      <c r="C96" s="1239">
        <v>45273</v>
      </c>
      <c r="D96" s="1451"/>
      <c r="E96" s="476"/>
      <c r="F96" s="6"/>
      <c r="G96" s="6"/>
      <c r="H96" s="828"/>
      <c r="I96" s="828"/>
      <c r="J96" s="1593"/>
      <c r="K96" s="1255"/>
      <c r="L96" s="1594"/>
    </row>
    <row r="97" spans="3:21" ht="16.5" thickBot="1" x14ac:dyDescent="0.6">
      <c r="C97" s="1239">
        <v>45274</v>
      </c>
      <c r="D97" s="1451"/>
      <c r="E97" s="1796"/>
      <c r="F97" s="234"/>
      <c r="G97" s="234"/>
      <c r="H97" s="755"/>
      <c r="I97" s="824"/>
      <c r="J97" s="1593"/>
      <c r="K97" s="755"/>
      <c r="L97" s="1594"/>
      <c r="O97" s="1599">
        <v>52681</v>
      </c>
      <c r="P97" s="1600">
        <v>314216</v>
      </c>
      <c r="Q97" s="224">
        <v>47645</v>
      </c>
      <c r="R97" s="224">
        <v>4894612</v>
      </c>
      <c r="S97" s="1601"/>
      <c r="T97" s="1602"/>
      <c r="U97" s="1575">
        <v>84820</v>
      </c>
    </row>
    <row r="98" spans="3:21" ht="16.5" thickBot="1" x14ac:dyDescent="0.6">
      <c r="C98" s="1239">
        <v>45275</v>
      </c>
      <c r="D98" s="1451"/>
      <c r="E98" s="476"/>
      <c r="F98" s="6"/>
      <c r="G98" s="6"/>
      <c r="H98" s="755"/>
      <c r="I98" s="755"/>
      <c r="J98" s="1593"/>
      <c r="K98" s="824"/>
      <c r="L98" s="1594"/>
      <c r="O98" s="1451">
        <v>53821</v>
      </c>
      <c r="P98" s="476">
        <v>323700</v>
      </c>
      <c r="Q98" s="7">
        <v>47979</v>
      </c>
      <c r="R98" s="7">
        <v>4746125</v>
      </c>
      <c r="S98" s="224"/>
      <c r="T98" s="1576"/>
      <c r="U98" s="1576">
        <v>82840</v>
      </c>
    </row>
    <row r="99" spans="3:21" ht="16.149999999999999" x14ac:dyDescent="0.55000000000000004">
      <c r="C99" s="1239">
        <v>45276</v>
      </c>
      <c r="D99" s="1451"/>
      <c r="E99" s="476"/>
      <c r="F99" s="6"/>
      <c r="G99" s="6"/>
      <c r="H99" s="828"/>
      <c r="I99" s="1453"/>
      <c r="J99" s="1593"/>
      <c r="K99" s="85"/>
      <c r="L99" s="1594"/>
      <c r="O99" s="1451">
        <v>56005</v>
      </c>
      <c r="P99" s="476">
        <v>337697</v>
      </c>
      <c r="Q99" s="7">
        <v>49409</v>
      </c>
      <c r="R99" s="7">
        <v>5129181</v>
      </c>
      <c r="S99" s="7"/>
      <c r="T99" s="210"/>
      <c r="U99" s="210">
        <v>78420</v>
      </c>
    </row>
    <row r="100" spans="3:21" ht="16.5" thickBot="1" x14ac:dyDescent="0.6">
      <c r="C100" s="1239">
        <v>45277</v>
      </c>
      <c r="D100" s="1451"/>
      <c r="E100" s="476"/>
      <c r="F100" s="6"/>
      <c r="G100" s="6"/>
      <c r="H100" s="824"/>
      <c r="I100" s="755"/>
      <c r="J100" s="1593"/>
      <c r="K100" s="755"/>
      <c r="L100" s="1594"/>
      <c r="O100" s="1451">
        <v>52127</v>
      </c>
      <c r="P100" s="476">
        <v>353318</v>
      </c>
      <c r="Q100" s="7">
        <v>54219</v>
      </c>
      <c r="R100" s="7">
        <v>5651697</v>
      </c>
      <c r="S100" s="7"/>
      <c r="T100" s="210"/>
      <c r="U100" s="210">
        <v>88230</v>
      </c>
    </row>
    <row r="101" spans="3:21" ht="16.5" thickBot="1" x14ac:dyDescent="0.6">
      <c r="C101" s="1239">
        <v>45278</v>
      </c>
      <c r="D101" s="1451"/>
      <c r="E101" s="476"/>
      <c r="F101" s="6"/>
      <c r="G101" s="6"/>
      <c r="H101" s="1255"/>
      <c r="I101" s="828"/>
      <c r="J101" s="1593"/>
      <c r="K101" s="828"/>
      <c r="L101" s="1594"/>
      <c r="O101" s="1451">
        <v>48621</v>
      </c>
      <c r="P101" s="476">
        <v>364051</v>
      </c>
      <c r="Q101" s="7">
        <v>54944</v>
      </c>
      <c r="R101" s="7">
        <v>6404635</v>
      </c>
      <c r="S101" s="824"/>
      <c r="T101" s="755"/>
      <c r="U101" s="1604">
        <v>104850</v>
      </c>
    </row>
    <row r="102" spans="3:21" x14ac:dyDescent="0.4">
      <c r="C102" s="1239">
        <v>45279</v>
      </c>
      <c r="D102" s="234"/>
      <c r="E102" s="476"/>
      <c r="F102" s="6"/>
      <c r="G102" s="6"/>
      <c r="H102" s="31"/>
      <c r="I102" s="79"/>
      <c r="J102" s="1593"/>
      <c r="K102" s="85"/>
      <c r="L102" s="1594"/>
    </row>
    <row r="103" spans="3:21" ht="16.5" thickBot="1" x14ac:dyDescent="0.6">
      <c r="C103" s="1239">
        <v>45280</v>
      </c>
      <c r="D103" s="1451">
        <v>572722</v>
      </c>
      <c r="E103" s="210">
        <v>3515264</v>
      </c>
      <c r="F103" s="7">
        <v>574837</v>
      </c>
      <c r="G103" s="7">
        <v>53528044</v>
      </c>
      <c r="H103" s="824"/>
      <c r="I103" s="755"/>
      <c r="J103" s="1593">
        <v>840180</v>
      </c>
      <c r="K103" s="755"/>
      <c r="L103" s="1594">
        <v>173490</v>
      </c>
    </row>
    <row r="104" spans="3:21" ht="16.5" thickBot="1" x14ac:dyDescent="0.6">
      <c r="C104" s="1239">
        <v>45281</v>
      </c>
      <c r="D104" s="1478">
        <v>60031</v>
      </c>
      <c r="E104" s="1479">
        <v>366544</v>
      </c>
      <c r="F104" s="1603">
        <v>56351</v>
      </c>
      <c r="G104" s="1603">
        <v>4866286</v>
      </c>
      <c r="H104" s="755"/>
      <c r="I104" s="755"/>
      <c r="J104" s="1593">
        <v>84750</v>
      </c>
      <c r="K104" s="824"/>
      <c r="L104" s="1594"/>
      <c r="O104" s="1449">
        <v>87082</v>
      </c>
      <c r="P104" s="476">
        <v>455322</v>
      </c>
      <c r="Q104" s="6"/>
      <c r="R104" s="6"/>
      <c r="S104" s="755"/>
      <c r="T104" s="755"/>
      <c r="U104" s="85">
        <v>97840</v>
      </c>
    </row>
    <row r="105" spans="3:21" ht="16.5" thickBot="1" x14ac:dyDescent="0.6">
      <c r="C105" s="1239">
        <v>45282</v>
      </c>
      <c r="D105" s="1451">
        <v>54767</v>
      </c>
      <c r="E105" s="476">
        <v>346939</v>
      </c>
      <c r="F105" s="85">
        <v>61440</v>
      </c>
      <c r="G105" s="85">
        <v>5877619</v>
      </c>
      <c r="H105" s="755"/>
      <c r="I105" s="824"/>
      <c r="J105" s="85">
        <v>79050</v>
      </c>
      <c r="K105" s="755"/>
      <c r="L105" s="1594"/>
      <c r="O105" s="1451">
        <v>71382</v>
      </c>
      <c r="P105" s="476">
        <v>391850</v>
      </c>
      <c r="Q105" s="6"/>
      <c r="R105" s="6"/>
      <c r="S105" s="31"/>
      <c r="T105" s="79"/>
      <c r="U105" s="85">
        <v>89880</v>
      </c>
    </row>
    <row r="106" spans="3:21" x14ac:dyDescent="0.4">
      <c r="C106" s="1239">
        <v>45283</v>
      </c>
      <c r="D106" s="1451">
        <v>47484</v>
      </c>
      <c r="E106" s="476">
        <v>344089</v>
      </c>
      <c r="F106" s="476">
        <v>68949</v>
      </c>
      <c r="G106" s="85">
        <v>6822178</v>
      </c>
      <c r="H106" s="31"/>
      <c r="I106" s="79"/>
      <c r="J106" s="85">
        <v>97970</v>
      </c>
      <c r="K106" s="85"/>
      <c r="L106" s="1297"/>
      <c r="O106" s="1451">
        <v>72756</v>
      </c>
      <c r="P106" s="476">
        <v>386616</v>
      </c>
      <c r="Q106" s="6"/>
      <c r="R106" s="6"/>
      <c r="S106" s="31"/>
      <c r="T106" s="79"/>
      <c r="U106" s="85">
        <v>91220</v>
      </c>
    </row>
    <row r="107" spans="3:21" ht="16.5" thickBot="1" x14ac:dyDescent="0.6">
      <c r="C107" s="1239">
        <v>45284</v>
      </c>
      <c r="D107" s="1451">
        <v>26737</v>
      </c>
      <c r="E107" s="476">
        <v>252986</v>
      </c>
      <c r="F107" s="85">
        <v>61445</v>
      </c>
      <c r="G107" s="85">
        <v>6502768</v>
      </c>
      <c r="H107" s="824">
        <v>542675</v>
      </c>
      <c r="I107" s="755">
        <v>422216535</v>
      </c>
      <c r="J107" s="85">
        <v>99770</v>
      </c>
      <c r="K107" s="755">
        <v>23006217</v>
      </c>
      <c r="L107" s="1297"/>
      <c r="O107" s="1451">
        <v>57734</v>
      </c>
      <c r="P107" s="476">
        <v>327554</v>
      </c>
      <c r="Q107" s="6"/>
      <c r="R107" s="6"/>
      <c r="S107" s="31"/>
      <c r="T107" s="79"/>
      <c r="U107" s="85">
        <v>83100</v>
      </c>
    </row>
    <row r="108" spans="3:21" ht="16.5" thickBot="1" x14ac:dyDescent="0.6">
      <c r="C108" s="1239">
        <v>45285</v>
      </c>
      <c r="D108" s="1454"/>
      <c r="E108" s="1243"/>
      <c r="F108" s="1243"/>
      <c r="G108" s="1243"/>
      <c r="H108" s="755"/>
      <c r="I108" s="1228"/>
      <c r="J108" s="85"/>
      <c r="K108" s="755"/>
      <c r="L108" s="1297"/>
      <c r="O108" s="1451">
        <v>51377</v>
      </c>
      <c r="P108" s="476">
        <v>343313</v>
      </c>
      <c r="Q108" s="6"/>
      <c r="R108" s="6"/>
      <c r="S108" s="824"/>
      <c r="T108" s="755"/>
      <c r="U108" s="85">
        <v>100280</v>
      </c>
    </row>
    <row r="109" spans="3:21" x14ac:dyDescent="0.4">
      <c r="C109" s="1239">
        <v>45286</v>
      </c>
      <c r="D109" s="1407"/>
      <c r="E109" s="476"/>
      <c r="F109" s="85"/>
      <c r="G109" s="85"/>
      <c r="H109" s="31"/>
      <c r="I109" s="79"/>
      <c r="J109" s="1243"/>
      <c r="K109" s="85"/>
      <c r="L109" s="1297"/>
    </row>
    <row r="110" spans="3:21" ht="16.149999999999999" x14ac:dyDescent="0.55000000000000004">
      <c r="C110" s="1239">
        <v>45287</v>
      </c>
      <c r="D110" s="1407"/>
      <c r="E110" s="476"/>
      <c r="F110" s="85"/>
      <c r="G110" s="85"/>
      <c r="H110" s="755"/>
      <c r="I110" s="755"/>
      <c r="J110" s="85"/>
      <c r="K110" s="755"/>
      <c r="L110" s="1297"/>
    </row>
    <row r="111" spans="3:21" ht="16.5" thickBot="1" x14ac:dyDescent="0.6">
      <c r="C111" s="1239">
        <v>45288</v>
      </c>
      <c r="D111" s="1407"/>
      <c r="E111" s="476"/>
      <c r="F111" s="6"/>
      <c r="G111" s="6"/>
      <c r="H111" s="824"/>
      <c r="I111" s="910"/>
      <c r="J111" s="85"/>
      <c r="K111" s="755"/>
      <c r="L111" s="1297"/>
    </row>
    <row r="112" spans="3:21" x14ac:dyDescent="0.4">
      <c r="C112" s="1239">
        <v>45289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34" ht="16.149999999999999" thickBot="1" x14ac:dyDescent="0.45">
      <c r="C113" s="1239">
        <v>45290</v>
      </c>
      <c r="D113" s="1407"/>
      <c r="E113" s="476"/>
      <c r="F113" s="6"/>
      <c r="G113" s="6"/>
      <c r="H113" s="824"/>
      <c r="I113" s="824"/>
      <c r="J113" s="85"/>
      <c r="K113" s="824"/>
      <c r="L113" s="1297"/>
    </row>
    <row r="114" spans="1:34" x14ac:dyDescent="0.4">
      <c r="C114" s="1239">
        <v>45291</v>
      </c>
      <c r="D114" s="1455"/>
      <c r="E114" s="277"/>
      <c r="F114" s="44"/>
      <c r="G114" s="44"/>
      <c r="H114" s="1456"/>
      <c r="I114" s="278"/>
      <c r="J114" s="85"/>
      <c r="K114" s="1448"/>
      <c r="L114" s="1297"/>
    </row>
    <row r="115" spans="1:34" ht="13.9" x14ac:dyDescent="0.35">
      <c r="C115" s="1239">
        <v>45292</v>
      </c>
      <c r="D115" s="1462">
        <f>SUM(D84:D114)</f>
        <v>1339142</v>
      </c>
      <c r="E115" s="1462">
        <f t="shared" ref="E115:K115" si="38">SUM(E84:E114)</f>
        <v>8422842</v>
      </c>
      <c r="F115" s="1462">
        <f t="shared" si="38"/>
        <v>1387646</v>
      </c>
      <c r="G115" s="1462">
        <f>SUM(G84:G114)</f>
        <v>127602766</v>
      </c>
      <c r="H115" s="1462">
        <f>SUM(H84:H114)</f>
        <v>955723</v>
      </c>
      <c r="I115" s="1462">
        <f>SUM(I84:I114)</f>
        <v>709225752</v>
      </c>
      <c r="J115" s="1462">
        <f>SUM(J84:J114)</f>
        <v>2092050</v>
      </c>
      <c r="K115" s="1462">
        <f t="shared" si="38"/>
        <v>37362442</v>
      </c>
      <c r="L115" s="1462">
        <f>SUM(L84:L114)</f>
        <v>456870</v>
      </c>
      <c r="M115" s="1462">
        <f t="shared" ref="M115" si="39">SUM(M84:M114)</f>
        <v>0</v>
      </c>
      <c r="P115" s="41">
        <f>E115+G115</f>
        <v>136025608</v>
      </c>
    </row>
    <row r="116" spans="1:34" ht="16.149999999999999" x14ac:dyDescent="0.55000000000000004">
      <c r="C116" s="1239">
        <v>45224</v>
      </c>
      <c r="D116" s="1454">
        <v>49558</v>
      </c>
      <c r="E116" s="1243">
        <v>357231</v>
      </c>
      <c r="F116" s="1243">
        <v>63733</v>
      </c>
      <c r="G116" s="1243">
        <v>6119034</v>
      </c>
      <c r="H116" s="755">
        <v>581268</v>
      </c>
      <c r="I116" s="1228">
        <v>452927600</v>
      </c>
      <c r="J116" s="85">
        <v>92080</v>
      </c>
      <c r="K116" s="755">
        <v>24600921</v>
      </c>
    </row>
    <row r="117" spans="1:34" x14ac:dyDescent="0.4">
      <c r="L117" s="1297"/>
    </row>
    <row r="118" spans="1:34" s="172" customFormat="1" x14ac:dyDescent="0.4">
      <c r="A118" s="1235"/>
      <c r="B118" s="300"/>
      <c r="C118" s="9"/>
      <c r="D118" s="235" t="s">
        <v>164</v>
      </c>
      <c r="E118" s="265" t="s">
        <v>710</v>
      </c>
      <c r="F118" s="29" t="s">
        <v>164</v>
      </c>
      <c r="G118" s="265" t="s">
        <v>710</v>
      </c>
      <c r="H118" s="29" t="s">
        <v>164</v>
      </c>
      <c r="I118" s="265" t="s">
        <v>710</v>
      </c>
      <c r="J118" s="29" t="s">
        <v>196</v>
      </c>
      <c r="K118" s="1592"/>
      <c r="L118" s="1596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 s="172" customFormat="1" x14ac:dyDescent="0.4">
      <c r="A119" s="1235"/>
      <c r="B119" s="300"/>
      <c r="C119" s="9"/>
      <c r="D119" s="235">
        <v>22</v>
      </c>
      <c r="E119" s="29">
        <v>22</v>
      </c>
      <c r="F119" s="29">
        <v>22</v>
      </c>
      <c r="G119" s="29">
        <v>22</v>
      </c>
      <c r="H119" s="29">
        <v>22</v>
      </c>
      <c r="I119" s="29">
        <v>22</v>
      </c>
      <c r="J119" s="29">
        <v>22</v>
      </c>
      <c r="K119" s="1597">
        <v>22</v>
      </c>
      <c r="L119" s="1596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 s="172" customFormat="1" x14ac:dyDescent="0.4">
      <c r="A120" s="1235"/>
      <c r="B120" s="300"/>
      <c r="C120" s="9"/>
      <c r="D120" s="1939" t="s">
        <v>795</v>
      </c>
      <c r="E120" s="1939"/>
      <c r="F120" s="1939" t="s">
        <v>796</v>
      </c>
      <c r="G120" s="1939"/>
      <c r="H120" s="1939" t="s">
        <v>797</v>
      </c>
      <c r="I120" s="1939"/>
      <c r="J120" s="9" t="s">
        <v>196</v>
      </c>
      <c r="K120" s="1598" t="s">
        <v>435</v>
      </c>
      <c r="L120" s="1596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 s="172" customFormat="1" ht="16.149999999999999" x14ac:dyDescent="0.55000000000000004">
      <c r="A121" s="1235"/>
      <c r="B121" s="300"/>
      <c r="C121" s="1261">
        <v>44835</v>
      </c>
      <c r="D121" s="1449"/>
      <c r="E121" s="476"/>
      <c r="F121" s="6"/>
      <c r="G121" s="6"/>
      <c r="H121" s="755"/>
      <c r="I121" s="755"/>
      <c r="J121" s="85"/>
      <c r="K121" s="1255"/>
      <c r="L121" s="1297"/>
      <c r="M121" s="1209"/>
      <c r="N121" s="5"/>
      <c r="O121" s="1449">
        <v>64100</v>
      </c>
      <c r="P121" s="476">
        <v>352606</v>
      </c>
      <c r="Q121" s="6">
        <v>50287</v>
      </c>
      <c r="R121" s="6">
        <v>3243776</v>
      </c>
      <c r="S121" s="755"/>
      <c r="T121" s="755"/>
      <c r="U121" s="85">
        <v>72390</v>
      </c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 s="172" customFormat="1" x14ac:dyDescent="0.4">
      <c r="A122" s="1235"/>
      <c r="B122" s="300"/>
      <c r="C122" s="1261">
        <v>44836</v>
      </c>
      <c r="D122" s="1451"/>
      <c r="E122" s="476"/>
      <c r="F122" s="6"/>
      <c r="G122" s="6"/>
      <c r="H122" s="31"/>
      <c r="I122" s="79"/>
      <c r="J122" s="85"/>
      <c r="K122" s="85"/>
      <c r="L122" s="1297"/>
      <c r="M122" s="1209"/>
      <c r="N122" s="5"/>
      <c r="O122" s="1451">
        <v>47455</v>
      </c>
      <c r="P122" s="476">
        <v>274841</v>
      </c>
      <c r="Q122" s="6">
        <v>37882</v>
      </c>
      <c r="R122" s="6">
        <v>2992313</v>
      </c>
      <c r="S122" s="31"/>
      <c r="T122" s="79"/>
      <c r="U122" s="85">
        <v>71700</v>
      </c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 s="172" customFormat="1" x14ac:dyDescent="0.4">
      <c r="A123" s="1235"/>
      <c r="B123" s="300"/>
      <c r="C123" s="1261">
        <v>44837</v>
      </c>
      <c r="D123" s="1451"/>
      <c r="E123" s="476"/>
      <c r="F123" s="6"/>
      <c r="G123" s="6"/>
      <c r="H123" s="31"/>
      <c r="I123" s="79"/>
      <c r="J123" s="85"/>
      <c r="K123" s="85"/>
      <c r="L123" s="1297"/>
      <c r="M123" s="1209"/>
      <c r="N123" s="5"/>
      <c r="O123" s="1451">
        <v>51343</v>
      </c>
      <c r="P123" s="476">
        <v>284320</v>
      </c>
      <c r="Q123" s="6">
        <v>35510</v>
      </c>
      <c r="R123" s="6">
        <v>2980113</v>
      </c>
      <c r="S123" s="31"/>
      <c r="T123" s="79"/>
      <c r="U123" s="85">
        <v>70770</v>
      </c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 s="172" customFormat="1" x14ac:dyDescent="0.4">
      <c r="A124" s="1235"/>
      <c r="B124" s="300"/>
      <c r="C124" s="1261">
        <v>44838</v>
      </c>
      <c r="D124" s="1451"/>
      <c r="E124" s="476"/>
      <c r="F124" s="6"/>
      <c r="G124" s="6"/>
      <c r="H124" s="31"/>
      <c r="I124" s="79"/>
      <c r="J124" s="85"/>
      <c r="K124" s="85"/>
      <c r="L124" s="1297"/>
      <c r="M124" s="1209"/>
      <c r="N124" s="5"/>
      <c r="O124" s="1451">
        <v>50716</v>
      </c>
      <c r="P124" s="476">
        <v>287532</v>
      </c>
      <c r="Q124" s="6">
        <v>39138</v>
      </c>
      <c r="R124" s="6">
        <v>2848582</v>
      </c>
      <c r="S124" s="31"/>
      <c r="T124" s="79"/>
      <c r="U124" s="85">
        <v>70340</v>
      </c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 s="172" customFormat="1" ht="16.5" thickBot="1" x14ac:dyDescent="0.6">
      <c r="A125" s="1235"/>
      <c r="B125" s="300"/>
      <c r="C125" s="1261">
        <v>44839</v>
      </c>
      <c r="D125" s="1451"/>
      <c r="E125" s="476"/>
      <c r="F125" s="6"/>
      <c r="G125" s="6"/>
      <c r="H125" s="824"/>
      <c r="I125" s="755"/>
      <c r="J125" s="85"/>
      <c r="K125" s="755"/>
      <c r="L125" s="1297"/>
      <c r="M125" s="1209"/>
      <c r="N125" s="5"/>
      <c r="O125" s="1451">
        <v>46074</v>
      </c>
      <c r="P125" s="476">
        <v>269365</v>
      </c>
      <c r="Q125" s="6">
        <v>35823</v>
      </c>
      <c r="R125" s="6">
        <v>3069600</v>
      </c>
      <c r="S125" s="31"/>
      <c r="T125" s="79"/>
      <c r="U125" s="85">
        <v>61840</v>
      </c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 s="172" customFormat="1" ht="16.5" thickBot="1" x14ac:dyDescent="0.6">
      <c r="A126" s="1235"/>
      <c r="B126" s="300"/>
      <c r="C126" s="1261">
        <v>44840</v>
      </c>
      <c r="D126" s="1451"/>
      <c r="E126" s="476"/>
      <c r="F126" s="6"/>
      <c r="G126" s="6"/>
      <c r="H126" s="1255"/>
      <c r="I126" s="828"/>
      <c r="J126" s="85"/>
      <c r="K126" s="1255"/>
      <c r="L126" s="1297"/>
      <c r="M126" s="1209"/>
      <c r="N126" s="5"/>
      <c r="O126" s="1451">
        <v>44550</v>
      </c>
      <c r="P126" s="476">
        <v>324802</v>
      </c>
      <c r="Q126" s="6">
        <v>36929</v>
      </c>
      <c r="R126" s="6">
        <v>3450395</v>
      </c>
      <c r="S126" s="824"/>
      <c r="T126" s="755"/>
      <c r="U126" s="85">
        <v>79260</v>
      </c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 s="172" customFormat="1" ht="15.75" x14ac:dyDescent="0.5">
      <c r="A127" s="1235"/>
      <c r="B127" s="300"/>
      <c r="C127" s="1261">
        <v>44841</v>
      </c>
      <c r="D127" s="1451"/>
      <c r="E127" s="476"/>
      <c r="F127" s="6"/>
      <c r="G127" s="6"/>
      <c r="H127" s="7"/>
      <c r="I127" s="1459"/>
      <c r="J127" s="85"/>
      <c r="K127" s="1277"/>
      <c r="L127" s="1594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 s="172" customFormat="1" x14ac:dyDescent="0.4">
      <c r="A128" s="1235"/>
      <c r="B128" s="300"/>
      <c r="C128" s="1261">
        <v>44842</v>
      </c>
      <c r="D128" s="1451"/>
      <c r="E128" s="476"/>
      <c r="F128" s="6"/>
      <c r="G128" s="6"/>
      <c r="H128" s="31"/>
      <c r="I128" s="79"/>
      <c r="J128" s="85"/>
      <c r="K128" s="85"/>
      <c r="L128" s="1594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261">
        <v>44843</v>
      </c>
      <c r="D129" s="1451"/>
      <c r="E129" s="476"/>
      <c r="F129" s="6"/>
      <c r="G129" s="6"/>
      <c r="H129" s="31"/>
      <c r="I129" s="79"/>
      <c r="J129" s="85"/>
      <c r="K129" s="85"/>
      <c r="L129" s="1594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6.5" thickBot="1" x14ac:dyDescent="0.6">
      <c r="A130" s="1235"/>
      <c r="B130" s="300"/>
      <c r="C130" s="1261">
        <v>44844</v>
      </c>
      <c r="D130" s="1451">
        <v>630644</v>
      </c>
      <c r="E130" s="476">
        <v>3643512</v>
      </c>
      <c r="F130" s="6">
        <v>553192</v>
      </c>
      <c r="G130" s="6">
        <v>46308964</v>
      </c>
      <c r="H130" s="755">
        <v>345083</v>
      </c>
      <c r="I130" s="1821">
        <v>239709360</v>
      </c>
      <c r="J130" s="85">
        <v>806890</v>
      </c>
      <c r="K130" s="824">
        <v>12419491</v>
      </c>
      <c r="L130" s="1297">
        <v>1156230</v>
      </c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6.149999999999999" x14ac:dyDescent="0.55000000000000004">
      <c r="A131" s="1235"/>
      <c r="B131" s="300"/>
      <c r="C131" s="1261">
        <v>44845</v>
      </c>
      <c r="D131" s="1451"/>
      <c r="E131" s="476"/>
      <c r="F131" s="6"/>
      <c r="G131" s="6"/>
      <c r="H131" s="1255"/>
      <c r="I131" s="1255"/>
      <c r="J131" s="1593"/>
      <c r="K131" s="755"/>
      <c r="L131" s="1297"/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6.149999999999999" x14ac:dyDescent="0.55000000000000004">
      <c r="A132" s="1235"/>
      <c r="B132" s="300"/>
      <c r="C132" s="1261">
        <v>44846</v>
      </c>
      <c r="D132" s="1451"/>
      <c r="E132" s="476"/>
      <c r="F132" s="6"/>
      <c r="G132" s="6"/>
      <c r="H132" s="828"/>
      <c r="I132" s="828"/>
      <c r="J132" s="1593"/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ht="15.75" x14ac:dyDescent="0.4">
      <c r="A133" s="1235"/>
      <c r="B133" s="300"/>
      <c r="C133" s="1261">
        <v>44847</v>
      </c>
      <c r="D133" s="1451"/>
      <c r="E133" s="476"/>
      <c r="F133" s="6"/>
      <c r="G133" s="6"/>
      <c r="H133" s="1255"/>
      <c r="I133" s="1255"/>
      <c r="J133" s="1593"/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6.5" thickBot="1" x14ac:dyDescent="0.6">
      <c r="A134" s="1235"/>
      <c r="B134" s="300"/>
      <c r="C134" s="1261">
        <v>44848</v>
      </c>
      <c r="D134" s="1451"/>
      <c r="E134" s="476"/>
      <c r="F134" s="6"/>
      <c r="G134" s="6"/>
      <c r="H134" s="910"/>
      <c r="I134" s="755"/>
      <c r="J134" s="1593"/>
      <c r="K134" s="824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ht="16.5" thickBot="1" x14ac:dyDescent="0.6">
      <c r="A135" s="1235"/>
      <c r="B135" s="300"/>
      <c r="C135" s="1261">
        <v>44849</v>
      </c>
      <c r="D135" s="1452"/>
      <c r="E135" s="476"/>
      <c r="F135" s="6"/>
      <c r="G135" s="6"/>
      <c r="H135" s="824"/>
      <c r="I135" s="755"/>
      <c r="J135" s="1593"/>
      <c r="K135" s="755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6.149999999999999" x14ac:dyDescent="0.55000000000000004">
      <c r="A136" s="1235"/>
      <c r="B136" s="300"/>
      <c r="C136" s="1261">
        <v>44850</v>
      </c>
      <c r="D136" s="1452"/>
      <c r="E136" s="476"/>
      <c r="F136" s="6"/>
      <c r="G136" s="6"/>
      <c r="H136" s="828"/>
      <c r="I136" s="828"/>
      <c r="J136" s="1593"/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261">
        <v>44851</v>
      </c>
      <c r="D137" s="1452"/>
      <c r="E137" s="476"/>
      <c r="F137" s="6"/>
      <c r="G137" s="6"/>
      <c r="H137" s="31"/>
      <c r="I137" s="79"/>
      <c r="J137" s="85"/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6.149999999999999" x14ac:dyDescent="0.55000000000000004">
      <c r="A138" s="1235"/>
      <c r="B138" s="300"/>
      <c r="C138" s="1261">
        <v>44852</v>
      </c>
      <c r="D138" s="1452"/>
      <c r="E138" s="476"/>
      <c r="F138" s="6"/>
      <c r="G138" s="6"/>
      <c r="H138" s="1255"/>
      <c r="I138" s="828"/>
      <c r="J138" s="85"/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x14ac:dyDescent="0.4">
      <c r="A139" s="1235"/>
      <c r="B139" s="300"/>
      <c r="C139" s="1261">
        <v>44853</v>
      </c>
      <c r="D139" s="1452"/>
      <c r="E139" s="476"/>
      <c r="F139" s="6"/>
      <c r="G139" s="6"/>
      <c r="H139" s="186"/>
      <c r="I139" s="1591"/>
      <c r="J139" s="85"/>
      <c r="K139" s="1488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ht="16.5" thickBot="1" x14ac:dyDescent="0.6">
      <c r="A140" s="1235"/>
      <c r="B140" s="300"/>
      <c r="C140" s="1261">
        <v>44854</v>
      </c>
      <c r="D140" s="1451">
        <v>592087</v>
      </c>
      <c r="E140" s="210">
        <v>3489875</v>
      </c>
      <c r="F140" s="7">
        <v>577070</v>
      </c>
      <c r="G140" s="7">
        <v>52840346</v>
      </c>
      <c r="H140" s="755">
        <v>337294</v>
      </c>
      <c r="I140" s="755">
        <v>246257082</v>
      </c>
      <c r="J140" s="210">
        <v>842520</v>
      </c>
      <c r="K140" s="910">
        <v>13501609</v>
      </c>
      <c r="L140" s="1488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6.149999999999999" x14ac:dyDescent="0.55000000000000004">
      <c r="A141" s="1235"/>
      <c r="B141" s="300"/>
      <c r="C141" s="1261">
        <v>44855</v>
      </c>
      <c r="D141" s="1451">
        <v>57896</v>
      </c>
      <c r="E141" s="210">
        <v>329828</v>
      </c>
      <c r="F141" s="7">
        <v>52217</v>
      </c>
      <c r="G141" s="7">
        <v>4748752</v>
      </c>
      <c r="H141" s="755"/>
      <c r="I141" s="755"/>
      <c r="J141" s="1593">
        <v>81010</v>
      </c>
      <c r="K141" s="755"/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6.149999999999999" x14ac:dyDescent="0.55000000000000004">
      <c r="A142" s="1235"/>
      <c r="B142" s="300"/>
      <c r="C142" s="1261">
        <v>44856</v>
      </c>
      <c r="D142" s="1407">
        <v>53661</v>
      </c>
      <c r="E142" s="33">
        <v>302239</v>
      </c>
      <c r="F142" s="6">
        <v>45894</v>
      </c>
      <c r="G142" s="6">
        <v>4530912</v>
      </c>
      <c r="H142" s="755"/>
      <c r="I142" s="755"/>
      <c r="J142" s="1593">
        <v>85900</v>
      </c>
      <c r="K142" s="755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261">
        <v>44857</v>
      </c>
      <c r="D143" s="1407">
        <v>36318</v>
      </c>
      <c r="E143" s="33">
        <v>231329</v>
      </c>
      <c r="F143" s="6">
        <v>47777</v>
      </c>
      <c r="G143" s="6">
        <v>4727711</v>
      </c>
      <c r="H143" s="31"/>
      <c r="I143" s="79"/>
      <c r="J143" s="1593">
        <v>73310</v>
      </c>
      <c r="K143" s="1488"/>
      <c r="L143" s="1297">
        <v>5768855</v>
      </c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ht="16.5" thickBot="1" x14ac:dyDescent="0.6">
      <c r="A144" s="1235"/>
      <c r="B144" s="300"/>
      <c r="C144" s="1261">
        <v>44858</v>
      </c>
      <c r="D144" s="1454">
        <v>42590</v>
      </c>
      <c r="E144" s="1243">
        <v>306990</v>
      </c>
      <c r="F144" s="1246">
        <v>52083</v>
      </c>
      <c r="G144" s="1246">
        <v>5451909</v>
      </c>
      <c r="H144" s="755">
        <v>123713</v>
      </c>
      <c r="I144" s="755">
        <v>98741710</v>
      </c>
      <c r="J144" s="1595">
        <v>93810</v>
      </c>
      <c r="K144" s="824">
        <v>6126227</v>
      </c>
      <c r="L144" s="1297">
        <v>0</v>
      </c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 s="172" customFormat="1" ht="16.5" thickBot="1" x14ac:dyDescent="0.6">
      <c r="A145" s="1235"/>
      <c r="B145" s="300"/>
      <c r="C145" s="1261">
        <v>44859</v>
      </c>
      <c r="D145" s="1407"/>
      <c r="E145" s="33"/>
      <c r="F145" s="6"/>
      <c r="G145" s="6"/>
      <c r="H145" s="824"/>
      <c r="I145" s="824"/>
      <c r="J145" s="1593"/>
      <c r="K145" s="755"/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 x14ac:dyDescent="0.4">
      <c r="C146" s="1261">
        <v>44860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34" x14ac:dyDescent="0.4">
      <c r="C147" s="1261">
        <v>44861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34" x14ac:dyDescent="0.4">
      <c r="C148" s="1261">
        <v>44862</v>
      </c>
      <c r="D148" s="1407"/>
      <c r="E148" s="33"/>
      <c r="F148" s="6"/>
      <c r="G148" s="6"/>
      <c r="H148" s="31"/>
      <c r="I148" s="79"/>
      <c r="J148" s="85"/>
      <c r="K148" s="1488"/>
      <c r="L148" s="1297"/>
    </row>
    <row r="149" spans="1:34" x14ac:dyDescent="0.4">
      <c r="C149" s="1261">
        <v>44863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34" x14ac:dyDescent="0.4">
      <c r="C150" s="1261">
        <v>44864</v>
      </c>
      <c r="D150" s="1407"/>
      <c r="E150" s="33"/>
      <c r="F150" s="6"/>
      <c r="G150" s="6"/>
      <c r="H150" s="31"/>
      <c r="I150" s="79"/>
      <c r="J150" s="85"/>
      <c r="K150" s="1488"/>
    </row>
    <row r="151" spans="1:34" ht="16.149999999999999" x14ac:dyDescent="0.55000000000000004">
      <c r="C151" s="1261">
        <v>44865</v>
      </c>
      <c r="D151" s="1407"/>
      <c r="E151" s="33"/>
      <c r="F151" s="6"/>
      <c r="G151" s="6"/>
      <c r="H151" s="755"/>
      <c r="I151" s="755"/>
      <c r="J151" s="1462"/>
      <c r="K151" s="755"/>
    </row>
    <row r="152" spans="1:34" ht="13.9" x14ac:dyDescent="0.35">
      <c r="D152" s="1462">
        <f t="shared" ref="D152:M152" si="40">SUM(D121:D151)</f>
        <v>1413196</v>
      </c>
      <c r="E152" s="1462">
        <f t="shared" si="40"/>
        <v>8303773</v>
      </c>
      <c r="F152" s="1462">
        <f t="shared" si="40"/>
        <v>1328233</v>
      </c>
      <c r="G152" s="1462">
        <f t="shared" si="40"/>
        <v>118608594</v>
      </c>
      <c r="H152" s="1462">
        <f t="shared" si="40"/>
        <v>806090</v>
      </c>
      <c r="I152" s="1462">
        <f t="shared" si="40"/>
        <v>584708152</v>
      </c>
      <c r="J152" s="1462">
        <f t="shared" si="40"/>
        <v>1983440</v>
      </c>
      <c r="K152" s="1462">
        <f t="shared" si="40"/>
        <v>32047327</v>
      </c>
      <c r="L152" s="1462">
        <f t="shared" si="40"/>
        <v>6925085</v>
      </c>
      <c r="M152" s="1462">
        <f t="shared" si="40"/>
        <v>0</v>
      </c>
    </row>
    <row r="153" spans="1:34" ht="16.5" thickBot="1" x14ac:dyDescent="0.6">
      <c r="C153" s="1239">
        <v>44859</v>
      </c>
      <c r="D153" s="1407">
        <v>46855</v>
      </c>
      <c r="E153" s="33">
        <v>362715</v>
      </c>
      <c r="F153" s="6">
        <v>51464</v>
      </c>
      <c r="G153" s="6">
        <v>5449405</v>
      </c>
      <c r="H153" s="824">
        <v>146085</v>
      </c>
      <c r="I153" s="824">
        <v>116036641</v>
      </c>
      <c r="J153" s="1593">
        <v>100850</v>
      </c>
      <c r="K153" s="755">
        <v>7454237</v>
      </c>
      <c r="L153" s="1297"/>
    </row>
  </sheetData>
  <mergeCells count="129">
    <mergeCell ref="AK50:AK53"/>
    <mergeCell ref="AL50:AS50"/>
    <mergeCell ref="AL51:AM51"/>
    <mergeCell ref="AN51:AN53"/>
    <mergeCell ref="AO51:AO53"/>
    <mergeCell ref="AR51:AR53"/>
    <mergeCell ref="AL52:AM52"/>
    <mergeCell ref="AL53:AM53"/>
    <mergeCell ref="AK30:AK38"/>
    <mergeCell ref="AL30:AS30"/>
    <mergeCell ref="AL39:AS39"/>
    <mergeCell ref="AK46:AK49"/>
    <mergeCell ref="AL46:AS46"/>
    <mergeCell ref="AN48:AN49"/>
    <mergeCell ref="AO48:AO49"/>
    <mergeCell ref="AR48:AR49"/>
    <mergeCell ref="AP18:AS18"/>
    <mergeCell ref="AL28:AM29"/>
    <mergeCell ref="AN28:AO28"/>
    <mergeCell ref="AP28:AQ28"/>
    <mergeCell ref="AR28:AS28"/>
    <mergeCell ref="AS4:AS5"/>
    <mergeCell ref="AN5:AO5"/>
    <mergeCell ref="AK11:AS11"/>
    <mergeCell ref="AL13:AS13"/>
    <mergeCell ref="AK14:AK17"/>
    <mergeCell ref="AL14:AS14"/>
    <mergeCell ref="AN16:AN17"/>
    <mergeCell ref="AO16:AO17"/>
    <mergeCell ref="AR16:AR17"/>
    <mergeCell ref="AM4:AM5"/>
    <mergeCell ref="AK18:AK26"/>
    <mergeCell ref="AM18:AO18"/>
    <mergeCell ref="D83:E83"/>
    <mergeCell ref="F83:G83"/>
    <mergeCell ref="H83:I83"/>
    <mergeCell ref="D120:E120"/>
    <mergeCell ref="F120:G120"/>
    <mergeCell ref="H120:I120"/>
    <mergeCell ref="N51:O51"/>
    <mergeCell ref="P51:P53"/>
    <mergeCell ref="Q51:Q53"/>
    <mergeCell ref="T51:T53"/>
    <mergeCell ref="N52:O52"/>
    <mergeCell ref="N53:O53"/>
    <mergeCell ref="P48:P49"/>
    <mergeCell ref="Q48:Q49"/>
    <mergeCell ref="T48:T49"/>
    <mergeCell ref="A50:A53"/>
    <mergeCell ref="B50:I50"/>
    <mergeCell ref="M50:M53"/>
    <mergeCell ref="N50:U50"/>
    <mergeCell ref="D51:D53"/>
    <mergeCell ref="E51:E53"/>
    <mergeCell ref="H51:H53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R28:S28"/>
    <mergeCell ref="T28:U28"/>
    <mergeCell ref="A30:A37"/>
    <mergeCell ref="B30:I30"/>
    <mergeCell ref="M30:M38"/>
    <mergeCell ref="N30:U30"/>
    <mergeCell ref="B28:C29"/>
    <mergeCell ref="D28:E28"/>
    <mergeCell ref="F28:G28"/>
    <mergeCell ref="H28:I28"/>
    <mergeCell ref="N28:O29"/>
    <mergeCell ref="P28:Q28"/>
    <mergeCell ref="A18:A26"/>
    <mergeCell ref="C18:E18"/>
    <mergeCell ref="F18:I18"/>
    <mergeCell ref="M18:M26"/>
    <mergeCell ref="O18:Q18"/>
    <mergeCell ref="R18:U18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A11:I11"/>
    <mergeCell ref="M11:U11"/>
    <mergeCell ref="B13:I13"/>
    <mergeCell ref="N13:U13"/>
    <mergeCell ref="AK3:AK5"/>
    <mergeCell ref="A3:A5"/>
    <mergeCell ref="B3:B5"/>
    <mergeCell ref="D5:E5"/>
    <mergeCell ref="N3:N5"/>
    <mergeCell ref="P3:Q3"/>
    <mergeCell ref="F3:G3"/>
    <mergeCell ref="H3:I3"/>
    <mergeCell ref="M3:M5"/>
    <mergeCell ref="AC2:AH2"/>
    <mergeCell ref="AK1:AS1"/>
    <mergeCell ref="AK2:AS2"/>
    <mergeCell ref="AP3:AQ3"/>
    <mergeCell ref="AR3:AS3"/>
    <mergeCell ref="AR4:AR5"/>
    <mergeCell ref="AN3:AO3"/>
    <mergeCell ref="C4:C5"/>
    <mergeCell ref="H4:H5"/>
    <mergeCell ref="I4:I5"/>
    <mergeCell ref="O4:O5"/>
    <mergeCell ref="T4:T5"/>
    <mergeCell ref="U4:U5"/>
    <mergeCell ref="R3:S3"/>
    <mergeCell ref="T3:U3"/>
    <mergeCell ref="P5:Q5"/>
    <mergeCell ref="D3:E3"/>
    <mergeCell ref="AC3:AH3"/>
    <mergeCell ref="AL3:AL5"/>
    <mergeCell ref="A1:I1"/>
    <mergeCell ref="M1:U1"/>
    <mergeCell ref="A2:I2"/>
    <mergeCell ref="M2:U2"/>
  </mergeCells>
  <pageMargins left="0.2" right="0.2" top="0.42" bottom="0.24" header="0.3" footer="0.3"/>
  <pageSetup paperSize="9" scale="21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N64"/>
  <sheetViews>
    <sheetView workbookViewId="0">
      <selection activeCell="G15" sqref="G15:G17"/>
    </sheetView>
  </sheetViews>
  <sheetFormatPr defaultColWidth="9.1328125" defaultRowHeight="16.899999999999999" x14ac:dyDescent="0.35"/>
  <cols>
    <col min="1" max="1" width="5.86328125" style="376" customWidth="1"/>
    <col min="2" max="2" width="33.86328125" style="300" customWidth="1"/>
    <col min="3" max="3" width="8.73046875" style="5" customWidth="1"/>
    <col min="4" max="4" width="11.3984375" style="84" bestFit="1" customWidth="1"/>
    <col min="5" max="5" width="11.3984375" style="35" customWidth="1"/>
    <col min="6" max="6" width="12.73046875" style="5" customWidth="1"/>
    <col min="7" max="7" width="11.86328125" style="5" customWidth="1"/>
    <col min="8" max="8" width="9.265625" style="11" bestFit="1" customWidth="1"/>
    <col min="9" max="9" width="10.3984375" style="82" customWidth="1"/>
    <col min="10" max="12" width="9.1328125" style="5"/>
    <col min="13" max="13" width="9.1328125" style="12"/>
    <col min="14" max="16384" width="9.1328125" style="5"/>
  </cols>
  <sheetData>
    <row r="1" spans="1:14" ht="19.5" customHeight="1" x14ac:dyDescent="0.35">
      <c r="A1" s="2200" t="s">
        <v>5</v>
      </c>
      <c r="B1" s="2200"/>
      <c r="C1" s="2200"/>
      <c r="D1" s="2200"/>
      <c r="E1" s="2200"/>
      <c r="F1" s="2200"/>
      <c r="G1" s="2200"/>
      <c r="H1" s="2200"/>
      <c r="I1" s="2200"/>
    </row>
    <row r="2" spans="1:14" s="301" customFormat="1" ht="15" customHeight="1" thickBot="1" x14ac:dyDescent="0.5">
      <c r="A2" s="2092" t="s">
        <v>649</v>
      </c>
      <c r="B2" s="2093"/>
      <c r="C2" s="2093"/>
      <c r="D2" s="2093"/>
      <c r="E2" s="2093"/>
      <c r="F2" s="2093"/>
      <c r="G2" s="2093"/>
      <c r="H2" s="2093"/>
      <c r="I2" s="2094"/>
      <c r="M2" s="522"/>
    </row>
    <row r="3" spans="1:14" ht="17.25" thickTop="1" x14ac:dyDescent="0.5">
      <c r="A3" s="2035" t="s">
        <v>144</v>
      </c>
      <c r="B3" s="2201" t="s">
        <v>7</v>
      </c>
      <c r="C3" s="2202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4" s="35" customFormat="1" ht="30" x14ac:dyDescent="0.45">
      <c r="A4" s="2035"/>
      <c r="B4" s="2203"/>
      <c r="C4" s="2204"/>
      <c r="D4" s="366" t="s">
        <v>9</v>
      </c>
      <c r="E4" s="383" t="str">
        <f>G4</f>
        <v>UpTo FEB-22</v>
      </c>
      <c r="F4" s="383" t="s">
        <v>650</v>
      </c>
      <c r="G4" s="383" t="s">
        <v>651</v>
      </c>
      <c r="H4" s="2111" t="s">
        <v>12</v>
      </c>
      <c r="I4" s="2111" t="s">
        <v>13</v>
      </c>
      <c r="M4" s="428"/>
    </row>
    <row r="5" spans="1:14" ht="20.25" hidden="1" customHeight="1" x14ac:dyDescent="0.5">
      <c r="A5" s="2036"/>
      <c r="B5" s="2203"/>
      <c r="C5" s="2204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14" ht="30" customHeight="1" x14ac:dyDescent="0.35">
      <c r="A6" s="372">
        <v>1</v>
      </c>
      <c r="B6" s="2049" t="s">
        <v>290</v>
      </c>
      <c r="C6" s="2049"/>
      <c r="D6" s="304">
        <v>534.87</v>
      </c>
      <c r="E6" s="434">
        <v>511.01</v>
      </c>
      <c r="F6" s="434">
        <v>158.30000000000001</v>
      </c>
      <c r="G6" s="434">
        <f>'UPTO JULY 2021'!G6+'AUG-2021'!G6+'SEPTEMBER 2021'!G6+'OCTOBER-2021'!G6+'NOVEMBER-2021'!G6+'DEC 2021'!G6+'JANUARY-2022'!G6+'FEB -2022'!G6</f>
        <v>537.98576626199997</v>
      </c>
      <c r="H6" s="517">
        <f>(G6-E6)/E6*100</f>
        <v>5.2789116185593201</v>
      </c>
      <c r="I6" s="517">
        <f>(G6-F6)/F6*100</f>
        <v>239.85203175110544</v>
      </c>
      <c r="K6" s="12"/>
    </row>
    <row r="7" spans="1:14" ht="26.25" customHeight="1" x14ac:dyDescent="0.35">
      <c r="A7" s="838">
        <v>2</v>
      </c>
      <c r="B7" s="2207" t="s">
        <v>291</v>
      </c>
      <c r="C7" s="2208"/>
      <c r="D7" s="434">
        <v>168.22</v>
      </c>
      <c r="E7" s="434">
        <v>151.55000000000001</v>
      </c>
      <c r="F7" s="434">
        <v>107.09</v>
      </c>
      <c r="G7" s="434">
        <v>259.85000000000002</v>
      </c>
      <c r="H7" s="517">
        <f>(G7-E7)/E7*100</f>
        <v>71.461563840316728</v>
      </c>
      <c r="I7" s="517">
        <f>(G7-F7)/F7*100</f>
        <v>142.64637221029042</v>
      </c>
      <c r="K7" s="12"/>
      <c r="N7" s="12"/>
    </row>
    <row r="8" spans="1:14" ht="32.25" customHeight="1" x14ac:dyDescent="0.35">
      <c r="A8" s="374">
        <v>3</v>
      </c>
      <c r="B8" s="2021" t="s">
        <v>292</v>
      </c>
      <c r="C8" s="2023"/>
      <c r="D8" s="364">
        <v>64.459999999999994</v>
      </c>
      <c r="E8" s="434">
        <v>58.18</v>
      </c>
      <c r="F8" s="434">
        <f>'UPTO JULY 2021'!F8+'AUG-2021'!F8+'SEPTEMBER 2021'!F8+'OCTOBER-2021'!F8+'NOVEMBER-2021'!F8+'DEC 2021'!F8+'JANUARY-2022'!F8+'FEB -2022'!F8</f>
        <v>18.858999399999998</v>
      </c>
      <c r="G8" s="434">
        <f>'UPTO JULY 2021'!G8+'AUG-2021'!G8+'SEPTEMBER 2021'!G8+'OCTOBER-2021'!G8+'NOVEMBER-2021'!G8+'DEC 2021'!G8+'JANUARY-2022'!G8+'FEB -2022'!G8</f>
        <v>63.77241080000001</v>
      </c>
      <c r="H8" s="517">
        <f>(G8-E8)/E8*100</f>
        <v>9.6122564455139408</v>
      </c>
      <c r="I8" s="517">
        <f>(G8-F8)/F8*100</f>
        <v>238.1537347098066</v>
      </c>
      <c r="K8" s="12"/>
    </row>
    <row r="9" spans="1:14" ht="34.5" customHeight="1" x14ac:dyDescent="0.35">
      <c r="A9" s="838">
        <v>4</v>
      </c>
      <c r="B9" s="2209" t="s">
        <v>293</v>
      </c>
      <c r="C9" s="2210"/>
      <c r="D9" s="434">
        <v>5.27</v>
      </c>
      <c r="E9" s="434">
        <f>E35+E36+E37</f>
        <v>4.8352833333333338</v>
      </c>
      <c r="F9" s="434">
        <f>F35+F36+F37+F38+F39+F40</f>
        <v>1.2987098000000001</v>
      </c>
      <c r="G9" s="434">
        <f>G35+G36+G37+G38+G39+G40</f>
        <v>4.3780250000000001</v>
      </c>
      <c r="H9" s="517">
        <f>(G9-E9)/E9*100</f>
        <v>-9.4567019512817314</v>
      </c>
      <c r="I9" s="517">
        <f>(G9-F9)/F9*100</f>
        <v>237.10571830596794</v>
      </c>
      <c r="K9" s="12"/>
    </row>
    <row r="10" spans="1:14" ht="48" customHeight="1" x14ac:dyDescent="0.35">
      <c r="A10" s="374">
        <v>5</v>
      </c>
      <c r="B10" s="2054" t="s">
        <v>294</v>
      </c>
      <c r="C10" s="2055"/>
      <c r="D10" s="305">
        <f>SUM(D6:D9)</f>
        <v>772.82</v>
      </c>
      <c r="E10" s="434">
        <f>SUM(E6:E9)</f>
        <v>725.57528333333323</v>
      </c>
      <c r="F10" s="434">
        <f>SUM(F6:F9)</f>
        <v>285.54770919999999</v>
      </c>
      <c r="G10" s="434">
        <f>SUM(G6:G9)</f>
        <v>865.98620206199996</v>
      </c>
      <c r="H10" s="517">
        <f>(G10-E10)/E10*100</f>
        <v>19.351667835708401</v>
      </c>
      <c r="I10" s="517">
        <f>(G10-F10)/F10*100</f>
        <v>203.2719836864305</v>
      </c>
    </row>
    <row r="11" spans="1:14" ht="8.25" customHeight="1" x14ac:dyDescent="0.35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4" ht="30.75" customHeight="1" x14ac:dyDescent="0.35">
      <c r="A12" s="373">
        <v>6.3</v>
      </c>
      <c r="B12" s="2211" t="s">
        <v>604</v>
      </c>
      <c r="C12" s="2212"/>
      <c r="D12" s="918" t="s">
        <v>221</v>
      </c>
      <c r="E12" s="920" t="s">
        <v>221</v>
      </c>
      <c r="F12" s="920">
        <f>F42+F43+F44</f>
        <v>2.9677069999999999</v>
      </c>
      <c r="G12" s="920">
        <f>G42+G43+G44</f>
        <v>13.997131000000001</v>
      </c>
      <c r="H12" s="919" t="s">
        <v>221</v>
      </c>
      <c r="I12" s="919">
        <f>(G12-F12)/F12*100</f>
        <v>371.64800972602762</v>
      </c>
    </row>
    <row r="13" spans="1:14" ht="16.5" customHeight="1" x14ac:dyDescent="0.35">
      <c r="B13" s="2167" t="s">
        <v>229</v>
      </c>
      <c r="C13" s="2168"/>
      <c r="D13" s="2168"/>
      <c r="E13" s="2168"/>
      <c r="F13" s="2168"/>
      <c r="G13" s="2168"/>
      <c r="H13" s="2168"/>
      <c r="I13" s="2169"/>
    </row>
    <row r="14" spans="1:14" ht="14.25" customHeight="1" x14ac:dyDescent="0.35">
      <c r="A14" s="2003">
        <v>1</v>
      </c>
      <c r="B14" s="2021" t="s">
        <v>278</v>
      </c>
      <c r="C14" s="2022"/>
      <c r="D14" s="2022"/>
      <c r="E14" s="2022"/>
      <c r="F14" s="2022"/>
      <c r="G14" s="2022"/>
      <c r="H14" s="2022"/>
      <c r="I14" s="2023"/>
    </row>
    <row r="15" spans="1:14" ht="15.4" x14ac:dyDescent="0.4">
      <c r="A15" s="2004"/>
      <c r="B15" s="2006" t="s">
        <v>16</v>
      </c>
      <c r="C15" s="2007"/>
      <c r="D15" s="331">
        <v>1.27</v>
      </c>
      <c r="E15" s="315">
        <v>1.21</v>
      </c>
      <c r="F15" s="315">
        <f>'UPTO JULY 2021'!F15+'AUG-2021'!F15+'SEPTEMBER 2021'!F15+'OCTOBER-2021'!F15+'NOVEMBER-2021'!F15+'DEC 2021'!F15+'JANUARY-2022'!F15+'FEB -2022'!F15</f>
        <v>0.15278834800000002</v>
      </c>
      <c r="G15" s="315">
        <f>'UPTO JULY 2021'!G15+'AUG-2021'!G15+'SEPTEMBER 2021'!G15+'OCTOBER-2021'!G15+'NOVEMBER-2021'!G15+'DEC 2021'!G15+'JANUARY-2022'!G15+'FEB -2022'!G15</f>
        <v>1.5876645140000001</v>
      </c>
      <c r="H15" s="316">
        <f>(G15-E15)/E15*100</f>
        <v>31.211943305785134</v>
      </c>
      <c r="I15" s="316">
        <f>(G15-F15)/F15*100</f>
        <v>939.12669701749769</v>
      </c>
    </row>
    <row r="16" spans="1:14" ht="15.4" x14ac:dyDescent="0.4">
      <c r="A16" s="2004"/>
      <c r="B16" s="2071" t="s">
        <v>15</v>
      </c>
      <c r="C16" s="320" t="s">
        <v>166</v>
      </c>
      <c r="D16" s="2064">
        <v>533.6</v>
      </c>
      <c r="E16" s="2154">
        <v>509.8</v>
      </c>
      <c r="F16" s="315">
        <f>'UPTO JULY 2021'!F16+'AUG-2021'!F16+'SEPTEMBER 2021'!F16+'OCTOBER-2021'!F16+'NOVEMBER-2021'!F16+'DEC 2021'!F16+'JANUARY-2022'!F16+'FEB -2022'!F16</f>
        <v>13.972591800000002</v>
      </c>
      <c r="G16" s="315">
        <f>'UPTO JULY 2021'!G16+'AUG-2021'!G16+'SEPTEMBER 2021'!G16+'OCTOBER-2021'!G16+'NOVEMBER-2021'!G16+'DEC 2021'!G16+'JANUARY-2022'!G16+'FEB -2022'!G16</f>
        <v>1.4312271480000001</v>
      </c>
      <c r="H16" s="2154">
        <v>5.22</v>
      </c>
      <c r="I16" s="316">
        <f>(G16-F16)/F16*100</f>
        <v>-89.756895724957772</v>
      </c>
      <c r="J16" s="12"/>
      <c r="K16" s="12">
        <f>F16+F17</f>
        <v>158.15711450000001</v>
      </c>
      <c r="L16" s="12">
        <f>G16+G17</f>
        <v>536.39810174799993</v>
      </c>
      <c r="N16" s="5">
        <f>(L16-K16)/K16*100</f>
        <v>239.15521501753236</v>
      </c>
    </row>
    <row r="17" spans="1:9" ht="15.4" x14ac:dyDescent="0.4">
      <c r="A17" s="2005"/>
      <c r="B17" s="2071"/>
      <c r="C17" s="320" t="s">
        <v>228</v>
      </c>
      <c r="D17" s="2064"/>
      <c r="E17" s="2155"/>
      <c r="F17" s="315">
        <f>'UPTO JULY 2021'!F17+'AUG-2021'!F17+'SEPTEMBER 2021'!F17+'OCTOBER-2021'!F17+'NOVEMBER-2021'!F17+'DEC 2021'!F17+'JANUARY-2022'!F17+'FEB -2022'!F17</f>
        <v>144.1845227</v>
      </c>
      <c r="G17" s="315">
        <f>'UPTO JULY 2021'!G17+'AUG-2021'!G17+'SEPTEMBER 2021'!G17+'OCTOBER-2021'!G17+'NOVEMBER-2021'!G17+'DEC 2021'!G17+'JANUARY-2022'!G17+'FEB -2022'!G17</f>
        <v>534.96687459999998</v>
      </c>
      <c r="H17" s="2155"/>
      <c r="I17" s="316">
        <f>(G17-F17)/F17*100</f>
        <v>271.02933420467605</v>
      </c>
    </row>
    <row r="18" spans="1:9" ht="15" x14ac:dyDescent="0.35">
      <c r="A18" s="2003">
        <v>2</v>
      </c>
      <c r="B18" s="2021" t="s">
        <v>467</v>
      </c>
      <c r="C18" s="2022"/>
      <c r="D18" s="2022"/>
      <c r="E18" s="2022"/>
      <c r="F18" s="2022"/>
      <c r="G18" s="2022"/>
      <c r="H18" s="2022"/>
      <c r="I18" s="2023"/>
    </row>
    <row r="19" spans="1:9" ht="15.4" x14ac:dyDescent="0.4">
      <c r="A19" s="2004"/>
      <c r="B19" s="2008" t="s">
        <v>230</v>
      </c>
      <c r="C19" s="2000" t="s">
        <v>231</v>
      </c>
      <c r="D19" s="2001"/>
      <c r="E19" s="2002"/>
      <c r="F19" s="315">
        <v>49.24</v>
      </c>
      <c r="G19" s="315">
        <v>200.98</v>
      </c>
      <c r="H19" s="316" t="s">
        <v>221</v>
      </c>
      <c r="I19" s="316">
        <f>(G19-F19)/F19*100</f>
        <v>308.16409423233137</v>
      </c>
    </row>
    <row r="20" spans="1:9" ht="15.4" x14ac:dyDescent="0.4">
      <c r="A20" s="2004"/>
      <c r="B20" s="2009"/>
      <c r="C20" s="2000" t="s">
        <v>232</v>
      </c>
      <c r="D20" s="2001"/>
      <c r="E20" s="2002"/>
      <c r="F20" s="315">
        <v>32.03</v>
      </c>
      <c r="G20" s="315">
        <v>10.89</v>
      </c>
      <c r="H20" s="316" t="s">
        <v>221</v>
      </c>
      <c r="I20" s="316">
        <f>(G20-F20)/F20*100</f>
        <v>-66.000624414611295</v>
      </c>
    </row>
    <row r="21" spans="1:9" ht="15.4" x14ac:dyDescent="0.4">
      <c r="A21" s="2004"/>
      <c r="B21" s="2009"/>
      <c r="C21" s="2000" t="s">
        <v>239</v>
      </c>
      <c r="D21" s="2001"/>
      <c r="E21" s="2002"/>
      <c r="F21" s="315">
        <v>16.03</v>
      </c>
      <c r="G21" s="315">
        <v>39.229999999999997</v>
      </c>
      <c r="H21" s="316" t="s">
        <v>221</v>
      </c>
      <c r="I21" s="316">
        <f>(G21-F21)/F21*100</f>
        <v>144.7286338116032</v>
      </c>
    </row>
    <row r="22" spans="1:9" ht="15.4" x14ac:dyDescent="0.4">
      <c r="A22" s="2004"/>
      <c r="B22" s="2009"/>
      <c r="C22" s="2000" t="s">
        <v>233</v>
      </c>
      <c r="D22" s="2001"/>
      <c r="E22" s="2002"/>
      <c r="F22" s="315">
        <v>9.15</v>
      </c>
      <c r="G22" s="315">
        <v>8.49</v>
      </c>
      <c r="H22" s="316" t="s">
        <v>221</v>
      </c>
      <c r="I22" s="316">
        <f>(G22-F22)/F22*100</f>
        <v>-7.2131147540983624</v>
      </c>
    </row>
    <row r="23" spans="1:9" ht="15.4" x14ac:dyDescent="0.4">
      <c r="A23" s="2004"/>
      <c r="B23" s="2009"/>
      <c r="C23" s="2000" t="s">
        <v>234</v>
      </c>
      <c r="D23" s="2001"/>
      <c r="E23" s="2002"/>
      <c r="F23" s="315">
        <v>0.08</v>
      </c>
      <c r="G23" s="315">
        <v>0</v>
      </c>
      <c r="H23" s="316" t="s">
        <v>221</v>
      </c>
      <c r="I23" s="316">
        <f>(G23-F23)/F23*100</f>
        <v>-100</v>
      </c>
    </row>
    <row r="24" spans="1:9" ht="15.4" x14ac:dyDescent="0.4">
      <c r="A24" s="2004"/>
      <c r="B24" s="2009"/>
      <c r="C24" s="2000" t="s">
        <v>235</v>
      </c>
      <c r="D24" s="2001"/>
      <c r="E24" s="2002"/>
      <c r="F24" s="315">
        <v>0.49</v>
      </c>
      <c r="G24" s="315">
        <v>0.04</v>
      </c>
      <c r="H24" s="316"/>
      <c r="I24" s="316">
        <v>0</v>
      </c>
    </row>
    <row r="25" spans="1:9" ht="15.4" x14ac:dyDescent="0.35">
      <c r="A25" s="2005"/>
      <c r="B25" s="2010"/>
      <c r="C25" s="2159" t="s">
        <v>549</v>
      </c>
      <c r="D25" s="2160"/>
      <c r="E25" s="2161"/>
      <c r="F25" s="315">
        <v>0</v>
      </c>
      <c r="G25" s="315">
        <v>0.22</v>
      </c>
      <c r="H25" s="316" t="s">
        <v>221</v>
      </c>
      <c r="I25" s="316">
        <v>0</v>
      </c>
    </row>
    <row r="26" spans="1:9" ht="15" x14ac:dyDescent="0.35">
      <c r="A26" s="2014">
        <v>3</v>
      </c>
      <c r="B26" s="2021" t="s">
        <v>623</v>
      </c>
      <c r="C26" s="2022"/>
      <c r="D26" s="2022"/>
      <c r="E26" s="2022"/>
      <c r="F26" s="2022"/>
      <c r="G26" s="2022"/>
      <c r="H26" s="2022"/>
      <c r="I26" s="2023"/>
    </row>
    <row r="27" spans="1:9" ht="15.4" x14ac:dyDescent="0.4">
      <c r="A27" s="2015"/>
      <c r="B27" s="2006" t="s">
        <v>2</v>
      </c>
      <c r="C27" s="2007"/>
      <c r="D27" s="314">
        <v>6</v>
      </c>
      <c r="E27" s="315">
        <f>'UPTO JULY 2021'!E27+'AUG-2021'!E27+'SEPTEMBER 2021'!E27+'OCTOBER-2021'!E27+'NOVEMBER-2021'!E27+'DEC 2021'!E27+'JANUARY-2022'!E27+'FEB -2022'!E27</f>
        <v>5.5</v>
      </c>
      <c r="F27" s="315">
        <f>'UPTO JULY 2021'!F27+'AUG-2021'!F27+'SEPTEMBER 2021'!F27+'OCTOBER-2021'!F27+'NOVEMBER-2021'!F27+'DEC 2021'!F27+'JANUARY-2022'!F27+'FEB -2022'!F27</f>
        <v>0.57152250000000004</v>
      </c>
      <c r="G27" s="315">
        <f>'UPTO JULY 2021'!G27+'AUG-2021'!G27+'SEPTEMBER 2021'!G27+'OCTOBER-2021'!G27+'NOVEMBER-2021'!G27+'DEC 2021'!G27+'JANUARY-2022'!G27+'FEB -2022'!G27</f>
        <v>8.9759999000000015</v>
      </c>
      <c r="H27" s="316">
        <f>(G27-E27)/E27*100</f>
        <v>63.199998181818209</v>
      </c>
      <c r="I27" s="316">
        <f>(G27-F27)/F27*100</f>
        <v>1470.541824687567</v>
      </c>
    </row>
    <row r="28" spans="1:9" ht="15.4" x14ac:dyDescent="0.4">
      <c r="A28" s="2015"/>
      <c r="B28" s="2006" t="s">
        <v>23</v>
      </c>
      <c r="C28" s="2007"/>
      <c r="D28" s="603">
        <f>'TARGET SHEET 2021-22'!B56</f>
        <v>28.5</v>
      </c>
      <c r="E28" s="315">
        <f>'UPTO JULY 2021'!E28+'AUG-2021'!E28+'SEPTEMBER 2021'!E28+'OCTOBER-2021'!E28+'NOVEMBER-2021'!E28+'DEC 2021'!E28+'JANUARY-2022'!E28+'FEB -2022'!E28</f>
        <v>26.5</v>
      </c>
      <c r="F28" s="315">
        <f>'UPTO JULY 2021'!F28+'AUG-2021'!F28+'SEPTEMBER 2021'!F28+'OCTOBER-2021'!F28+'NOVEMBER-2021'!F28+'DEC 2021'!F28+'JANUARY-2022'!F28+'FEB -2022'!F28</f>
        <v>9.4975670999999995</v>
      </c>
      <c r="G28" s="315">
        <f>'UPTO JULY 2021'!G28+'AUG-2021'!G28+'SEPTEMBER 2021'!G28+'OCTOBER-2021'!G28+'NOVEMBER-2021'!G28+'DEC 2021'!G28+'JANUARY-2022'!G28+'FEB -2022'!G28</f>
        <v>23.225052799999997</v>
      </c>
      <c r="H28" s="316">
        <f>(G28-E28)/E28*100</f>
        <v>-12.358291320754729</v>
      </c>
      <c r="I28" s="316">
        <f>(G28-F28)/F28*100</f>
        <v>144.53686460398893</v>
      </c>
    </row>
    <row r="29" spans="1:9" ht="15.4" x14ac:dyDescent="0.4">
      <c r="A29" s="2015"/>
      <c r="B29" s="2006" t="s">
        <v>1</v>
      </c>
      <c r="C29" s="2007"/>
      <c r="D29" s="313">
        <f>'TARGET SHEET 2021-22'!C56</f>
        <v>3.7399999999999998</v>
      </c>
      <c r="E29" s="315">
        <v>3.34</v>
      </c>
      <c r="F29" s="315">
        <f>'UPTO JULY 2021'!F29+'AUG-2021'!F29+'SEPTEMBER 2021'!F29+'OCTOBER-2021'!F29+'NOVEMBER-2021'!F29+'DEC 2021'!F29+'JANUARY-2022'!F29+'FEB -2022'!F29</f>
        <v>0.2500481</v>
      </c>
      <c r="G29" s="315">
        <f>'UPTO JULY 2021'!G29+'AUG-2021'!G29+'SEPTEMBER 2021'!G29+'OCTOBER-2021'!G29+'NOVEMBER-2021'!G29+'DEC 2021'!G29+'JANUARY-2022'!G29+'FEB -2022'!G29</f>
        <v>1.03735</v>
      </c>
      <c r="H29" s="316">
        <f>(G29-E29)/E29*100</f>
        <v>-68.941616766467064</v>
      </c>
      <c r="I29" s="316">
        <f>(G29-F29)/F29*100</f>
        <v>314.86018090119461</v>
      </c>
    </row>
    <row r="30" spans="1:9" ht="15.4" x14ac:dyDescent="0.4">
      <c r="A30" s="2015"/>
      <c r="B30" s="2006" t="s">
        <v>24</v>
      </c>
      <c r="C30" s="2007"/>
      <c r="D30" s="603" t="s">
        <v>221</v>
      </c>
      <c r="E30" s="315" t="s">
        <v>221</v>
      </c>
      <c r="F30" s="315">
        <f>'UPTO JULY 2021'!F30+'AUG-2021'!F30+'SEPTEMBER 2021'!F30+'OCTOBER-2021'!F30+'NOVEMBER-2021'!F30+'DEC 2021'!F30+'JANUARY-2022'!F30+'FEB -2022'!F30</f>
        <v>0</v>
      </c>
      <c r="G30" s="315">
        <f>'UPTO JULY 2021'!G30+'AUG-2021'!G30+'SEPTEMBER 2021'!G30+'OCTOBER-2021'!G30+'NOVEMBER-2021'!G30+'DEC 2021'!G30+'JANUARY-2022'!G30+'FEB -2022'!G30</f>
        <v>0.316521</v>
      </c>
      <c r="H30" s="316" t="s">
        <v>221</v>
      </c>
      <c r="I30" s="316">
        <v>0</v>
      </c>
    </row>
    <row r="31" spans="1:9" ht="15.4" x14ac:dyDescent="0.4">
      <c r="A31" s="2015"/>
      <c r="B31" s="2017" t="s">
        <v>25</v>
      </c>
      <c r="C31" s="2030"/>
      <c r="D31" s="603" t="s">
        <v>221</v>
      </c>
      <c r="E31" s="315" t="s">
        <v>221</v>
      </c>
      <c r="F31" s="315">
        <f>'UPTO JULY 2021'!F31+'AUG-2021'!F31+'SEPTEMBER 2021'!F31+'OCTOBER-2021'!F31+'NOVEMBER-2021'!F31+'DEC 2021'!F31+'JANUARY-2022'!F31+'FEB -2022'!F31</f>
        <v>0</v>
      </c>
      <c r="G31" s="315">
        <f>'UPTO JULY 2021'!G31+'AUG-2021'!G31+'SEPTEMBER 2021'!G31+'OCTOBER-2021'!G31+'NOVEMBER-2021'!G31+'DEC 2021'!G31+'JANUARY-2022'!G31+'FEB -2022'!G31</f>
        <v>2.5898782000000002</v>
      </c>
      <c r="H31" s="316" t="s">
        <v>221</v>
      </c>
      <c r="I31" s="316">
        <v>0</v>
      </c>
    </row>
    <row r="32" spans="1:9" ht="31.5" customHeight="1" x14ac:dyDescent="0.4">
      <c r="A32" s="2015"/>
      <c r="B32" s="2017" t="s">
        <v>241</v>
      </c>
      <c r="C32" s="2030"/>
      <c r="D32" s="540" t="s">
        <v>221</v>
      </c>
      <c r="E32" s="316" t="s">
        <v>221</v>
      </c>
      <c r="F32" s="315">
        <f>'UPTO JULY 2021'!F32+'AUG-2021'!F32+'SEPTEMBER 2021'!F32+'OCTOBER-2021'!F32+'NOVEMBER-2021'!F32+'DEC 2021'!F32+'JANUARY-2022'!F32+'FEB -2022'!F32</f>
        <v>8.5121551000000011</v>
      </c>
      <c r="G32" s="315">
        <f>'UPTO JULY 2021'!G32+'AUG-2021'!G32+'SEPTEMBER 2021'!G32+'OCTOBER-2021'!G32+'NOVEMBER-2021'!G32+'DEC 2021'!G32+'JANUARY-2022'!G32+'FEB -2022'!G32</f>
        <v>27.160260399999999</v>
      </c>
      <c r="H32" s="316" t="s">
        <v>221</v>
      </c>
      <c r="I32" s="316">
        <f>(G32-F32)/F32*100</f>
        <v>219.07619258488364</v>
      </c>
    </row>
    <row r="33" spans="1:9" ht="15.4" x14ac:dyDescent="0.4">
      <c r="A33" s="2016"/>
      <c r="B33" s="2006" t="s">
        <v>260</v>
      </c>
      <c r="C33" s="2019"/>
      <c r="D33" s="540" t="s">
        <v>221</v>
      </c>
      <c r="E33" s="316" t="s">
        <v>221</v>
      </c>
      <c r="F33" s="315">
        <f>'UPTO JULY 2021'!F33+'AUG-2021'!F33+'SEPTEMBER 2021'!F33+'OCTOBER-2021'!F33+'NOVEMBER-2021'!F33+'DEC 2021'!F33+'JANUARY-2022'!F33+'FEB -2022'!F33</f>
        <v>2.5921700000000002E-2</v>
      </c>
      <c r="G33" s="315">
        <f>'UPTO JULY 2021'!G33+'AUG-2021'!G33+'SEPTEMBER 2021'!G33+'OCTOBER-2021'!G33+'NOVEMBER-2021'!G33+'DEC 2021'!G33+'JANUARY-2022'!G33+'FEB -2022'!G33</f>
        <v>0.4673485</v>
      </c>
      <c r="H33" s="413"/>
      <c r="I33" s="316">
        <f>(G33-F33)/F33*100</f>
        <v>1702.9238051516681</v>
      </c>
    </row>
    <row r="34" spans="1:9" ht="15" x14ac:dyDescent="0.35">
      <c r="A34" s="2014">
        <v>4</v>
      </c>
      <c r="B34" s="2021" t="s">
        <v>622</v>
      </c>
      <c r="C34" s="2022"/>
      <c r="D34" s="2022"/>
      <c r="E34" s="2022"/>
      <c r="F34" s="2022"/>
      <c r="G34" s="2022"/>
      <c r="H34" s="2022"/>
      <c r="I34" s="2023"/>
    </row>
    <row r="35" spans="1:9" ht="15.4" x14ac:dyDescent="0.4">
      <c r="A35" s="2015"/>
      <c r="B35" s="2006" t="s">
        <v>27</v>
      </c>
      <c r="C35" s="2007"/>
      <c r="D35" s="603">
        <v>3.24</v>
      </c>
      <c r="E35" s="315">
        <v>2.9656000000000002</v>
      </c>
      <c r="F35" s="315">
        <f>'UPTO JULY 2021'!F35+'AUG-2021'!F35+'SEPTEMBER 2021'!F35+'OCTOBER-2021'!F35+'NOVEMBER-2021'!F35+'DEC 2021'!F35+'JANUARY-2022'!F35+'FEB -2022'!F35</f>
        <v>0.81621540000000004</v>
      </c>
      <c r="G35" s="315">
        <f>'UPTO JULY 2021'!G35+'AUG-2021'!G35+'SEPTEMBER 2021'!G35+'OCTOBER-2021'!G35+'NOVEMBER-2021'!G35+'DEC 2021'!G35+'JANUARY-2022'!G35+'FEB -2022'!G35</f>
        <v>3.4770850000000002</v>
      </c>
      <c r="H35" s="314">
        <f>(G35-E35)/E35*100</f>
        <v>17.247268680874019</v>
      </c>
      <c r="I35" s="316">
        <f>(G35-F35)/F35*100</f>
        <v>326.00090613335652</v>
      </c>
    </row>
    <row r="36" spans="1:9" ht="15.4" x14ac:dyDescent="0.4">
      <c r="A36" s="2015"/>
      <c r="B36" s="2006" t="s">
        <v>28</v>
      </c>
      <c r="C36" s="2007"/>
      <c r="D36" s="313">
        <v>1.1299999999999999</v>
      </c>
      <c r="E36" s="315">
        <v>1.0396833333333335</v>
      </c>
      <c r="F36" s="315">
        <f>'UPTO JULY 2021'!F36+'AUG-2021'!F36+'SEPTEMBER 2021'!F36+'OCTOBER-2021'!F36+'NOVEMBER-2021'!F36+'DEC 2021'!F36+'JANUARY-2022'!F36+'FEB -2022'!F36</f>
        <v>0.12218279999999999</v>
      </c>
      <c r="G36" s="315">
        <v>0.17</v>
      </c>
      <c r="H36" s="314">
        <f>(G36-E36)/E36*100</f>
        <v>-83.648867443612644</v>
      </c>
      <c r="I36" s="316">
        <f>(G36-F36)/F36*100</f>
        <v>39.135786706475891</v>
      </c>
    </row>
    <row r="37" spans="1:9" ht="15.4" x14ac:dyDescent="0.4">
      <c r="A37" s="2015"/>
      <c r="B37" s="378" t="s">
        <v>224</v>
      </c>
      <c r="C37" s="379"/>
      <c r="D37" s="603">
        <v>0.9</v>
      </c>
      <c r="E37" s="315">
        <v>0.83</v>
      </c>
      <c r="F37" s="315">
        <f>'UPTO JULY 2021'!F37+'AUG-2021'!F37+'SEPTEMBER 2021'!F37+'OCTOBER-2021'!F37+'NOVEMBER-2021'!F37+'DEC 2021'!F37+'JANUARY-2022'!F37+'FEB -2022'!F37</f>
        <v>0.16538259999999999</v>
      </c>
      <c r="G37" s="315">
        <f>'UPTO JULY 2021'!G37+'AUG-2021'!G37+'SEPTEMBER 2021'!G37+'OCTOBER-2021'!G37+'NOVEMBER-2021'!G37+'DEC 2021'!G37+'JANUARY-2022'!G37+'FEB -2022'!G37</f>
        <v>0.23092159999999998</v>
      </c>
      <c r="H37" s="314">
        <f>(G37-E37)/E37*100</f>
        <v>-72.178120481927721</v>
      </c>
      <c r="I37" s="316">
        <f>(G37-F37)/F37*100</f>
        <v>39.628715475509509</v>
      </c>
    </row>
    <row r="38" spans="1:9" ht="15.4" x14ac:dyDescent="0.4">
      <c r="A38" s="2015"/>
      <c r="B38" s="2006" t="s">
        <v>64</v>
      </c>
      <c r="C38" s="2007"/>
      <c r="D38" s="540" t="s">
        <v>221</v>
      </c>
      <c r="E38" s="315" t="s">
        <v>221</v>
      </c>
      <c r="F38" s="315">
        <f>'UPTO JULY 2021'!F38+'AUG-2021'!F38+'SEPTEMBER 2021'!F38+'OCTOBER-2021'!F38+'NOVEMBER-2021'!F38+'DEC 2021'!F38+'JANUARY-2022'!F38+'FEB -2022'!F38</f>
        <v>0</v>
      </c>
      <c r="G38" s="315">
        <f>'UPTO JULY 2021'!G38+'AUG-2021'!G38+'SEPTEMBER 2021'!G38+'OCTOBER-2021'!G38+'NOVEMBER-2021'!G38+'DEC 2021'!G38+'JANUARY-2022'!G38+'FEB -2022'!G38</f>
        <v>0</v>
      </c>
      <c r="H38" s="314" t="s">
        <v>221</v>
      </c>
      <c r="I38" s="316">
        <v>0</v>
      </c>
    </row>
    <row r="39" spans="1:9" ht="15.4" x14ac:dyDescent="0.4">
      <c r="A39" s="2015"/>
      <c r="B39" s="2006" t="s">
        <v>4</v>
      </c>
      <c r="C39" s="2007"/>
      <c r="D39" s="540" t="s">
        <v>221</v>
      </c>
      <c r="E39" s="315" t="s">
        <v>221</v>
      </c>
      <c r="F39" s="315">
        <f>'UPTO JULY 2021'!F39+'AUG-2021'!F39+'SEPTEMBER 2021'!F39+'OCTOBER-2021'!F39+'NOVEMBER-2021'!F39+'DEC 2021'!F39+'JANUARY-2022'!F39+'FEB -2022'!F39</f>
        <v>1.0732000000000001E-3</v>
      </c>
      <c r="G39" s="315">
        <f>'UPTO JULY 2021'!G39+'AUG-2021'!G39+'SEPTEMBER 2021'!G39+'OCTOBER-2021'!G39+'NOVEMBER-2021'!G39+'DEC 2021'!G39+'JANUARY-2022'!G39+'FEB -2022'!G39</f>
        <v>4.0018400000000003E-2</v>
      </c>
      <c r="H39" s="314" t="s">
        <v>221</v>
      </c>
      <c r="I39" s="316">
        <v>0</v>
      </c>
    </row>
    <row r="40" spans="1:9" ht="15.4" x14ac:dyDescent="0.4">
      <c r="A40" s="2016"/>
      <c r="B40" s="2006" t="s">
        <v>259</v>
      </c>
      <c r="C40" s="2019"/>
      <c r="D40" s="540" t="s">
        <v>221</v>
      </c>
      <c r="E40" s="315" t="s">
        <v>221</v>
      </c>
      <c r="F40" s="315">
        <f>'UPTO JULY 2021'!F40+'AUG-2021'!F40+'SEPTEMBER 2021'!F40+'OCTOBER-2021'!F40+'NOVEMBER-2021'!F40+'DEC 2021'!F40+'JANUARY-2022'!F40+'FEB -2022'!F40</f>
        <v>0.19385580000000002</v>
      </c>
      <c r="G40" s="315">
        <v>0.46</v>
      </c>
      <c r="H40" s="407" t="s">
        <v>221</v>
      </c>
      <c r="I40" s="316">
        <f>(G40-F40)/F40*100</f>
        <v>137.28977931018829</v>
      </c>
    </row>
    <row r="41" spans="1:9" ht="15" x14ac:dyDescent="0.35">
      <c r="A41" s="2020">
        <v>5</v>
      </c>
      <c r="B41" s="2213" t="s">
        <v>346</v>
      </c>
      <c r="C41" s="2214"/>
      <c r="D41" s="2214"/>
      <c r="E41" s="2214"/>
      <c r="F41" s="2214"/>
      <c r="G41" s="2214"/>
      <c r="H41" s="2214"/>
      <c r="I41" s="2215"/>
    </row>
    <row r="42" spans="1:9" ht="15.4" x14ac:dyDescent="0.4">
      <c r="A42" s="2020"/>
      <c r="B42" s="2006" t="s">
        <v>16</v>
      </c>
      <c r="C42" s="2007"/>
      <c r="D42" s="603" t="s">
        <v>221</v>
      </c>
      <c r="E42" s="315" t="s">
        <v>221</v>
      </c>
      <c r="F42" s="315">
        <f>'UPTO JULY 2021'!F42+'AUG-2021'!F42+'SEPTEMBER 2021'!F42+'OCTOBER-2021'!F42+'NOVEMBER-2021'!F42+'DEC 2021'!F42+'JANUARY-2022'!F42+'FEB -2022'!F42</f>
        <v>0.32589800000000002</v>
      </c>
      <c r="G42" s="315">
        <f>'UPTO JULY 2021'!G42+'AUG-2021'!G42+'SEPTEMBER 2021'!G42+'OCTOBER-2021'!G42+'NOVEMBER-2021'!G42+'DEC 2021'!G42+'JANUARY-2022'!G42+'FEB -2022'!G42</f>
        <v>3.5068339999999996</v>
      </c>
      <c r="H42" s="314" t="s">
        <v>221</v>
      </c>
      <c r="I42" s="316">
        <f>(G42-F42)/F42*100</f>
        <v>976.05262996397619</v>
      </c>
    </row>
    <row r="43" spans="1:9" ht="15.4" x14ac:dyDescent="0.4">
      <c r="A43" s="2020"/>
      <c r="B43" s="2069" t="s">
        <v>15</v>
      </c>
      <c r="C43" s="320" t="s">
        <v>166</v>
      </c>
      <c r="D43" s="2162" t="s">
        <v>221</v>
      </c>
      <c r="E43" s="2154" t="s">
        <v>221</v>
      </c>
      <c r="F43" s="315">
        <f>'UPTO JULY 2021'!F43+'AUG-2021'!F43+'SEPTEMBER 2021'!F43+'OCTOBER-2021'!F43+'NOVEMBER-2021'!F43+'DEC 2021'!F43+'JANUARY-2022'!F43+'FEB -2022'!F43</f>
        <v>0.21151599999999998</v>
      </c>
      <c r="G43" s="315">
        <f>'UPTO JULY 2021'!G43+'AUG-2021'!G43+'SEPTEMBER 2021'!G43+'OCTOBER-2021'!G43+'NOVEMBER-2021'!G43+'DEC 2021'!G43+'JANUARY-2022'!G43+'FEB -2022'!G43</f>
        <v>0.86989199999999989</v>
      </c>
      <c r="H43" s="2027" t="s">
        <v>221</v>
      </c>
      <c r="I43" s="316">
        <f>(G43-F43)/F43*100</f>
        <v>311.26534162900202</v>
      </c>
    </row>
    <row r="44" spans="1:9" ht="15.4" x14ac:dyDescent="0.4">
      <c r="A44" s="2020"/>
      <c r="B44" s="2070"/>
      <c r="C44" s="320" t="s">
        <v>228</v>
      </c>
      <c r="D44" s="2163"/>
      <c r="E44" s="2155"/>
      <c r="F44" s="315">
        <f>'UPTO JULY 2021'!F44+'AUG-2021'!F44+'SEPTEMBER 2021'!F44+'OCTOBER-2021'!F44+'NOVEMBER-2021'!F44+'DEC 2021'!F44+'JANUARY-2022'!F44+'FEB -2022'!F44</f>
        <v>2.4302929999999998</v>
      </c>
      <c r="G44" s="315">
        <f>'UPTO JULY 2021'!G44+'AUG-2021'!G44+'SEPTEMBER 2021'!G44+'OCTOBER-2021'!G44+'NOVEMBER-2021'!G44+'DEC 2021'!G44+'JANUARY-2022'!G44+'FEB -2022'!G44</f>
        <v>9.6204050000000016</v>
      </c>
      <c r="H44" s="2029"/>
      <c r="I44" s="316">
        <f>(G44-F44)/F44*100</f>
        <v>295.853709820174</v>
      </c>
    </row>
    <row r="45" spans="1:9" ht="15" x14ac:dyDescent="0.35">
      <c r="A45" s="2020">
        <v>6</v>
      </c>
      <c r="B45" s="2021" t="s">
        <v>652</v>
      </c>
      <c r="C45" s="2022"/>
      <c r="D45" s="2022"/>
      <c r="E45" s="2022"/>
      <c r="F45" s="2022"/>
      <c r="G45" s="2022"/>
      <c r="H45" s="2022"/>
      <c r="I45" s="2023"/>
    </row>
    <row r="46" spans="1:9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313">
        <v>130.06</v>
      </c>
      <c r="G46" s="313">
        <v>232.2</v>
      </c>
      <c r="H46" s="2027" t="s">
        <v>221</v>
      </c>
      <c r="I46" s="316">
        <f>(G46-F46)/F46*100</f>
        <v>78.532984776257095</v>
      </c>
    </row>
    <row r="47" spans="1:9" ht="15.4" x14ac:dyDescent="0.4">
      <c r="A47" s="2020"/>
      <c r="B47" s="2006" t="s">
        <v>37</v>
      </c>
      <c r="C47" s="2007"/>
      <c r="D47" s="303" t="s">
        <v>221</v>
      </c>
      <c r="E47" s="2025"/>
      <c r="F47" s="313">
        <v>31.68</v>
      </c>
      <c r="G47" s="313">
        <v>44.85</v>
      </c>
      <c r="H47" s="2028"/>
      <c r="I47" s="316">
        <f>(G47-F47)/F47*100</f>
        <v>41.571969696969703</v>
      </c>
    </row>
    <row r="48" spans="1:9" ht="15.4" x14ac:dyDescent="0.4">
      <c r="A48" s="2020"/>
      <c r="B48" s="2006" t="s">
        <v>38</v>
      </c>
      <c r="C48" s="2007"/>
      <c r="D48" s="303" t="s">
        <v>221</v>
      </c>
      <c r="E48" s="2026"/>
      <c r="F48" s="333">
        <f>SUM(F46:F47)</f>
        <v>161.74</v>
      </c>
      <c r="G48" s="333">
        <f>SUM(G46:G47)</f>
        <v>277.05</v>
      </c>
      <c r="H48" s="2029"/>
      <c r="I48" s="316">
        <f>(G48-F48)/F48*100</f>
        <v>71.293433906269314</v>
      </c>
    </row>
    <row r="50" spans="1:9" ht="16.149999999999999" thickBot="1" x14ac:dyDescent="0.45">
      <c r="A50" s="5"/>
      <c r="B50" s="5"/>
      <c r="D50" s="5"/>
      <c r="E50" s="824"/>
      <c r="F50" s="12"/>
      <c r="G50" s="12"/>
      <c r="H50" s="314"/>
      <c r="I50" s="316"/>
    </row>
    <row r="51" spans="1:9" ht="13.5" x14ac:dyDescent="0.35">
      <c r="A51" s="5"/>
      <c r="B51" s="5"/>
      <c r="D51" s="5"/>
      <c r="E51" s="5"/>
      <c r="F51" s="12"/>
      <c r="G51" s="12"/>
      <c r="I51" s="5"/>
    </row>
    <row r="52" spans="1:9" ht="13.5" x14ac:dyDescent="0.35">
      <c r="A52" s="5"/>
      <c r="B52" s="5"/>
      <c r="D52" s="5">
        <f>E35*10000000</f>
        <v>29656000.000000004</v>
      </c>
      <c r="E52" s="5">
        <f>F52/100000</f>
        <v>3.2589800000000002</v>
      </c>
      <c r="F52" s="5">
        <f t="shared" ref="F52:G54" si="0">F42*1000000</f>
        <v>325898</v>
      </c>
      <c r="G52" s="5">
        <f t="shared" si="0"/>
        <v>3506833.9999999995</v>
      </c>
      <c r="I52" s="5"/>
    </row>
    <row r="53" spans="1:9" ht="13.5" x14ac:dyDescent="0.35">
      <c r="A53" s="5"/>
      <c r="B53" s="5"/>
      <c r="D53" s="5">
        <f>E36*10000000</f>
        <v>10396833.333333336</v>
      </c>
      <c r="E53" s="5">
        <f>F53/100000</f>
        <v>2.1151599999999999</v>
      </c>
      <c r="F53" s="5">
        <f t="shared" si="0"/>
        <v>211515.99999999997</v>
      </c>
      <c r="G53" s="5">
        <f t="shared" si="0"/>
        <v>869891.99999999988</v>
      </c>
      <c r="I53" s="5"/>
    </row>
    <row r="54" spans="1:9" ht="13.5" x14ac:dyDescent="0.35">
      <c r="A54" s="5"/>
      <c r="B54" s="5"/>
      <c r="D54" s="5">
        <f>E37*10000000</f>
        <v>8300000</v>
      </c>
      <c r="E54" s="5">
        <f>F54/100000</f>
        <v>24.30293</v>
      </c>
      <c r="F54" s="5">
        <f t="shared" si="0"/>
        <v>2430293</v>
      </c>
      <c r="G54" s="5">
        <f t="shared" si="0"/>
        <v>9620405.0000000019</v>
      </c>
    </row>
    <row r="55" spans="1:9" x14ac:dyDescent="0.35">
      <c r="D55" s="84">
        <f>D52/100000</f>
        <v>296.56000000000006</v>
      </c>
    </row>
    <row r="56" spans="1:9" x14ac:dyDescent="0.35">
      <c r="D56" s="84">
        <f>D53/100000</f>
        <v>103.96833333333336</v>
      </c>
    </row>
    <row r="57" spans="1:9" ht="13.5" x14ac:dyDescent="0.35">
      <c r="A57" s="5"/>
      <c r="B57" s="5"/>
      <c r="D57" s="84">
        <f>D54/100000</f>
        <v>83</v>
      </c>
      <c r="E57" s="5"/>
      <c r="F57" s="12">
        <v>1.6E-2</v>
      </c>
      <c r="G57" s="12">
        <v>0.31</v>
      </c>
    </row>
    <row r="58" spans="1:9" ht="13.5" x14ac:dyDescent="0.35">
      <c r="A58" s="5"/>
      <c r="B58" s="5"/>
      <c r="D58" s="5"/>
      <c r="E58" s="5"/>
      <c r="F58" s="12">
        <v>305</v>
      </c>
      <c r="G58" s="12">
        <v>10226</v>
      </c>
      <c r="H58" s="12">
        <f>F58+F59</f>
        <v>329.30293</v>
      </c>
      <c r="I58" s="11">
        <f>G58+G59</f>
        <v>10322.20405</v>
      </c>
    </row>
    <row r="59" spans="1:9" ht="13.5" x14ac:dyDescent="0.35">
      <c r="A59" s="5"/>
      <c r="B59" s="5"/>
      <c r="D59" s="5"/>
      <c r="E59" s="5"/>
      <c r="F59" s="12">
        <f>F54/100000</f>
        <v>24.30293</v>
      </c>
      <c r="G59" s="12">
        <f>G54/100000</f>
        <v>96.204050000000024</v>
      </c>
    </row>
    <row r="60" spans="1:9" x14ac:dyDescent="0.35">
      <c r="F60" s="12">
        <f>SUM(F57:F59)</f>
        <v>329.31893000000002</v>
      </c>
      <c r="G60" s="12">
        <f>SUM(G57:G59)</f>
        <v>10322.51405</v>
      </c>
    </row>
    <row r="63" spans="1:9" x14ac:dyDescent="0.35">
      <c r="E63" s="35">
        <f>25/7</f>
        <v>3.5714285714285716</v>
      </c>
      <c r="F63" s="5">
        <f>1281249436/7</f>
        <v>183035633.7142857</v>
      </c>
      <c r="G63" s="5">
        <f>F63/100000</f>
        <v>1830.356337142857</v>
      </c>
    </row>
    <row r="64" spans="1:9" x14ac:dyDescent="0.35">
      <c r="E64" s="35">
        <f>253.5/7</f>
        <v>36.214285714285715</v>
      </c>
      <c r="F64" s="5">
        <f>53100890/7</f>
        <v>7585841.4285714282</v>
      </c>
      <c r="G64" s="5">
        <f>F64/100000</f>
        <v>75.858414285714275</v>
      </c>
    </row>
  </sheetData>
  <mergeCells count="65">
    <mergeCell ref="A45:A48"/>
    <mergeCell ref="B45:I45"/>
    <mergeCell ref="B46:C46"/>
    <mergeCell ref="E46:E48"/>
    <mergeCell ref="H46:H48"/>
    <mergeCell ref="B47:C47"/>
    <mergeCell ref="B48:C48"/>
    <mergeCell ref="A41:A44"/>
    <mergeCell ref="B41:I41"/>
    <mergeCell ref="B42:C42"/>
    <mergeCell ref="B43:B44"/>
    <mergeCell ref="D43:D44"/>
    <mergeCell ref="E43:E44"/>
    <mergeCell ref="H43:H44"/>
    <mergeCell ref="A34:A40"/>
    <mergeCell ref="B34:I34"/>
    <mergeCell ref="B35:C35"/>
    <mergeCell ref="B36:C36"/>
    <mergeCell ref="B38:C38"/>
    <mergeCell ref="B39:C39"/>
    <mergeCell ref="B40:C40"/>
    <mergeCell ref="A26:A33"/>
    <mergeCell ref="B26:I26"/>
    <mergeCell ref="B27:C27"/>
    <mergeCell ref="B28:C28"/>
    <mergeCell ref="B29:C29"/>
    <mergeCell ref="B30:C30"/>
    <mergeCell ref="B31:C31"/>
    <mergeCell ref="B32:C32"/>
    <mergeCell ref="B33:C33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</mergeCells>
  <pageMargins left="0.2" right="0.2" top="0.41" bottom="0.28999999999999998" header="0.3" footer="0.3"/>
  <pageSetup paperSize="9" scale="62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U64"/>
  <sheetViews>
    <sheetView workbookViewId="0">
      <selection activeCell="G15" sqref="G15:G17"/>
    </sheetView>
  </sheetViews>
  <sheetFormatPr defaultColWidth="9.1328125" defaultRowHeight="16.899999999999999" x14ac:dyDescent="0.35"/>
  <cols>
    <col min="1" max="1" width="5.3984375" style="376" customWidth="1"/>
    <col min="2" max="2" width="37.73046875" style="300" customWidth="1"/>
    <col min="3" max="3" width="13" style="5" customWidth="1"/>
    <col min="4" max="4" width="9" style="84" customWidth="1"/>
    <col min="5" max="5" width="9.3984375" style="35" customWidth="1"/>
    <col min="6" max="6" width="11" style="5" customWidth="1"/>
    <col min="7" max="7" width="12" style="5" customWidth="1"/>
    <col min="8" max="8" width="8.86328125" style="11" customWidth="1"/>
    <col min="9" max="9" width="11.86328125" style="82" customWidth="1"/>
    <col min="10" max="10" width="9.1328125" style="5"/>
    <col min="11" max="11" width="14.265625" style="5" customWidth="1"/>
    <col min="12" max="12" width="13.1328125" style="5" customWidth="1"/>
    <col min="13" max="13" width="11.86328125" style="5" customWidth="1"/>
    <col min="14" max="14" width="10.73046875" style="5" customWidth="1"/>
    <col min="15" max="15" width="10.1328125" style="5" customWidth="1"/>
    <col min="16" max="16" width="10.1328125" style="5" bestFit="1" customWidth="1"/>
    <col min="17" max="16384" width="9.1328125" style="5"/>
  </cols>
  <sheetData>
    <row r="1" spans="1:14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4" s="301" customFormat="1" ht="17.25" thickBot="1" x14ac:dyDescent="0.5">
      <c r="A2" s="2092" t="s">
        <v>644</v>
      </c>
      <c r="B2" s="2093"/>
      <c r="C2" s="2093"/>
      <c r="D2" s="2093"/>
      <c r="E2" s="2093"/>
      <c r="F2" s="2093"/>
      <c r="G2" s="2093"/>
      <c r="H2" s="2093"/>
      <c r="I2" s="2094"/>
    </row>
    <row r="3" spans="1:14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4" s="35" customFormat="1" ht="15" x14ac:dyDescent="0.45">
      <c r="A4" s="2035"/>
      <c r="B4" s="2047"/>
      <c r="C4" s="2048"/>
      <c r="D4" s="366" t="s">
        <v>9</v>
      </c>
      <c r="E4" s="383">
        <f>G4</f>
        <v>44593</v>
      </c>
      <c r="F4" s="383">
        <v>44229</v>
      </c>
      <c r="G4" s="383">
        <v>44593</v>
      </c>
      <c r="H4" s="2041" t="s">
        <v>12</v>
      </c>
      <c r="I4" s="2041" t="s">
        <v>13</v>
      </c>
    </row>
    <row r="5" spans="1:14" ht="15" x14ac:dyDescent="0.45">
      <c r="A5" s="2036"/>
      <c r="B5" s="2047"/>
      <c r="C5" s="2048"/>
      <c r="D5" s="2097" t="s">
        <v>438</v>
      </c>
      <c r="E5" s="2098"/>
      <c r="F5" s="366" t="s">
        <v>249</v>
      </c>
      <c r="G5" s="366" t="s">
        <v>438</v>
      </c>
      <c r="H5" s="2042"/>
      <c r="I5" s="2042"/>
      <c r="K5"/>
    </row>
    <row r="6" spans="1:14" x14ac:dyDescent="0.45">
      <c r="A6" s="372">
        <v>1</v>
      </c>
      <c r="B6" s="2049" t="s">
        <v>279</v>
      </c>
      <c r="C6" s="2049"/>
      <c r="D6" s="304"/>
      <c r="E6" s="305">
        <f>E15+E16</f>
        <v>60.019999999999996</v>
      </c>
      <c r="F6" s="305">
        <f>F15+F16+F17</f>
        <v>42.712593645000005</v>
      </c>
      <c r="G6" s="305">
        <f>G15+G16+G17</f>
        <v>63.156027279</v>
      </c>
      <c r="H6" s="306">
        <f>(G6-E6)/E6*100</f>
        <v>5.2249704748417258</v>
      </c>
      <c r="I6" s="306">
        <f>(G6-F6)/F6*100</f>
        <v>47.862777437288997</v>
      </c>
      <c r="K6" s="319"/>
      <c r="L6"/>
    </row>
    <row r="7" spans="1:14" x14ac:dyDescent="0.35">
      <c r="A7" s="373">
        <v>2</v>
      </c>
      <c r="B7" s="2050" t="s">
        <v>281</v>
      </c>
      <c r="C7" s="2051"/>
      <c r="D7" s="307"/>
      <c r="E7" s="307">
        <v>18.8</v>
      </c>
      <c r="F7" s="307">
        <f>F19+F20+F21+F22+F23+F24+F25</f>
        <v>11.4666952</v>
      </c>
      <c r="G7" s="307">
        <v>18.21</v>
      </c>
      <c r="H7" s="306">
        <f>(G7-E7)/E7*100</f>
        <v>-3.1382978723404245</v>
      </c>
      <c r="I7" s="308">
        <f>(G7-F7)/F7*100</f>
        <v>58.807744362124502</v>
      </c>
    </row>
    <row r="8" spans="1:14" x14ac:dyDescent="0.35">
      <c r="A8" s="374">
        <v>3</v>
      </c>
      <c r="B8" s="2021" t="s">
        <v>282</v>
      </c>
      <c r="C8" s="2023"/>
      <c r="D8" s="364"/>
      <c r="E8" s="364">
        <v>6.48</v>
      </c>
      <c r="F8" s="364">
        <f>F27+F28+F29+F30+F31+F32+F33</f>
        <v>3.8488273</v>
      </c>
      <c r="G8" s="364">
        <f>G27+G28+G29+G30+G31+G32+G33</f>
        <v>6.1844009</v>
      </c>
      <c r="H8" s="306">
        <f>(G8-E8)/E8*100</f>
        <v>-4.5617145061728461</v>
      </c>
      <c r="I8" s="365">
        <f>(G8-F8)/F8*100</f>
        <v>60.682733153550437</v>
      </c>
    </row>
    <row r="9" spans="1:14" x14ac:dyDescent="0.35">
      <c r="A9" s="373">
        <v>4</v>
      </c>
      <c r="B9" s="2052" t="s">
        <v>283</v>
      </c>
      <c r="C9" s="2053"/>
      <c r="D9" s="307"/>
      <c r="E9" s="307">
        <f>E35+E36+E37</f>
        <v>0.43911666666666671</v>
      </c>
      <c r="F9" s="307">
        <v>0.2</v>
      </c>
      <c r="G9" s="307">
        <f>G35+G36+G37+G38+G39+G40</f>
        <v>0.59128609999999993</v>
      </c>
      <c r="H9" s="306">
        <f>(G9-E9)/E9*100</f>
        <v>34.653531711390265</v>
      </c>
      <c r="I9" s="308">
        <f>(G9-F9)/F9*100</f>
        <v>195.64304999999996</v>
      </c>
    </row>
    <row r="10" spans="1:14" ht="17.649999999999999" x14ac:dyDescent="0.35">
      <c r="A10" s="374">
        <v>5</v>
      </c>
      <c r="B10" s="2117" t="s">
        <v>284</v>
      </c>
      <c r="C10" s="2118"/>
      <c r="D10" s="321"/>
      <c r="E10" s="321">
        <f>SUM(E6:E9)</f>
        <v>85.739116666666661</v>
      </c>
      <c r="F10" s="446">
        <f>SUM(F6:F9)</f>
        <v>58.228116145000001</v>
      </c>
      <c r="G10" s="446">
        <f>SUM(G6:G9)</f>
        <v>88.141714279000013</v>
      </c>
      <c r="H10" s="306">
        <f>(G10-E10)/E10*100</f>
        <v>2.8022187605152049</v>
      </c>
      <c r="I10" s="322">
        <f>(G10-F10)/F10*100</f>
        <v>51.373116828147062</v>
      </c>
      <c r="K10" s="12"/>
    </row>
    <row r="11" spans="1:14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4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0.81472999999999995</v>
      </c>
      <c r="G12" s="447">
        <f>G42+G43+G44</f>
        <v>1.9814219999999998</v>
      </c>
      <c r="H12" s="310" t="s">
        <v>221</v>
      </c>
      <c r="I12" s="311">
        <f>(G12-F12)/F12*100</f>
        <v>143.19983307353354</v>
      </c>
    </row>
    <row r="13" spans="1:14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4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K14" s="383">
        <f>F4</f>
        <v>44229</v>
      </c>
      <c r="L14" s="383">
        <v>44166</v>
      </c>
    </row>
    <row r="15" spans="1:14" ht="15.4" x14ac:dyDescent="0.4">
      <c r="A15" s="2004"/>
      <c r="B15" s="2006" t="s">
        <v>16</v>
      </c>
      <c r="C15" s="2007"/>
      <c r="D15" s="331"/>
      <c r="E15" s="307">
        <f>'REVISED TARGET'!J53</f>
        <v>0.15</v>
      </c>
      <c r="F15" s="264">
        <v>4.1974644999999998E-2</v>
      </c>
      <c r="G15" s="433">
        <f>'actual fig'!L54/10000000</f>
        <v>0.33638357899999999</v>
      </c>
      <c r="H15" s="314">
        <f>(G15-E15)/E15*100</f>
        <v>124.25571933333333</v>
      </c>
      <c r="I15" s="314">
        <f>(G15-F15)/F15*100</f>
        <v>701.39707911764356</v>
      </c>
      <c r="J15" s="12"/>
      <c r="K15" s="41"/>
      <c r="L15" s="476"/>
      <c r="M15" s="264"/>
    </row>
    <row r="16" spans="1:14" ht="15.4" x14ac:dyDescent="0.4">
      <c r="A16" s="2004"/>
      <c r="B16" s="2071" t="s">
        <v>15</v>
      </c>
      <c r="C16" s="320" t="s">
        <v>166</v>
      </c>
      <c r="D16" s="2064"/>
      <c r="E16" s="2065">
        <f>'REVISED TARGET'!K53</f>
        <v>59.87</v>
      </c>
      <c r="F16" s="134">
        <v>3.3575599999999997E-2</v>
      </c>
      <c r="G16" s="433">
        <f>'actual fig'!M54/10000000</f>
        <v>0.34663949999999999</v>
      </c>
      <c r="H16" s="2027">
        <v>4.93</v>
      </c>
      <c r="I16" s="314">
        <f>(G16-F16)/F16*100</f>
        <v>932.41490844541875</v>
      </c>
      <c r="J16" s="12"/>
      <c r="K16" s="41">
        <f>F16+F17</f>
        <v>42.670619000000002</v>
      </c>
      <c r="L16" s="41">
        <f>G16+G17</f>
        <v>62.8196437</v>
      </c>
      <c r="M16" s="264">
        <f>(L16-E16)/E16*100</f>
        <v>4.9267474528144364</v>
      </c>
      <c r="N16" s="5">
        <f>(L16-K16)/K16*100</f>
        <v>47.219902528247829</v>
      </c>
    </row>
    <row r="17" spans="1:21" ht="15.75" x14ac:dyDescent="0.45">
      <c r="A17" s="2005"/>
      <c r="B17" s="2071"/>
      <c r="C17" s="320" t="s">
        <v>228</v>
      </c>
      <c r="D17" s="2064"/>
      <c r="E17" s="2066"/>
      <c r="F17" s="475">
        <v>42.637043400000003</v>
      </c>
      <c r="G17" s="264">
        <f>'actual fig'!N54/10000000</f>
        <v>62.473004199999998</v>
      </c>
      <c r="H17" s="2029"/>
      <c r="I17" s="314">
        <f>(G17-F17)/F17*100</f>
        <v>46.522833710369312</v>
      </c>
      <c r="J17" s="12"/>
      <c r="K17" s="478"/>
      <c r="L17" s="319"/>
      <c r="M17" s="264"/>
      <c r="P17">
        <v>605916594</v>
      </c>
    </row>
    <row r="18" spans="1:21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21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v>7.7209143999999998</v>
      </c>
      <c r="G19" s="264"/>
      <c r="H19" s="316" t="s">
        <v>221</v>
      </c>
      <c r="I19" s="314">
        <f>(G19-F19)/F19*100</f>
        <v>-100</v>
      </c>
      <c r="L19"/>
    </row>
    <row r="20" spans="1:21" ht="15.4" x14ac:dyDescent="0.4">
      <c r="A20" s="2004"/>
      <c r="B20" s="2009"/>
      <c r="C20" s="2000" t="s">
        <v>232</v>
      </c>
      <c r="D20" s="2001"/>
      <c r="E20" s="2002"/>
      <c r="F20" s="264">
        <v>0.73258769999999995</v>
      </c>
      <c r="G20" s="264"/>
      <c r="H20" s="316" t="s">
        <v>221</v>
      </c>
      <c r="I20" s="314">
        <f>(G20-F20)/F20*100</f>
        <v>-100</v>
      </c>
    </row>
    <row r="21" spans="1:21" ht="15.4" x14ac:dyDescent="0.4">
      <c r="A21" s="2004"/>
      <c r="B21" s="2009"/>
      <c r="C21" s="2000" t="s">
        <v>239</v>
      </c>
      <c r="D21" s="2001"/>
      <c r="E21" s="2002"/>
      <c r="F21" s="264">
        <v>2.2424499999999998</v>
      </c>
      <c r="G21" s="264"/>
      <c r="H21" s="316" t="s">
        <v>221</v>
      </c>
      <c r="I21" s="314">
        <f>(G21-F21)/F21*100</f>
        <v>-100</v>
      </c>
    </row>
    <row r="22" spans="1:21" ht="15.4" x14ac:dyDescent="0.4">
      <c r="A22" s="2004"/>
      <c r="B22" s="2009"/>
      <c r="C22" s="2000" t="s">
        <v>233</v>
      </c>
      <c r="D22" s="2001"/>
      <c r="E22" s="2002"/>
      <c r="F22" s="264">
        <v>0.74519690000000005</v>
      </c>
      <c r="G22" s="264"/>
      <c r="H22" s="316" t="s">
        <v>221</v>
      </c>
      <c r="I22" s="314">
        <f>(G22-F22)/F22*100</f>
        <v>-100</v>
      </c>
    </row>
    <row r="23" spans="1:21" ht="15.4" x14ac:dyDescent="0.4">
      <c r="A23" s="2004"/>
      <c r="B23" s="2009"/>
      <c r="C23" s="2000" t="s">
        <v>234</v>
      </c>
      <c r="D23" s="2001"/>
      <c r="E23" s="2002"/>
      <c r="F23" s="264">
        <v>0</v>
      </c>
      <c r="G23" s="264"/>
      <c r="H23" s="316" t="s">
        <v>221</v>
      </c>
      <c r="I23" s="314" t="e">
        <f>(G23-F23)/F23*100</f>
        <v>#DIV/0!</v>
      </c>
    </row>
    <row r="24" spans="1:21" ht="15.4" x14ac:dyDescent="0.4">
      <c r="A24" s="2004"/>
      <c r="B24" s="2009"/>
      <c r="C24" s="2000" t="s">
        <v>235</v>
      </c>
      <c r="D24" s="2001"/>
      <c r="E24" s="2002"/>
      <c r="F24" s="264">
        <v>0</v>
      </c>
      <c r="G24" s="264"/>
      <c r="H24" s="316"/>
      <c r="I24" s="314">
        <v>0</v>
      </c>
      <c r="M24" s="5">
        <f>970545+185878</f>
        <v>1156423</v>
      </c>
    </row>
    <row r="25" spans="1:21" ht="15.4" x14ac:dyDescent="0.4">
      <c r="A25" s="2005"/>
      <c r="B25" s="2010"/>
      <c r="C25" s="2011" t="s">
        <v>236</v>
      </c>
      <c r="D25" s="2012"/>
      <c r="E25" s="2013"/>
      <c r="F25" s="264">
        <v>2.5546200000000002E-2</v>
      </c>
      <c r="G25" s="264"/>
      <c r="H25" s="316" t="s">
        <v>221</v>
      </c>
      <c r="I25" s="314">
        <v>0</v>
      </c>
      <c r="M25" s="5">
        <f>M24/10000000</f>
        <v>0.1156423</v>
      </c>
    </row>
    <row r="26" spans="1:21" ht="15" x14ac:dyDescent="0.35">
      <c r="A26" s="2014">
        <v>3</v>
      </c>
      <c r="B26" s="2021" t="s">
        <v>623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21" ht="15.4" x14ac:dyDescent="0.4">
      <c r="A27" s="2015"/>
      <c r="B27" s="2006" t="s">
        <v>2</v>
      </c>
      <c r="C27" s="2007"/>
      <c r="D27" s="331"/>
      <c r="E27" s="307">
        <v>0.5</v>
      </c>
      <c r="F27" s="283">
        <v>0.17869450000000001</v>
      </c>
      <c r="G27" s="134">
        <f>'actual fig'!U54/10000000</f>
        <v>1.5930512999999999</v>
      </c>
      <c r="H27" s="316">
        <f>(G27-E27)/E27*100</f>
        <v>218.61025999999998</v>
      </c>
      <c r="I27" s="314">
        <f t="shared" ref="I27:I33" si="0">(G27-F27)/F27*100</f>
        <v>791.4943101214642</v>
      </c>
      <c r="K27" s="6" t="s">
        <v>126</v>
      </c>
      <c r="L27" s="6" t="s">
        <v>299</v>
      </c>
      <c r="N27" s="5" t="s">
        <v>343</v>
      </c>
      <c r="O27" s="5">
        <f>F27*10000000</f>
        <v>1786945</v>
      </c>
      <c r="P27" s="5">
        <f>G27*10000000</f>
        <v>15930513</v>
      </c>
    </row>
    <row r="28" spans="1:21" ht="15.4" x14ac:dyDescent="0.4">
      <c r="A28" s="2015"/>
      <c r="B28" s="2006" t="s">
        <v>23</v>
      </c>
      <c r="C28" s="2007"/>
      <c r="D28" s="331"/>
      <c r="E28" s="307">
        <v>2.5</v>
      </c>
      <c r="F28" s="134">
        <v>1.67</v>
      </c>
      <c r="G28" s="134">
        <f>'actual fig'!V54/10000000</f>
        <v>1.9980369</v>
      </c>
      <c r="H28" s="316">
        <f>(G28-E28)/E28*100</f>
        <v>-20.078524000000002</v>
      </c>
      <c r="I28" s="314">
        <f t="shared" si="0"/>
        <v>19.642928143712581</v>
      </c>
      <c r="K28" s="6"/>
      <c r="L28" s="6">
        <f>6383+570</f>
        <v>6953</v>
      </c>
      <c r="M28" s="41">
        <v>757017</v>
      </c>
      <c r="N28" s="12"/>
      <c r="O28" s="11">
        <f>O27/100000</f>
        <v>17.869450000000001</v>
      </c>
      <c r="P28" s="11">
        <f>P27/100000</f>
        <v>159.30512999999999</v>
      </c>
      <c r="Q28" s="5">
        <f>5743117/100000</f>
        <v>57.431170000000002</v>
      </c>
      <c r="R28" s="5">
        <f>139396/100000</f>
        <v>1.3939600000000001</v>
      </c>
    </row>
    <row r="29" spans="1:21" ht="15.4" x14ac:dyDescent="0.4">
      <c r="A29" s="2015"/>
      <c r="B29" s="2006" t="s">
        <v>1</v>
      </c>
      <c r="C29" s="2007"/>
      <c r="D29" s="331"/>
      <c r="E29" s="307">
        <v>0.28999999999999998</v>
      </c>
      <c r="F29" s="134">
        <v>6.3E-2</v>
      </c>
      <c r="G29" s="134">
        <f>'actual fig'!W54/10000000</f>
        <v>7.6978400000000002E-2</v>
      </c>
      <c r="H29" s="316">
        <f>(G29-E29)/E29*100</f>
        <v>-73.455724137931028</v>
      </c>
      <c r="I29" s="314">
        <f t="shared" si="0"/>
        <v>22.187936507936513</v>
      </c>
      <c r="L29" s="5">
        <f>L28/10000000</f>
        <v>6.9530000000000004E-4</v>
      </c>
      <c r="O29" s="11"/>
    </row>
    <row r="30" spans="1:21" ht="15.75" x14ac:dyDescent="0.45">
      <c r="A30" s="2015"/>
      <c r="B30" s="2006" t="s">
        <v>24</v>
      </c>
      <c r="C30" s="2007"/>
      <c r="D30" s="332"/>
      <c r="E30" s="308"/>
      <c r="F30" s="134">
        <v>0</v>
      </c>
      <c r="G30" s="134">
        <f>'actual fig'!Y54/10000000</f>
        <v>4.0370000000000003E-2</v>
      </c>
      <c r="H30" s="316" t="s">
        <v>221</v>
      </c>
      <c r="I30" s="314" t="e">
        <f t="shared" si="0"/>
        <v>#DIV/0!</v>
      </c>
      <c r="L30">
        <v>12012330</v>
      </c>
      <c r="O30" s="11"/>
      <c r="S30" s="5">
        <v>7.29</v>
      </c>
      <c r="T30" s="5">
        <v>6.7</v>
      </c>
      <c r="U30" s="5">
        <f>S30-T30</f>
        <v>0.58999999999999986</v>
      </c>
    </row>
    <row r="31" spans="1:21" ht="15.4" x14ac:dyDescent="0.4">
      <c r="A31" s="2015"/>
      <c r="B31" s="2017" t="s">
        <v>25</v>
      </c>
      <c r="C31" s="2030"/>
      <c r="D31" s="332"/>
      <c r="E31" s="308"/>
      <c r="F31" s="476">
        <v>0</v>
      </c>
      <c r="G31" s="433">
        <v>0</v>
      </c>
      <c r="H31" s="316" t="s">
        <v>221</v>
      </c>
      <c r="I31" s="314" t="e">
        <f t="shared" si="0"/>
        <v>#DIV/0!</v>
      </c>
      <c r="L31" s="319">
        <v>648677</v>
      </c>
    </row>
    <row r="32" spans="1:21" ht="15.75" x14ac:dyDescent="0.45">
      <c r="A32" s="2016"/>
      <c r="B32" s="2017" t="s">
        <v>241</v>
      </c>
      <c r="C32" s="2030"/>
      <c r="D32" s="332"/>
      <c r="E32" s="308"/>
      <c r="F32" s="264">
        <v>1.9362273999999999</v>
      </c>
      <c r="G32" s="264">
        <f>'actual fig'!T54/10000000</f>
        <v>2.4464256999999998</v>
      </c>
      <c r="H32" s="316" t="s">
        <v>221</v>
      </c>
      <c r="I32" s="314">
        <f t="shared" si="0"/>
        <v>26.350122924611018</v>
      </c>
      <c r="K32" s="437"/>
      <c r="L32">
        <v>12012330</v>
      </c>
    </row>
    <row r="33" spans="1:18" x14ac:dyDescent="0.4">
      <c r="A33" s="403"/>
      <c r="B33" s="402" t="s">
        <v>266</v>
      </c>
      <c r="C33" s="409"/>
      <c r="D33" s="332"/>
      <c r="E33" s="308"/>
      <c r="F33" s="426">
        <v>9.054E-4</v>
      </c>
      <c r="G33" s="404">
        <f>'actual fig'!Z54/10000000</f>
        <v>2.9538600000000002E-2</v>
      </c>
      <c r="H33" s="316"/>
      <c r="I33" s="314">
        <f t="shared" si="0"/>
        <v>3162.4917163684563</v>
      </c>
    </row>
    <row r="34" spans="1:18" ht="15" x14ac:dyDescent="0.35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</row>
    <row r="35" spans="1:18" ht="15.4" x14ac:dyDescent="0.4">
      <c r="A35" s="2020"/>
      <c r="B35" s="2006" t="s">
        <v>27</v>
      </c>
      <c r="C35" s="2007"/>
      <c r="D35" s="331"/>
      <c r="E35" s="307">
        <v>0.26960000000000001</v>
      </c>
      <c r="F35" s="283">
        <v>0.14642839999999999</v>
      </c>
      <c r="G35" s="283">
        <f>'actual fig'!T70/10000000</f>
        <v>0.51021989999999995</v>
      </c>
      <c r="H35" s="314">
        <f>(G35-E35)/E35*100</f>
        <v>89.250704747774449</v>
      </c>
      <c r="I35" s="314">
        <f t="shared" ref="I35:I40" si="1">(G35-F35)/F35*100</f>
        <v>248.44326647016558</v>
      </c>
      <c r="K35" s="432" t="s">
        <v>203</v>
      </c>
      <c r="L35" s="432" t="s">
        <v>275</v>
      </c>
      <c r="Q35" s="6" t="s">
        <v>126</v>
      </c>
    </row>
    <row r="36" spans="1:18" ht="15.4" x14ac:dyDescent="0.4">
      <c r="A36" s="2020"/>
      <c r="B36" s="2006" t="s">
        <v>28</v>
      </c>
      <c r="C36" s="2007"/>
      <c r="D36" s="333"/>
      <c r="E36" s="307">
        <v>9.4516666666666679E-2</v>
      </c>
      <c r="F36" s="134">
        <v>0</v>
      </c>
      <c r="G36" s="389">
        <v>0</v>
      </c>
      <c r="H36" s="314">
        <f>(G36-E36)/E36*100</f>
        <v>-100</v>
      </c>
      <c r="I36" s="314" t="e">
        <f t="shared" si="1"/>
        <v>#DIV/0!</v>
      </c>
      <c r="K36" s="5" t="s">
        <v>126</v>
      </c>
      <c r="L36" s="5" t="s">
        <v>299</v>
      </c>
      <c r="Q36" s="172">
        <v>0.57431169999999998</v>
      </c>
      <c r="R36" s="5" t="s">
        <v>27</v>
      </c>
    </row>
    <row r="37" spans="1:18" ht="15.4" x14ac:dyDescent="0.4">
      <c r="A37" s="2020"/>
      <c r="B37" s="378" t="s">
        <v>224</v>
      </c>
      <c r="C37" s="379"/>
      <c r="D37" s="331"/>
      <c r="E37" s="307">
        <v>7.4999999999999997E-2</v>
      </c>
      <c r="F37" s="389">
        <v>2.7738499999999999E-2</v>
      </c>
      <c r="G37" s="389">
        <f>'actual fig'!V70/10000000</f>
        <v>9.5620000000000004E-4</v>
      </c>
      <c r="H37" s="314">
        <f>(G37-E37)/E37*100</f>
        <v>-98.725066666666663</v>
      </c>
      <c r="I37" s="314">
        <f t="shared" si="1"/>
        <v>-96.552805667213434</v>
      </c>
      <c r="K37" s="6">
        <f>461865+202877+25352+1289035</f>
        <v>1979129</v>
      </c>
      <c r="L37" s="6">
        <f>M37-N37</f>
        <v>25202</v>
      </c>
      <c r="M37" s="5">
        <v>329700</v>
      </c>
      <c r="N37" s="5">
        <v>304498</v>
      </c>
      <c r="Q37" s="172">
        <v>0.1038307</v>
      </c>
      <c r="R37" s="5" t="s">
        <v>28</v>
      </c>
    </row>
    <row r="38" spans="1:18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134">
        <v>0</v>
      </c>
      <c r="G38" s="210">
        <v>0</v>
      </c>
      <c r="H38" s="314" t="s">
        <v>221</v>
      </c>
      <c r="I38" s="314" t="e">
        <f t="shared" si="1"/>
        <v>#DIV/0!</v>
      </c>
      <c r="J38" s="5">
        <f>K38/10000000</f>
        <v>4.5026900000000002E-2</v>
      </c>
      <c r="K38" s="30">
        <f>K39-K37</f>
        <v>450269</v>
      </c>
      <c r="L38" s="30">
        <f>M39/10000000</f>
        <v>3.89428E-2</v>
      </c>
      <c r="Q38" s="172">
        <v>1.3424E-2</v>
      </c>
      <c r="R38" s="5" t="s">
        <v>4</v>
      </c>
    </row>
    <row r="39" spans="1:18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389">
        <v>0</v>
      </c>
      <c r="G39" s="210">
        <v>0</v>
      </c>
      <c r="H39" s="314" t="s">
        <v>221</v>
      </c>
      <c r="I39" s="314" t="e">
        <f t="shared" si="1"/>
        <v>#DIV/0!</v>
      </c>
      <c r="K39" s="5">
        <v>2429398</v>
      </c>
      <c r="L39" s="5">
        <v>648677</v>
      </c>
      <c r="M39" s="5">
        <f>L39-5242-254007</f>
        <v>389428</v>
      </c>
      <c r="Q39" s="172">
        <v>0</v>
      </c>
      <c r="R39" s="5" t="s">
        <v>29</v>
      </c>
    </row>
    <row r="40" spans="1:18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283">
        <v>2.6100000000000002E-2</v>
      </c>
      <c r="G40" s="283">
        <f>'actual fig'!X70/10000000</f>
        <v>8.0110000000000001E-2</v>
      </c>
      <c r="H40" s="314"/>
      <c r="I40" s="314">
        <f t="shared" si="1"/>
        <v>206.93486590038313</v>
      </c>
      <c r="Q40" s="172">
        <v>0</v>
      </c>
      <c r="R40" s="5" t="s">
        <v>64</v>
      </c>
    </row>
    <row r="41" spans="1:18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K41" s="383">
        <v>43770</v>
      </c>
      <c r="L41" s="383">
        <v>44136</v>
      </c>
      <c r="M41" s="5" t="s">
        <v>350</v>
      </c>
      <c r="N41" s="5" t="s">
        <v>351</v>
      </c>
      <c r="Q41" s="172">
        <v>2.9382100000000001E-2</v>
      </c>
      <c r="R41" s="5" t="s">
        <v>3</v>
      </c>
    </row>
    <row r="42" spans="1:18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9.3120999999999995E-2</v>
      </c>
      <c r="G42" s="264">
        <f>'actual fig'!L70/1000000</f>
        <v>0.66512499999999997</v>
      </c>
      <c r="H42" s="314" t="s">
        <v>221</v>
      </c>
      <c r="I42" s="314">
        <f>(G42-F42)/F42*100</f>
        <v>614.25886749497965</v>
      </c>
      <c r="J42" s="12">
        <f>K42/1000000</f>
        <v>3.161527</v>
      </c>
      <c r="K42" s="5">
        <v>3161527</v>
      </c>
      <c r="L42" s="12">
        <v>42096</v>
      </c>
      <c r="M42" s="12">
        <f>L42/1000000</f>
        <v>4.2096000000000001E-2</v>
      </c>
      <c r="N42" s="42">
        <f>L42/100000</f>
        <v>0.42096</v>
      </c>
      <c r="R42" s="5" t="s">
        <v>31</v>
      </c>
    </row>
    <row r="43" spans="1:18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283">
        <v>1.2258E-2</v>
      </c>
      <c r="G43" s="283">
        <f>'actual fig'!M70/1000000</f>
        <v>0.161415</v>
      </c>
      <c r="H43" s="2027" t="s">
        <v>221</v>
      </c>
      <c r="I43" s="314">
        <f>(G43-F43)/F43*100</f>
        <v>1216.8135095447872</v>
      </c>
      <c r="J43" s="12">
        <f>K43/1000000</f>
        <v>2.7041879999999998</v>
      </c>
      <c r="K43" s="5">
        <v>2704188</v>
      </c>
      <c r="L43" s="12">
        <v>119</v>
      </c>
      <c r="M43" s="12">
        <f>L43/1000000</f>
        <v>1.1900000000000001E-4</v>
      </c>
      <c r="N43" s="42">
        <f>L43/100000</f>
        <v>1.1900000000000001E-3</v>
      </c>
    </row>
    <row r="44" spans="1:18" ht="15.4" x14ac:dyDescent="0.4">
      <c r="A44" s="2020"/>
      <c r="B44" s="2070"/>
      <c r="C44" s="320" t="s">
        <v>228</v>
      </c>
      <c r="D44" s="2068"/>
      <c r="E44" s="2066"/>
      <c r="F44" s="323">
        <v>0.70935099999999995</v>
      </c>
      <c r="G44" s="323">
        <f>'actual fig'!N70/1000000</f>
        <v>1.154882</v>
      </c>
      <c r="H44" s="2029"/>
      <c r="I44" s="314">
        <f>(G44-F44)/F44*100</f>
        <v>62.80825712517499</v>
      </c>
      <c r="J44" s="12">
        <f>K44/1000000</f>
        <v>0.99375899999999995</v>
      </c>
      <c r="K44" s="319">
        <v>993759</v>
      </c>
      <c r="L44" s="319">
        <v>545857</v>
      </c>
      <c r="M44" s="12">
        <f>L44/1000000</f>
        <v>0.54585700000000004</v>
      </c>
      <c r="N44" s="42">
        <f>L44/100000</f>
        <v>5.4585699999999999</v>
      </c>
    </row>
    <row r="45" spans="1:18" ht="15" x14ac:dyDescent="0.35">
      <c r="A45" s="2020">
        <v>6</v>
      </c>
      <c r="B45" s="2021" t="s">
        <v>618</v>
      </c>
      <c r="C45" s="2022"/>
      <c r="D45" s="2022"/>
      <c r="E45" s="2022"/>
      <c r="F45" s="2022"/>
      <c r="G45" s="2022"/>
      <c r="H45" s="2022"/>
      <c r="I45" s="2023"/>
      <c r="L45" s="12"/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/>
      <c r="G46" s="78"/>
      <c r="H46" s="2027" t="s">
        <v>221</v>
      </c>
      <c r="I46" s="314" t="e">
        <f>(G46-F46)/F46*100</f>
        <v>#DIV/0!</v>
      </c>
      <c r="L46" s="5">
        <v>3.51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78"/>
      <c r="G47" s="78"/>
      <c r="H47" s="2028"/>
      <c r="I47" s="314" t="e">
        <f>(G47-F47)/F47*100</f>
        <v>#DIV/0!</v>
      </c>
      <c r="L47" s="5">
        <f>L46-0.88</f>
        <v>2.63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78"/>
      <c r="G48" s="78"/>
      <c r="H48" s="2029"/>
      <c r="I48" s="314" t="e">
        <f>(G48-F48)/F48*100</f>
        <v>#DIV/0!</v>
      </c>
    </row>
    <row r="49" spans="2:9" s="5" customFormat="1" ht="14.25" x14ac:dyDescent="0.35">
      <c r="B49" s="300"/>
      <c r="D49" s="84"/>
      <c r="E49" s="35"/>
      <c r="F49" s="319"/>
      <c r="G49" s="319">
        <v>993759</v>
      </c>
      <c r="H49" s="11"/>
      <c r="I49" s="82"/>
    </row>
    <row r="50" spans="2:9" s="5" customFormat="1" ht="13.5" x14ac:dyDescent="0.35">
      <c r="B50" s="300"/>
      <c r="D50" s="84"/>
      <c r="E50" s="479">
        <f>G42</f>
        <v>0.66512499999999997</v>
      </c>
      <c r="F50" s="5">
        <v>31079</v>
      </c>
      <c r="G50" s="12">
        <f>F50/100000</f>
        <v>0.31079000000000001</v>
      </c>
      <c r="H50" s="11"/>
    </row>
    <row r="51" spans="2:9" s="5" customFormat="1" ht="13.5" x14ac:dyDescent="0.35">
      <c r="B51" s="300"/>
      <c r="D51" s="84"/>
      <c r="E51" s="479">
        <f>G43</f>
        <v>0.161415</v>
      </c>
      <c r="F51" s="5">
        <v>104</v>
      </c>
      <c r="G51" s="12">
        <f>F51/100000</f>
        <v>1.0399999999999999E-3</v>
      </c>
      <c r="H51" s="11"/>
    </row>
    <row r="52" spans="2:9" s="5" customFormat="1" ht="13.5" x14ac:dyDescent="0.35">
      <c r="B52" s="300"/>
      <c r="C52" s="5">
        <f>E35*10000000</f>
        <v>2696000</v>
      </c>
      <c r="D52" s="84"/>
      <c r="E52" s="479">
        <f>G44</f>
        <v>1.154882</v>
      </c>
      <c r="F52" s="5">
        <v>366698</v>
      </c>
      <c r="G52" s="12">
        <f>F52/100000</f>
        <v>3.6669800000000001</v>
      </c>
      <c r="H52" s="11"/>
    </row>
    <row r="53" spans="2:9" s="5" customFormat="1" ht="13.5" x14ac:dyDescent="0.35">
      <c r="B53" s="300"/>
      <c r="C53" s="5">
        <f>E36*10000000</f>
        <v>945166.66666666674</v>
      </c>
      <c r="D53" s="84">
        <f>F35*10000000</f>
        <v>1464283.9999999998</v>
      </c>
      <c r="E53" s="84">
        <f>G35*10000000</f>
        <v>5102198.9999999991</v>
      </c>
      <c r="F53" s="12">
        <f t="shared" ref="F53:F58" si="2">E53/100000</f>
        <v>51.021989999999988</v>
      </c>
      <c r="H53" s="11"/>
      <c r="I53" s="82"/>
    </row>
    <row r="54" spans="2:9" s="5" customFormat="1" ht="13.5" x14ac:dyDescent="0.35">
      <c r="C54" s="5">
        <f>E37*10000000</f>
        <v>750000</v>
      </c>
      <c r="D54" s="84">
        <f t="shared" ref="D54:E58" si="3">F36*10000000</f>
        <v>0</v>
      </c>
      <c r="E54" s="84">
        <f>G36*10000000</f>
        <v>0</v>
      </c>
      <c r="F54" s="12">
        <f t="shared" si="2"/>
        <v>0</v>
      </c>
      <c r="G54" s="12"/>
      <c r="H54" s="11"/>
    </row>
    <row r="55" spans="2:9" s="5" customFormat="1" ht="13.5" x14ac:dyDescent="0.35">
      <c r="B55" s="300"/>
      <c r="C55" s="11">
        <f>C52/100000</f>
        <v>26.96</v>
      </c>
      <c r="D55" s="84">
        <f t="shared" si="3"/>
        <v>277385</v>
      </c>
      <c r="E55" s="84">
        <f t="shared" si="3"/>
        <v>9562</v>
      </c>
      <c r="F55" s="12">
        <f t="shared" si="2"/>
        <v>9.5619999999999997E-2</v>
      </c>
      <c r="G55" s="5">
        <f>G42*1000000</f>
        <v>665125</v>
      </c>
      <c r="H55" s="11">
        <f>G55/100000</f>
        <v>6.6512500000000001</v>
      </c>
      <c r="I55" s="82"/>
    </row>
    <row r="56" spans="2:9" s="5" customFormat="1" ht="13.5" x14ac:dyDescent="0.35">
      <c r="B56" s="300"/>
      <c r="C56" s="11">
        <f>C53/100000</f>
        <v>9.451666666666668</v>
      </c>
      <c r="D56" s="84">
        <f t="shared" si="3"/>
        <v>0</v>
      </c>
      <c r="E56" s="84">
        <f t="shared" si="3"/>
        <v>0</v>
      </c>
      <c r="F56" s="12">
        <f t="shared" si="2"/>
        <v>0</v>
      </c>
      <c r="G56" s="5">
        <f>G43*1000000</f>
        <v>161415</v>
      </c>
      <c r="H56" s="11">
        <f>G56/100000</f>
        <v>1.61415</v>
      </c>
      <c r="I56" s="82"/>
    </row>
    <row r="57" spans="2:9" s="5" customFormat="1" ht="13.5" x14ac:dyDescent="0.35">
      <c r="B57" s="300"/>
      <c r="C57" s="11">
        <f>C54/100000</f>
        <v>7.5</v>
      </c>
      <c r="D57" s="84">
        <f t="shared" si="3"/>
        <v>0</v>
      </c>
      <c r="E57" s="84">
        <f t="shared" si="3"/>
        <v>0</v>
      </c>
      <c r="F57" s="12">
        <f t="shared" si="2"/>
        <v>0</v>
      </c>
      <c r="G57" s="5">
        <f>G44*1000000</f>
        <v>1154882</v>
      </c>
      <c r="H57" s="11">
        <f>G57/100000</f>
        <v>11.548819999999999</v>
      </c>
      <c r="I57" s="82"/>
    </row>
    <row r="58" spans="2:9" s="5" customFormat="1" ht="13.5" x14ac:dyDescent="0.35">
      <c r="B58" s="300"/>
      <c r="D58" s="84">
        <f t="shared" si="3"/>
        <v>261000.00000000003</v>
      </c>
      <c r="E58" s="84">
        <f t="shared" si="3"/>
        <v>801100</v>
      </c>
      <c r="F58" s="12">
        <f t="shared" si="2"/>
        <v>8.0109999999999992</v>
      </c>
      <c r="H58" s="11"/>
      <c r="I58" s="82"/>
    </row>
    <row r="64" spans="2:9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U64"/>
  <sheetViews>
    <sheetView workbookViewId="0">
      <selection activeCell="G28" sqref="G28"/>
    </sheetView>
  </sheetViews>
  <sheetFormatPr defaultColWidth="9.1328125" defaultRowHeight="16.899999999999999" x14ac:dyDescent="0.35"/>
  <cols>
    <col min="1" max="1" width="5.3984375" style="376" customWidth="1"/>
    <col min="2" max="2" width="37.73046875" style="300" customWidth="1"/>
    <col min="3" max="3" width="13" style="5" customWidth="1"/>
    <col min="4" max="4" width="9" style="84" customWidth="1"/>
    <col min="5" max="5" width="9.3984375" style="35" customWidth="1"/>
    <col min="6" max="6" width="11" style="5" customWidth="1"/>
    <col min="7" max="7" width="12" style="5" customWidth="1"/>
    <col min="8" max="8" width="8.86328125" style="11" customWidth="1"/>
    <col min="9" max="9" width="11.86328125" style="82" customWidth="1"/>
    <col min="10" max="10" width="9.1328125" style="5"/>
    <col min="11" max="11" width="14.265625" style="5" customWidth="1"/>
    <col min="12" max="12" width="13.1328125" style="5" customWidth="1"/>
    <col min="13" max="13" width="11.86328125" style="5" customWidth="1"/>
    <col min="14" max="14" width="10.73046875" style="5" customWidth="1"/>
    <col min="15" max="15" width="10.1328125" style="5" customWidth="1"/>
    <col min="16" max="16" width="10.1328125" style="5" bestFit="1" customWidth="1"/>
    <col min="17" max="16384" width="9.1328125" style="5"/>
  </cols>
  <sheetData>
    <row r="1" spans="1:19" ht="17.649999999999999" x14ac:dyDescent="0.35">
      <c r="A1" s="2031" t="s">
        <v>5</v>
      </c>
      <c r="B1" s="2031"/>
      <c r="C1" s="2031"/>
      <c r="D1" s="2031"/>
      <c r="E1" s="2031"/>
      <c r="F1" s="2031"/>
      <c r="G1" s="2031"/>
      <c r="H1" s="2031"/>
      <c r="I1" s="2031"/>
    </row>
    <row r="2" spans="1:19" s="301" customFormat="1" ht="17.25" thickBot="1" x14ac:dyDescent="0.5">
      <c r="A2" s="2092" t="s">
        <v>653</v>
      </c>
      <c r="B2" s="2093"/>
      <c r="C2" s="2093"/>
      <c r="D2" s="2093"/>
      <c r="E2" s="2093"/>
      <c r="F2" s="2093"/>
      <c r="G2" s="2093"/>
      <c r="H2" s="2093"/>
      <c r="I2" s="2094"/>
    </row>
    <row r="3" spans="1:19" ht="15.4" thickTop="1" x14ac:dyDescent="0.4">
      <c r="A3" s="2035" t="s">
        <v>144</v>
      </c>
      <c r="B3" s="2045" t="s">
        <v>7</v>
      </c>
      <c r="C3" s="2046"/>
      <c r="D3" s="2037" t="s">
        <v>8</v>
      </c>
      <c r="E3" s="2038"/>
      <c r="F3" s="2037" t="s">
        <v>10</v>
      </c>
      <c r="G3" s="2038"/>
      <c r="H3" s="2039" t="s">
        <v>11</v>
      </c>
      <c r="I3" s="2040"/>
    </row>
    <row r="4" spans="1:19" s="35" customFormat="1" ht="15" x14ac:dyDescent="0.45">
      <c r="A4" s="2035"/>
      <c r="B4" s="2047"/>
      <c r="C4" s="2048"/>
      <c r="D4" s="366" t="s">
        <v>9</v>
      </c>
      <c r="E4" s="383">
        <f>G4</f>
        <v>44621</v>
      </c>
      <c r="F4" s="383">
        <v>44257</v>
      </c>
      <c r="G4" s="383">
        <v>44621</v>
      </c>
      <c r="H4" s="2041" t="s">
        <v>12</v>
      </c>
      <c r="I4" s="2041" t="s">
        <v>13</v>
      </c>
    </row>
    <row r="5" spans="1:19" ht="15" x14ac:dyDescent="0.45">
      <c r="A5" s="2036"/>
      <c r="B5" s="2047"/>
      <c r="C5" s="2048"/>
      <c r="D5" s="2097" t="s">
        <v>438</v>
      </c>
      <c r="E5" s="2098"/>
      <c r="F5" s="366" t="s">
        <v>249</v>
      </c>
      <c r="G5" s="366" t="s">
        <v>438</v>
      </c>
      <c r="H5" s="2042"/>
      <c r="I5" s="2042"/>
      <c r="K5"/>
    </row>
    <row r="6" spans="1:19" x14ac:dyDescent="0.45">
      <c r="A6" s="372">
        <v>1</v>
      </c>
      <c r="B6" s="2049" t="s">
        <v>279</v>
      </c>
      <c r="C6" s="2049"/>
      <c r="D6" s="304"/>
      <c r="E6" s="305">
        <f>E15+E16</f>
        <v>23.86</v>
      </c>
      <c r="F6" s="305">
        <f>F15+F16+F17</f>
        <v>46.168593763000004</v>
      </c>
      <c r="G6" s="305">
        <f>G15+G16+G17</f>
        <v>77.113130699999999</v>
      </c>
      <c r="H6" s="306">
        <f>(G6-E6)/E6*100</f>
        <v>223.18998616932103</v>
      </c>
      <c r="I6" s="306">
        <f>(G6-F6)/F6*100</f>
        <v>67.025080070338362</v>
      </c>
      <c r="K6" s="319"/>
      <c r="L6"/>
    </row>
    <row r="7" spans="1:19" x14ac:dyDescent="0.35">
      <c r="A7" s="373">
        <v>2</v>
      </c>
      <c r="B7" s="2050" t="s">
        <v>281</v>
      </c>
      <c r="C7" s="2051"/>
      <c r="D7" s="307"/>
      <c r="E7" s="307">
        <v>16.670000000000002</v>
      </c>
      <c r="F7" s="307">
        <f>F19+F20+F21+F22+F23+F24+F25</f>
        <v>23.328543100000001</v>
      </c>
      <c r="G7" s="307">
        <v>15.45</v>
      </c>
      <c r="H7" s="306">
        <f>(G7-E7)/E7*100</f>
        <v>-7.3185362927414648</v>
      </c>
      <c r="I7" s="308">
        <f>(G7-F7)/F7*100</f>
        <v>-33.772117985370471</v>
      </c>
    </row>
    <row r="8" spans="1:19" x14ac:dyDescent="0.35">
      <c r="A8" s="374">
        <v>3</v>
      </c>
      <c r="B8" s="2021" t="s">
        <v>282</v>
      </c>
      <c r="C8" s="2023"/>
      <c r="D8" s="364"/>
      <c r="E8" s="364">
        <v>6.28</v>
      </c>
      <c r="F8" s="364">
        <f>F27+F28+F29+F30+F31+F32+F33</f>
        <v>3.8622177000000004</v>
      </c>
      <c r="G8" s="364">
        <f>G27+G28+G29+G30+G31+G32+G33</f>
        <v>7.9016888999999999</v>
      </c>
      <c r="H8" s="306">
        <f>(G8-E8)/E8*100</f>
        <v>25.823071656050949</v>
      </c>
      <c r="I8" s="365">
        <f>(G8-F8)/F8*100</f>
        <v>104.58942280752323</v>
      </c>
    </row>
    <row r="9" spans="1:19" x14ac:dyDescent="0.35">
      <c r="A9" s="373">
        <v>4</v>
      </c>
      <c r="B9" s="2052" t="s">
        <v>283</v>
      </c>
      <c r="C9" s="2053"/>
      <c r="D9" s="307"/>
      <c r="E9" s="307">
        <f>E35+E36+E37</f>
        <v>0.43911666666666671</v>
      </c>
      <c r="F9" s="307">
        <v>0.2</v>
      </c>
      <c r="G9" s="307">
        <f>G35+G36+G37+G38+G39+G40</f>
        <v>0.76795629999999993</v>
      </c>
      <c r="H9" s="306">
        <f>(G9-E9)/E9*100</f>
        <v>74.886620867650933</v>
      </c>
      <c r="I9" s="308">
        <f>(G9-F9)/F9*100</f>
        <v>283.97814999999991</v>
      </c>
    </row>
    <row r="10" spans="1:19" ht="17.649999999999999" x14ac:dyDescent="0.35">
      <c r="A10" s="374">
        <v>5</v>
      </c>
      <c r="B10" s="2117" t="s">
        <v>284</v>
      </c>
      <c r="C10" s="2118"/>
      <c r="D10" s="321"/>
      <c r="E10" s="321">
        <f>SUM(E6:E9)</f>
        <v>47.249116666666666</v>
      </c>
      <c r="F10" s="446">
        <f>SUM(F6:F9)</f>
        <v>73.559354563000014</v>
      </c>
      <c r="G10" s="446">
        <f>SUM(G6:G9)</f>
        <v>101.23277589999999</v>
      </c>
      <c r="H10" s="306">
        <f>(G10-E10)/E10*100</f>
        <v>114.25326660427866</v>
      </c>
      <c r="I10" s="322">
        <f>(G10-F10)/F10*100</f>
        <v>37.620533107450036</v>
      </c>
      <c r="K10" s="12"/>
    </row>
    <row r="11" spans="1:19" ht="14.25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9" ht="18.399999999999999" thickTop="1" thickBot="1" x14ac:dyDescent="0.4">
      <c r="A12" s="375">
        <v>6.3</v>
      </c>
      <c r="B12" s="2056" t="s">
        <v>305</v>
      </c>
      <c r="C12" s="2057"/>
      <c r="D12" s="371" t="s">
        <v>221</v>
      </c>
      <c r="E12" s="309" t="s">
        <v>221</v>
      </c>
      <c r="F12" s="447">
        <f>F42+F43+F44</f>
        <v>0.90999999999999992</v>
      </c>
      <c r="G12" s="447">
        <f>G42+G43+G44</f>
        <v>2.614271</v>
      </c>
      <c r="H12" s="310" t="s">
        <v>221</v>
      </c>
      <c r="I12" s="311">
        <f>(G12-F12)/F12*100</f>
        <v>187.28252747252751</v>
      </c>
    </row>
    <row r="13" spans="1:19" ht="18" thickTop="1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  <c r="R13" s="5">
        <f>68.98</f>
        <v>68.98</v>
      </c>
      <c r="S13" s="5">
        <f>R13+R15</f>
        <v>73.907142857142858</v>
      </c>
    </row>
    <row r="14" spans="1:19" ht="15" x14ac:dyDescent="0.35">
      <c r="A14" s="2003">
        <v>1</v>
      </c>
      <c r="B14" s="2021" t="s">
        <v>301</v>
      </c>
      <c r="C14" s="2022"/>
      <c r="D14" s="2022"/>
      <c r="E14" s="2022"/>
      <c r="F14" s="2022"/>
      <c r="G14" s="2022"/>
      <c r="H14" s="2022"/>
      <c r="I14" s="2023"/>
      <c r="K14" s="383">
        <f>F4</f>
        <v>44257</v>
      </c>
      <c r="L14" s="383">
        <v>44166</v>
      </c>
      <c r="R14" s="5">
        <f>R13/28</f>
        <v>2.4635714285714285</v>
      </c>
    </row>
    <row r="15" spans="1:19" ht="15.4" x14ac:dyDescent="0.4">
      <c r="A15" s="2004"/>
      <c r="B15" s="2006" t="s">
        <v>16</v>
      </c>
      <c r="C15" s="2007"/>
      <c r="D15" s="331"/>
      <c r="E15" s="307">
        <f>'REVISED TARGET'!B55</f>
        <v>0.06</v>
      </c>
      <c r="F15" s="264">
        <v>6.0005963000000002E-2</v>
      </c>
      <c r="G15" s="433">
        <f>'actual fig'!L55/10000000</f>
        <v>0.50202440000000004</v>
      </c>
      <c r="H15" s="314">
        <f>(G15-E15)/E15*100</f>
        <v>736.70733333333351</v>
      </c>
      <c r="I15" s="314">
        <f>(G15-F15)/F15*100</f>
        <v>736.62418683289866</v>
      </c>
      <c r="J15" s="12"/>
      <c r="K15" s="41"/>
      <c r="L15" s="476"/>
      <c r="M15" s="264"/>
      <c r="R15" s="5">
        <f>R14*2</f>
        <v>4.927142857142857</v>
      </c>
    </row>
    <row r="16" spans="1:19" ht="15.4" x14ac:dyDescent="0.4">
      <c r="A16" s="2004"/>
      <c r="B16" s="2071" t="s">
        <v>15</v>
      </c>
      <c r="C16" s="320" t="s">
        <v>166</v>
      </c>
      <c r="D16" s="2064"/>
      <c r="E16" s="2065">
        <f>'REVISED TARGET'!C55</f>
        <v>23.8</v>
      </c>
      <c r="F16" s="264">
        <v>5.1194400000000001E-2</v>
      </c>
      <c r="G16" s="433">
        <f>'actual fig'!M55/10000000</f>
        <v>0.6845137</v>
      </c>
      <c r="H16" s="2027">
        <v>4.93</v>
      </c>
      <c r="I16" s="314">
        <f>(G16-F16)/F16*100</f>
        <v>1237.0870642101479</v>
      </c>
      <c r="J16" s="12"/>
      <c r="K16" s="41">
        <f>F16+F17</f>
        <v>46.108587800000002</v>
      </c>
      <c r="L16" s="41">
        <f>G16+G17</f>
        <v>76.611106300000003</v>
      </c>
      <c r="M16" s="264">
        <f>(L16-E16)/E16*100</f>
        <v>221.89540462184874</v>
      </c>
      <c r="N16" s="5">
        <f>(L16-K16)/K16*100</f>
        <v>66.153660208174927</v>
      </c>
    </row>
    <row r="17" spans="1:21" ht="15.75" x14ac:dyDescent="0.45">
      <c r="A17" s="2005"/>
      <c r="B17" s="2071"/>
      <c r="C17" s="320" t="s">
        <v>228</v>
      </c>
      <c r="D17" s="2064"/>
      <c r="E17" s="2066"/>
      <c r="F17" s="264">
        <v>46.057393400000002</v>
      </c>
      <c r="G17" s="264">
        <f>'actual fig'!N55/10000000</f>
        <v>75.926592600000006</v>
      </c>
      <c r="H17" s="2029"/>
      <c r="I17" s="314">
        <f>(G17-F17)/F17*100</f>
        <v>64.852126868299948</v>
      </c>
      <c r="J17" s="12"/>
      <c r="K17" s="478"/>
      <c r="L17" s="319"/>
      <c r="M17" s="264"/>
      <c r="P17">
        <v>605916594</v>
      </c>
    </row>
    <row r="18" spans="1:21" ht="15" x14ac:dyDescent="0.35">
      <c r="A18" s="2003">
        <v>2</v>
      </c>
      <c r="B18" s="2021" t="s">
        <v>302</v>
      </c>
      <c r="C18" s="2022"/>
      <c r="D18" s="2022"/>
      <c r="E18" s="2022"/>
      <c r="F18" s="2022"/>
      <c r="G18" s="2022"/>
      <c r="H18" s="2022"/>
      <c r="I18" s="2023"/>
    </row>
    <row r="19" spans="1:21" ht="15.75" x14ac:dyDescent="0.45">
      <c r="A19" s="2004"/>
      <c r="B19" s="2008" t="s">
        <v>230</v>
      </c>
      <c r="C19" s="2000" t="s">
        <v>231</v>
      </c>
      <c r="D19" s="2001"/>
      <c r="E19" s="2002"/>
      <c r="F19" s="264">
        <v>18.741553</v>
      </c>
      <c r="G19" s="264"/>
      <c r="H19" s="316" t="s">
        <v>221</v>
      </c>
      <c r="I19" s="314">
        <f>(G19-F19)/F19*100</f>
        <v>-100</v>
      </c>
      <c r="L19"/>
    </row>
    <row r="20" spans="1:21" ht="15.4" x14ac:dyDescent="0.4">
      <c r="A20" s="2004"/>
      <c r="B20" s="2009"/>
      <c r="C20" s="2000" t="s">
        <v>232</v>
      </c>
      <c r="D20" s="2001"/>
      <c r="E20" s="2002"/>
      <c r="F20" s="264">
        <v>0.70920570000000005</v>
      </c>
      <c r="G20" s="264"/>
      <c r="H20" s="316" t="s">
        <v>221</v>
      </c>
      <c r="I20" s="314">
        <f>(G20-F20)/F20*100</f>
        <v>-100</v>
      </c>
    </row>
    <row r="21" spans="1:21" ht="15.4" x14ac:dyDescent="0.4">
      <c r="A21" s="2004"/>
      <c r="B21" s="2009"/>
      <c r="C21" s="2000" t="s">
        <v>239</v>
      </c>
      <c r="D21" s="2001"/>
      <c r="E21" s="2002"/>
      <c r="F21" s="264">
        <v>2.7923013000000001</v>
      </c>
      <c r="G21" s="264"/>
      <c r="H21" s="316" t="s">
        <v>221</v>
      </c>
      <c r="I21" s="314">
        <f>(G21-F21)/F21*100</f>
        <v>-100</v>
      </c>
    </row>
    <row r="22" spans="1:21" ht="15.4" x14ac:dyDescent="0.4">
      <c r="A22" s="2004"/>
      <c r="B22" s="2009"/>
      <c r="C22" s="2000" t="s">
        <v>233</v>
      </c>
      <c r="D22" s="2001"/>
      <c r="E22" s="2002"/>
      <c r="F22" s="264">
        <v>1.0343907000000001</v>
      </c>
      <c r="G22" s="264"/>
      <c r="H22" s="316" t="s">
        <v>221</v>
      </c>
      <c r="I22" s="314">
        <f>(G22-F22)/F22*100</f>
        <v>-100</v>
      </c>
    </row>
    <row r="23" spans="1:21" ht="15.4" x14ac:dyDescent="0.4">
      <c r="A23" s="2004"/>
      <c r="B23" s="2009"/>
      <c r="C23" s="2000" t="s">
        <v>234</v>
      </c>
      <c r="D23" s="2001"/>
      <c r="E23" s="2002"/>
      <c r="F23" s="264">
        <v>0</v>
      </c>
      <c r="G23" s="264"/>
      <c r="H23" s="316" t="s">
        <v>221</v>
      </c>
      <c r="I23" s="314" t="e">
        <f>(G23-F23)/F23*100</f>
        <v>#DIV/0!</v>
      </c>
    </row>
    <row r="24" spans="1:21" ht="15.4" x14ac:dyDescent="0.4">
      <c r="A24" s="2004"/>
      <c r="B24" s="2009"/>
      <c r="C24" s="2000" t="s">
        <v>235</v>
      </c>
      <c r="D24" s="2001"/>
      <c r="E24" s="2002"/>
      <c r="F24" s="264">
        <v>0</v>
      </c>
      <c r="G24" s="264"/>
      <c r="H24" s="316"/>
      <c r="I24" s="314">
        <v>0</v>
      </c>
      <c r="M24" s="5">
        <f>970545+185878</f>
        <v>1156423</v>
      </c>
    </row>
    <row r="25" spans="1:21" ht="15.4" x14ac:dyDescent="0.4">
      <c r="A25" s="2005"/>
      <c r="B25" s="2010"/>
      <c r="C25" s="2011" t="s">
        <v>236</v>
      </c>
      <c r="D25" s="2012"/>
      <c r="E25" s="2013"/>
      <c r="F25" s="264">
        <v>5.1092400000000003E-2</v>
      </c>
      <c r="G25" s="264"/>
      <c r="H25" s="316" t="s">
        <v>221</v>
      </c>
      <c r="I25" s="314">
        <v>0</v>
      </c>
      <c r="M25" s="5">
        <f>M24/10000000</f>
        <v>0.1156423</v>
      </c>
    </row>
    <row r="26" spans="1:21" ht="15" x14ac:dyDescent="0.35">
      <c r="A26" s="2014">
        <v>3</v>
      </c>
      <c r="B26" s="2021" t="s">
        <v>623</v>
      </c>
      <c r="C26" s="2022"/>
      <c r="D26" s="2022"/>
      <c r="E26" s="2022"/>
      <c r="F26" s="2022"/>
      <c r="G26" s="2022"/>
      <c r="H26" s="2022"/>
      <c r="I26" s="2023"/>
      <c r="K26" s="172" t="s">
        <v>266</v>
      </c>
      <c r="L26" s="172"/>
    </row>
    <row r="27" spans="1:21" ht="15.4" x14ac:dyDescent="0.4">
      <c r="A27" s="2015"/>
      <c r="B27" s="2006" t="s">
        <v>2</v>
      </c>
      <c r="C27" s="2007"/>
      <c r="D27" s="331"/>
      <c r="E27" s="307">
        <v>0.5</v>
      </c>
      <c r="F27" s="283">
        <v>0.122547</v>
      </c>
      <c r="G27" s="134">
        <f>'actual fig'!U55/10000000</f>
        <v>2.0012975000000002</v>
      </c>
      <c r="H27" s="316">
        <f>(G27-E27)/E27*100</f>
        <v>300.25950000000006</v>
      </c>
      <c r="I27" s="314">
        <f t="shared" ref="I27:I33" si="0">(G27-F27)/F27*100</f>
        <v>1533.0856732518953</v>
      </c>
      <c r="K27" s="6" t="s">
        <v>126</v>
      </c>
      <c r="L27" s="6" t="s">
        <v>299</v>
      </c>
      <c r="N27" s="5" t="s">
        <v>343</v>
      </c>
      <c r="O27" s="5">
        <f>F27*10000000</f>
        <v>1225470</v>
      </c>
      <c r="P27" s="5">
        <f>G27*10000000</f>
        <v>20012975</v>
      </c>
    </row>
    <row r="28" spans="1:21" ht="15.4" x14ac:dyDescent="0.4">
      <c r="A28" s="2015"/>
      <c r="B28" s="2006" t="s">
        <v>23</v>
      </c>
      <c r="C28" s="2007"/>
      <c r="D28" s="331"/>
      <c r="E28" s="307">
        <v>2</v>
      </c>
      <c r="F28" s="134">
        <v>2.1429630999999998</v>
      </c>
      <c r="G28" s="134">
        <f>'actual fig'!V55/10000000</f>
        <v>2.4199715999999998</v>
      </c>
      <c r="H28" s="316">
        <f>(G28-E28)/E28*100</f>
        <v>20.99857999999999</v>
      </c>
      <c r="I28" s="314">
        <f t="shared" si="0"/>
        <v>12.926424164746466</v>
      </c>
      <c r="K28" s="6"/>
      <c r="L28" s="6">
        <f>6383+570</f>
        <v>6953</v>
      </c>
      <c r="M28" s="41">
        <v>757017</v>
      </c>
      <c r="N28" s="12"/>
      <c r="O28" s="11">
        <f>O27/100000</f>
        <v>12.2547</v>
      </c>
      <c r="P28" s="11">
        <f>P27/100000</f>
        <v>200.12975</v>
      </c>
      <c r="Q28" s="5">
        <f>5743117/100000</f>
        <v>57.431170000000002</v>
      </c>
      <c r="R28" s="5">
        <f>139396/100000</f>
        <v>1.3939600000000001</v>
      </c>
    </row>
    <row r="29" spans="1:21" ht="15.4" x14ac:dyDescent="0.4">
      <c r="A29" s="2015"/>
      <c r="B29" s="2006" t="s">
        <v>1</v>
      </c>
      <c r="C29" s="2007"/>
      <c r="D29" s="331"/>
      <c r="E29" s="307">
        <v>0.4</v>
      </c>
      <c r="F29" s="134">
        <v>9.0126800000000007E-2</v>
      </c>
      <c r="G29" s="134">
        <f>'actual fig'!W55/10000000</f>
        <v>7.7782400000000002E-2</v>
      </c>
      <c r="H29" s="316">
        <f>(G29-E29)/E29*100</f>
        <v>-80.554399999999987</v>
      </c>
      <c r="I29" s="314">
        <f t="shared" si="0"/>
        <v>-13.696702867515551</v>
      </c>
      <c r="L29" s="5">
        <f>L28/10000000</f>
        <v>6.9530000000000004E-4</v>
      </c>
      <c r="O29" s="11"/>
    </row>
    <row r="30" spans="1:21" ht="15.75" x14ac:dyDescent="0.45">
      <c r="A30" s="2015"/>
      <c r="B30" s="2006" t="s">
        <v>24</v>
      </c>
      <c r="C30" s="2007"/>
      <c r="D30" s="332"/>
      <c r="E30" s="308"/>
      <c r="F30" s="134">
        <v>0</v>
      </c>
      <c r="G30" s="134">
        <f>'actual fig'!Y55/10000000</f>
        <v>4.9202000000000003E-2</v>
      </c>
      <c r="H30" s="316" t="s">
        <v>221</v>
      </c>
      <c r="I30" s="314" t="e">
        <f t="shared" si="0"/>
        <v>#DIV/0!</v>
      </c>
      <c r="L30">
        <v>12012330</v>
      </c>
      <c r="O30" s="11"/>
      <c r="S30" s="5">
        <v>7.29</v>
      </c>
      <c r="T30" s="5">
        <v>6.7</v>
      </c>
      <c r="U30" s="5">
        <f>S30-T30</f>
        <v>0.58999999999999986</v>
      </c>
    </row>
    <row r="31" spans="1:21" ht="15.4" x14ac:dyDescent="0.4">
      <c r="A31" s="2015"/>
      <c r="B31" s="2017" t="s">
        <v>25</v>
      </c>
      <c r="C31" s="2030"/>
      <c r="D31" s="332"/>
      <c r="E31" s="308"/>
      <c r="F31" s="476">
        <v>0</v>
      </c>
      <c r="G31" s="433">
        <f>'actual fig'!X55/10000000</f>
        <v>0.3872583</v>
      </c>
      <c r="H31" s="316" t="s">
        <v>221</v>
      </c>
      <c r="I31" s="314" t="e">
        <f t="shared" si="0"/>
        <v>#DIV/0!</v>
      </c>
      <c r="L31" s="319">
        <v>648677</v>
      </c>
    </row>
    <row r="32" spans="1:21" ht="15.75" x14ac:dyDescent="0.45">
      <c r="A32" s="2016"/>
      <c r="B32" s="2017" t="s">
        <v>241</v>
      </c>
      <c r="C32" s="2030"/>
      <c r="D32" s="332"/>
      <c r="E32" s="308"/>
      <c r="F32" s="264">
        <v>1.5048182000000001</v>
      </c>
      <c r="G32" s="264">
        <f>'actual fig'!T55/10000000</f>
        <v>2.9019903999999999</v>
      </c>
      <c r="H32" s="316" t="s">
        <v>221</v>
      </c>
      <c r="I32" s="314">
        <f t="shared" si="0"/>
        <v>92.846577746069244</v>
      </c>
      <c r="K32" s="437"/>
      <c r="L32">
        <v>12012330</v>
      </c>
    </row>
    <row r="33" spans="1:18" x14ac:dyDescent="0.4">
      <c r="A33" s="403"/>
      <c r="B33" s="402" t="s">
        <v>266</v>
      </c>
      <c r="C33" s="409"/>
      <c r="D33" s="332"/>
      <c r="E33" s="308"/>
      <c r="F33" s="426">
        <v>1.7626E-3</v>
      </c>
      <c r="G33" s="404">
        <f>'actual fig'!Z55/10000000</f>
        <v>6.4186699999999999E-2</v>
      </c>
      <c r="H33" s="316"/>
      <c r="I33" s="314">
        <f t="shared" si="0"/>
        <v>3541.591966413253</v>
      </c>
    </row>
    <row r="34" spans="1:18" ht="15" x14ac:dyDescent="0.35">
      <c r="A34" s="2020">
        <v>4</v>
      </c>
      <c r="B34" s="2021" t="s">
        <v>304</v>
      </c>
      <c r="C34" s="2022"/>
      <c r="D34" s="2022"/>
      <c r="E34" s="2022"/>
      <c r="F34" s="2022"/>
      <c r="G34" s="2022"/>
      <c r="H34" s="2022"/>
      <c r="I34" s="2023"/>
    </row>
    <row r="35" spans="1:18" ht="15.4" x14ac:dyDescent="0.4">
      <c r="A35" s="2020"/>
      <c r="B35" s="2006" t="s">
        <v>27</v>
      </c>
      <c r="C35" s="2007"/>
      <c r="D35" s="331"/>
      <c r="E35" s="307">
        <v>0.26960000000000001</v>
      </c>
      <c r="F35" s="283">
        <f>2667169/10000000</f>
        <v>0.26671689999999998</v>
      </c>
      <c r="G35" s="283">
        <f>'actual fig'!T71/10000000</f>
        <v>0.70177780000000001</v>
      </c>
      <c r="H35" s="314">
        <f>(G35-E35)/E35*100</f>
        <v>160.30333827893176</v>
      </c>
      <c r="I35" s="314">
        <f t="shared" ref="I35:I40" si="1">(G35-F35)/F35*100</f>
        <v>163.11711031434456</v>
      </c>
      <c r="K35" s="432" t="s">
        <v>203</v>
      </c>
      <c r="L35" s="432" t="s">
        <v>275</v>
      </c>
      <c r="Q35" s="6" t="s">
        <v>126</v>
      </c>
    </row>
    <row r="36" spans="1:18" ht="15.4" x14ac:dyDescent="0.4">
      <c r="A36" s="2020"/>
      <c r="B36" s="2006" t="s">
        <v>28</v>
      </c>
      <c r="C36" s="2007"/>
      <c r="D36" s="333"/>
      <c r="E36" s="307">
        <v>9.4516666666666679E-2</v>
      </c>
      <c r="F36" s="134">
        <v>0</v>
      </c>
      <c r="G36" s="389">
        <v>0</v>
      </c>
      <c r="H36" s="314">
        <f>(G36-E36)/E36*100</f>
        <v>-100</v>
      </c>
      <c r="I36" s="314" t="e">
        <f t="shared" si="1"/>
        <v>#DIV/0!</v>
      </c>
      <c r="K36" s="5" t="s">
        <v>126</v>
      </c>
      <c r="L36" s="5" t="s">
        <v>299</v>
      </c>
      <c r="Q36" s="172">
        <v>0.57431169999999998</v>
      </c>
      <c r="R36" s="5" t="s">
        <v>27</v>
      </c>
    </row>
    <row r="37" spans="1:18" ht="15.4" x14ac:dyDescent="0.4">
      <c r="A37" s="2020"/>
      <c r="B37" s="378" t="s">
        <v>224</v>
      </c>
      <c r="C37" s="379"/>
      <c r="D37" s="331"/>
      <c r="E37" s="307">
        <v>7.4999999999999997E-2</v>
      </c>
      <c r="F37" s="389"/>
      <c r="G37" s="389">
        <v>0</v>
      </c>
      <c r="H37" s="314">
        <f>(G37-E37)/E37*100</f>
        <v>-100</v>
      </c>
      <c r="I37" s="314" t="e">
        <f t="shared" si="1"/>
        <v>#DIV/0!</v>
      </c>
      <c r="K37" s="6">
        <f>461865+202877+25352+1289035</f>
        <v>1979129</v>
      </c>
      <c r="L37" s="6">
        <f>M37-N37</f>
        <v>25202</v>
      </c>
      <c r="M37" s="5">
        <v>329700</v>
      </c>
      <c r="N37" s="5">
        <v>304498</v>
      </c>
      <c r="Q37" s="172">
        <v>0.1038307</v>
      </c>
      <c r="R37" s="5" t="s">
        <v>28</v>
      </c>
    </row>
    <row r="38" spans="1:18" ht="15.4" x14ac:dyDescent="0.4">
      <c r="A38" s="2020"/>
      <c r="B38" s="2006" t="s">
        <v>64</v>
      </c>
      <c r="C38" s="2007"/>
      <c r="D38" s="332" t="s">
        <v>221</v>
      </c>
      <c r="E38" s="307" t="s">
        <v>221</v>
      </c>
      <c r="F38" s="134"/>
      <c r="G38" s="210">
        <v>0</v>
      </c>
      <c r="H38" s="314" t="s">
        <v>221</v>
      </c>
      <c r="I38" s="314" t="e">
        <f t="shared" si="1"/>
        <v>#DIV/0!</v>
      </c>
      <c r="J38" s="5">
        <f>K38/10000000</f>
        <v>4.5026900000000002E-2</v>
      </c>
      <c r="K38" s="30">
        <f>K39-K37</f>
        <v>450269</v>
      </c>
      <c r="L38" s="30">
        <f>M39/10000000</f>
        <v>3.89428E-2</v>
      </c>
      <c r="Q38" s="172">
        <v>1.3424E-2</v>
      </c>
      <c r="R38" s="5" t="s">
        <v>4</v>
      </c>
    </row>
    <row r="39" spans="1:18" ht="15.4" x14ac:dyDescent="0.4">
      <c r="A39" s="2020"/>
      <c r="B39" s="2006" t="s">
        <v>4</v>
      </c>
      <c r="C39" s="2007"/>
      <c r="D39" s="332" t="s">
        <v>221</v>
      </c>
      <c r="E39" s="307" t="s">
        <v>221</v>
      </c>
      <c r="F39" s="389"/>
      <c r="G39" s="210">
        <f>'actual fig'!W71/10000000</f>
        <v>6.2969999999999996E-4</v>
      </c>
      <c r="H39" s="314" t="s">
        <v>221</v>
      </c>
      <c r="I39" s="314" t="e">
        <f t="shared" si="1"/>
        <v>#DIV/0!</v>
      </c>
      <c r="K39" s="5">
        <v>2429398</v>
      </c>
      <c r="L39" s="5">
        <v>648677</v>
      </c>
      <c r="M39" s="5">
        <f>L39-5242-254007</f>
        <v>389428</v>
      </c>
      <c r="Q39" s="172">
        <v>0</v>
      </c>
      <c r="R39" s="5" t="s">
        <v>29</v>
      </c>
    </row>
    <row r="40" spans="1:18" x14ac:dyDescent="0.4">
      <c r="A40" s="373"/>
      <c r="B40" s="2006" t="s">
        <v>259</v>
      </c>
      <c r="C40" s="2019"/>
      <c r="D40" s="332" t="s">
        <v>221</v>
      </c>
      <c r="E40" s="307" t="s">
        <v>221</v>
      </c>
      <c r="F40" s="283"/>
      <c r="G40" s="283">
        <f>'actual fig'!X71/10000000</f>
        <v>6.5548800000000004E-2</v>
      </c>
      <c r="H40" s="314"/>
      <c r="I40" s="314" t="e">
        <f t="shared" si="1"/>
        <v>#DIV/0!</v>
      </c>
      <c r="Q40" s="172">
        <v>0</v>
      </c>
      <c r="R40" s="5" t="s">
        <v>64</v>
      </c>
    </row>
    <row r="41" spans="1:18" ht="15" x14ac:dyDescent="0.35">
      <c r="A41" s="2020"/>
      <c r="B41" s="2021" t="s">
        <v>269</v>
      </c>
      <c r="C41" s="2022"/>
      <c r="D41" s="2022"/>
      <c r="E41" s="2022"/>
      <c r="F41" s="2022"/>
      <c r="G41" s="2022"/>
      <c r="H41" s="2022"/>
      <c r="I41" s="2023"/>
      <c r="K41" s="383">
        <v>43770</v>
      </c>
      <c r="L41" s="383">
        <v>44136</v>
      </c>
      <c r="M41" s="5" t="s">
        <v>350</v>
      </c>
      <c r="N41" s="5" t="s">
        <v>351</v>
      </c>
      <c r="Q41" s="172">
        <v>2.9382100000000001E-2</v>
      </c>
      <c r="R41" s="5" t="s">
        <v>3</v>
      </c>
    </row>
    <row r="42" spans="1:18" ht="15.4" x14ac:dyDescent="0.4">
      <c r="A42" s="2020"/>
      <c r="B42" s="2006" t="s">
        <v>16</v>
      </c>
      <c r="C42" s="2007"/>
      <c r="D42" s="331" t="s">
        <v>221</v>
      </c>
      <c r="E42" s="307" t="s">
        <v>221</v>
      </c>
      <c r="F42" s="264">
        <v>0.14000000000000001</v>
      </c>
      <c r="G42" s="264">
        <f>'actual fig'!L71/1000000</f>
        <v>0.94987100000000002</v>
      </c>
      <c r="H42" s="314" t="s">
        <v>221</v>
      </c>
      <c r="I42" s="314">
        <f>(G42-F42)/F42*100</f>
        <v>578.47928571428565</v>
      </c>
      <c r="J42" s="12">
        <f>K42/1000000</f>
        <v>3.161527</v>
      </c>
      <c r="K42" s="5">
        <v>3161527</v>
      </c>
      <c r="L42" s="12">
        <v>42096</v>
      </c>
      <c r="M42" s="12">
        <f>L42/1000000</f>
        <v>4.2096000000000001E-2</v>
      </c>
      <c r="N42" s="42">
        <f>L42/100000</f>
        <v>0.42096</v>
      </c>
      <c r="R42" s="5" t="s">
        <v>31</v>
      </c>
    </row>
    <row r="43" spans="1:18" ht="15.4" x14ac:dyDescent="0.4">
      <c r="A43" s="2020"/>
      <c r="B43" s="2069" t="s">
        <v>15</v>
      </c>
      <c r="C43" s="320" t="s">
        <v>166</v>
      </c>
      <c r="D43" s="2067" t="s">
        <v>221</v>
      </c>
      <c r="E43" s="2065" t="s">
        <v>221</v>
      </c>
      <c r="F43" s="283">
        <v>0.05</v>
      </c>
      <c r="G43" s="283">
        <f>'actual fig'!M71/1000000</f>
        <v>0.32170500000000002</v>
      </c>
      <c r="H43" s="2027" t="s">
        <v>221</v>
      </c>
      <c r="I43" s="314">
        <f>(G43-F43)/F43*100</f>
        <v>543.41</v>
      </c>
      <c r="J43" s="12">
        <f>K43/1000000</f>
        <v>2.7041879999999998</v>
      </c>
      <c r="K43" s="5">
        <v>2704188</v>
      </c>
      <c r="L43" s="12">
        <v>119</v>
      </c>
      <c r="M43" s="12">
        <f>L43/1000000</f>
        <v>1.1900000000000001E-4</v>
      </c>
      <c r="N43" s="42">
        <f>L43/100000</f>
        <v>1.1900000000000001E-3</v>
      </c>
    </row>
    <row r="44" spans="1:18" ht="15.4" x14ac:dyDescent="0.4">
      <c r="A44" s="2020"/>
      <c r="B44" s="2070"/>
      <c r="C44" s="320" t="s">
        <v>228</v>
      </c>
      <c r="D44" s="2068"/>
      <c r="E44" s="2066"/>
      <c r="F44" s="323">
        <v>0.72</v>
      </c>
      <c r="G44" s="323">
        <f>'actual fig'!N71/1000000</f>
        <v>1.342695</v>
      </c>
      <c r="H44" s="2029"/>
      <c r="I44" s="314">
        <f>(G44-F44)/F44*100</f>
        <v>86.485416666666666</v>
      </c>
      <c r="J44" s="12">
        <f>K44/1000000</f>
        <v>0.99375899999999995</v>
      </c>
      <c r="K44" s="319">
        <v>993759</v>
      </c>
      <c r="L44" s="319">
        <v>545857</v>
      </c>
      <c r="M44" s="12">
        <f>L44/1000000</f>
        <v>0.54585700000000004</v>
      </c>
      <c r="N44" s="42">
        <f>L44/100000</f>
        <v>5.4585699999999999</v>
      </c>
    </row>
    <row r="45" spans="1:18" ht="15" x14ac:dyDescent="0.35">
      <c r="A45" s="2020">
        <v>6</v>
      </c>
      <c r="B45" s="2021" t="s">
        <v>657</v>
      </c>
      <c r="C45" s="2022"/>
      <c r="D45" s="2022"/>
      <c r="E45" s="2022"/>
      <c r="F45" s="2022"/>
      <c r="G45" s="2022"/>
      <c r="H45" s="2022"/>
      <c r="I45" s="2023"/>
      <c r="L45" s="12"/>
    </row>
    <row r="46" spans="1:18" ht="15.4" x14ac:dyDescent="0.4">
      <c r="A46" s="2020"/>
      <c r="B46" s="2006" t="s">
        <v>36</v>
      </c>
      <c r="C46" s="2007"/>
      <c r="D46" s="303" t="s">
        <v>221</v>
      </c>
      <c r="E46" s="2024" t="s">
        <v>221</v>
      </c>
      <c r="F46" s="78"/>
      <c r="G46" s="78"/>
      <c r="H46" s="2027" t="s">
        <v>221</v>
      </c>
      <c r="I46" s="314" t="e">
        <f>(G46-F46)/F46*100</f>
        <v>#DIV/0!</v>
      </c>
      <c r="L46" s="5">
        <v>3.51</v>
      </c>
    </row>
    <row r="47" spans="1:18" ht="15.4" x14ac:dyDescent="0.4">
      <c r="A47" s="2020"/>
      <c r="B47" s="2006" t="s">
        <v>37</v>
      </c>
      <c r="C47" s="2007"/>
      <c r="D47" s="303" t="s">
        <v>221</v>
      </c>
      <c r="E47" s="2025"/>
      <c r="F47" s="78"/>
      <c r="G47" s="78"/>
      <c r="H47" s="2028"/>
      <c r="I47" s="314" t="e">
        <f>(G47-F47)/F47*100</f>
        <v>#DIV/0!</v>
      </c>
      <c r="L47" s="5">
        <f>L46-0.88</f>
        <v>2.63</v>
      </c>
    </row>
    <row r="48" spans="1:18" ht="15.4" x14ac:dyDescent="0.4">
      <c r="A48" s="2020"/>
      <c r="B48" s="2006" t="s">
        <v>38</v>
      </c>
      <c r="C48" s="2007"/>
      <c r="D48" s="303" t="s">
        <v>221</v>
      </c>
      <c r="E48" s="2026"/>
      <c r="F48" s="78"/>
      <c r="G48" s="78"/>
      <c r="H48" s="2029"/>
      <c r="I48" s="314" t="e">
        <f>(G48-F48)/F48*100</f>
        <v>#DIV/0!</v>
      </c>
    </row>
    <row r="49" spans="2:9" s="5" customFormat="1" ht="14.25" x14ac:dyDescent="0.35">
      <c r="B49" s="300"/>
      <c r="D49" s="84"/>
      <c r="E49" s="35"/>
      <c r="F49" s="319"/>
      <c r="G49" s="319">
        <v>993759</v>
      </c>
      <c r="H49" s="11"/>
      <c r="I49" s="82"/>
    </row>
    <row r="50" spans="2:9" s="5" customFormat="1" ht="13.5" x14ac:dyDescent="0.35">
      <c r="B50" s="300"/>
      <c r="D50" s="84"/>
      <c r="E50" s="479">
        <f>G42</f>
        <v>0.94987100000000002</v>
      </c>
      <c r="F50" s="5">
        <v>31079</v>
      </c>
      <c r="G50" s="12">
        <f>F50/100000</f>
        <v>0.31079000000000001</v>
      </c>
      <c r="H50" s="11"/>
    </row>
    <row r="51" spans="2:9" s="5" customFormat="1" ht="13.5" x14ac:dyDescent="0.35">
      <c r="B51" s="300"/>
      <c r="D51" s="84"/>
      <c r="E51" s="479">
        <f>G43</f>
        <v>0.32170500000000002</v>
      </c>
      <c r="F51" s="5">
        <v>104</v>
      </c>
      <c r="G51" s="12">
        <f>F51/100000</f>
        <v>1.0399999999999999E-3</v>
      </c>
      <c r="H51" s="11"/>
    </row>
    <row r="52" spans="2:9" s="5" customFormat="1" ht="13.5" x14ac:dyDescent="0.35">
      <c r="B52" s="300"/>
      <c r="C52" s="5">
        <f>E35*10000000</f>
        <v>2696000</v>
      </c>
      <c r="D52" s="84"/>
      <c r="E52" s="479">
        <f>G44</f>
        <v>1.342695</v>
      </c>
      <c r="F52" s="5">
        <v>366698</v>
      </c>
      <c r="G52" s="12">
        <f>F52/100000</f>
        <v>3.6669800000000001</v>
      </c>
      <c r="H52" s="11"/>
    </row>
    <row r="53" spans="2:9" s="5" customFormat="1" ht="13.5" x14ac:dyDescent="0.35">
      <c r="B53" s="300"/>
      <c r="C53" s="5">
        <f>E36*10000000</f>
        <v>945166.66666666674</v>
      </c>
      <c r="D53" s="84">
        <f>F35*10000000</f>
        <v>2667169</v>
      </c>
      <c r="E53" s="84">
        <f>G35*10000000</f>
        <v>7017778</v>
      </c>
      <c r="F53" s="12">
        <f t="shared" ref="F53:F58" si="2">E53/100000</f>
        <v>70.177779999999998</v>
      </c>
      <c r="H53" s="11"/>
      <c r="I53" s="82"/>
    </row>
    <row r="54" spans="2:9" s="5" customFormat="1" ht="13.5" x14ac:dyDescent="0.35">
      <c r="C54" s="5">
        <f>E37*10000000</f>
        <v>750000</v>
      </c>
      <c r="D54" s="84">
        <f t="shared" ref="D54:E58" si="3">F36*10000000</f>
        <v>0</v>
      </c>
      <c r="E54" s="84">
        <f>G36*10000000</f>
        <v>0</v>
      </c>
      <c r="F54" s="12">
        <f t="shared" si="2"/>
        <v>0</v>
      </c>
      <c r="G54" s="12"/>
      <c r="H54" s="11"/>
    </row>
    <row r="55" spans="2:9" s="5" customFormat="1" ht="13.5" x14ac:dyDescent="0.35">
      <c r="B55" s="300"/>
      <c r="C55" s="11">
        <f>C52/100000</f>
        <v>26.96</v>
      </c>
      <c r="D55" s="84">
        <f t="shared" si="3"/>
        <v>0</v>
      </c>
      <c r="E55" s="84">
        <f t="shared" si="3"/>
        <v>0</v>
      </c>
      <c r="F55" s="12">
        <f t="shared" si="2"/>
        <v>0</v>
      </c>
      <c r="G55" s="5">
        <f>G42*1000000</f>
        <v>949871</v>
      </c>
      <c r="H55" s="11">
        <f>G55/100000</f>
        <v>9.4987100000000009</v>
      </c>
      <c r="I55" s="82"/>
    </row>
    <row r="56" spans="2:9" s="5" customFormat="1" ht="13.5" x14ac:dyDescent="0.35">
      <c r="B56" s="300"/>
      <c r="C56" s="11">
        <f>C53/100000</f>
        <v>9.451666666666668</v>
      </c>
      <c r="D56" s="84">
        <f t="shared" si="3"/>
        <v>0</v>
      </c>
      <c r="E56" s="84">
        <f t="shared" si="3"/>
        <v>0</v>
      </c>
      <c r="F56" s="12">
        <f t="shared" si="2"/>
        <v>0</v>
      </c>
      <c r="G56" s="5">
        <f>G43*1000000</f>
        <v>321705</v>
      </c>
      <c r="H56" s="11">
        <f>G56/100000</f>
        <v>3.21705</v>
      </c>
      <c r="I56" s="82"/>
    </row>
    <row r="57" spans="2:9" s="5" customFormat="1" ht="13.5" x14ac:dyDescent="0.35">
      <c r="B57" s="300"/>
      <c r="C57" s="11">
        <f>C54/100000</f>
        <v>7.5</v>
      </c>
      <c r="D57" s="84">
        <f t="shared" si="3"/>
        <v>0</v>
      </c>
      <c r="E57" s="84">
        <f t="shared" si="3"/>
        <v>6297</v>
      </c>
      <c r="F57" s="12">
        <f t="shared" si="2"/>
        <v>6.2969999999999998E-2</v>
      </c>
      <c r="G57" s="5">
        <f>G44*1000000</f>
        <v>1342695</v>
      </c>
      <c r="H57" s="11">
        <f>G57/100000</f>
        <v>13.42695</v>
      </c>
      <c r="I57" s="82"/>
    </row>
    <row r="58" spans="2:9" s="5" customFormat="1" ht="13.5" x14ac:dyDescent="0.35">
      <c r="B58" s="300"/>
      <c r="D58" s="84">
        <f t="shared" si="3"/>
        <v>0</v>
      </c>
      <c r="E58" s="84">
        <f t="shared" si="3"/>
        <v>655488</v>
      </c>
      <c r="F58" s="12">
        <f t="shared" si="2"/>
        <v>6.5548799999999998</v>
      </c>
      <c r="H58" s="11"/>
      <c r="I58" s="82"/>
    </row>
    <row r="64" spans="2:9" s="5" customFormat="1" ht="13.5" x14ac:dyDescent="0.35">
      <c r="H64" s="11">
        <f>60000/100000</f>
        <v>0.6</v>
      </c>
    </row>
  </sheetData>
  <mergeCells count="64">
    <mergeCell ref="A11:I11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6:C6"/>
    <mergeCell ref="B7:C7"/>
    <mergeCell ref="B8:C8"/>
    <mergeCell ref="B9:C9"/>
    <mergeCell ref="B10:C10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8:A25"/>
    <mergeCell ref="B18:I18"/>
    <mergeCell ref="B19:B25"/>
    <mergeCell ref="C19:E19"/>
    <mergeCell ref="C20:E20"/>
    <mergeCell ref="C21:E21"/>
    <mergeCell ref="C22:E22"/>
    <mergeCell ref="C23:E23"/>
    <mergeCell ref="C24:E24"/>
    <mergeCell ref="C25:E25"/>
    <mergeCell ref="A26:A32"/>
    <mergeCell ref="B26:I26"/>
    <mergeCell ref="B27:C27"/>
    <mergeCell ref="B28:C28"/>
    <mergeCell ref="B29:C29"/>
    <mergeCell ref="B30:C30"/>
    <mergeCell ref="B31:C31"/>
    <mergeCell ref="B32:C32"/>
    <mergeCell ref="A34:A39"/>
    <mergeCell ref="B34:I34"/>
    <mergeCell ref="B35:C35"/>
    <mergeCell ref="B36:C36"/>
    <mergeCell ref="B38:C38"/>
    <mergeCell ref="B39:C39"/>
    <mergeCell ref="B40:C40"/>
    <mergeCell ref="A41:A44"/>
    <mergeCell ref="B41:I41"/>
    <mergeCell ref="B42:C42"/>
    <mergeCell ref="B43:B44"/>
    <mergeCell ref="D43:D44"/>
    <mergeCell ref="E43:E44"/>
    <mergeCell ref="H43:H44"/>
    <mergeCell ref="A45:A48"/>
    <mergeCell ref="B45:I45"/>
    <mergeCell ref="B46:C46"/>
    <mergeCell ref="E46:E48"/>
    <mergeCell ref="H46:H48"/>
    <mergeCell ref="B47:C47"/>
    <mergeCell ref="B48:C48"/>
  </mergeCells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36EEC-9B25-4C80-9334-102D54208BE0}">
  <dimension ref="B4:R33"/>
  <sheetViews>
    <sheetView workbookViewId="0">
      <selection activeCell="G23" sqref="G23"/>
    </sheetView>
  </sheetViews>
  <sheetFormatPr defaultColWidth="9.1328125" defaultRowHeight="13.5" x14ac:dyDescent="0.35"/>
  <cols>
    <col min="1" max="2" width="9.1328125" style="1301"/>
    <col min="3" max="3" width="18.86328125" style="1301" customWidth="1"/>
    <col min="4" max="4" width="14.86328125" style="1301" customWidth="1"/>
    <col min="5" max="5" width="12.1328125" style="1301" customWidth="1"/>
    <col min="6" max="8" width="13.1328125" style="1301" customWidth="1"/>
    <col min="9" max="9" width="11.1328125" style="1301" customWidth="1"/>
    <col min="10" max="10" width="14.3984375" style="1301" customWidth="1"/>
    <col min="11" max="11" width="9.59765625" style="1301" customWidth="1"/>
    <col min="12" max="12" width="11.73046875" style="1301" bestFit="1" customWidth="1"/>
    <col min="13" max="13" width="9.1328125" style="1334"/>
    <col min="14" max="16" width="9.1328125" style="1301"/>
    <col min="17" max="17" width="9.3984375" style="1301" bestFit="1" customWidth="1"/>
    <col min="18" max="16384" width="9.1328125" style="1301"/>
  </cols>
  <sheetData>
    <row r="4" spans="2:18" ht="18" customHeight="1" x14ac:dyDescent="0.35">
      <c r="B4" s="2389" t="s">
        <v>757</v>
      </c>
      <c r="C4" s="2390" t="s">
        <v>353</v>
      </c>
      <c r="D4" s="1326" t="s">
        <v>10</v>
      </c>
      <c r="E4" s="1326" t="s">
        <v>10</v>
      </c>
      <c r="F4" s="1327" t="s">
        <v>8</v>
      </c>
      <c r="G4" s="1327" t="s">
        <v>8</v>
      </c>
      <c r="H4" s="2395" t="s">
        <v>827</v>
      </c>
      <c r="I4" s="2396"/>
      <c r="J4" s="2397"/>
      <c r="K4" s="2392" t="s">
        <v>813</v>
      </c>
      <c r="L4" s="2392"/>
      <c r="M4" s="2392"/>
    </row>
    <row r="5" spans="2:18" x14ac:dyDescent="0.35">
      <c r="B5" s="2389"/>
      <c r="C5" s="2390"/>
      <c r="D5" s="2393" t="s">
        <v>586</v>
      </c>
      <c r="E5" s="2393" t="s">
        <v>584</v>
      </c>
      <c r="F5" s="1325" t="s">
        <v>9</v>
      </c>
      <c r="G5" s="1325" t="s">
        <v>215</v>
      </c>
      <c r="H5" s="1328" t="s">
        <v>826</v>
      </c>
      <c r="I5" s="1328" t="s">
        <v>826</v>
      </c>
      <c r="J5" s="1328" t="s">
        <v>826</v>
      </c>
      <c r="K5" s="2391" t="s">
        <v>12</v>
      </c>
      <c r="L5" s="2391" t="s">
        <v>13</v>
      </c>
      <c r="M5" s="2391" t="s">
        <v>825</v>
      </c>
    </row>
    <row r="6" spans="2:18" x14ac:dyDescent="0.35">
      <c r="B6" s="2389"/>
      <c r="C6" s="2390"/>
      <c r="D6" s="2394"/>
      <c r="E6" s="2394"/>
      <c r="F6" s="1331" t="s">
        <v>701</v>
      </c>
      <c r="G6" s="1331" t="s">
        <v>701</v>
      </c>
      <c r="H6" s="1331" t="s">
        <v>77</v>
      </c>
      <c r="I6" s="1327" t="s">
        <v>438</v>
      </c>
      <c r="J6" s="1327" t="s">
        <v>701</v>
      </c>
      <c r="K6" s="2391"/>
      <c r="L6" s="2391"/>
      <c r="M6" s="2391"/>
    </row>
    <row r="7" spans="2:18" ht="16.5" customHeight="1" x14ac:dyDescent="0.35">
      <c r="B7" s="2398" t="s">
        <v>828</v>
      </c>
      <c r="C7" s="2398"/>
      <c r="D7" s="2398"/>
      <c r="E7" s="2398"/>
      <c r="F7" s="2398"/>
      <c r="G7" s="2398"/>
      <c r="H7" s="2398"/>
      <c r="I7" s="2398"/>
      <c r="J7" s="2398"/>
      <c r="K7" s="2398"/>
      <c r="L7" s="2398"/>
      <c r="M7" s="2398"/>
    </row>
    <row r="8" spans="2:18" x14ac:dyDescent="0.35">
      <c r="B8" s="2400" t="s">
        <v>822</v>
      </c>
      <c r="C8" s="2400"/>
      <c r="D8" s="1332">
        <v>19.41</v>
      </c>
      <c r="E8" s="1332">
        <v>2.0896889139999999</v>
      </c>
      <c r="F8" s="1329">
        <v>22.16</v>
      </c>
      <c r="G8" s="1329">
        <v>21.060000000000002</v>
      </c>
      <c r="H8" s="1342">
        <v>18.467869931999999</v>
      </c>
      <c r="I8" s="1330">
        <v>1.5876645140000001</v>
      </c>
      <c r="J8" s="1330">
        <v>10.427485600000001</v>
      </c>
      <c r="K8" s="1335">
        <f>(J8-G8)/G8*100</f>
        <v>-50.486773029439703</v>
      </c>
      <c r="L8" s="1336">
        <f>(J8-I8)/I8*100</f>
        <v>556.78142378636051</v>
      </c>
      <c r="M8" s="1337">
        <f>(J8-H8)/H8*100</f>
        <v>-43.537150530111276</v>
      </c>
      <c r="Q8" s="1333"/>
    </row>
    <row r="9" spans="2:18" ht="14.25" customHeight="1" x14ac:dyDescent="0.35">
      <c r="B9" s="2401" t="s">
        <v>823</v>
      </c>
      <c r="C9" s="2401"/>
      <c r="D9" s="1332">
        <v>189.96</v>
      </c>
      <c r="E9" s="1332">
        <v>2.1157408480000002</v>
      </c>
      <c r="F9" s="2404">
        <v>928.43</v>
      </c>
      <c r="G9" s="2407">
        <v>892.29</v>
      </c>
      <c r="H9" s="1342">
        <v>178.84999999999997</v>
      </c>
      <c r="I9" s="1330">
        <v>1.4312271480000001</v>
      </c>
      <c r="J9" s="1330">
        <v>112.1001715</v>
      </c>
      <c r="K9" s="2399">
        <v>3.16</v>
      </c>
      <c r="L9" s="1336">
        <f>(J9-I9)/I9*100</f>
        <v>7732.4514495584453</v>
      </c>
      <c r="M9" s="1337">
        <f>(J9-H9)/H9*100</f>
        <v>-37.321682135868031</v>
      </c>
      <c r="N9" s="1301">
        <v>892.29</v>
      </c>
      <c r="O9" s="1333">
        <f>I9+I10</f>
        <v>536.39810174799993</v>
      </c>
      <c r="P9" s="1333">
        <f>J9+J10</f>
        <v>920.48540460000004</v>
      </c>
      <c r="Q9" s="1333"/>
      <c r="R9" s="1301">
        <f>(P9-N9)/N9*100</f>
        <v>3.1598924789026075</v>
      </c>
    </row>
    <row r="10" spans="2:18" ht="14.25" customHeight="1" x14ac:dyDescent="0.35">
      <c r="B10" s="2400" t="s">
        <v>228</v>
      </c>
      <c r="C10" s="2400"/>
      <c r="D10" s="1332">
        <v>663.77</v>
      </c>
      <c r="E10" s="1332">
        <v>610.89346720000003</v>
      </c>
      <c r="F10" s="2404"/>
      <c r="G10" s="2408"/>
      <c r="H10" s="1342">
        <v>642.19588199999998</v>
      </c>
      <c r="I10" s="1330">
        <v>534.96687459999998</v>
      </c>
      <c r="J10" s="1330">
        <v>808.38523310000005</v>
      </c>
      <c r="K10" s="2399"/>
      <c r="L10" s="1336">
        <f>(J10-I10)/I10*100</f>
        <v>51.109399755720887</v>
      </c>
      <c r="M10" s="1337">
        <f>(J10-H10)/H10*100</f>
        <v>25.878295977612648</v>
      </c>
      <c r="Q10" s="1333"/>
    </row>
    <row r="11" spans="2:18" x14ac:dyDescent="0.35">
      <c r="B11" s="2402" t="s">
        <v>63</v>
      </c>
      <c r="C11" s="2403"/>
      <c r="D11" s="1329">
        <f t="shared" ref="D11:J11" si="0">SUM(D8:D10)</f>
        <v>873.14</v>
      </c>
      <c r="E11" s="1329">
        <f t="shared" si="0"/>
        <v>615.09889696200003</v>
      </c>
      <c r="F11" s="1329">
        <f t="shared" si="0"/>
        <v>950.58999999999992</v>
      </c>
      <c r="G11" s="1329">
        <f t="shared" si="0"/>
        <v>913.34999999999991</v>
      </c>
      <c r="H11" s="1341">
        <f t="shared" si="0"/>
        <v>839.51375193199988</v>
      </c>
      <c r="I11" s="1329">
        <f t="shared" si="0"/>
        <v>537.98576626199997</v>
      </c>
      <c r="J11" s="1329">
        <f t="shared" si="0"/>
        <v>930.91289019999999</v>
      </c>
      <c r="K11" s="1338">
        <f>(J11-G11)/G11*100</f>
        <v>1.9229090928997741</v>
      </c>
      <c r="L11" s="1339">
        <f>(J11-I11)/I11*100</f>
        <v>73.03671371607328</v>
      </c>
      <c r="M11" s="1337">
        <f>(J11-H11)/H11*100</f>
        <v>10.887152004080976</v>
      </c>
    </row>
    <row r="12" spans="2:18" ht="19.5" customHeight="1" x14ac:dyDescent="0.35">
      <c r="B12" s="2398" t="s">
        <v>829</v>
      </c>
      <c r="C12" s="2398"/>
      <c r="D12" s="2398"/>
      <c r="E12" s="2398"/>
      <c r="F12" s="2398"/>
      <c r="G12" s="2398"/>
      <c r="H12" s="2398"/>
      <c r="I12" s="2398"/>
      <c r="J12" s="2398"/>
      <c r="K12" s="2398"/>
      <c r="L12" s="2398"/>
      <c r="M12" s="2398"/>
    </row>
    <row r="13" spans="2:18" x14ac:dyDescent="0.35">
      <c r="B13" s="2400" t="s">
        <v>824</v>
      </c>
      <c r="C13" s="2400"/>
      <c r="D13" s="1329">
        <v>34.022481999999997</v>
      </c>
      <c r="E13" s="1329">
        <v>4.4567049999999995</v>
      </c>
      <c r="F13" s="1327">
        <v>28.87</v>
      </c>
      <c r="G13" s="1327">
        <v>27.82</v>
      </c>
      <c r="H13" s="1343">
        <v>32.378999999999998</v>
      </c>
      <c r="I13" s="1330">
        <v>3.5068339999999996</v>
      </c>
      <c r="J13" s="1330">
        <v>17.092328999999999</v>
      </c>
      <c r="K13" s="1335">
        <f>(J13-G13)/G13*100</f>
        <v>-38.561002875629043</v>
      </c>
      <c r="L13" s="1336">
        <f>(J13-I13)/I13*100</f>
        <v>387.40057271031367</v>
      </c>
      <c r="M13" s="1337">
        <f>(J13-H13)/H13*100</f>
        <v>-47.211683498563886</v>
      </c>
    </row>
    <row r="14" spans="2:18" x14ac:dyDescent="0.35">
      <c r="B14" s="2401" t="s">
        <v>823</v>
      </c>
      <c r="C14" s="2401"/>
      <c r="D14" s="1329">
        <v>29.956289999999999</v>
      </c>
      <c r="E14" s="1329">
        <v>1.1915969999999998</v>
      </c>
      <c r="F14" s="2390">
        <v>33.659999999999997</v>
      </c>
      <c r="G14" s="2405">
        <v>32.130000000000003</v>
      </c>
      <c r="H14" s="1344">
        <v>28.47</v>
      </c>
      <c r="I14" s="1330">
        <v>0.86989199999999989</v>
      </c>
      <c r="J14" s="1330">
        <v>13.741678</v>
      </c>
      <c r="K14" s="2399">
        <v>-20.6</v>
      </c>
      <c r="L14" s="1336">
        <f>(J14-I14)/I14*100</f>
        <v>1479.6993189959214</v>
      </c>
      <c r="M14" s="1337">
        <f>(J14-H14)/H14*100</f>
        <v>-51.732778363189325</v>
      </c>
      <c r="N14" s="1301">
        <v>32.130000000000003</v>
      </c>
      <c r="O14" s="1333">
        <f>I14+I15</f>
        <v>10.490297000000002</v>
      </c>
      <c r="P14" s="1333">
        <f>J14+J15</f>
        <v>25.51033</v>
      </c>
      <c r="Q14" s="1333"/>
      <c r="R14" s="1301">
        <f>(P14-N14)/N14*100</f>
        <v>-20.602769996887652</v>
      </c>
    </row>
    <row r="15" spans="2:18" x14ac:dyDescent="0.35">
      <c r="B15" s="2400" t="s">
        <v>228</v>
      </c>
      <c r="C15" s="2400"/>
      <c r="D15" s="1329">
        <v>10.899000000000001</v>
      </c>
      <c r="E15" s="1329">
        <v>10.963100000000001</v>
      </c>
      <c r="F15" s="2390"/>
      <c r="G15" s="2406"/>
      <c r="H15" s="1344">
        <v>10.479000000000001</v>
      </c>
      <c r="I15" s="1330">
        <v>9.6204050000000016</v>
      </c>
      <c r="J15" s="1330">
        <v>11.768651999999999</v>
      </c>
      <c r="K15" s="2399"/>
      <c r="L15" s="1336">
        <f>(J15-I15)/I15*100</f>
        <v>22.330109803069593</v>
      </c>
      <c r="M15" s="1337">
        <f>(J15-H15)/H15*100</f>
        <v>12.307014028056095</v>
      </c>
    </row>
    <row r="16" spans="2:18" x14ac:dyDescent="0.35">
      <c r="B16" s="2395" t="s">
        <v>63</v>
      </c>
      <c r="C16" s="2397"/>
      <c r="D16" s="1329">
        <f t="shared" ref="D16:J16" si="1">SUM(D13:D15)</f>
        <v>74.877771999999993</v>
      </c>
      <c r="E16" s="1329">
        <f t="shared" si="1"/>
        <v>16.611401999999998</v>
      </c>
      <c r="F16" s="1329">
        <f t="shared" si="1"/>
        <v>62.53</v>
      </c>
      <c r="G16" s="1329">
        <f t="shared" si="1"/>
        <v>59.95</v>
      </c>
      <c r="H16" s="1329">
        <f t="shared" si="1"/>
        <v>71.328000000000003</v>
      </c>
      <c r="I16" s="1329">
        <f t="shared" si="1"/>
        <v>13.997131000000001</v>
      </c>
      <c r="J16" s="1329">
        <f t="shared" si="1"/>
        <v>42.602659000000003</v>
      </c>
      <c r="K16" s="1338">
        <f>(J16-G16)/G16*100</f>
        <v>-28.93634862385321</v>
      </c>
      <c r="L16" s="1339">
        <f>(J16-I16)/I16*100</f>
        <v>204.36708065388541</v>
      </c>
      <c r="M16" s="1337">
        <f>(J16-H16)/H16*100</f>
        <v>-40.272180630327497</v>
      </c>
    </row>
    <row r="20" spans="6:10" x14ac:dyDescent="0.35">
      <c r="H20" s="1331" t="s">
        <v>832</v>
      </c>
      <c r="I20" s="1327" t="s">
        <v>833</v>
      </c>
      <c r="J20" s="1327" t="s">
        <v>834</v>
      </c>
    </row>
    <row r="21" spans="6:10" x14ac:dyDescent="0.35">
      <c r="G21" s="1345" t="s">
        <v>830</v>
      </c>
      <c r="H21" s="1347">
        <v>32.378999999999998</v>
      </c>
      <c r="I21" s="1347">
        <v>3.5068339999999996</v>
      </c>
      <c r="J21" s="1347">
        <v>17.092328999999999</v>
      </c>
    </row>
    <row r="22" spans="6:10" x14ac:dyDescent="0.35">
      <c r="G22" s="1346" t="s">
        <v>831</v>
      </c>
      <c r="H22" s="1347">
        <v>28.47</v>
      </c>
      <c r="I22" s="1347">
        <v>0.86989199999999989</v>
      </c>
      <c r="J22" s="1347">
        <v>13.741678</v>
      </c>
    </row>
    <row r="23" spans="6:10" x14ac:dyDescent="0.35">
      <c r="G23" s="1345" t="s">
        <v>228</v>
      </c>
      <c r="H23" s="1347">
        <v>10.479000000000001</v>
      </c>
      <c r="I23" s="1347">
        <v>9.6204050000000016</v>
      </c>
      <c r="J23" s="1347">
        <v>11.768651999999999</v>
      </c>
    </row>
    <row r="25" spans="6:10" x14ac:dyDescent="0.35">
      <c r="F25" s="1301" t="s">
        <v>372</v>
      </c>
    </row>
    <row r="26" spans="6:10" x14ac:dyDescent="0.35">
      <c r="F26" s="1348"/>
      <c r="G26" s="1348" t="s">
        <v>77</v>
      </c>
      <c r="H26" s="1348" t="s">
        <v>701</v>
      </c>
      <c r="I26" s="1348" t="s">
        <v>841</v>
      </c>
      <c r="J26" s="1348" t="s">
        <v>840</v>
      </c>
    </row>
    <row r="27" spans="6:10" x14ac:dyDescent="0.35">
      <c r="F27" s="1348" t="s">
        <v>166</v>
      </c>
      <c r="G27" s="1348"/>
      <c r="H27" s="1348"/>
      <c r="I27" s="1348"/>
      <c r="J27" s="1348"/>
    </row>
    <row r="28" spans="6:10" x14ac:dyDescent="0.35">
      <c r="F28" s="1348" t="s">
        <v>160</v>
      </c>
      <c r="G28" s="1348"/>
      <c r="H28" s="1348"/>
      <c r="I28" s="1348"/>
      <c r="J28" s="1348"/>
    </row>
    <row r="29" spans="6:10" x14ac:dyDescent="0.35">
      <c r="F29" s="1348" t="s">
        <v>835</v>
      </c>
      <c r="G29" s="1348"/>
      <c r="H29" s="1348"/>
      <c r="I29" s="1348"/>
      <c r="J29" s="1348"/>
    </row>
    <row r="30" spans="6:10" x14ac:dyDescent="0.35">
      <c r="F30" s="1348" t="s">
        <v>836</v>
      </c>
      <c r="G30" s="1348"/>
      <c r="H30" s="1348">
        <v>9110225</v>
      </c>
      <c r="I30" s="1348"/>
      <c r="J30" s="1348"/>
    </row>
    <row r="31" spans="6:10" x14ac:dyDescent="0.35">
      <c r="F31" s="1348" t="s">
        <v>837</v>
      </c>
      <c r="G31" s="1348"/>
      <c r="H31" s="1348"/>
      <c r="I31" s="1348"/>
      <c r="J31" s="1348"/>
    </row>
    <row r="32" spans="6:10" x14ac:dyDescent="0.35">
      <c r="F32" s="1348" t="s">
        <v>838</v>
      </c>
      <c r="G32" s="1348"/>
      <c r="H32" s="1348"/>
      <c r="I32" s="1348"/>
      <c r="J32" s="1348"/>
    </row>
    <row r="33" spans="6:10" x14ac:dyDescent="0.35">
      <c r="F33" s="1348" t="s">
        <v>839</v>
      </c>
      <c r="G33" s="1348"/>
      <c r="H33" s="1348"/>
      <c r="I33" s="1348"/>
      <c r="J33" s="1348"/>
    </row>
  </sheetData>
  <mergeCells count="25">
    <mergeCell ref="B16:C16"/>
    <mergeCell ref="B12:M12"/>
    <mergeCell ref="B7:M7"/>
    <mergeCell ref="K14:K15"/>
    <mergeCell ref="B13:C13"/>
    <mergeCell ref="B14:C14"/>
    <mergeCell ref="B15:C15"/>
    <mergeCell ref="B11:C11"/>
    <mergeCell ref="B8:C8"/>
    <mergeCell ref="B9:C9"/>
    <mergeCell ref="B10:C10"/>
    <mergeCell ref="F14:F15"/>
    <mergeCell ref="F9:F10"/>
    <mergeCell ref="K9:K10"/>
    <mergeCell ref="G14:G15"/>
    <mergeCell ref="G9:G10"/>
    <mergeCell ref="B4:B6"/>
    <mergeCell ref="C4:C6"/>
    <mergeCell ref="K5:K6"/>
    <mergeCell ref="L5:L6"/>
    <mergeCell ref="M5:M6"/>
    <mergeCell ref="K4:M4"/>
    <mergeCell ref="E5:E6"/>
    <mergeCell ref="D5:D6"/>
    <mergeCell ref="H4:J4"/>
  </mergeCells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pageSetUpPr fitToPage="1"/>
  </sheetPr>
  <dimension ref="A1:AP106"/>
  <sheetViews>
    <sheetView topLeftCell="A27" workbookViewId="0">
      <selection activeCell="V56" sqref="V56:W56"/>
    </sheetView>
  </sheetViews>
  <sheetFormatPr defaultRowHeight="14.25" x14ac:dyDescent="0.45"/>
  <cols>
    <col min="1" max="1" width="12.59765625" bestFit="1" customWidth="1"/>
    <col min="2" max="6" width="10.1328125" customWidth="1"/>
    <col min="7" max="7" width="10.86328125" customWidth="1"/>
    <col min="10" max="10" width="16.1328125" hidden="1" customWidth="1"/>
    <col min="11" max="13" width="12.3984375" hidden="1" customWidth="1"/>
    <col min="14" max="14" width="11.265625" hidden="1" customWidth="1"/>
    <col min="15" max="16" width="12.3984375" hidden="1" customWidth="1"/>
    <col min="17" max="17" width="10.59765625" hidden="1" customWidth="1"/>
    <col min="18" max="18" width="9.1328125" customWidth="1"/>
    <col min="19" max="19" width="16.3984375" style="54" customWidth="1"/>
    <col min="20" max="20" width="11.59765625" style="786" customWidth="1"/>
    <col min="21" max="21" width="9.59765625" customWidth="1"/>
    <col min="22" max="22" width="10.73046875" customWidth="1"/>
    <col min="23" max="23" width="17.265625" customWidth="1"/>
    <col min="24" max="24" width="12" bestFit="1" customWidth="1"/>
    <col min="25" max="25" width="10.59765625" bestFit="1" customWidth="1"/>
    <col min="26" max="26" width="9.1328125" style="89"/>
    <col min="27" max="27" width="10.3984375" customWidth="1"/>
    <col min="28" max="28" width="12" customWidth="1"/>
    <col min="29" max="29" width="9.1328125" style="89"/>
    <col min="30" max="30" width="9.3984375" bestFit="1" customWidth="1"/>
    <col min="31" max="31" width="13.73046875" bestFit="1" customWidth="1"/>
    <col min="32" max="32" width="9.1328125" style="89"/>
    <col min="35" max="35" width="9.1328125" style="89"/>
    <col min="38" max="38" width="9.1328125" style="89"/>
    <col min="41" max="41" width="9.1328125" style="89"/>
  </cols>
  <sheetData>
    <row r="1" spans="10:41" s="909" customFormat="1" ht="20.25" hidden="1" customHeight="1" x14ac:dyDescent="0.45">
      <c r="J1" s="2413" t="s">
        <v>686</v>
      </c>
      <c r="K1" s="2413"/>
      <c r="L1" s="2413"/>
      <c r="M1" s="2413"/>
      <c r="N1" s="2413"/>
      <c r="O1" s="2413"/>
      <c r="P1" s="2413"/>
      <c r="S1" s="1073"/>
      <c r="W1" s="401"/>
      <c r="X1" s="2287" t="s">
        <v>83</v>
      </c>
      <c r="Y1" s="2287"/>
      <c r="Z1" s="2287"/>
      <c r="AA1" s="2287" t="s">
        <v>626</v>
      </c>
      <c r="AB1" s="2287"/>
      <c r="AC1" s="2287"/>
      <c r="AD1" s="2287" t="s">
        <v>688</v>
      </c>
      <c r="AE1" s="2287"/>
      <c r="AF1" s="2287"/>
      <c r="AG1" s="2287" t="s">
        <v>689</v>
      </c>
      <c r="AH1" s="2287"/>
      <c r="AI1" s="2287"/>
      <c r="AJ1" s="2287" t="s">
        <v>690</v>
      </c>
      <c r="AK1" s="2287"/>
      <c r="AL1" s="2287"/>
      <c r="AM1" s="2287" t="s">
        <v>691</v>
      </c>
      <c r="AN1" s="2287"/>
      <c r="AO1" s="2287"/>
    </row>
    <row r="2" spans="10:41" s="909" customFormat="1" ht="14.65" hidden="1" thickBot="1" x14ac:dyDescent="0.5">
      <c r="J2" s="2278" t="s">
        <v>127</v>
      </c>
      <c r="K2" s="2280" t="s">
        <v>237</v>
      </c>
      <c r="L2" s="2281"/>
      <c r="M2" s="2282"/>
      <c r="N2" s="2283" t="s">
        <v>370</v>
      </c>
      <c r="O2" s="2285" t="s">
        <v>371</v>
      </c>
      <c r="P2" s="2283" t="s">
        <v>63</v>
      </c>
      <c r="S2" s="2271" t="s">
        <v>127</v>
      </c>
      <c r="T2" s="2287" t="s">
        <v>685</v>
      </c>
      <c r="W2" s="2271" t="s">
        <v>127</v>
      </c>
      <c r="X2" s="2271" t="s">
        <v>237</v>
      </c>
      <c r="Y2" s="2271"/>
      <c r="Z2" s="2271"/>
      <c r="AA2" s="2271" t="s">
        <v>237</v>
      </c>
      <c r="AB2" s="2271"/>
      <c r="AC2" s="2271"/>
      <c r="AD2" s="2271" t="s">
        <v>237</v>
      </c>
      <c r="AE2" s="2271"/>
      <c r="AF2" s="2271"/>
      <c r="AG2" s="2271" t="s">
        <v>237</v>
      </c>
      <c r="AH2" s="2271"/>
      <c r="AI2" s="2271"/>
      <c r="AJ2" s="2271" t="s">
        <v>237</v>
      </c>
      <c r="AK2" s="2271"/>
      <c r="AL2" s="2271"/>
      <c r="AM2" s="2271" t="s">
        <v>237</v>
      </c>
      <c r="AN2" s="2271"/>
      <c r="AO2" s="2271"/>
    </row>
    <row r="3" spans="10:41" s="909" customFormat="1" ht="14.65" hidden="1" thickBot="1" x14ac:dyDescent="0.5">
      <c r="J3" s="2279"/>
      <c r="K3" s="1007" t="s">
        <v>94</v>
      </c>
      <c r="L3" s="1008" t="s">
        <v>97</v>
      </c>
      <c r="M3" s="1009" t="s">
        <v>63</v>
      </c>
      <c r="N3" s="2284"/>
      <c r="O3" s="2286"/>
      <c r="P3" s="2284"/>
      <c r="S3" s="2271"/>
      <c r="T3" s="2287"/>
      <c r="W3" s="2271"/>
      <c r="X3" s="855" t="s">
        <v>94</v>
      </c>
      <c r="Y3" s="855" t="s">
        <v>97</v>
      </c>
      <c r="Z3" s="855" t="s">
        <v>63</v>
      </c>
      <c r="AA3" s="855" t="s">
        <v>94</v>
      </c>
      <c r="AB3" s="855" t="s">
        <v>97</v>
      </c>
      <c r="AC3" s="855" t="s">
        <v>63</v>
      </c>
      <c r="AD3" s="855" t="s">
        <v>94</v>
      </c>
      <c r="AE3" s="855" t="s">
        <v>97</v>
      </c>
      <c r="AF3" s="855" t="s">
        <v>63</v>
      </c>
      <c r="AG3" s="855" t="s">
        <v>94</v>
      </c>
      <c r="AH3" s="855" t="s">
        <v>97</v>
      </c>
      <c r="AI3" s="855" t="s">
        <v>63</v>
      </c>
      <c r="AJ3" s="855" t="s">
        <v>94</v>
      </c>
      <c r="AK3" s="855" t="s">
        <v>97</v>
      </c>
      <c r="AL3" s="855" t="s">
        <v>63</v>
      </c>
      <c r="AM3" s="855" t="s">
        <v>94</v>
      </c>
      <c r="AN3" s="855" t="s">
        <v>97</v>
      </c>
      <c r="AO3" s="855" t="s">
        <v>63</v>
      </c>
    </row>
    <row r="4" spans="10:41" s="909" customFormat="1" ht="20.25" hidden="1" customHeight="1" x14ac:dyDescent="0.45">
      <c r="J4" s="1010" t="s">
        <v>131</v>
      </c>
      <c r="K4" s="1011">
        <v>0.06</v>
      </c>
      <c r="L4" s="1012">
        <v>44.57</v>
      </c>
      <c r="M4" s="1013">
        <f>SUM(K4:L4)</f>
        <v>44.63</v>
      </c>
      <c r="N4" s="1014">
        <v>22.44</v>
      </c>
      <c r="O4" s="1014">
        <v>7.25</v>
      </c>
      <c r="P4" s="1014">
        <f>SUM(M4:O4)</f>
        <v>74.320000000000007</v>
      </c>
      <c r="S4" s="1074" t="s">
        <v>131</v>
      </c>
      <c r="T4" s="401">
        <v>1.3</v>
      </c>
      <c r="W4" s="977" t="s">
        <v>131</v>
      </c>
      <c r="X4" s="977">
        <v>0.06</v>
      </c>
      <c r="Y4" s="978">
        <v>44.57</v>
      </c>
      <c r="Z4" s="855">
        <f>SUM(X4:Y4)</f>
        <v>44.63</v>
      </c>
      <c r="AA4" s="977">
        <v>1.64</v>
      </c>
      <c r="AB4" s="978">
        <v>77.41</v>
      </c>
      <c r="AC4" s="855">
        <f>SUM(AA4:AB4)</f>
        <v>79.05</v>
      </c>
      <c r="AD4" s="401">
        <f>AA4-X4</f>
        <v>1.5799999999999998</v>
      </c>
      <c r="AE4" s="401">
        <f>AB4-Y4</f>
        <v>32.839999999999996</v>
      </c>
      <c r="AF4" s="398">
        <f>SUM(AD4:AE4)</f>
        <v>34.419999999999995</v>
      </c>
      <c r="AG4" s="401">
        <v>0.65</v>
      </c>
      <c r="AH4" s="401">
        <v>72.400000000000006</v>
      </c>
      <c r="AI4" s="398">
        <f>SUM(AG4:AH4)</f>
        <v>73.050000000000011</v>
      </c>
      <c r="AJ4" s="644">
        <f>(AG4-X4)/X4*100</f>
        <v>983.3333333333336</v>
      </c>
      <c r="AK4" s="644">
        <f>(AH4-Y4)/Y4*100</f>
        <v>62.441103881534673</v>
      </c>
      <c r="AL4" s="645">
        <f>(AI4-Z4)/Z4*100</f>
        <v>63.679139592202574</v>
      </c>
      <c r="AM4" s="1083">
        <f>(AG4-AA4)/AA4*100</f>
        <v>-60.365853658536587</v>
      </c>
      <c r="AN4" s="1083">
        <f>(AH4-AB4)/AB4*100</f>
        <v>-6.4720320372044835</v>
      </c>
      <c r="AO4" s="1084">
        <f>(AI4-AC4)/AC4*100</f>
        <v>-7.590132827324461</v>
      </c>
    </row>
    <row r="5" spans="10:41" s="909" customFormat="1" ht="20.25" hidden="1" customHeight="1" x14ac:dyDescent="0.45">
      <c r="J5" s="1015" t="s">
        <v>132</v>
      </c>
      <c r="K5" s="1016">
        <v>0.06</v>
      </c>
      <c r="L5" s="978">
        <v>20.49</v>
      </c>
      <c r="M5" s="1013">
        <f>SUM(K5:L5)</f>
        <v>20.549999999999997</v>
      </c>
      <c r="N5" s="1015">
        <v>23.71</v>
      </c>
      <c r="O5" s="1015">
        <v>4.47</v>
      </c>
      <c r="P5" s="1015">
        <f>SUM(M5:O5)</f>
        <v>48.73</v>
      </c>
      <c r="S5" s="1074" t="s">
        <v>132</v>
      </c>
      <c r="T5" s="401">
        <v>1.3</v>
      </c>
      <c r="U5" s="1087">
        <f>T5/31</f>
        <v>4.1935483870967745E-2</v>
      </c>
      <c r="V5" s="1087">
        <f>U5*20</f>
        <v>0.83870967741935487</v>
      </c>
      <c r="W5" s="977" t="s">
        <v>132</v>
      </c>
      <c r="X5" s="977">
        <v>0.06</v>
      </c>
      <c r="Y5" s="978">
        <v>20.49</v>
      </c>
      <c r="Z5" s="855">
        <f>SUM(X5:Y5)</f>
        <v>20.549999999999997</v>
      </c>
      <c r="AA5" s="977">
        <v>1.77</v>
      </c>
      <c r="AB5" s="978">
        <v>76.81</v>
      </c>
      <c r="AC5" s="855">
        <f>SUM(AA5:AB5)</f>
        <v>78.58</v>
      </c>
      <c r="AD5" s="401">
        <f t="shared" ref="AD5:AD26" si="0">AA5-X5</f>
        <v>1.71</v>
      </c>
      <c r="AE5" s="401">
        <f t="shared" ref="AE5:AE26" si="1">AB5-Y5</f>
        <v>56.320000000000007</v>
      </c>
      <c r="AF5" s="398">
        <f t="shared" ref="AF5:AF26" si="2">SUM(AD5:AE5)</f>
        <v>58.030000000000008</v>
      </c>
      <c r="AG5" s="401"/>
      <c r="AH5" s="401"/>
      <c r="AI5" s="398"/>
      <c r="AJ5" s="401"/>
      <c r="AK5" s="401"/>
      <c r="AL5" s="398"/>
      <c r="AM5" s="401"/>
      <c r="AN5" s="401"/>
      <c r="AO5" s="398"/>
    </row>
    <row r="6" spans="10:41" s="909" customFormat="1" ht="20.25" hidden="1" customHeight="1" x14ac:dyDescent="0.45">
      <c r="J6" s="1017" t="s">
        <v>204</v>
      </c>
      <c r="K6" s="1018">
        <f>SUM(K4:K5)</f>
        <v>0.12</v>
      </c>
      <c r="L6" s="981">
        <f>SUM(L4:L5)</f>
        <v>65.06</v>
      </c>
      <c r="M6" s="1019">
        <f>SUM(K6:L6)</f>
        <v>65.180000000000007</v>
      </c>
      <c r="N6" s="1017">
        <f>SUM(N4:N5)</f>
        <v>46.150000000000006</v>
      </c>
      <c r="O6" s="1017">
        <f>SUM(O4:O5)</f>
        <v>11.719999999999999</v>
      </c>
      <c r="P6" s="1017">
        <f>SUM(P4:P5)</f>
        <v>123.05000000000001</v>
      </c>
      <c r="S6" s="1075" t="s">
        <v>204</v>
      </c>
      <c r="T6" s="1018">
        <f>SUM(T4:T5)</f>
        <v>2.6</v>
      </c>
      <c r="W6" s="980" t="s">
        <v>204</v>
      </c>
      <c r="X6" s="980">
        <f>SUM(X4:X5)</f>
        <v>0.12</v>
      </c>
      <c r="Y6" s="981">
        <f>SUM(Y4:Y5)</f>
        <v>65.06</v>
      </c>
      <c r="Z6" s="980">
        <f>SUM(X6:Y6)</f>
        <v>65.180000000000007</v>
      </c>
      <c r="AA6" s="980">
        <f>SUM(AA4:AA5)</f>
        <v>3.41</v>
      </c>
      <c r="AB6" s="981">
        <f>SUM(AB4:AB5)</f>
        <v>154.22</v>
      </c>
      <c r="AC6" s="980">
        <f>SUM(AA6:AB6)</f>
        <v>157.63</v>
      </c>
      <c r="AD6" s="1080">
        <f t="shared" si="0"/>
        <v>3.29</v>
      </c>
      <c r="AE6" s="1080">
        <f t="shared" si="1"/>
        <v>89.16</v>
      </c>
      <c r="AF6" s="1082">
        <f t="shared" si="2"/>
        <v>92.45</v>
      </c>
      <c r="AG6" s="1080"/>
      <c r="AH6" s="1080"/>
      <c r="AI6" s="1082"/>
      <c r="AJ6" s="1080"/>
      <c r="AK6" s="1080"/>
      <c r="AL6" s="1082"/>
      <c r="AM6" s="1080"/>
      <c r="AN6" s="1080"/>
      <c r="AO6" s="1082"/>
    </row>
    <row r="7" spans="10:41" s="909" customFormat="1" ht="20.25" hidden="1" customHeight="1" x14ac:dyDescent="0.45">
      <c r="J7" s="1015" t="s">
        <v>133</v>
      </c>
      <c r="K7" s="1016">
        <v>0.09</v>
      </c>
      <c r="L7" s="978">
        <v>44.85</v>
      </c>
      <c r="M7" s="1020">
        <f>SUM(K7:L7)</f>
        <v>44.940000000000005</v>
      </c>
      <c r="N7" s="1015">
        <v>15.96</v>
      </c>
      <c r="O7" s="1015">
        <v>4.4400000000000004</v>
      </c>
      <c r="P7" s="1015">
        <f>SUM(M7:O7)</f>
        <v>65.34</v>
      </c>
      <c r="S7" s="1074" t="s">
        <v>133</v>
      </c>
      <c r="T7" s="401">
        <v>1</v>
      </c>
      <c r="W7" s="977" t="s">
        <v>133</v>
      </c>
      <c r="X7" s="977">
        <v>0.09</v>
      </c>
      <c r="Y7" s="978">
        <v>44.85</v>
      </c>
      <c r="Z7" s="855">
        <f>SUM(X7:Y7)</f>
        <v>44.940000000000005</v>
      </c>
      <c r="AA7" s="977">
        <v>1.86</v>
      </c>
      <c r="AB7" s="978">
        <v>83.34</v>
      </c>
      <c r="AC7" s="855">
        <f>SUM(AA7:AB7)</f>
        <v>85.2</v>
      </c>
      <c r="AD7" s="401">
        <f t="shared" si="0"/>
        <v>1.77</v>
      </c>
      <c r="AE7" s="401">
        <f t="shared" si="1"/>
        <v>38.49</v>
      </c>
      <c r="AF7" s="398">
        <f t="shared" si="2"/>
        <v>40.260000000000005</v>
      </c>
      <c r="AG7" s="401"/>
      <c r="AH7" s="401"/>
      <c r="AI7" s="398"/>
      <c r="AJ7" s="401"/>
      <c r="AK7" s="401"/>
      <c r="AL7" s="398"/>
      <c r="AM7" s="401"/>
      <c r="AN7" s="401"/>
      <c r="AO7" s="398"/>
    </row>
    <row r="8" spans="10:41" s="909" customFormat="1" ht="20.25" hidden="1" customHeight="1" x14ac:dyDescent="0.45">
      <c r="J8" s="1017" t="s">
        <v>205</v>
      </c>
      <c r="K8" s="1018">
        <f t="shared" ref="K8:P8" si="3">SUM(K6:K7)</f>
        <v>0.21</v>
      </c>
      <c r="L8" s="981">
        <f t="shared" si="3"/>
        <v>109.91</v>
      </c>
      <c r="M8" s="1021">
        <f t="shared" si="3"/>
        <v>110.12</v>
      </c>
      <c r="N8" s="1017">
        <f t="shared" si="3"/>
        <v>62.110000000000007</v>
      </c>
      <c r="O8" s="1017">
        <f t="shared" si="3"/>
        <v>16.16</v>
      </c>
      <c r="P8" s="1017">
        <f t="shared" si="3"/>
        <v>188.39000000000001</v>
      </c>
      <c r="S8" s="1075" t="s">
        <v>205</v>
      </c>
      <c r="T8" s="1018">
        <f>SUM(T6:T7)</f>
        <v>3.6</v>
      </c>
      <c r="W8" s="980" t="s">
        <v>205</v>
      </c>
      <c r="X8" s="980">
        <f t="shared" ref="X8:AC8" si="4">SUM(X6:X7)</f>
        <v>0.21</v>
      </c>
      <c r="Y8" s="981">
        <f t="shared" si="4"/>
        <v>109.91</v>
      </c>
      <c r="Z8" s="980">
        <f t="shared" si="4"/>
        <v>110.12</v>
      </c>
      <c r="AA8" s="980">
        <f t="shared" si="4"/>
        <v>5.2700000000000005</v>
      </c>
      <c r="AB8" s="981">
        <f t="shared" si="4"/>
        <v>237.56</v>
      </c>
      <c r="AC8" s="980">
        <f t="shared" si="4"/>
        <v>242.82999999999998</v>
      </c>
      <c r="AD8" s="1080">
        <f t="shared" si="0"/>
        <v>5.0600000000000005</v>
      </c>
      <c r="AE8" s="1080">
        <f t="shared" si="1"/>
        <v>127.65</v>
      </c>
      <c r="AF8" s="1082">
        <f t="shared" si="2"/>
        <v>132.71</v>
      </c>
      <c r="AG8" s="1080"/>
      <c r="AH8" s="1080"/>
      <c r="AI8" s="1082"/>
      <c r="AJ8" s="1080"/>
      <c r="AK8" s="1080"/>
      <c r="AL8" s="1082"/>
      <c r="AM8" s="1080"/>
      <c r="AN8" s="1080"/>
      <c r="AO8" s="1082"/>
    </row>
    <row r="9" spans="10:41" s="909" customFormat="1" ht="20.25" hidden="1" customHeight="1" x14ac:dyDescent="0.45">
      <c r="J9" s="1015" t="s">
        <v>51</v>
      </c>
      <c r="K9" s="1016">
        <v>0.11</v>
      </c>
      <c r="L9" s="978">
        <v>66.7</v>
      </c>
      <c r="M9" s="1020">
        <f>SUM(K9:L9)</f>
        <v>66.81</v>
      </c>
      <c r="N9" s="1015">
        <v>16.600000000000001</v>
      </c>
      <c r="O9" s="1015">
        <v>5.18</v>
      </c>
      <c r="P9" s="1015">
        <f>SUM(M9:O9)</f>
        <v>88.59</v>
      </c>
      <c r="S9" s="1074" t="s">
        <v>51</v>
      </c>
      <c r="T9" s="401">
        <v>0.75</v>
      </c>
      <c r="W9" s="977" t="s">
        <v>51</v>
      </c>
      <c r="X9" s="977">
        <v>0.11</v>
      </c>
      <c r="Y9" s="978">
        <v>66.7</v>
      </c>
      <c r="Z9" s="855">
        <f>SUM(X9:Y9)</f>
        <v>66.81</v>
      </c>
      <c r="AA9" s="977">
        <v>2.11</v>
      </c>
      <c r="AB9" s="978">
        <v>82.17</v>
      </c>
      <c r="AC9" s="855">
        <f>SUM(AA9:AB9)</f>
        <v>84.28</v>
      </c>
      <c r="AD9" s="401">
        <f t="shared" si="0"/>
        <v>1.9999999999999998</v>
      </c>
      <c r="AE9" s="401">
        <f t="shared" si="1"/>
        <v>15.469999999999999</v>
      </c>
      <c r="AF9" s="398">
        <f t="shared" si="2"/>
        <v>17.47</v>
      </c>
      <c r="AG9" s="401"/>
      <c r="AH9" s="401"/>
      <c r="AI9" s="398"/>
      <c r="AJ9" s="401"/>
      <c r="AK9" s="401"/>
      <c r="AL9" s="398"/>
      <c r="AM9" s="401"/>
      <c r="AN9" s="401"/>
      <c r="AO9" s="398"/>
    </row>
    <row r="10" spans="10:41" s="909" customFormat="1" ht="20.25" hidden="1" customHeight="1" x14ac:dyDescent="0.45">
      <c r="J10" s="1017" t="s">
        <v>207</v>
      </c>
      <c r="K10" s="1018">
        <f t="shared" ref="K10:P10" si="5">SUM(K8:K9)</f>
        <v>0.32</v>
      </c>
      <c r="L10" s="981">
        <f t="shared" si="5"/>
        <v>176.61</v>
      </c>
      <c r="M10" s="1021">
        <f t="shared" si="5"/>
        <v>176.93</v>
      </c>
      <c r="N10" s="1017">
        <f t="shared" si="5"/>
        <v>78.710000000000008</v>
      </c>
      <c r="O10" s="1017">
        <f t="shared" si="5"/>
        <v>21.34</v>
      </c>
      <c r="P10" s="1017">
        <f t="shared" si="5"/>
        <v>276.98</v>
      </c>
      <c r="S10" s="1075" t="s">
        <v>207</v>
      </c>
      <c r="T10" s="1018">
        <f>SUM(T8:T9)</f>
        <v>4.3499999999999996</v>
      </c>
      <c r="W10" s="980" t="s">
        <v>207</v>
      </c>
      <c r="X10" s="980">
        <f t="shared" ref="X10:AC10" si="6">SUM(X8:X9)</f>
        <v>0.32</v>
      </c>
      <c r="Y10" s="981">
        <f t="shared" si="6"/>
        <v>176.61</v>
      </c>
      <c r="Z10" s="980">
        <f t="shared" si="6"/>
        <v>176.93</v>
      </c>
      <c r="AA10" s="980">
        <f t="shared" si="6"/>
        <v>7.3800000000000008</v>
      </c>
      <c r="AB10" s="981">
        <f t="shared" si="6"/>
        <v>319.73</v>
      </c>
      <c r="AC10" s="980">
        <f t="shared" si="6"/>
        <v>327.11</v>
      </c>
      <c r="AD10" s="1080">
        <f t="shared" si="0"/>
        <v>7.0600000000000005</v>
      </c>
      <c r="AE10" s="1080">
        <f t="shared" si="1"/>
        <v>143.12</v>
      </c>
      <c r="AF10" s="1082">
        <f t="shared" si="2"/>
        <v>150.18</v>
      </c>
      <c r="AG10" s="1080"/>
      <c r="AH10" s="1080"/>
      <c r="AI10" s="1082"/>
      <c r="AJ10" s="1080"/>
      <c r="AK10" s="1080"/>
      <c r="AL10" s="1082"/>
      <c r="AM10" s="1080"/>
      <c r="AN10" s="1080"/>
      <c r="AO10" s="1082"/>
    </row>
    <row r="11" spans="10:41" s="909" customFormat="1" ht="20.25" hidden="1" customHeight="1" x14ac:dyDescent="0.45">
      <c r="J11" s="1015" t="s">
        <v>134</v>
      </c>
      <c r="K11" s="1016">
        <v>0.12</v>
      </c>
      <c r="L11" s="978">
        <v>76.3</v>
      </c>
      <c r="M11" s="1020">
        <f>SUM(K11:L11)</f>
        <v>76.42</v>
      </c>
      <c r="N11" s="1015">
        <v>34.92</v>
      </c>
      <c r="O11" s="1015">
        <v>6.17</v>
      </c>
      <c r="P11" s="1015">
        <f>SUM(M11:O11)</f>
        <v>117.51</v>
      </c>
      <c r="R11" s="1047"/>
      <c r="S11" s="1074" t="s">
        <v>134</v>
      </c>
      <c r="T11" s="401">
        <v>0.75</v>
      </c>
      <c r="W11" s="977" t="s">
        <v>134</v>
      </c>
      <c r="X11" s="977">
        <v>0.12</v>
      </c>
      <c r="Y11" s="978">
        <v>76.3</v>
      </c>
      <c r="Z11" s="855">
        <f>SUM(X11:Y11)</f>
        <v>76.42</v>
      </c>
      <c r="AA11" s="977">
        <v>1.88</v>
      </c>
      <c r="AB11" s="978">
        <v>64.91</v>
      </c>
      <c r="AC11" s="855">
        <f>SUM(AA11:AB11)</f>
        <v>66.789999999999992</v>
      </c>
      <c r="AD11" s="401">
        <f t="shared" si="0"/>
        <v>1.7599999999999998</v>
      </c>
      <c r="AE11" s="401">
        <f t="shared" si="1"/>
        <v>-11.39</v>
      </c>
      <c r="AF11" s="398">
        <f t="shared" si="2"/>
        <v>-9.6300000000000008</v>
      </c>
      <c r="AG11" s="401"/>
      <c r="AH11" s="401"/>
      <c r="AI11" s="398"/>
      <c r="AJ11" s="401"/>
      <c r="AK11" s="401"/>
      <c r="AL11" s="398"/>
      <c r="AM11" s="401"/>
      <c r="AN11" s="401"/>
      <c r="AO11" s="398"/>
    </row>
    <row r="12" spans="10:41" s="909" customFormat="1" ht="20.25" hidden="1" customHeight="1" x14ac:dyDescent="0.45">
      <c r="J12" s="1017" t="s">
        <v>208</v>
      </c>
      <c r="K12" s="1018">
        <f t="shared" ref="K12:P12" si="7">SUM(K10:K11)</f>
        <v>0.44</v>
      </c>
      <c r="L12" s="981">
        <f t="shared" si="7"/>
        <v>252.91000000000003</v>
      </c>
      <c r="M12" s="1021">
        <f t="shared" si="7"/>
        <v>253.35000000000002</v>
      </c>
      <c r="N12" s="1017">
        <f t="shared" si="7"/>
        <v>113.63000000000001</v>
      </c>
      <c r="O12" s="1017">
        <f t="shared" si="7"/>
        <v>27.509999999999998</v>
      </c>
      <c r="P12" s="1017">
        <f t="shared" si="7"/>
        <v>394.49</v>
      </c>
      <c r="S12" s="1075" t="s">
        <v>208</v>
      </c>
      <c r="T12" s="1018">
        <f>SUM(T10:T11)</f>
        <v>5.0999999999999996</v>
      </c>
      <c r="W12" s="980" t="s">
        <v>208</v>
      </c>
      <c r="X12" s="980">
        <f t="shared" ref="X12:AC12" si="8">SUM(X10:X11)</f>
        <v>0.44</v>
      </c>
      <c r="Y12" s="981">
        <f t="shared" si="8"/>
        <v>252.91000000000003</v>
      </c>
      <c r="Z12" s="980">
        <f t="shared" si="8"/>
        <v>253.35000000000002</v>
      </c>
      <c r="AA12" s="980">
        <f t="shared" si="8"/>
        <v>9.2600000000000016</v>
      </c>
      <c r="AB12" s="981">
        <f t="shared" si="8"/>
        <v>384.64</v>
      </c>
      <c r="AC12" s="980">
        <f t="shared" si="8"/>
        <v>393.9</v>
      </c>
      <c r="AD12" s="1080">
        <f t="shared" si="0"/>
        <v>8.8200000000000021</v>
      </c>
      <c r="AE12" s="1080">
        <f t="shared" si="1"/>
        <v>131.72999999999996</v>
      </c>
      <c r="AF12" s="1082">
        <f t="shared" si="2"/>
        <v>140.54999999999995</v>
      </c>
      <c r="AG12" s="1080"/>
      <c r="AH12" s="1080"/>
      <c r="AI12" s="1082"/>
      <c r="AJ12" s="1080"/>
      <c r="AK12" s="1080"/>
      <c r="AL12" s="1082"/>
      <c r="AM12" s="1080"/>
      <c r="AN12" s="1080"/>
      <c r="AO12" s="1082"/>
    </row>
    <row r="13" spans="10:41" s="909" customFormat="1" ht="20.25" hidden="1" customHeight="1" x14ac:dyDescent="0.45">
      <c r="J13" s="1015" t="s">
        <v>135</v>
      </c>
      <c r="K13" s="1016">
        <v>0.15</v>
      </c>
      <c r="L13" s="978">
        <v>86.56</v>
      </c>
      <c r="M13" s="1020">
        <f>SUM(K13:L13)</f>
        <v>86.710000000000008</v>
      </c>
      <c r="N13" s="1015">
        <v>30.7</v>
      </c>
      <c r="O13" s="1015">
        <v>7.61</v>
      </c>
      <c r="P13" s="1015">
        <f>SUM(M13:O13)</f>
        <v>125.02000000000001</v>
      </c>
      <c r="S13" s="1074" t="s">
        <v>135</v>
      </c>
      <c r="T13" s="401">
        <v>0.75</v>
      </c>
      <c r="W13" s="977" t="s">
        <v>135</v>
      </c>
      <c r="X13" s="977">
        <v>0.15</v>
      </c>
      <c r="Y13" s="978">
        <v>86.56</v>
      </c>
      <c r="Z13" s="855">
        <f>SUM(X13:Y13)</f>
        <v>86.710000000000008</v>
      </c>
      <c r="AA13" s="977">
        <v>1.85</v>
      </c>
      <c r="AB13" s="978">
        <v>71.98</v>
      </c>
      <c r="AC13" s="855">
        <f>SUM(AA13:AB13)</f>
        <v>73.83</v>
      </c>
      <c r="AD13" s="401">
        <f t="shared" si="0"/>
        <v>1.7000000000000002</v>
      </c>
      <c r="AE13" s="401">
        <f t="shared" si="1"/>
        <v>-14.579999999999998</v>
      </c>
      <c r="AF13" s="398">
        <f t="shared" si="2"/>
        <v>-12.879999999999999</v>
      </c>
      <c r="AG13" s="401"/>
      <c r="AH13" s="401"/>
      <c r="AI13" s="398"/>
      <c r="AJ13" s="401"/>
      <c r="AK13" s="401"/>
      <c r="AL13" s="398"/>
      <c r="AM13" s="401"/>
      <c r="AN13" s="401"/>
      <c r="AO13" s="398"/>
    </row>
    <row r="14" spans="10:41" s="909" customFormat="1" ht="20.25" hidden="1" customHeight="1" x14ac:dyDescent="0.45">
      <c r="J14" s="1017" t="s">
        <v>209</v>
      </c>
      <c r="K14" s="1018">
        <f t="shared" ref="K14:P14" si="9">SUM(K12:K13)</f>
        <v>0.59</v>
      </c>
      <c r="L14" s="981">
        <f t="shared" si="9"/>
        <v>339.47</v>
      </c>
      <c r="M14" s="1021">
        <f t="shared" si="9"/>
        <v>340.06000000000006</v>
      </c>
      <c r="N14" s="1017">
        <f t="shared" si="9"/>
        <v>144.33000000000001</v>
      </c>
      <c r="O14" s="1017">
        <f t="shared" si="9"/>
        <v>35.119999999999997</v>
      </c>
      <c r="P14" s="1017">
        <f t="shared" si="9"/>
        <v>519.51</v>
      </c>
      <c r="S14" s="1075" t="s">
        <v>209</v>
      </c>
      <c r="T14" s="1018">
        <f>SUM(T12:T13)</f>
        <v>5.85</v>
      </c>
      <c r="W14" s="980" t="s">
        <v>209</v>
      </c>
      <c r="X14" s="980">
        <f t="shared" ref="X14:AC14" si="10">SUM(X12:X13)</f>
        <v>0.59</v>
      </c>
      <c r="Y14" s="981">
        <f t="shared" si="10"/>
        <v>339.47</v>
      </c>
      <c r="Z14" s="980">
        <f t="shared" si="10"/>
        <v>340.06000000000006</v>
      </c>
      <c r="AA14" s="980">
        <f t="shared" si="10"/>
        <v>11.110000000000001</v>
      </c>
      <c r="AB14" s="981">
        <f t="shared" si="10"/>
        <v>456.62</v>
      </c>
      <c r="AC14" s="980">
        <f t="shared" si="10"/>
        <v>467.72999999999996</v>
      </c>
      <c r="AD14" s="1080">
        <f t="shared" si="0"/>
        <v>10.520000000000001</v>
      </c>
      <c r="AE14" s="1080">
        <f t="shared" si="1"/>
        <v>117.14999999999998</v>
      </c>
      <c r="AF14" s="1082">
        <f t="shared" si="2"/>
        <v>127.66999999999997</v>
      </c>
      <c r="AG14" s="1080"/>
      <c r="AH14" s="1080"/>
      <c r="AI14" s="1082"/>
      <c r="AJ14" s="1080"/>
      <c r="AK14" s="1080"/>
      <c r="AL14" s="1082"/>
      <c r="AM14" s="1080"/>
      <c r="AN14" s="1080"/>
      <c r="AO14" s="1082"/>
    </row>
    <row r="15" spans="10:41" s="909" customFormat="1" ht="20.25" hidden="1" customHeight="1" x14ac:dyDescent="0.45">
      <c r="J15" s="1015" t="s">
        <v>136</v>
      </c>
      <c r="K15" s="1016">
        <v>0.2</v>
      </c>
      <c r="L15" s="978">
        <v>96.37</v>
      </c>
      <c r="M15" s="1020">
        <f>SUM(K15:L15)</f>
        <v>96.570000000000007</v>
      </c>
      <c r="N15" s="1015">
        <v>38.22</v>
      </c>
      <c r="O15" s="1015">
        <v>8.89</v>
      </c>
      <c r="P15" s="1015">
        <f>SUM(M15:O15)</f>
        <v>143.68</v>
      </c>
      <c r="S15" s="1074" t="s">
        <v>136</v>
      </c>
      <c r="T15" s="401">
        <v>1</v>
      </c>
      <c r="W15" s="977" t="s">
        <v>136</v>
      </c>
      <c r="X15" s="977">
        <v>0.2</v>
      </c>
      <c r="Y15" s="978">
        <v>96.37</v>
      </c>
      <c r="Z15" s="855">
        <f>SUM(X15:Y15)</f>
        <v>96.570000000000007</v>
      </c>
      <c r="AA15" s="977">
        <v>1.7</v>
      </c>
      <c r="AB15" s="978">
        <v>67.69</v>
      </c>
      <c r="AC15" s="855">
        <f>SUM(AA15:AB15)</f>
        <v>69.39</v>
      </c>
      <c r="AD15" s="401">
        <f t="shared" si="0"/>
        <v>1.5</v>
      </c>
      <c r="AE15" s="401">
        <f t="shared" si="1"/>
        <v>-28.680000000000007</v>
      </c>
      <c r="AF15" s="398">
        <f t="shared" si="2"/>
        <v>-27.180000000000007</v>
      </c>
      <c r="AG15" s="401"/>
      <c r="AH15" s="401"/>
      <c r="AI15" s="398"/>
      <c r="AJ15" s="401"/>
      <c r="AK15" s="401"/>
      <c r="AL15" s="398"/>
      <c r="AM15" s="401"/>
      <c r="AN15" s="401"/>
      <c r="AO15" s="398"/>
    </row>
    <row r="16" spans="10:41" s="909" customFormat="1" ht="20.25" hidden="1" customHeight="1" x14ac:dyDescent="0.45">
      <c r="J16" s="1017" t="s">
        <v>210</v>
      </c>
      <c r="K16" s="1018">
        <f t="shared" ref="K16:P16" si="11">SUM(K14:K15)</f>
        <v>0.79</v>
      </c>
      <c r="L16" s="981">
        <f t="shared" si="11"/>
        <v>435.84000000000003</v>
      </c>
      <c r="M16" s="1021">
        <f t="shared" si="11"/>
        <v>436.63000000000005</v>
      </c>
      <c r="N16" s="1017">
        <f t="shared" si="11"/>
        <v>182.55</v>
      </c>
      <c r="O16" s="1017">
        <f t="shared" si="11"/>
        <v>44.01</v>
      </c>
      <c r="P16" s="1017">
        <f t="shared" si="11"/>
        <v>663.19</v>
      </c>
      <c r="S16" s="1075" t="s">
        <v>210</v>
      </c>
      <c r="T16" s="1018">
        <f>SUM(T14:T15)</f>
        <v>6.85</v>
      </c>
      <c r="W16" s="980" t="s">
        <v>210</v>
      </c>
      <c r="X16" s="980">
        <f t="shared" ref="X16:AC16" si="12">SUM(X14:X15)</f>
        <v>0.79</v>
      </c>
      <c r="Y16" s="981">
        <f t="shared" si="12"/>
        <v>435.84000000000003</v>
      </c>
      <c r="Z16" s="980">
        <f t="shared" si="12"/>
        <v>436.63000000000005</v>
      </c>
      <c r="AA16" s="980">
        <f t="shared" si="12"/>
        <v>12.81</v>
      </c>
      <c r="AB16" s="981">
        <f t="shared" si="12"/>
        <v>524.30999999999995</v>
      </c>
      <c r="AC16" s="980">
        <f t="shared" si="12"/>
        <v>537.12</v>
      </c>
      <c r="AD16" s="1080">
        <f t="shared" si="0"/>
        <v>12.02</v>
      </c>
      <c r="AE16" s="1080">
        <f t="shared" si="1"/>
        <v>88.469999999999914</v>
      </c>
      <c r="AF16" s="1082">
        <f t="shared" si="2"/>
        <v>100.48999999999991</v>
      </c>
      <c r="AG16" s="1080"/>
      <c r="AH16" s="1080"/>
      <c r="AI16" s="1082"/>
      <c r="AJ16" s="1080"/>
      <c r="AK16" s="1080"/>
      <c r="AL16" s="1082"/>
      <c r="AM16" s="1080"/>
      <c r="AN16" s="1080"/>
      <c r="AO16" s="1082"/>
    </row>
    <row r="17" spans="1:42" s="909" customFormat="1" ht="20.25" hidden="1" customHeight="1" x14ac:dyDescent="0.45">
      <c r="J17" s="1015" t="s">
        <v>137</v>
      </c>
      <c r="K17" s="1016">
        <v>0.31</v>
      </c>
      <c r="L17" s="978">
        <v>90.12</v>
      </c>
      <c r="M17" s="1020">
        <f>SUM(K17:L17)</f>
        <v>90.43</v>
      </c>
      <c r="N17" s="1015">
        <v>29.98</v>
      </c>
      <c r="O17" s="1015">
        <v>9.6999999999999993</v>
      </c>
      <c r="P17" s="1015">
        <f>SUM(M17:O17)</f>
        <v>130.11000000000001</v>
      </c>
      <c r="S17" s="1074" t="s">
        <v>137</v>
      </c>
      <c r="T17" s="401">
        <v>1.25</v>
      </c>
      <c r="W17" s="977" t="s">
        <v>137</v>
      </c>
      <c r="X17" s="977">
        <v>0.31</v>
      </c>
      <c r="Y17" s="978">
        <v>90.12</v>
      </c>
      <c r="Z17" s="855">
        <f>SUM(X17:Y17)</f>
        <v>90.43</v>
      </c>
      <c r="AA17" s="977">
        <v>1.83</v>
      </c>
      <c r="AB17" s="978">
        <v>78.98</v>
      </c>
      <c r="AC17" s="855">
        <f>SUM(AA17:AB17)</f>
        <v>80.81</v>
      </c>
      <c r="AD17" s="401">
        <f t="shared" si="0"/>
        <v>1.52</v>
      </c>
      <c r="AE17" s="401">
        <f t="shared" si="1"/>
        <v>-11.14</v>
      </c>
      <c r="AF17" s="398">
        <f t="shared" si="2"/>
        <v>-9.620000000000001</v>
      </c>
      <c r="AG17" s="401"/>
      <c r="AH17" s="401"/>
      <c r="AI17" s="398"/>
      <c r="AJ17" s="401"/>
      <c r="AK17" s="401"/>
      <c r="AL17" s="398"/>
      <c r="AM17" s="401"/>
      <c r="AN17" s="401"/>
      <c r="AO17" s="398"/>
    </row>
    <row r="18" spans="1:42" s="909" customFormat="1" ht="20.25" hidden="1" customHeight="1" x14ac:dyDescent="0.45">
      <c r="J18" s="1017" t="s">
        <v>211</v>
      </c>
      <c r="K18" s="1018">
        <f t="shared" ref="K18:P18" si="13">SUM(K16:K17)</f>
        <v>1.1000000000000001</v>
      </c>
      <c r="L18" s="981">
        <f t="shared" si="13"/>
        <v>525.96</v>
      </c>
      <c r="M18" s="1021">
        <f t="shared" si="13"/>
        <v>527.06000000000006</v>
      </c>
      <c r="N18" s="1017">
        <f t="shared" si="13"/>
        <v>212.53</v>
      </c>
      <c r="O18" s="1017">
        <f t="shared" si="13"/>
        <v>53.709999999999994</v>
      </c>
      <c r="P18" s="1017">
        <f t="shared" si="13"/>
        <v>793.30000000000007</v>
      </c>
      <c r="S18" s="1075" t="s">
        <v>211</v>
      </c>
      <c r="T18" s="1018">
        <f>SUM(T16:T17)</f>
        <v>8.1</v>
      </c>
      <c r="W18" s="980" t="s">
        <v>211</v>
      </c>
      <c r="X18" s="980">
        <f t="shared" ref="X18:AC18" si="14">SUM(X16:X17)</f>
        <v>1.1000000000000001</v>
      </c>
      <c r="Y18" s="981">
        <f t="shared" si="14"/>
        <v>525.96</v>
      </c>
      <c r="Z18" s="980">
        <f t="shared" si="14"/>
        <v>527.06000000000006</v>
      </c>
      <c r="AA18" s="980">
        <f t="shared" si="14"/>
        <v>14.64</v>
      </c>
      <c r="AB18" s="981">
        <f t="shared" si="14"/>
        <v>603.29</v>
      </c>
      <c r="AC18" s="980">
        <f t="shared" si="14"/>
        <v>617.93000000000006</v>
      </c>
      <c r="AD18" s="1080">
        <f t="shared" si="0"/>
        <v>13.540000000000001</v>
      </c>
      <c r="AE18" s="1080">
        <f t="shared" si="1"/>
        <v>77.329999999999927</v>
      </c>
      <c r="AF18" s="1082">
        <f t="shared" si="2"/>
        <v>90.869999999999933</v>
      </c>
      <c r="AG18" s="1080"/>
      <c r="AH18" s="1080"/>
      <c r="AI18" s="1082"/>
      <c r="AJ18" s="1080"/>
      <c r="AK18" s="1080"/>
      <c r="AL18" s="1082"/>
      <c r="AM18" s="1080"/>
      <c r="AN18" s="1080"/>
      <c r="AO18" s="1082"/>
    </row>
    <row r="19" spans="1:42" s="909" customFormat="1" ht="20.25" hidden="1" customHeight="1" x14ac:dyDescent="0.45">
      <c r="J19" s="1015" t="s">
        <v>138</v>
      </c>
      <c r="K19" s="1016">
        <v>0.43</v>
      </c>
      <c r="L19" s="978">
        <v>86.69</v>
      </c>
      <c r="M19" s="1022">
        <f>SUM(K19:L19)</f>
        <v>87.12</v>
      </c>
      <c r="N19" s="1015">
        <v>35.44</v>
      </c>
      <c r="O19" s="1015">
        <v>10.3</v>
      </c>
      <c r="P19" s="1015">
        <f>SUM(M19:O19)</f>
        <v>132.86000000000001</v>
      </c>
      <c r="S19" s="1074" t="s">
        <v>138</v>
      </c>
      <c r="T19" s="401">
        <v>1.25</v>
      </c>
      <c r="W19" s="977" t="s">
        <v>138</v>
      </c>
      <c r="X19" s="977">
        <v>0.43</v>
      </c>
      <c r="Y19" s="978">
        <v>86.69</v>
      </c>
      <c r="Z19" s="927">
        <f>SUM(X19:Y19)</f>
        <v>87.12</v>
      </c>
      <c r="AA19" s="977">
        <v>1.94</v>
      </c>
      <c r="AB19" s="978">
        <v>79.680000000000007</v>
      </c>
      <c r="AC19" s="927">
        <f>SUM(AA19:AB19)</f>
        <v>81.62</v>
      </c>
      <c r="AD19" s="401">
        <f t="shared" si="0"/>
        <v>1.51</v>
      </c>
      <c r="AE19" s="401">
        <f t="shared" si="1"/>
        <v>-7.0099999999999909</v>
      </c>
      <c r="AF19" s="398">
        <f t="shared" si="2"/>
        <v>-5.4999999999999911</v>
      </c>
      <c r="AG19" s="401"/>
      <c r="AH19" s="401"/>
      <c r="AI19" s="398"/>
      <c r="AJ19" s="401"/>
      <c r="AK19" s="401"/>
      <c r="AL19" s="398"/>
      <c r="AM19" s="401"/>
      <c r="AN19" s="401"/>
      <c r="AO19" s="398"/>
    </row>
    <row r="20" spans="1:42" s="909" customFormat="1" ht="20.25" hidden="1" customHeight="1" x14ac:dyDescent="0.45">
      <c r="J20" s="1017" t="s">
        <v>212</v>
      </c>
      <c r="K20" s="1018">
        <f t="shared" ref="K20:P20" si="15">SUM(K18:K19)</f>
        <v>1.53</v>
      </c>
      <c r="L20" s="981">
        <f t="shared" si="15"/>
        <v>612.65000000000009</v>
      </c>
      <c r="M20" s="1021">
        <f t="shared" si="15"/>
        <v>614.18000000000006</v>
      </c>
      <c r="N20" s="1017">
        <f t="shared" si="15"/>
        <v>247.97</v>
      </c>
      <c r="O20" s="1017">
        <f t="shared" si="15"/>
        <v>64.009999999999991</v>
      </c>
      <c r="P20" s="1017">
        <f t="shared" si="15"/>
        <v>926.16000000000008</v>
      </c>
      <c r="S20" s="1075" t="s">
        <v>212</v>
      </c>
      <c r="T20" s="1018">
        <f>SUM(T18:T19)</f>
        <v>9.35</v>
      </c>
      <c r="W20" s="980" t="s">
        <v>212</v>
      </c>
      <c r="X20" s="980">
        <f t="shared" ref="X20:AC20" si="16">SUM(X18:X19)</f>
        <v>1.53</v>
      </c>
      <c r="Y20" s="981">
        <f t="shared" si="16"/>
        <v>612.65000000000009</v>
      </c>
      <c r="Z20" s="980">
        <f t="shared" si="16"/>
        <v>614.18000000000006</v>
      </c>
      <c r="AA20" s="980">
        <f t="shared" si="16"/>
        <v>16.580000000000002</v>
      </c>
      <c r="AB20" s="981">
        <f t="shared" si="16"/>
        <v>682.97</v>
      </c>
      <c r="AC20" s="980">
        <f t="shared" si="16"/>
        <v>699.55000000000007</v>
      </c>
      <c r="AD20" s="1080">
        <f t="shared" si="0"/>
        <v>15.050000000000002</v>
      </c>
      <c r="AE20" s="1080">
        <f t="shared" si="1"/>
        <v>70.319999999999936</v>
      </c>
      <c r="AF20" s="1082">
        <f t="shared" si="2"/>
        <v>85.369999999999933</v>
      </c>
      <c r="AG20" s="1080"/>
      <c r="AH20" s="1080"/>
      <c r="AI20" s="1082"/>
      <c r="AJ20" s="1080"/>
      <c r="AK20" s="1080"/>
      <c r="AL20" s="1082"/>
      <c r="AM20" s="1080"/>
      <c r="AN20" s="1080"/>
      <c r="AO20" s="1082"/>
    </row>
    <row r="21" spans="1:42" s="909" customFormat="1" ht="20.25" hidden="1" customHeight="1" x14ac:dyDescent="0.45">
      <c r="J21" s="1015" t="s">
        <v>139</v>
      </c>
      <c r="K21" s="1016">
        <v>0.4</v>
      </c>
      <c r="L21" s="978">
        <v>73.58</v>
      </c>
      <c r="M21" s="1020">
        <f>SUM(K21:L21)</f>
        <v>73.98</v>
      </c>
      <c r="N21" s="1015">
        <v>29.68</v>
      </c>
      <c r="O21" s="1015">
        <v>9.5299999999999994</v>
      </c>
      <c r="P21" s="1015">
        <f>SUM(M21:O21)</f>
        <v>113.19</v>
      </c>
      <c r="S21" s="1074" t="s">
        <v>139</v>
      </c>
      <c r="T21" s="401">
        <v>0.9</v>
      </c>
      <c r="W21" s="977" t="s">
        <v>139</v>
      </c>
      <c r="X21" s="977">
        <v>0.4</v>
      </c>
      <c r="Y21" s="978">
        <v>73.58</v>
      </c>
      <c r="Z21" s="855">
        <f>SUM(X21:Y21)</f>
        <v>73.98</v>
      </c>
      <c r="AA21" s="977">
        <v>1.86</v>
      </c>
      <c r="AB21" s="978">
        <v>88.25</v>
      </c>
      <c r="AC21" s="855">
        <f>SUM(AA21:AB21)</f>
        <v>90.11</v>
      </c>
      <c r="AD21" s="401">
        <f t="shared" si="0"/>
        <v>1.46</v>
      </c>
      <c r="AE21" s="401">
        <f t="shared" si="1"/>
        <v>14.670000000000002</v>
      </c>
      <c r="AF21" s="398">
        <f t="shared" si="2"/>
        <v>16.130000000000003</v>
      </c>
      <c r="AG21" s="401"/>
      <c r="AH21" s="401"/>
      <c r="AI21" s="398"/>
      <c r="AJ21" s="401"/>
      <c r="AK21" s="401"/>
      <c r="AL21" s="398"/>
      <c r="AM21" s="401"/>
      <c r="AN21" s="401"/>
      <c r="AO21" s="398"/>
    </row>
    <row r="22" spans="1:42" s="909" customFormat="1" ht="20.25" hidden="1" customHeight="1" x14ac:dyDescent="0.45">
      <c r="J22" s="1017" t="s">
        <v>206</v>
      </c>
      <c r="K22" s="1018">
        <f t="shared" ref="K22:P22" si="17">SUM(K20:K21)</f>
        <v>1.9300000000000002</v>
      </c>
      <c r="L22" s="981">
        <f t="shared" si="17"/>
        <v>686.23000000000013</v>
      </c>
      <c r="M22" s="1021">
        <f t="shared" si="17"/>
        <v>688.16000000000008</v>
      </c>
      <c r="N22" s="1017">
        <f t="shared" si="17"/>
        <v>277.64999999999998</v>
      </c>
      <c r="O22" s="1017">
        <f t="shared" si="17"/>
        <v>73.539999999999992</v>
      </c>
      <c r="P22" s="1017">
        <f t="shared" si="17"/>
        <v>1039.3500000000001</v>
      </c>
      <c r="S22" s="1075" t="s">
        <v>206</v>
      </c>
      <c r="T22" s="1018">
        <f>SUM(T20:T21)</f>
        <v>10.25</v>
      </c>
      <c r="W22" s="980" t="s">
        <v>206</v>
      </c>
      <c r="X22" s="980">
        <f t="shared" ref="X22:AC22" si="18">SUM(X20:X21)</f>
        <v>1.9300000000000002</v>
      </c>
      <c r="Y22" s="981">
        <f t="shared" si="18"/>
        <v>686.23000000000013</v>
      </c>
      <c r="Z22" s="980">
        <f t="shared" si="18"/>
        <v>688.16000000000008</v>
      </c>
      <c r="AA22" s="980">
        <f t="shared" si="18"/>
        <v>18.440000000000001</v>
      </c>
      <c r="AB22" s="981">
        <f t="shared" si="18"/>
        <v>771.22</v>
      </c>
      <c r="AC22" s="980">
        <f t="shared" si="18"/>
        <v>789.66000000000008</v>
      </c>
      <c r="AD22" s="1080">
        <f t="shared" si="0"/>
        <v>16.510000000000002</v>
      </c>
      <c r="AE22" s="1080">
        <f t="shared" si="1"/>
        <v>84.989999999999895</v>
      </c>
      <c r="AF22" s="1082">
        <f t="shared" si="2"/>
        <v>101.4999999999999</v>
      </c>
      <c r="AG22" s="1080"/>
      <c r="AH22" s="1080"/>
      <c r="AI22" s="1082"/>
      <c r="AJ22" s="1080"/>
      <c r="AK22" s="1080"/>
      <c r="AL22" s="1082"/>
      <c r="AM22" s="1080"/>
      <c r="AN22" s="1080"/>
      <c r="AO22" s="1082"/>
    </row>
    <row r="23" spans="1:42" s="909" customFormat="1" ht="20.25" hidden="1" customHeight="1" x14ac:dyDescent="0.45">
      <c r="J23" s="1015" t="s">
        <v>140</v>
      </c>
      <c r="K23" s="1016">
        <v>0.52</v>
      </c>
      <c r="L23" s="978">
        <v>91.77</v>
      </c>
      <c r="M23" s="1020">
        <f>SUM(K23:L23)</f>
        <v>92.289999999999992</v>
      </c>
      <c r="N23" s="1015">
        <v>20.91</v>
      </c>
      <c r="O23" s="1015">
        <v>8.84</v>
      </c>
      <c r="P23" s="1015">
        <f>SUM(M23:O23)</f>
        <v>122.03999999999999</v>
      </c>
      <c r="S23" s="1074" t="s">
        <v>140</v>
      </c>
      <c r="T23" s="401">
        <v>0.9</v>
      </c>
      <c r="W23" s="977" t="s">
        <v>140</v>
      </c>
      <c r="X23" s="977">
        <v>0.52</v>
      </c>
      <c r="Y23" s="978">
        <v>91.77</v>
      </c>
      <c r="Z23" s="855">
        <f>SUM(X23:Y23)</f>
        <v>92.289999999999992</v>
      </c>
      <c r="AA23" s="977">
        <v>1.69</v>
      </c>
      <c r="AB23" s="978">
        <v>81.27</v>
      </c>
      <c r="AC23" s="855">
        <f>SUM(AA23:AB23)</f>
        <v>82.96</v>
      </c>
      <c r="AD23" s="401">
        <f t="shared" si="0"/>
        <v>1.17</v>
      </c>
      <c r="AE23" s="401">
        <f t="shared" si="1"/>
        <v>-10.5</v>
      </c>
      <c r="AF23" s="398">
        <f t="shared" si="2"/>
        <v>-9.33</v>
      </c>
      <c r="AG23" s="401"/>
      <c r="AH23" s="401"/>
      <c r="AI23" s="398"/>
      <c r="AJ23" s="401"/>
      <c r="AK23" s="401"/>
      <c r="AL23" s="398"/>
      <c r="AM23" s="401"/>
      <c r="AN23" s="401"/>
      <c r="AO23" s="398"/>
    </row>
    <row r="24" spans="1:42" s="909" customFormat="1" ht="20.25" hidden="1" customHeight="1" x14ac:dyDescent="0.45">
      <c r="J24" s="1017" t="s">
        <v>215</v>
      </c>
      <c r="K24" s="1023">
        <f t="shared" ref="K24:P24" si="19">SUM(K22:K23)</f>
        <v>2.4500000000000002</v>
      </c>
      <c r="L24" s="981">
        <f t="shared" si="19"/>
        <v>778.00000000000011</v>
      </c>
      <c r="M24" s="1021">
        <f t="shared" si="19"/>
        <v>780.45</v>
      </c>
      <c r="N24" s="1017">
        <f t="shared" si="19"/>
        <v>298.56</v>
      </c>
      <c r="O24" s="1017">
        <f t="shared" si="19"/>
        <v>82.38</v>
      </c>
      <c r="P24" s="1017">
        <f t="shared" si="19"/>
        <v>1161.3900000000001</v>
      </c>
      <c r="S24" s="1075" t="s">
        <v>215</v>
      </c>
      <c r="T24" s="1018">
        <f>SUM(T22:T23)</f>
        <v>11.15</v>
      </c>
      <c r="W24" s="980" t="s">
        <v>215</v>
      </c>
      <c r="X24" s="981">
        <f t="shared" ref="X24:AC24" si="20">SUM(X22:X23)</f>
        <v>2.4500000000000002</v>
      </c>
      <c r="Y24" s="981">
        <f t="shared" si="20"/>
        <v>778.00000000000011</v>
      </c>
      <c r="Z24" s="980">
        <f t="shared" si="20"/>
        <v>780.45</v>
      </c>
      <c r="AA24" s="981">
        <f t="shared" si="20"/>
        <v>20.130000000000003</v>
      </c>
      <c r="AB24" s="981">
        <f t="shared" si="20"/>
        <v>852.49</v>
      </c>
      <c r="AC24" s="980">
        <f t="shared" si="20"/>
        <v>872.62000000000012</v>
      </c>
      <c r="AD24" s="1080">
        <f t="shared" si="0"/>
        <v>17.680000000000003</v>
      </c>
      <c r="AE24" s="1080">
        <f t="shared" si="1"/>
        <v>74.489999999999895</v>
      </c>
      <c r="AF24" s="1082">
        <f t="shared" si="2"/>
        <v>92.169999999999902</v>
      </c>
      <c r="AG24" s="1080"/>
      <c r="AH24" s="1080"/>
      <c r="AI24" s="1082"/>
      <c r="AJ24" s="1080"/>
      <c r="AK24" s="1080"/>
      <c r="AL24" s="1082"/>
      <c r="AM24" s="1080"/>
      <c r="AN24" s="1080"/>
      <c r="AO24" s="1082"/>
    </row>
    <row r="25" spans="1:42" s="909" customFormat="1" ht="20.25" hidden="1" customHeight="1" x14ac:dyDescent="0.45">
      <c r="J25" s="1015" t="s">
        <v>141</v>
      </c>
      <c r="K25" s="1016">
        <v>0.76</v>
      </c>
      <c r="L25" s="978">
        <v>111.64</v>
      </c>
      <c r="M25" s="1020">
        <f>SUM(K25:L25)</f>
        <v>112.4</v>
      </c>
      <c r="N25" s="1015">
        <v>17.55</v>
      </c>
      <c r="O25" s="1015">
        <v>12.5</v>
      </c>
      <c r="P25" s="1015">
        <f>SUM(M25:O25)</f>
        <v>142.45000000000002</v>
      </c>
      <c r="S25" s="1074" t="s">
        <v>141</v>
      </c>
      <c r="T25" s="401">
        <v>0.9</v>
      </c>
      <c r="W25" s="977" t="s">
        <v>141</v>
      </c>
      <c r="X25" s="977">
        <v>0.76</v>
      </c>
      <c r="Y25" s="978">
        <v>111.64</v>
      </c>
      <c r="Z25" s="855">
        <f>SUM(X25:Y25)</f>
        <v>112.4</v>
      </c>
      <c r="AA25" s="977">
        <v>1.05</v>
      </c>
      <c r="AB25" s="978">
        <v>34.53</v>
      </c>
      <c r="AC25" s="855">
        <f>SUM(AA25:AB25)</f>
        <v>35.58</v>
      </c>
      <c r="AD25" s="401">
        <f t="shared" si="0"/>
        <v>0.29000000000000004</v>
      </c>
      <c r="AE25" s="401">
        <f t="shared" si="1"/>
        <v>-77.11</v>
      </c>
      <c r="AF25" s="398">
        <f t="shared" si="2"/>
        <v>-76.819999999999993</v>
      </c>
      <c r="AG25" s="401"/>
      <c r="AH25" s="401"/>
      <c r="AI25" s="398"/>
      <c r="AJ25" s="401"/>
      <c r="AK25" s="401"/>
      <c r="AL25" s="398"/>
      <c r="AM25" s="401"/>
      <c r="AN25" s="401"/>
      <c r="AO25" s="398"/>
    </row>
    <row r="26" spans="1:42" s="909" customFormat="1" ht="20.25" hidden="1" customHeight="1" thickBot="1" x14ac:dyDescent="0.5">
      <c r="J26" s="1024" t="s">
        <v>240</v>
      </c>
      <c r="K26" s="1025">
        <f t="shared" ref="K26:P26" si="21">SUM(K24:K25)</f>
        <v>3.21</v>
      </c>
      <c r="L26" s="1026">
        <f t="shared" si="21"/>
        <v>889.6400000000001</v>
      </c>
      <c r="M26" s="1027">
        <f t="shared" si="21"/>
        <v>892.85</v>
      </c>
      <c r="N26" s="1024">
        <f t="shared" si="21"/>
        <v>316.11</v>
      </c>
      <c r="O26" s="1024">
        <f t="shared" si="21"/>
        <v>94.88</v>
      </c>
      <c r="P26" s="1024">
        <f t="shared" si="21"/>
        <v>1303.8400000000001</v>
      </c>
      <c r="S26" s="1075" t="s">
        <v>240</v>
      </c>
      <c r="T26" s="1018">
        <f>SUM(T24:T25)</f>
        <v>12.05</v>
      </c>
      <c r="W26" s="980" t="s">
        <v>240</v>
      </c>
      <c r="X26" s="981">
        <f t="shared" ref="X26:AC26" si="22">SUM(X24:X25)</f>
        <v>3.21</v>
      </c>
      <c r="Y26" s="981">
        <f t="shared" si="22"/>
        <v>889.6400000000001</v>
      </c>
      <c r="Z26" s="981">
        <f t="shared" si="22"/>
        <v>892.85</v>
      </c>
      <c r="AA26" s="981">
        <f t="shared" si="22"/>
        <v>21.180000000000003</v>
      </c>
      <c r="AB26" s="981">
        <f t="shared" si="22"/>
        <v>887.02</v>
      </c>
      <c r="AC26" s="981">
        <f t="shared" si="22"/>
        <v>908.20000000000016</v>
      </c>
      <c r="AD26" s="1080">
        <f t="shared" si="0"/>
        <v>17.970000000000002</v>
      </c>
      <c r="AE26" s="1080">
        <f t="shared" si="1"/>
        <v>-2.6200000000001182</v>
      </c>
      <c r="AF26" s="1082">
        <f t="shared" si="2"/>
        <v>15.349999999999884</v>
      </c>
      <c r="AG26" s="1080"/>
      <c r="AH26" s="1080"/>
      <c r="AI26" s="1082"/>
      <c r="AJ26" s="1080"/>
      <c r="AK26" s="1080"/>
      <c r="AL26" s="1082"/>
      <c r="AM26" s="1080"/>
      <c r="AN26" s="1080"/>
      <c r="AO26" s="1082"/>
    </row>
    <row r="27" spans="1:42" s="909" customFormat="1" ht="20.25" customHeight="1" x14ac:dyDescent="0.45">
      <c r="S27" s="1073"/>
      <c r="Z27" s="1081"/>
      <c r="AC27" s="1081"/>
      <c r="AF27" s="1081"/>
      <c r="AI27" s="1081"/>
      <c r="AL27" s="1081"/>
      <c r="AO27" s="1081"/>
    </row>
    <row r="28" spans="1:42" x14ac:dyDescent="0.45">
      <c r="B28">
        <f>B35+B37+B39+B41+B43+B45+B47</f>
        <v>13.59</v>
      </c>
      <c r="C28">
        <f>C35+C37+C39+C41+C43+C45+C47</f>
        <v>550.42999999999995</v>
      </c>
      <c r="D28">
        <f>D35+D37+D39+D41+D43+D45+D47</f>
        <v>564.02</v>
      </c>
      <c r="E28">
        <f>E35+E37+E39+E41+E43+E45+E47</f>
        <v>205.19</v>
      </c>
      <c r="F28">
        <f>F35+F37+F39+F41+F43+F45+F47</f>
        <v>50.160000000000004</v>
      </c>
      <c r="G28">
        <f>1.4*7</f>
        <v>9.7999999999999989</v>
      </c>
      <c r="H28">
        <f>SUM(B28:G28)</f>
        <v>1393.19</v>
      </c>
      <c r="T28">
        <f>T35+T37+T39+T41+T43+T45+T47</f>
        <v>178000</v>
      </c>
      <c r="U28">
        <f>U35+U37+U39+U41+U43+U45+U47</f>
        <v>6.8</v>
      </c>
      <c r="V28">
        <f>V35+V37+V39+V41+V43+V45+V47</f>
        <v>15.790000000000001</v>
      </c>
      <c r="W28">
        <f>W35+W37+W39+W41+W43+W45+W47</f>
        <v>3.41</v>
      </c>
      <c r="Y28">
        <f>178000/1000</f>
        <v>178</v>
      </c>
      <c r="Z28" s="781">
        <f>101298/1000</f>
        <v>101.298</v>
      </c>
      <c r="AA28" s="259">
        <f>195715/1000</f>
        <v>195.715</v>
      </c>
      <c r="AB28">
        <f>(AA28-Y28)/Y28*100</f>
        <v>9.9522471910112369</v>
      </c>
    </row>
    <row r="29" spans="1:42" x14ac:dyDescent="0.45">
      <c r="B29">
        <f>B49+B51+B53+B55</f>
        <v>6.85</v>
      </c>
      <c r="C29">
        <f>C49+C51+C53+C55</f>
        <v>296.98</v>
      </c>
      <c r="D29">
        <f>D49+D51+D53+D55</f>
        <v>303.83000000000004</v>
      </c>
      <c r="E29">
        <f>E49+E51+E53+E55</f>
        <v>111.82</v>
      </c>
      <c r="F29">
        <f>F49+F51+F53+F55</f>
        <v>44.47</v>
      </c>
      <c r="G29">
        <f>1.4*4</f>
        <v>5.6</v>
      </c>
      <c r="H29">
        <f>SUM(B29:G29)</f>
        <v>769.55000000000007</v>
      </c>
      <c r="I29" s="216">
        <f t="shared" ref="I29:I54" si="23">G29+H29</f>
        <v>775.15000000000009</v>
      </c>
      <c r="T29">
        <f>T49+T51+T53+T55</f>
        <v>88000</v>
      </c>
      <c r="U29">
        <f>U49+U51+U53+U55</f>
        <v>3.9499999999999997</v>
      </c>
      <c r="V29">
        <f>V49+V51+V53+V55</f>
        <v>9.879999999999999</v>
      </c>
      <c r="W29">
        <f>W49+W51+W53+W55</f>
        <v>1.79</v>
      </c>
    </row>
    <row r="30" spans="1:42" x14ac:dyDescent="0.45">
      <c r="F30" s="1266">
        <v>44943</v>
      </c>
      <c r="I30" s="216">
        <f t="shared" si="23"/>
        <v>0</v>
      </c>
    </row>
    <row r="31" spans="1:42" ht="15.75" x14ac:dyDescent="0.5">
      <c r="A31" s="2421" t="s">
        <v>675</v>
      </c>
      <c r="B31" s="2421"/>
      <c r="C31" s="2421"/>
      <c r="D31" s="2421"/>
      <c r="E31" s="2421"/>
      <c r="F31" s="2421"/>
      <c r="G31" s="2421"/>
      <c r="I31" s="216">
        <f t="shared" si="23"/>
        <v>0</v>
      </c>
      <c r="J31" s="2413" t="s">
        <v>675</v>
      </c>
      <c r="K31" s="2413"/>
      <c r="L31" s="2413"/>
      <c r="M31" s="2413"/>
      <c r="N31" s="2413"/>
      <c r="O31" s="2413"/>
      <c r="P31" s="2413"/>
      <c r="S31" s="2420" t="s">
        <v>748</v>
      </c>
      <c r="T31" s="2420"/>
      <c r="U31" s="2420"/>
      <c r="V31" s="2420"/>
      <c r="W31" s="2420"/>
    </row>
    <row r="32" spans="1:42" ht="15.75" customHeight="1" thickBot="1" x14ac:dyDescent="0.5">
      <c r="A32" s="2278" t="s">
        <v>127</v>
      </c>
      <c r="B32" s="2280" t="s">
        <v>237</v>
      </c>
      <c r="C32" s="2281"/>
      <c r="D32" s="2282"/>
      <c r="E32" s="2283" t="s">
        <v>370</v>
      </c>
      <c r="F32" s="2285" t="s">
        <v>371</v>
      </c>
      <c r="G32" s="2283" t="s">
        <v>63</v>
      </c>
      <c r="H32" t="s">
        <v>203</v>
      </c>
      <c r="I32" s="216" t="e">
        <f t="shared" si="23"/>
        <v>#VALUE!</v>
      </c>
      <c r="J32" s="2278" t="s">
        <v>127</v>
      </c>
      <c r="K32" s="2280" t="s">
        <v>237</v>
      </c>
      <c r="L32" s="2281"/>
      <c r="M32" s="2282"/>
      <c r="N32" s="2283" t="s">
        <v>370</v>
      </c>
      <c r="O32" s="2285" t="s">
        <v>371</v>
      </c>
      <c r="P32" s="2283" t="s">
        <v>63</v>
      </c>
      <c r="S32" s="2271" t="s">
        <v>127</v>
      </c>
      <c r="T32" s="2418" t="s">
        <v>685</v>
      </c>
      <c r="U32" s="2419"/>
      <c r="V32" s="2287" t="s">
        <v>124</v>
      </c>
      <c r="W32" s="2287" t="s">
        <v>489</v>
      </c>
      <c r="Z32"/>
      <c r="AA32" s="89"/>
      <c r="AC32"/>
      <c r="AD32" s="89"/>
      <c r="AF32"/>
      <c r="AG32" s="89"/>
      <c r="AI32"/>
      <c r="AJ32" s="89"/>
      <c r="AL32"/>
      <c r="AM32" s="89"/>
      <c r="AO32"/>
      <c r="AP32" s="89"/>
    </row>
    <row r="33" spans="1:42" ht="14.65" thickBot="1" x14ac:dyDescent="0.5">
      <c r="A33" s="2279"/>
      <c r="B33" s="1007" t="s">
        <v>94</v>
      </c>
      <c r="C33" s="1008" t="s">
        <v>97</v>
      </c>
      <c r="D33" s="1009" t="s">
        <v>63</v>
      </c>
      <c r="E33" s="2284"/>
      <c r="F33" s="2286"/>
      <c r="G33" s="2284"/>
      <c r="I33" s="216">
        <f t="shared" si="23"/>
        <v>0</v>
      </c>
      <c r="J33" s="2279"/>
      <c r="K33" s="1007" t="s">
        <v>94</v>
      </c>
      <c r="L33" s="1008" t="s">
        <v>97</v>
      </c>
      <c r="M33" s="1009" t="s">
        <v>63</v>
      </c>
      <c r="N33" s="2284"/>
      <c r="O33" s="2286"/>
      <c r="P33" s="2284"/>
      <c r="S33" s="2271"/>
      <c r="T33" s="855" t="s">
        <v>277</v>
      </c>
      <c r="U33" s="398" t="s">
        <v>710</v>
      </c>
      <c r="V33" s="2287"/>
      <c r="W33" s="2287"/>
      <c r="Z33"/>
      <c r="AA33" s="89"/>
      <c r="AC33"/>
      <c r="AD33" s="89"/>
      <c r="AF33"/>
      <c r="AG33" s="89"/>
      <c r="AI33"/>
      <c r="AJ33" s="89"/>
      <c r="AL33"/>
      <c r="AM33" s="89"/>
      <c r="AO33"/>
      <c r="AP33" s="89"/>
    </row>
    <row r="34" spans="1:42" x14ac:dyDescent="0.45">
      <c r="A34" s="1010" t="s">
        <v>131</v>
      </c>
      <c r="B34" s="1011">
        <v>1.72</v>
      </c>
      <c r="C34" s="1012">
        <v>81.02</v>
      </c>
      <c r="D34" s="1013">
        <f>SUM(B34:C34)</f>
        <v>82.74</v>
      </c>
      <c r="E34" s="1014">
        <v>24.22</v>
      </c>
      <c r="F34" s="1014">
        <v>7.83</v>
      </c>
      <c r="G34" s="1014">
        <f>SUM(D34:F34)</f>
        <v>114.78999999999999</v>
      </c>
      <c r="H34" s="1382">
        <v>1.399</v>
      </c>
      <c r="I34" s="216">
        <f t="shared" si="23"/>
        <v>116.18899999999999</v>
      </c>
      <c r="J34" s="1010" t="s">
        <v>131</v>
      </c>
      <c r="K34" s="1011">
        <v>1.64</v>
      </c>
      <c r="L34" s="1012">
        <v>77.41</v>
      </c>
      <c r="M34" s="1013">
        <f>SUM(K34:L34)</f>
        <v>79.05</v>
      </c>
      <c r="N34" s="1014">
        <v>22.89</v>
      </c>
      <c r="O34" s="1014">
        <v>7.4</v>
      </c>
      <c r="P34" s="1014">
        <f>SUM(M34:O34)</f>
        <v>109.34</v>
      </c>
      <c r="Q34">
        <f>N34*10000000</f>
        <v>228900000</v>
      </c>
      <c r="S34" s="1074" t="s">
        <v>131</v>
      </c>
      <c r="T34" s="1153">
        <v>35000</v>
      </c>
      <c r="U34" s="1088">
        <v>1.3</v>
      </c>
      <c r="V34" s="122">
        <v>2.08</v>
      </c>
      <c r="W34" s="122">
        <v>0.56999999999999995</v>
      </c>
      <c r="X34">
        <f>(W34*10000000)/100000</f>
        <v>56.999999999999993</v>
      </c>
      <c r="Y34" s="229">
        <f>K36/61</f>
        <v>5.5901639344262295E-2</v>
      </c>
      <c r="Z34" s="229">
        <f>L36/61</f>
        <v>2.5281967213114753</v>
      </c>
      <c r="AA34" s="229">
        <f>M36/61</f>
        <v>2.5840983606557377</v>
      </c>
      <c r="AB34" s="229">
        <f>N36/61</f>
        <v>0.77163934426229508</v>
      </c>
      <c r="AC34" s="229">
        <f>O36/61</f>
        <v>0.19606557377049183</v>
      </c>
      <c r="AD34" s="89"/>
      <c r="AF34"/>
      <c r="AG34" s="89"/>
      <c r="AI34"/>
      <c r="AJ34" s="89"/>
      <c r="AL34"/>
      <c r="AM34" s="89"/>
      <c r="AO34"/>
      <c r="AP34" s="89"/>
    </row>
    <row r="35" spans="1:42" ht="14.65" thickBot="1" x14ac:dyDescent="0.5">
      <c r="A35" s="1015" t="s">
        <v>132</v>
      </c>
      <c r="B35" s="1016">
        <v>1.86</v>
      </c>
      <c r="C35" s="978">
        <v>80.39</v>
      </c>
      <c r="D35" s="1013">
        <f>SUM(B35:C35)</f>
        <v>82.25</v>
      </c>
      <c r="E35" s="1015">
        <v>25.59</v>
      </c>
      <c r="F35" s="1015">
        <v>4.83</v>
      </c>
      <c r="G35" s="1015">
        <f>SUM(D35:F35)</f>
        <v>112.67</v>
      </c>
      <c r="H35" s="1382">
        <v>1.399</v>
      </c>
      <c r="I35" s="216">
        <f t="shared" si="23"/>
        <v>114.069</v>
      </c>
      <c r="J35" s="1015" t="s">
        <v>132</v>
      </c>
      <c r="K35" s="1016">
        <v>1.77</v>
      </c>
      <c r="L35" s="978">
        <v>76.81</v>
      </c>
      <c r="M35" s="1013">
        <f>SUM(K35:L35)</f>
        <v>78.58</v>
      </c>
      <c r="N35" s="1015">
        <v>24.18</v>
      </c>
      <c r="O35" s="1015">
        <v>4.5599999999999996</v>
      </c>
      <c r="P35" s="1015">
        <f>SUM(M35:O35)</f>
        <v>107.32</v>
      </c>
      <c r="Q35">
        <f t="shared" ref="Q35:Q56" si="24">N35*10000000</f>
        <v>241800000</v>
      </c>
      <c r="S35" s="1074" t="s">
        <v>132</v>
      </c>
      <c r="T35" s="1153">
        <v>32000</v>
      </c>
      <c r="U35" s="1088">
        <v>1.3</v>
      </c>
      <c r="V35" s="122">
        <v>1.41</v>
      </c>
      <c r="W35" s="122">
        <v>0.26</v>
      </c>
      <c r="X35">
        <f t="shared" ref="X35:X56" si="25">(W35*10000000)/100000</f>
        <v>26</v>
      </c>
      <c r="Y35" s="216">
        <f>Y34*60</f>
        <v>3.3540983606557377</v>
      </c>
      <c r="Z35" s="216">
        <f>Z34*60</f>
        <v>151.69180327868852</v>
      </c>
      <c r="AA35" s="216">
        <f>AA34*60</f>
        <v>155.04590163934427</v>
      </c>
      <c r="AB35" s="216">
        <f>AB34*60</f>
        <v>46.298360655737703</v>
      </c>
      <c r="AC35" s="216">
        <f>AC34*60</f>
        <v>11.763934426229509</v>
      </c>
      <c r="AD35" s="89"/>
      <c r="AF35"/>
      <c r="AG35" s="89"/>
      <c r="AI35"/>
      <c r="AJ35" s="89"/>
      <c r="AL35"/>
      <c r="AM35" s="89"/>
      <c r="AO35"/>
      <c r="AP35" s="89"/>
    </row>
    <row r="36" spans="1:42" ht="14.65" thickBot="1" x14ac:dyDescent="0.5">
      <c r="A36" s="1017" t="s">
        <v>204</v>
      </c>
      <c r="B36" s="1018">
        <f>SUM(B34:B35)</f>
        <v>3.58</v>
      </c>
      <c r="C36" s="981">
        <f>SUM(C34:C35)</f>
        <v>161.41</v>
      </c>
      <c r="D36" s="1019">
        <f>SUM(B36:C36)</f>
        <v>164.99</v>
      </c>
      <c r="E36" s="1017">
        <f>SUM(E34:E35)</f>
        <v>49.81</v>
      </c>
      <c r="F36" s="1017">
        <f>SUM(F34:F35)</f>
        <v>12.66</v>
      </c>
      <c r="G36" s="1017">
        <f>SUM(G34:G35)</f>
        <v>227.45999999999998</v>
      </c>
      <c r="H36" s="1383">
        <f>SUM(H34:H35)</f>
        <v>2.798</v>
      </c>
      <c r="I36" s="216">
        <f t="shared" si="23"/>
        <v>230.25799999999998</v>
      </c>
      <c r="J36" s="1017" t="s">
        <v>204</v>
      </c>
      <c r="K36" s="1018">
        <f>SUM(K34:K35)</f>
        <v>3.41</v>
      </c>
      <c r="L36" s="981">
        <f>SUM(L34:L35)</f>
        <v>154.22</v>
      </c>
      <c r="M36" s="1019">
        <f>SUM(K36:L36)</f>
        <v>157.63</v>
      </c>
      <c r="N36" s="1017">
        <f>SUM(N34:N35)</f>
        <v>47.07</v>
      </c>
      <c r="O36" s="1017">
        <f>SUM(O34:O35)</f>
        <v>11.96</v>
      </c>
      <c r="P36" s="1017">
        <f>SUM(P34:P35)</f>
        <v>216.66</v>
      </c>
      <c r="Q36">
        <f t="shared" si="24"/>
        <v>470700000</v>
      </c>
      <c r="S36" s="1075" t="s">
        <v>204</v>
      </c>
      <c r="T36" s="1089">
        <f>SUM(T34:T35)</f>
        <v>67000</v>
      </c>
      <c r="U36" s="1089">
        <f>SUM(U34:U35)</f>
        <v>2.6</v>
      </c>
      <c r="V36" s="980">
        <f>SUM(V34:V35)</f>
        <v>3.49</v>
      </c>
      <c r="W36" s="980">
        <f>SUM(W34:W35)</f>
        <v>0.83</v>
      </c>
      <c r="X36">
        <f t="shared" si="25"/>
        <v>83</v>
      </c>
      <c r="Y36" s="1007" t="s">
        <v>94</v>
      </c>
      <c r="Z36" s="1008" t="s">
        <v>97</v>
      </c>
      <c r="AA36" s="1009" t="s">
        <v>63</v>
      </c>
      <c r="AB36" s="1112" t="s">
        <v>720</v>
      </c>
      <c r="AC36" s="1112" t="s">
        <v>721</v>
      </c>
      <c r="AD36" s="89" t="s">
        <v>722</v>
      </c>
      <c r="AE36" s="1112" t="s">
        <v>723</v>
      </c>
      <c r="AF36" s="835" t="s">
        <v>124</v>
      </c>
      <c r="AG36" s="835" t="s">
        <v>489</v>
      </c>
      <c r="AI36"/>
      <c r="AJ36" s="89"/>
      <c r="AL36"/>
      <c r="AM36" s="89"/>
      <c r="AO36"/>
      <c r="AP36" s="89"/>
    </row>
    <row r="37" spans="1:42" x14ac:dyDescent="0.45">
      <c r="A37" s="1015" t="s">
        <v>133</v>
      </c>
      <c r="B37" s="1016">
        <v>1.94</v>
      </c>
      <c r="C37" s="978">
        <v>87.23</v>
      </c>
      <c r="D37" s="1020">
        <f>SUM(B37:C37)</f>
        <v>89.17</v>
      </c>
      <c r="E37" s="1015">
        <v>17.23</v>
      </c>
      <c r="F37" s="1015">
        <v>4.79</v>
      </c>
      <c r="G37" s="1015">
        <f>SUM(D37:F37)</f>
        <v>111.19000000000001</v>
      </c>
      <c r="H37" s="1382">
        <v>1.399</v>
      </c>
      <c r="I37" s="216">
        <f t="shared" si="23"/>
        <v>112.58900000000001</v>
      </c>
      <c r="J37" s="1015" t="s">
        <v>133</v>
      </c>
      <c r="K37" s="1016">
        <v>1.86</v>
      </c>
      <c r="L37" s="978">
        <v>83.34</v>
      </c>
      <c r="M37" s="1020">
        <f>SUM(K37:L37)</f>
        <v>85.2</v>
      </c>
      <c r="N37" s="1015">
        <v>16.28</v>
      </c>
      <c r="O37" s="1015">
        <v>4.53</v>
      </c>
      <c r="P37" s="1015">
        <f>SUM(M37:O37)</f>
        <v>106.01</v>
      </c>
      <c r="Q37">
        <f t="shared" si="24"/>
        <v>162800000</v>
      </c>
      <c r="S37" s="1074" t="s">
        <v>133</v>
      </c>
      <c r="T37" s="1153">
        <v>23000</v>
      </c>
      <c r="U37" s="1127">
        <v>1</v>
      </c>
      <c r="V37" s="122">
        <v>2.11</v>
      </c>
      <c r="W37" s="122">
        <v>0.41</v>
      </c>
      <c r="X37">
        <f t="shared" si="25"/>
        <v>40.999999999999993</v>
      </c>
      <c r="Y37" s="470">
        <f>B55/31</f>
        <v>3.5483870967741936E-2</v>
      </c>
      <c r="Z37" s="470">
        <f>C55/31</f>
        <v>1.1658064516129032</v>
      </c>
      <c r="AA37" s="470">
        <f>D55/31</f>
        <v>1.2012903225806453</v>
      </c>
      <c r="AB37" s="470">
        <f>E55/31</f>
        <v>0.61096774193548387</v>
      </c>
      <c r="AC37" s="470">
        <f>F55/31</f>
        <v>0.43580645161290321</v>
      </c>
      <c r="AD37" s="470">
        <f>T55/31</f>
        <v>709.67741935483866</v>
      </c>
      <c r="AE37" s="470">
        <f>U55/31</f>
        <v>2.903225806451613E-2</v>
      </c>
      <c r="AF37" s="470">
        <f>V55/31</f>
        <v>8.4193548387096764E-2</v>
      </c>
      <c r="AG37" s="470">
        <f>W55/31</f>
        <v>1.4838709677419355E-2</v>
      </c>
      <c r="AI37"/>
      <c r="AJ37" s="89"/>
      <c r="AL37"/>
      <c r="AM37" s="89"/>
      <c r="AO37"/>
      <c r="AP37" s="89"/>
    </row>
    <row r="38" spans="1:42" x14ac:dyDescent="0.45">
      <c r="A38" s="1017" t="s">
        <v>205</v>
      </c>
      <c r="B38" s="1018">
        <f t="shared" ref="B38:G38" si="26">SUM(B36:B37)</f>
        <v>5.52</v>
      </c>
      <c r="C38" s="981">
        <f t="shared" si="26"/>
        <v>248.64</v>
      </c>
      <c r="D38" s="1021">
        <f t="shared" si="26"/>
        <v>254.16000000000003</v>
      </c>
      <c r="E38" s="1017">
        <f t="shared" si="26"/>
        <v>67.040000000000006</v>
      </c>
      <c r="F38" s="1017">
        <f t="shared" si="26"/>
        <v>17.45</v>
      </c>
      <c r="G38" s="1017">
        <f t="shared" si="26"/>
        <v>338.65</v>
      </c>
      <c r="H38" s="1383">
        <f>SUM(H36:H37)</f>
        <v>4.1970000000000001</v>
      </c>
      <c r="I38" s="216">
        <f t="shared" si="23"/>
        <v>342.84699999999998</v>
      </c>
      <c r="J38" s="1017" t="s">
        <v>205</v>
      </c>
      <c r="K38" s="1018">
        <f t="shared" ref="K38:P38" si="27">SUM(K36:K37)</f>
        <v>5.2700000000000005</v>
      </c>
      <c r="L38" s="981">
        <f t="shared" si="27"/>
        <v>237.56</v>
      </c>
      <c r="M38" s="1021">
        <f t="shared" si="27"/>
        <v>242.82999999999998</v>
      </c>
      <c r="N38" s="1017">
        <f t="shared" si="27"/>
        <v>63.35</v>
      </c>
      <c r="O38" s="1017">
        <f t="shared" si="27"/>
        <v>16.490000000000002</v>
      </c>
      <c r="P38" s="1017">
        <f t="shared" si="27"/>
        <v>322.67</v>
      </c>
      <c r="Q38">
        <f t="shared" si="24"/>
        <v>633500000</v>
      </c>
      <c r="S38" s="1075" t="s">
        <v>205</v>
      </c>
      <c r="T38" s="1089">
        <f>SUM(T36:T37)</f>
        <v>90000</v>
      </c>
      <c r="U38" s="1089">
        <f>SUM(U36:U37)</f>
        <v>3.6</v>
      </c>
      <c r="V38" s="980">
        <f>SUM(V36:V37)</f>
        <v>5.6</v>
      </c>
      <c r="W38" s="980">
        <f>SUM(W36:W37)</f>
        <v>1.24</v>
      </c>
      <c r="X38">
        <f t="shared" si="25"/>
        <v>124</v>
      </c>
      <c r="Y38" s="1145">
        <f>Y37*26</f>
        <v>0.92258064516129035</v>
      </c>
      <c r="Z38" s="1145">
        <f t="shared" ref="Z38:AG38" si="28">Z37*26</f>
        <v>30.310967741935482</v>
      </c>
      <c r="AA38" s="1145">
        <f t="shared" si="28"/>
        <v>31.233548387096778</v>
      </c>
      <c r="AB38" s="1145">
        <f t="shared" si="28"/>
        <v>15.88516129032258</v>
      </c>
      <c r="AC38" s="1145">
        <f t="shared" si="28"/>
        <v>11.330967741935483</v>
      </c>
      <c r="AD38" s="1145">
        <f t="shared" si="28"/>
        <v>18451.612903225807</v>
      </c>
      <c r="AE38" s="1145">
        <f t="shared" si="28"/>
        <v>0.75483870967741939</v>
      </c>
      <c r="AF38" s="1145">
        <f t="shared" si="28"/>
        <v>2.1890322580645161</v>
      </c>
      <c r="AG38" s="1145">
        <f t="shared" si="28"/>
        <v>0.38580645161290322</v>
      </c>
      <c r="AI38"/>
      <c r="AJ38" s="89"/>
      <c r="AL38"/>
      <c r="AM38" s="89"/>
      <c r="AO38"/>
      <c r="AP38" s="89"/>
    </row>
    <row r="39" spans="1:42" x14ac:dyDescent="0.45">
      <c r="A39" s="1015" t="s">
        <v>51</v>
      </c>
      <c r="B39" s="1016">
        <v>2.21</v>
      </c>
      <c r="C39" s="978">
        <v>86.01</v>
      </c>
      <c r="D39" s="1020">
        <f>SUM(B39:C39)</f>
        <v>88.22</v>
      </c>
      <c r="E39" s="1015">
        <v>17.920000000000002</v>
      </c>
      <c r="F39" s="1015">
        <v>5.59</v>
      </c>
      <c r="G39" s="1015">
        <f>SUM(D39:F39)</f>
        <v>111.73</v>
      </c>
      <c r="H39" s="1382">
        <v>1.399</v>
      </c>
      <c r="I39" s="216">
        <f t="shared" si="23"/>
        <v>113.129</v>
      </c>
      <c r="J39" s="1015" t="s">
        <v>51</v>
      </c>
      <c r="K39" s="1016">
        <v>2.11</v>
      </c>
      <c r="L39" s="978">
        <v>82.17</v>
      </c>
      <c r="M39" s="1020">
        <f>SUM(K39:L39)</f>
        <v>84.28</v>
      </c>
      <c r="N39" s="1015">
        <v>16.93</v>
      </c>
      <c r="O39" s="1015">
        <v>5.28</v>
      </c>
      <c r="P39" s="1015">
        <f>SUM(M39:O39)</f>
        <v>106.49000000000001</v>
      </c>
      <c r="Q39">
        <f t="shared" si="24"/>
        <v>169300000</v>
      </c>
      <c r="S39" s="1074" t="s">
        <v>51</v>
      </c>
      <c r="T39" s="1153">
        <v>23000</v>
      </c>
      <c r="U39" s="1088">
        <v>0.75</v>
      </c>
      <c r="V39" s="122">
        <v>2.19</v>
      </c>
      <c r="W39" s="122">
        <v>0.62</v>
      </c>
      <c r="X39">
        <f t="shared" si="25"/>
        <v>62</v>
      </c>
      <c r="Y39" s="229">
        <f>B54+Y38</f>
        <v>21.982580645161292</v>
      </c>
      <c r="Z39" s="229">
        <f>C54+Z38</f>
        <v>922.60096774193539</v>
      </c>
      <c r="AA39" s="229">
        <f>D54+AA38</f>
        <v>944.58354838709681</v>
      </c>
      <c r="AB39" s="229">
        <f>E54+AB38</f>
        <v>338.17516129032259</v>
      </c>
      <c r="AC39" s="229">
        <f>F54+AC38</f>
        <v>100.28096774193548</v>
      </c>
      <c r="AD39" s="229">
        <f>T54+AD38</f>
        <v>297451.61290322582</v>
      </c>
      <c r="AE39" s="229">
        <f>U54+AE38</f>
        <v>11.904838709677421</v>
      </c>
      <c r="AF39" s="229">
        <f>V54+AF38</f>
        <v>27.329032258064515</v>
      </c>
      <c r="AG39" s="229">
        <f>W54+AG38</f>
        <v>5.6958064516129037</v>
      </c>
      <c r="AI39"/>
      <c r="AJ39" s="89"/>
      <c r="AL39"/>
      <c r="AM39" s="89"/>
      <c r="AO39"/>
      <c r="AP39" s="89"/>
    </row>
    <row r="40" spans="1:42" x14ac:dyDescent="0.45">
      <c r="A40" s="1017" t="s">
        <v>207</v>
      </c>
      <c r="B40" s="1018">
        <f t="shared" ref="B40:G40" si="29">SUM(B38:B39)</f>
        <v>7.7299999999999995</v>
      </c>
      <c r="C40" s="981">
        <f t="shared" si="29"/>
        <v>334.65</v>
      </c>
      <c r="D40" s="1021">
        <f t="shared" si="29"/>
        <v>342.38</v>
      </c>
      <c r="E40" s="1017">
        <f t="shared" si="29"/>
        <v>84.960000000000008</v>
      </c>
      <c r="F40" s="1017">
        <f t="shared" si="29"/>
        <v>23.04</v>
      </c>
      <c r="G40" s="1017">
        <f t="shared" si="29"/>
        <v>450.38</v>
      </c>
      <c r="H40" s="1383">
        <f>SUM(H38:H39)</f>
        <v>5.5960000000000001</v>
      </c>
      <c r="I40" s="216">
        <f t="shared" si="23"/>
        <v>455.976</v>
      </c>
      <c r="J40" s="1017" t="s">
        <v>207</v>
      </c>
      <c r="K40" s="1018">
        <f t="shared" ref="K40:P40" si="30">SUM(K38:K39)</f>
        <v>7.3800000000000008</v>
      </c>
      <c r="L40" s="981">
        <f t="shared" si="30"/>
        <v>319.73</v>
      </c>
      <c r="M40" s="1021">
        <f t="shared" si="30"/>
        <v>327.11</v>
      </c>
      <c r="N40" s="1017">
        <f t="shared" si="30"/>
        <v>80.28</v>
      </c>
      <c r="O40" s="1017">
        <f t="shared" si="30"/>
        <v>21.770000000000003</v>
      </c>
      <c r="P40" s="1017">
        <f t="shared" si="30"/>
        <v>429.16</v>
      </c>
      <c r="Q40">
        <f t="shared" si="24"/>
        <v>802800000</v>
      </c>
      <c r="S40" s="1075" t="s">
        <v>207</v>
      </c>
      <c r="T40" s="1089">
        <f>SUM(T38:T39)</f>
        <v>113000</v>
      </c>
      <c r="U40" s="1089">
        <f>SUM(U38:U39)</f>
        <v>4.3499999999999996</v>
      </c>
      <c r="V40" s="980">
        <f>SUM(V38:V39)</f>
        <v>7.7899999999999991</v>
      </c>
      <c r="W40" s="980">
        <f>SUM(W38:W39)</f>
        <v>1.8599999999999999</v>
      </c>
      <c r="X40">
        <f t="shared" si="25"/>
        <v>186</v>
      </c>
      <c r="Z40"/>
      <c r="AA40" s="89"/>
      <c r="AC40"/>
      <c r="AD40" s="89"/>
      <c r="AE40" s="273"/>
      <c r="AF40"/>
      <c r="AG40" s="89"/>
      <c r="AI40"/>
      <c r="AJ40" s="89"/>
      <c r="AL40"/>
      <c r="AM40" s="89"/>
      <c r="AO40"/>
      <c r="AP40" s="89"/>
    </row>
    <row r="41" spans="1:42" x14ac:dyDescent="0.45">
      <c r="A41" s="1015" t="s">
        <v>134</v>
      </c>
      <c r="B41" s="1016">
        <v>1.96</v>
      </c>
      <c r="C41" s="978">
        <v>67.94</v>
      </c>
      <c r="D41" s="1020">
        <f>SUM(B41:C41)</f>
        <v>69.899999999999991</v>
      </c>
      <c r="E41" s="1015">
        <v>37.69</v>
      </c>
      <c r="F41" s="1015">
        <v>6.66</v>
      </c>
      <c r="G41" s="1015">
        <f>SUM(D41:F41)</f>
        <v>114.24999999999999</v>
      </c>
      <c r="H41" s="1382">
        <v>1.399</v>
      </c>
      <c r="I41" s="216">
        <f t="shared" si="23"/>
        <v>115.64899999999999</v>
      </c>
      <c r="J41" s="1015" t="s">
        <v>134</v>
      </c>
      <c r="K41" s="1016">
        <v>1.88</v>
      </c>
      <c r="L41" s="978">
        <v>64.91</v>
      </c>
      <c r="M41" s="1020">
        <f>SUM(K41:L41)</f>
        <v>66.789999999999992</v>
      </c>
      <c r="N41" s="1015">
        <v>35.619999999999997</v>
      </c>
      <c r="O41" s="1015">
        <v>6.29</v>
      </c>
      <c r="P41" s="1015">
        <f>SUM(M41:O41)</f>
        <v>108.7</v>
      </c>
      <c r="Q41">
        <f t="shared" si="24"/>
        <v>356200000</v>
      </c>
      <c r="S41" s="1074" t="s">
        <v>134</v>
      </c>
      <c r="T41" s="1153">
        <v>24000</v>
      </c>
      <c r="U41" s="1088">
        <v>0.75</v>
      </c>
      <c r="V41" s="122">
        <v>2.63</v>
      </c>
      <c r="W41" s="122">
        <v>0.62</v>
      </c>
      <c r="X41">
        <f t="shared" si="25"/>
        <v>62</v>
      </c>
      <c r="Z41"/>
      <c r="AA41" s="89"/>
      <c r="AC41"/>
      <c r="AD41" s="89"/>
      <c r="AF41"/>
      <c r="AG41" s="89"/>
      <c r="AI41"/>
      <c r="AJ41" s="89"/>
      <c r="AL41"/>
      <c r="AM41" s="89"/>
      <c r="AO41"/>
      <c r="AP41" s="89"/>
    </row>
    <row r="42" spans="1:42" x14ac:dyDescent="0.45">
      <c r="A42" s="1017" t="s">
        <v>208</v>
      </c>
      <c r="B42" s="1018">
        <f t="shared" ref="B42:H42" si="31">SUM(B40:B41)</f>
        <v>9.69</v>
      </c>
      <c r="C42" s="981">
        <f t="shared" si="31"/>
        <v>402.59</v>
      </c>
      <c r="D42" s="1021">
        <f t="shared" si="31"/>
        <v>412.28</v>
      </c>
      <c r="E42" s="1017">
        <f t="shared" si="31"/>
        <v>122.65</v>
      </c>
      <c r="F42" s="1017">
        <f t="shared" si="31"/>
        <v>29.7</v>
      </c>
      <c r="G42" s="1017">
        <f t="shared" si="31"/>
        <v>564.63</v>
      </c>
      <c r="H42" s="1383">
        <f t="shared" si="31"/>
        <v>6.9950000000000001</v>
      </c>
      <c r="I42" s="216">
        <f t="shared" si="23"/>
        <v>571.625</v>
      </c>
      <c r="J42" s="1017" t="s">
        <v>208</v>
      </c>
      <c r="K42" s="1018">
        <f t="shared" ref="K42:P42" si="32">SUM(K40:K41)</f>
        <v>9.2600000000000016</v>
      </c>
      <c r="L42" s="981">
        <f t="shared" si="32"/>
        <v>384.64</v>
      </c>
      <c r="M42" s="1021">
        <f t="shared" si="32"/>
        <v>393.9</v>
      </c>
      <c r="N42" s="1017">
        <f t="shared" si="32"/>
        <v>115.9</v>
      </c>
      <c r="O42" s="1017">
        <f t="shared" si="32"/>
        <v>28.060000000000002</v>
      </c>
      <c r="P42" s="1017">
        <f t="shared" si="32"/>
        <v>537.86</v>
      </c>
      <c r="Q42">
        <f t="shared" si="24"/>
        <v>1159000000</v>
      </c>
      <c r="S42" s="1075" t="s">
        <v>208</v>
      </c>
      <c r="T42" s="1089">
        <f>SUM(T40:T41)</f>
        <v>137000</v>
      </c>
      <c r="U42" s="1089">
        <f>SUM(U40:U41)</f>
        <v>5.0999999999999996</v>
      </c>
      <c r="V42" s="980">
        <f>SUM(V40:V41)</f>
        <v>10.419999999999998</v>
      </c>
      <c r="W42" s="980">
        <f>SUM(W40:W41)</f>
        <v>2.48</v>
      </c>
      <c r="X42">
        <f t="shared" si="25"/>
        <v>248</v>
      </c>
      <c r="Z42"/>
      <c r="AA42" s="89"/>
      <c r="AC42"/>
      <c r="AD42" s="89"/>
      <c r="AF42"/>
      <c r="AG42" s="89"/>
      <c r="AI42"/>
      <c r="AJ42" s="89"/>
      <c r="AL42"/>
      <c r="AM42" s="89"/>
      <c r="AO42"/>
      <c r="AP42" s="89"/>
    </row>
    <row r="43" spans="1:42" x14ac:dyDescent="0.45">
      <c r="A43" s="1015" t="s">
        <v>135</v>
      </c>
      <c r="B43" s="1016">
        <v>1.93</v>
      </c>
      <c r="C43" s="978">
        <v>75.34</v>
      </c>
      <c r="D43" s="1020">
        <f>SUM(B43:C43)</f>
        <v>77.27000000000001</v>
      </c>
      <c r="E43" s="1015">
        <v>33.14</v>
      </c>
      <c r="F43" s="1015">
        <v>8.2200000000000006</v>
      </c>
      <c r="G43" s="1015">
        <f>SUM(D43:F43)</f>
        <v>118.63000000000001</v>
      </c>
      <c r="H43" s="1382">
        <v>1.399</v>
      </c>
      <c r="I43" s="216">
        <f t="shared" si="23"/>
        <v>120.02900000000001</v>
      </c>
      <c r="J43" s="1015" t="s">
        <v>135</v>
      </c>
      <c r="K43" s="1016">
        <v>1.85</v>
      </c>
      <c r="L43" s="978">
        <v>71.98</v>
      </c>
      <c r="M43" s="1020">
        <f>SUM(K43:L43)</f>
        <v>73.83</v>
      </c>
      <c r="N43" s="1015">
        <v>31.31</v>
      </c>
      <c r="O43" s="1015">
        <v>7.76</v>
      </c>
      <c r="P43" s="1015">
        <f>SUM(M43:O43)</f>
        <v>112.9</v>
      </c>
      <c r="Q43">
        <f t="shared" si="24"/>
        <v>313100000</v>
      </c>
      <c r="S43" s="1074" t="s">
        <v>135</v>
      </c>
      <c r="T43" s="1153">
        <v>23000</v>
      </c>
      <c r="U43" s="1088">
        <v>0.75</v>
      </c>
      <c r="V43" s="122">
        <v>2.62</v>
      </c>
      <c r="W43" s="122">
        <v>0.52</v>
      </c>
      <c r="X43">
        <f t="shared" si="25"/>
        <v>52</v>
      </c>
      <c r="Z43"/>
      <c r="AA43" s="89"/>
      <c r="AC43"/>
      <c r="AD43" s="89"/>
      <c r="AF43"/>
      <c r="AG43" s="89"/>
      <c r="AI43"/>
      <c r="AJ43" s="89"/>
      <c r="AL43"/>
      <c r="AM43" s="89"/>
      <c r="AO43"/>
      <c r="AP43" s="89"/>
    </row>
    <row r="44" spans="1:42" x14ac:dyDescent="0.45">
      <c r="A44" s="1017" t="s">
        <v>209</v>
      </c>
      <c r="B44" s="1018">
        <f>SUM(B42:B43)</f>
        <v>11.62</v>
      </c>
      <c r="C44" s="981">
        <f>SUM(C42:C43)</f>
        <v>477.92999999999995</v>
      </c>
      <c r="D44" s="1021">
        <f>SUM(D42:D43)</f>
        <v>489.54999999999995</v>
      </c>
      <c r="E44" s="1017">
        <f>SUM(E42:E43)</f>
        <v>155.79000000000002</v>
      </c>
      <c r="F44" s="1017">
        <f>SUM(F42:F43)</f>
        <v>37.92</v>
      </c>
      <c r="G44" s="1017">
        <f>D44+E44+F44</f>
        <v>683.25999999999988</v>
      </c>
      <c r="H44" s="1383">
        <f>SUM(H42:H43)</f>
        <v>8.3940000000000001</v>
      </c>
      <c r="I44" s="216">
        <f t="shared" si="23"/>
        <v>691.65399999999988</v>
      </c>
      <c r="J44" s="1017" t="s">
        <v>209</v>
      </c>
      <c r="K44" s="1018">
        <f>SUM(K42:K43)</f>
        <v>11.110000000000001</v>
      </c>
      <c r="L44" s="981">
        <f>SUM(L42:L43)</f>
        <v>456.62</v>
      </c>
      <c r="M44" s="1021">
        <f>SUM(M42:M43)</f>
        <v>467.72999999999996</v>
      </c>
      <c r="N44" s="1017">
        <f>SUM(N42:N43)</f>
        <v>147.21</v>
      </c>
      <c r="O44" s="1017">
        <f>SUM(O42:O43)</f>
        <v>35.82</v>
      </c>
      <c r="P44" s="1017">
        <f>M44+N44+O44</f>
        <v>650.76</v>
      </c>
      <c r="Q44">
        <f t="shared" si="24"/>
        <v>1472100000</v>
      </c>
      <c r="S44" s="1075" t="s">
        <v>209</v>
      </c>
      <c r="T44" s="1089">
        <f>SUM(T42:T43)</f>
        <v>160000</v>
      </c>
      <c r="U44" s="1089">
        <f>SUM(U42:U43)</f>
        <v>5.85</v>
      </c>
      <c r="V44" s="980">
        <f>SUM(V42:V43)</f>
        <v>13.04</v>
      </c>
      <c r="W44" s="981">
        <f>SUM(W42:W43)</f>
        <v>3</v>
      </c>
      <c r="X44">
        <f t="shared" si="25"/>
        <v>300</v>
      </c>
      <c r="Z44"/>
      <c r="AA44" s="89"/>
      <c r="AC44"/>
      <c r="AD44" s="89"/>
      <c r="AF44"/>
      <c r="AG44" s="89"/>
      <c r="AI44"/>
      <c r="AJ44" s="89"/>
      <c r="AL44"/>
      <c r="AM44" s="89"/>
      <c r="AO44"/>
      <c r="AP44" s="89"/>
    </row>
    <row r="45" spans="1:42" x14ac:dyDescent="0.45">
      <c r="A45" s="1015" t="s">
        <v>136</v>
      </c>
      <c r="B45" s="1016">
        <v>1.78</v>
      </c>
      <c r="C45" s="978">
        <v>70.849999999999994</v>
      </c>
      <c r="D45" s="1020">
        <f>SUM(B45:C45)</f>
        <v>72.63</v>
      </c>
      <c r="E45" s="1015">
        <v>41.26</v>
      </c>
      <c r="F45" s="1015">
        <v>9.6</v>
      </c>
      <c r="G45" s="1015">
        <f>SUM(D45:F45)</f>
        <v>123.48999999999998</v>
      </c>
      <c r="H45" s="1382">
        <v>1.399</v>
      </c>
      <c r="I45" s="216">
        <f t="shared" si="23"/>
        <v>124.88899999999998</v>
      </c>
      <c r="J45" s="1015" t="s">
        <v>136</v>
      </c>
      <c r="K45" s="1016">
        <v>1.7</v>
      </c>
      <c r="L45" s="978">
        <v>67.69</v>
      </c>
      <c r="M45" s="1020">
        <f>SUM(K45:L45)</f>
        <v>69.39</v>
      </c>
      <c r="N45" s="1015">
        <v>38.979999999999997</v>
      </c>
      <c r="O45" s="1015">
        <v>9.07</v>
      </c>
      <c r="P45" s="1015">
        <f>SUM(M45:O45)</f>
        <v>117.44</v>
      </c>
      <c r="Q45">
        <f t="shared" si="24"/>
        <v>389799999.99999994</v>
      </c>
      <c r="S45" s="1074" t="s">
        <v>136</v>
      </c>
      <c r="T45" s="1153">
        <v>31000</v>
      </c>
      <c r="U45" s="1088">
        <v>1</v>
      </c>
      <c r="V45" s="122">
        <v>2.65</v>
      </c>
      <c r="W45" s="122">
        <v>0.56999999999999995</v>
      </c>
      <c r="X45">
        <f t="shared" si="25"/>
        <v>56.999999999999993</v>
      </c>
      <c r="Y45">
        <f>U46*10000000</f>
        <v>68500000</v>
      </c>
      <c r="Z45"/>
      <c r="AA45" s="89"/>
      <c r="AC45"/>
      <c r="AD45" s="89"/>
      <c r="AF45"/>
      <c r="AG45" s="89"/>
      <c r="AI45"/>
      <c r="AJ45" s="89"/>
      <c r="AL45"/>
      <c r="AM45" s="89"/>
      <c r="AO45"/>
      <c r="AP45" s="89"/>
    </row>
    <row r="46" spans="1:42" x14ac:dyDescent="0.45">
      <c r="A46" s="1017" t="s">
        <v>210</v>
      </c>
      <c r="B46" s="1018">
        <f t="shared" ref="B46:G46" si="33">SUM(B44:B45)</f>
        <v>13.399999999999999</v>
      </c>
      <c r="C46" s="981">
        <f t="shared" si="33"/>
        <v>548.78</v>
      </c>
      <c r="D46" s="1021">
        <f t="shared" si="33"/>
        <v>562.17999999999995</v>
      </c>
      <c r="E46" s="1017">
        <f t="shared" si="33"/>
        <v>197.05</v>
      </c>
      <c r="F46" s="1017">
        <f t="shared" si="33"/>
        <v>47.52</v>
      </c>
      <c r="G46" s="1017">
        <f t="shared" si="33"/>
        <v>806.74999999999989</v>
      </c>
      <c r="H46" s="1383">
        <f>SUM(H44:H45)</f>
        <v>9.7929999999999993</v>
      </c>
      <c r="I46" s="216">
        <f t="shared" si="23"/>
        <v>816.54299999999989</v>
      </c>
      <c r="J46" s="1017" t="s">
        <v>210</v>
      </c>
      <c r="K46" s="1018">
        <f t="shared" ref="K46:P46" si="34">SUM(K44:K45)</f>
        <v>12.81</v>
      </c>
      <c r="L46" s="981">
        <f t="shared" si="34"/>
        <v>524.30999999999995</v>
      </c>
      <c r="M46" s="1021">
        <f t="shared" si="34"/>
        <v>537.12</v>
      </c>
      <c r="N46" s="1017">
        <f t="shared" si="34"/>
        <v>186.19</v>
      </c>
      <c r="O46" s="1017">
        <f t="shared" si="34"/>
        <v>44.89</v>
      </c>
      <c r="P46" s="1017">
        <f t="shared" si="34"/>
        <v>768.2</v>
      </c>
      <c r="Q46">
        <f t="shared" si="24"/>
        <v>1861900000</v>
      </c>
      <c r="S46" s="1075" t="s">
        <v>210</v>
      </c>
      <c r="T46" s="1089">
        <f>SUM(T44:T45)</f>
        <v>191000</v>
      </c>
      <c r="U46" s="1089">
        <f>SUM(U44:U45)</f>
        <v>6.85</v>
      </c>
      <c r="V46" s="980">
        <f>SUM(V44:V45)</f>
        <v>15.69</v>
      </c>
      <c r="W46" s="980">
        <f>SUM(W44:W45)</f>
        <v>3.57</v>
      </c>
      <c r="X46">
        <f t="shared" si="25"/>
        <v>357</v>
      </c>
      <c r="Y46" s="1213">
        <f>Y45/100000</f>
        <v>685</v>
      </c>
      <c r="Z46"/>
      <c r="AA46" s="89"/>
      <c r="AC46"/>
      <c r="AD46" s="89"/>
      <c r="AF46"/>
      <c r="AG46" s="89"/>
      <c r="AI46"/>
      <c r="AJ46" s="89"/>
      <c r="AL46"/>
      <c r="AM46" s="89"/>
      <c r="AO46"/>
      <c r="AP46" s="89"/>
    </row>
    <row r="47" spans="1:42" x14ac:dyDescent="0.45">
      <c r="A47" s="1015" t="s">
        <v>137</v>
      </c>
      <c r="B47" s="1016">
        <v>1.91</v>
      </c>
      <c r="C47" s="978">
        <v>82.67</v>
      </c>
      <c r="D47" s="1020">
        <f>SUM(B47:C47)</f>
        <v>84.58</v>
      </c>
      <c r="E47" s="1015">
        <v>32.36</v>
      </c>
      <c r="F47" s="1015">
        <v>10.47</v>
      </c>
      <c r="G47" s="1015">
        <f>SUM(D47:F47)</f>
        <v>127.41</v>
      </c>
      <c r="H47" s="1382">
        <v>1.399</v>
      </c>
      <c r="I47" s="216">
        <f t="shared" si="23"/>
        <v>128.809</v>
      </c>
      <c r="J47" s="1015" t="s">
        <v>137</v>
      </c>
      <c r="K47" s="1016">
        <v>1.83</v>
      </c>
      <c r="L47" s="978">
        <v>78.98</v>
      </c>
      <c r="M47" s="1020">
        <f>SUM(K47:L47)</f>
        <v>80.81</v>
      </c>
      <c r="N47" s="1015">
        <v>30.58</v>
      </c>
      <c r="O47" s="1015">
        <v>9.89</v>
      </c>
      <c r="P47" s="1015">
        <f>SUM(M47:O47)</f>
        <v>121.28</v>
      </c>
      <c r="Q47">
        <f t="shared" si="24"/>
        <v>305800000</v>
      </c>
      <c r="S47" s="1074" t="s">
        <v>137</v>
      </c>
      <c r="T47" s="1153">
        <v>22000</v>
      </c>
      <c r="U47" s="1088">
        <v>1.25</v>
      </c>
      <c r="V47" s="122">
        <v>2.1800000000000002</v>
      </c>
      <c r="W47" s="122">
        <v>0.41</v>
      </c>
      <c r="X47">
        <f t="shared" si="25"/>
        <v>40.999999999999993</v>
      </c>
      <c r="Z47"/>
      <c r="AA47" s="89"/>
      <c r="AC47"/>
      <c r="AD47" s="89"/>
      <c r="AF47"/>
      <c r="AG47" s="89"/>
      <c r="AI47"/>
      <c r="AJ47" s="89"/>
      <c r="AL47"/>
      <c r="AM47" s="89"/>
      <c r="AO47"/>
      <c r="AP47" s="89"/>
    </row>
    <row r="48" spans="1:42" x14ac:dyDescent="0.45">
      <c r="A48" s="1017" t="s">
        <v>211</v>
      </c>
      <c r="B48" s="1018">
        <f t="shared" ref="B48:H48" si="35">SUM(B46:B47)</f>
        <v>15.309999999999999</v>
      </c>
      <c r="C48" s="981">
        <f t="shared" si="35"/>
        <v>631.44999999999993</v>
      </c>
      <c r="D48" s="1021">
        <f t="shared" si="35"/>
        <v>646.76</v>
      </c>
      <c r="E48" s="1017">
        <f t="shared" si="35"/>
        <v>229.41000000000003</v>
      </c>
      <c r="F48" s="1017">
        <f t="shared" si="35"/>
        <v>57.99</v>
      </c>
      <c r="G48" s="1017">
        <f t="shared" si="35"/>
        <v>934.15999999999985</v>
      </c>
      <c r="H48" s="1383">
        <f t="shared" si="35"/>
        <v>11.192</v>
      </c>
      <c r="I48" s="216">
        <f t="shared" si="23"/>
        <v>945.35199999999986</v>
      </c>
      <c r="J48" s="1017" t="s">
        <v>211</v>
      </c>
      <c r="K48" s="1018">
        <f t="shared" ref="K48:P48" si="36">SUM(K46:K47)</f>
        <v>14.64</v>
      </c>
      <c r="L48" s="981">
        <f t="shared" si="36"/>
        <v>603.29</v>
      </c>
      <c r="M48" s="1021">
        <f t="shared" si="36"/>
        <v>617.93000000000006</v>
      </c>
      <c r="N48" s="1017">
        <f t="shared" si="36"/>
        <v>216.76999999999998</v>
      </c>
      <c r="O48" s="1017">
        <f t="shared" si="36"/>
        <v>54.78</v>
      </c>
      <c r="P48" s="1017">
        <f t="shared" si="36"/>
        <v>889.48</v>
      </c>
      <c r="Q48">
        <f t="shared" si="24"/>
        <v>2167700000</v>
      </c>
      <c r="S48" s="1075" t="s">
        <v>211</v>
      </c>
      <c r="T48" s="1089">
        <f>SUM(T46:T47)</f>
        <v>213000</v>
      </c>
      <c r="U48" s="1089">
        <f>SUM(U46:U47)</f>
        <v>8.1</v>
      </c>
      <c r="V48" s="980">
        <f>SUM(V46:V47)</f>
        <v>17.87</v>
      </c>
      <c r="W48" s="980">
        <f>SUM(W46:W47)</f>
        <v>3.98</v>
      </c>
      <c r="X48">
        <f t="shared" si="25"/>
        <v>398</v>
      </c>
      <c r="Z48"/>
      <c r="AA48" s="89"/>
      <c r="AC48"/>
      <c r="AD48" s="89"/>
      <c r="AF48"/>
      <c r="AG48" s="89"/>
      <c r="AI48"/>
      <c r="AJ48" s="89"/>
      <c r="AL48"/>
      <c r="AM48" s="89"/>
      <c r="AO48"/>
      <c r="AP48" s="89"/>
    </row>
    <row r="49" spans="1:42" x14ac:dyDescent="0.45">
      <c r="A49" s="1015" t="s">
        <v>138</v>
      </c>
      <c r="B49" s="1016">
        <v>2.0299999999999998</v>
      </c>
      <c r="C49" s="978">
        <v>83.4</v>
      </c>
      <c r="D49" s="1022">
        <f>SUM(B49:C49)</f>
        <v>85.43</v>
      </c>
      <c r="E49" s="1015">
        <v>38.26</v>
      </c>
      <c r="F49" s="1015">
        <v>11.12</v>
      </c>
      <c r="G49" s="1015">
        <f>SUM(D49:F49)</f>
        <v>134.81</v>
      </c>
      <c r="H49" s="1382">
        <v>1.399</v>
      </c>
      <c r="I49" s="216">
        <f t="shared" si="23"/>
        <v>136.209</v>
      </c>
      <c r="J49" s="1015" t="s">
        <v>138</v>
      </c>
      <c r="K49" s="1016">
        <v>1.94</v>
      </c>
      <c r="L49" s="978">
        <v>79.680000000000007</v>
      </c>
      <c r="M49" s="1022">
        <f>SUM(K49:L49)</f>
        <v>81.62</v>
      </c>
      <c r="N49" s="1015">
        <v>36.15</v>
      </c>
      <c r="O49" s="1015">
        <v>10.51</v>
      </c>
      <c r="P49" s="1015">
        <f>SUM(M49:O49)</f>
        <v>128.28</v>
      </c>
      <c r="Q49">
        <f t="shared" si="24"/>
        <v>361500000</v>
      </c>
      <c r="S49" s="1074" t="s">
        <v>138</v>
      </c>
      <c r="T49" s="1153">
        <v>22000</v>
      </c>
      <c r="U49" s="1088">
        <v>1.25</v>
      </c>
      <c r="V49" s="122">
        <v>2.71</v>
      </c>
      <c r="W49" s="122">
        <v>0.46</v>
      </c>
      <c r="X49">
        <f t="shared" si="25"/>
        <v>46</v>
      </c>
      <c r="Z49"/>
      <c r="AA49" s="89"/>
      <c r="AC49"/>
      <c r="AD49" s="89"/>
      <c r="AF49"/>
      <c r="AG49" s="89"/>
      <c r="AI49"/>
      <c r="AJ49" s="89"/>
      <c r="AL49"/>
      <c r="AM49" s="89"/>
      <c r="AO49"/>
      <c r="AP49" s="89"/>
    </row>
    <row r="50" spans="1:42" x14ac:dyDescent="0.45">
      <c r="A50" s="1017" t="s">
        <v>212</v>
      </c>
      <c r="B50" s="1018">
        <f t="shared" ref="B50:H50" si="37">SUM(B48:B49)</f>
        <v>17.34</v>
      </c>
      <c r="C50" s="981">
        <f t="shared" si="37"/>
        <v>714.84999999999991</v>
      </c>
      <c r="D50" s="1021">
        <f t="shared" si="37"/>
        <v>732.19</v>
      </c>
      <c r="E50" s="1017">
        <f t="shared" si="37"/>
        <v>267.67</v>
      </c>
      <c r="F50" s="1017">
        <f t="shared" si="37"/>
        <v>69.11</v>
      </c>
      <c r="G50" s="1017">
        <f t="shared" si="37"/>
        <v>1068.9699999999998</v>
      </c>
      <c r="H50" s="1383">
        <f t="shared" si="37"/>
        <v>12.591000000000001</v>
      </c>
      <c r="I50" s="216">
        <f t="shared" si="23"/>
        <v>1081.5609999999997</v>
      </c>
      <c r="J50" s="1017" t="s">
        <v>212</v>
      </c>
      <c r="K50" s="1018">
        <f t="shared" ref="K50:P50" si="38">SUM(K48:K49)</f>
        <v>16.580000000000002</v>
      </c>
      <c r="L50" s="981">
        <f t="shared" si="38"/>
        <v>682.97</v>
      </c>
      <c r="M50" s="1021">
        <f t="shared" si="38"/>
        <v>699.55000000000007</v>
      </c>
      <c r="N50" s="1017">
        <f t="shared" si="38"/>
        <v>252.92</v>
      </c>
      <c r="O50" s="1017">
        <f>SUM(O48:O49)</f>
        <v>65.290000000000006</v>
      </c>
      <c r="P50" s="1017">
        <f t="shared" si="38"/>
        <v>1017.76</v>
      </c>
      <c r="Q50">
        <f t="shared" si="24"/>
        <v>2529200000</v>
      </c>
      <c r="S50" s="1075" t="s">
        <v>212</v>
      </c>
      <c r="T50" s="1089">
        <f>SUM(T48:T49)</f>
        <v>235000</v>
      </c>
      <c r="U50" s="1089">
        <f>SUM(U48:U49)</f>
        <v>9.35</v>
      </c>
      <c r="V50" s="980">
        <f>SUM(V48:V49)</f>
        <v>20.580000000000002</v>
      </c>
      <c r="W50" s="980">
        <f>SUM(W48:W49)</f>
        <v>4.4400000000000004</v>
      </c>
      <c r="X50">
        <f t="shared" si="25"/>
        <v>444.00000000000006</v>
      </c>
      <c r="Z50"/>
      <c r="AA50" s="89"/>
      <c r="AC50"/>
      <c r="AD50" s="89"/>
      <c r="AF50"/>
      <c r="AG50" s="89"/>
      <c r="AI50"/>
      <c r="AJ50" s="89"/>
      <c r="AL50"/>
      <c r="AM50" s="89"/>
      <c r="AO50"/>
      <c r="AP50" s="89"/>
    </row>
    <row r="51" spans="1:42" x14ac:dyDescent="0.45">
      <c r="A51" s="1015" t="s">
        <v>139</v>
      </c>
      <c r="B51" s="1016">
        <v>1.94</v>
      </c>
      <c r="C51" s="978">
        <v>92.37</v>
      </c>
      <c r="D51" s="1020">
        <f>SUM(B51:C51)</f>
        <v>94.31</v>
      </c>
      <c r="E51" s="1015">
        <v>32.04</v>
      </c>
      <c r="F51" s="1015">
        <v>10.29</v>
      </c>
      <c r="G51" s="1015">
        <f>SUM(D51:F51)</f>
        <v>136.63999999999999</v>
      </c>
      <c r="H51" s="1382">
        <v>1.399</v>
      </c>
      <c r="I51" s="216">
        <f t="shared" si="23"/>
        <v>138.03899999999999</v>
      </c>
      <c r="J51" s="1015" t="s">
        <v>139</v>
      </c>
      <c r="K51" s="1016">
        <v>1.86</v>
      </c>
      <c r="L51" s="978">
        <v>88.25</v>
      </c>
      <c r="M51" s="1020">
        <f>SUM(K51:L51)</f>
        <v>90.11</v>
      </c>
      <c r="N51" s="1015">
        <v>30.27</v>
      </c>
      <c r="O51" s="1015">
        <v>9.7200000000000006</v>
      </c>
      <c r="P51" s="1015">
        <f>SUM(M51:O51)</f>
        <v>130.1</v>
      </c>
      <c r="Q51">
        <f t="shared" si="24"/>
        <v>302700000</v>
      </c>
      <c r="S51" s="1074" t="s">
        <v>139</v>
      </c>
      <c r="T51" s="1153">
        <v>22000</v>
      </c>
      <c r="U51" s="1088">
        <v>0.9</v>
      </c>
      <c r="V51" s="122">
        <v>2.4</v>
      </c>
      <c r="W51" s="122">
        <v>0.46</v>
      </c>
      <c r="X51">
        <f t="shared" si="25"/>
        <v>46</v>
      </c>
      <c r="Y51">
        <f>X51/100000</f>
        <v>4.6000000000000001E-4</v>
      </c>
      <c r="Z51"/>
      <c r="AA51" s="89"/>
      <c r="AC51"/>
      <c r="AD51" s="89"/>
      <c r="AF51"/>
      <c r="AG51" s="89"/>
      <c r="AI51"/>
      <c r="AJ51" s="89"/>
      <c r="AL51"/>
      <c r="AM51" s="89"/>
      <c r="AO51"/>
      <c r="AP51" s="89"/>
    </row>
    <row r="52" spans="1:42" x14ac:dyDescent="0.45">
      <c r="A52" s="1017" t="s">
        <v>206</v>
      </c>
      <c r="B52" s="1018">
        <f t="shared" ref="B52:G52" si="39">SUM(B50:B51)</f>
        <v>19.28</v>
      </c>
      <c r="C52" s="981">
        <f t="shared" si="39"/>
        <v>807.21999999999991</v>
      </c>
      <c r="D52" s="1021">
        <f t="shared" si="39"/>
        <v>826.5</v>
      </c>
      <c r="E52" s="1017">
        <f t="shared" si="39"/>
        <v>299.71000000000004</v>
      </c>
      <c r="F52" s="1017">
        <f t="shared" si="39"/>
        <v>79.400000000000006</v>
      </c>
      <c r="G52" s="1017">
        <f t="shared" si="39"/>
        <v>1205.6099999999997</v>
      </c>
      <c r="H52" s="1383">
        <f>SUM(H50:H51)</f>
        <v>13.990000000000002</v>
      </c>
      <c r="I52" s="216">
        <f t="shared" si="23"/>
        <v>1219.5999999999997</v>
      </c>
      <c r="J52" s="1017" t="s">
        <v>206</v>
      </c>
      <c r="K52" s="1018">
        <f t="shared" ref="K52:P52" si="40">SUM(K50:K51)</f>
        <v>18.440000000000001</v>
      </c>
      <c r="L52" s="981">
        <f t="shared" si="40"/>
        <v>771.22</v>
      </c>
      <c r="M52" s="1021">
        <f t="shared" si="40"/>
        <v>789.66000000000008</v>
      </c>
      <c r="N52" s="1017">
        <f t="shared" si="40"/>
        <v>283.19</v>
      </c>
      <c r="O52" s="1017">
        <f t="shared" si="40"/>
        <v>75.010000000000005</v>
      </c>
      <c r="P52" s="1017">
        <f t="shared" si="40"/>
        <v>1147.8599999999999</v>
      </c>
      <c r="Q52">
        <f t="shared" si="24"/>
        <v>2831900000</v>
      </c>
      <c r="S52" s="1075" t="s">
        <v>206</v>
      </c>
      <c r="T52" s="1089">
        <f>SUM(T50:T51)</f>
        <v>257000</v>
      </c>
      <c r="U52" s="1089">
        <f>SUM(U50:U51)</f>
        <v>10.25</v>
      </c>
      <c r="V52" s="980">
        <f>SUM(V50:V51)</f>
        <v>22.98</v>
      </c>
      <c r="W52" s="980">
        <f>SUM(W50:W51)</f>
        <v>4.9000000000000004</v>
      </c>
      <c r="X52">
        <f t="shared" si="25"/>
        <v>490</v>
      </c>
      <c r="Y52">
        <f>X52/100000</f>
        <v>4.8999999999999998E-3</v>
      </c>
      <c r="Z52"/>
      <c r="AA52" s="89"/>
      <c r="AC52"/>
      <c r="AD52" s="89"/>
      <c r="AF52"/>
      <c r="AG52" s="89"/>
      <c r="AI52"/>
      <c r="AJ52" s="89"/>
      <c r="AL52"/>
      <c r="AM52" s="89"/>
      <c r="AO52"/>
      <c r="AP52" s="89"/>
    </row>
    <row r="53" spans="1:42" x14ac:dyDescent="0.45">
      <c r="A53" s="1015" t="s">
        <v>140</v>
      </c>
      <c r="B53" s="1016">
        <v>1.78</v>
      </c>
      <c r="C53" s="978">
        <v>85.07</v>
      </c>
      <c r="D53" s="1020">
        <f>SUM(B53:C53)</f>
        <v>86.85</v>
      </c>
      <c r="E53" s="1015">
        <v>22.58</v>
      </c>
      <c r="F53" s="1015">
        <v>9.5500000000000007</v>
      </c>
      <c r="G53" s="1015">
        <f>SUM(D53:F53)</f>
        <v>118.97999999999999</v>
      </c>
      <c r="H53" s="1382">
        <v>1.399</v>
      </c>
      <c r="I53" s="216">
        <f t="shared" si="23"/>
        <v>120.37899999999999</v>
      </c>
      <c r="J53" s="1015" t="s">
        <v>140</v>
      </c>
      <c r="K53" s="1016">
        <v>1.69</v>
      </c>
      <c r="L53" s="978">
        <v>81.27</v>
      </c>
      <c r="M53" s="1020">
        <f>SUM(K53:L53)</f>
        <v>82.96</v>
      </c>
      <c r="N53" s="1015">
        <v>21.33</v>
      </c>
      <c r="O53" s="1015">
        <v>9.02</v>
      </c>
      <c r="P53" s="1015">
        <f>SUM(M53:O53)</f>
        <v>113.30999999999999</v>
      </c>
      <c r="Q53">
        <f t="shared" si="24"/>
        <v>213299999.99999997</v>
      </c>
      <c r="S53" s="1074" t="s">
        <v>140</v>
      </c>
      <c r="T53" s="1153">
        <v>22000</v>
      </c>
      <c r="U53" s="1088">
        <v>0.9</v>
      </c>
      <c r="V53" s="122">
        <v>2.16</v>
      </c>
      <c r="W53" s="122">
        <v>0.41</v>
      </c>
      <c r="X53">
        <f t="shared" si="25"/>
        <v>40.999999999999993</v>
      </c>
      <c r="Y53">
        <f>X53/100000</f>
        <v>4.0999999999999994E-4</v>
      </c>
      <c r="Z53"/>
      <c r="AA53" s="89"/>
      <c r="AC53"/>
      <c r="AD53" s="89"/>
      <c r="AF53"/>
      <c r="AG53" s="89"/>
      <c r="AI53"/>
      <c r="AJ53" s="89"/>
      <c r="AL53"/>
      <c r="AM53" s="89"/>
      <c r="AO53"/>
      <c r="AP53" s="89"/>
    </row>
    <row r="54" spans="1:42" x14ac:dyDescent="0.45">
      <c r="A54" s="1017" t="s">
        <v>215</v>
      </c>
      <c r="B54" s="1023">
        <f t="shared" ref="B54:H54" si="41">SUM(B52:B53)</f>
        <v>21.060000000000002</v>
      </c>
      <c r="C54" s="981">
        <f t="shared" si="41"/>
        <v>892.29</v>
      </c>
      <c r="D54" s="1021">
        <f t="shared" si="41"/>
        <v>913.35</v>
      </c>
      <c r="E54" s="1017">
        <f t="shared" si="41"/>
        <v>322.29000000000002</v>
      </c>
      <c r="F54" s="1017">
        <f t="shared" si="41"/>
        <v>88.95</v>
      </c>
      <c r="G54" s="1017">
        <f t="shared" si="41"/>
        <v>1324.5899999999997</v>
      </c>
      <c r="H54" s="1383">
        <f t="shared" si="41"/>
        <v>15.389000000000003</v>
      </c>
      <c r="I54" s="216">
        <f t="shared" si="23"/>
        <v>1339.9789999999996</v>
      </c>
      <c r="J54" s="1017" t="s">
        <v>215</v>
      </c>
      <c r="K54" s="1023">
        <f t="shared" ref="K54:P54" si="42">SUM(K52:K53)</f>
        <v>20.130000000000003</v>
      </c>
      <c r="L54" s="981">
        <f t="shared" si="42"/>
        <v>852.49</v>
      </c>
      <c r="M54" s="1021">
        <f t="shared" si="42"/>
        <v>872.62000000000012</v>
      </c>
      <c r="N54" s="1017">
        <f t="shared" si="42"/>
        <v>304.52</v>
      </c>
      <c r="O54" s="1017">
        <f t="shared" si="42"/>
        <v>84.03</v>
      </c>
      <c r="P54" s="1017">
        <f t="shared" si="42"/>
        <v>1261.1699999999998</v>
      </c>
      <c r="Q54">
        <f t="shared" si="24"/>
        <v>3045200000</v>
      </c>
      <c r="S54" s="1075" t="s">
        <v>215</v>
      </c>
      <c r="T54" s="1089">
        <f>SUM(T52:T53)</f>
        <v>279000</v>
      </c>
      <c r="U54" s="1089">
        <f>SUM(U52:U53)</f>
        <v>11.15</v>
      </c>
      <c r="V54" s="980">
        <f>SUM(V52:V53)</f>
        <v>25.14</v>
      </c>
      <c r="W54" s="980">
        <f>SUM(W52:W53)</f>
        <v>5.3100000000000005</v>
      </c>
      <c r="X54">
        <f t="shared" si="25"/>
        <v>531.00000000000011</v>
      </c>
      <c r="Y54">
        <f>X54/100000</f>
        <v>5.3100000000000014E-3</v>
      </c>
      <c r="Z54"/>
      <c r="AA54" s="89"/>
      <c r="AC54"/>
      <c r="AD54" s="89"/>
      <c r="AF54"/>
      <c r="AG54" s="89"/>
      <c r="AI54"/>
      <c r="AJ54" s="89"/>
      <c r="AL54"/>
      <c r="AM54" s="89"/>
      <c r="AO54"/>
      <c r="AP54" s="89"/>
    </row>
    <row r="55" spans="1:42" x14ac:dyDescent="0.45">
      <c r="A55" s="1015" t="s">
        <v>141</v>
      </c>
      <c r="B55" s="1016">
        <v>1.1000000000000001</v>
      </c>
      <c r="C55" s="978">
        <v>36.14</v>
      </c>
      <c r="D55" s="1020">
        <f>SUM(B55:C55)</f>
        <v>37.24</v>
      </c>
      <c r="E55" s="1076">
        <v>18.940000000000001</v>
      </c>
      <c r="F55" s="1015">
        <v>13.51</v>
      </c>
      <c r="G55" s="1015">
        <f>SUM(D55:F55)</f>
        <v>69.690000000000012</v>
      </c>
      <c r="H55" s="1382">
        <v>1.399</v>
      </c>
      <c r="I55" s="216">
        <f>G55+H55</f>
        <v>71.089000000000013</v>
      </c>
      <c r="J55" s="1015" t="s">
        <v>141</v>
      </c>
      <c r="K55" s="1016">
        <v>1.05</v>
      </c>
      <c r="L55" s="978">
        <v>34.53</v>
      </c>
      <c r="M55" s="1020">
        <f>SUM(K55:L55)</f>
        <v>35.58</v>
      </c>
      <c r="N55" s="1076">
        <v>17.899999999999999</v>
      </c>
      <c r="O55" s="1015">
        <v>12.75</v>
      </c>
      <c r="P55" s="1015">
        <f>SUM(M55:O55)</f>
        <v>66.22999999999999</v>
      </c>
      <c r="Q55">
        <f t="shared" si="24"/>
        <v>179000000</v>
      </c>
      <c r="S55" s="1074" t="s">
        <v>141</v>
      </c>
      <c r="T55" s="1153">
        <v>22000</v>
      </c>
      <c r="U55" s="1088">
        <v>0.9</v>
      </c>
      <c r="V55" s="122">
        <v>2.61</v>
      </c>
      <c r="W55" s="122">
        <v>0.46</v>
      </c>
      <c r="X55">
        <f t="shared" si="25"/>
        <v>46</v>
      </c>
      <c r="Z55"/>
      <c r="AA55" s="89"/>
      <c r="AC55"/>
      <c r="AD55" s="89"/>
      <c r="AF55"/>
      <c r="AG55" s="89"/>
      <c r="AI55"/>
      <c r="AJ55" s="89"/>
      <c r="AL55"/>
      <c r="AM55" s="89"/>
      <c r="AO55"/>
      <c r="AP55" s="89"/>
    </row>
    <row r="56" spans="1:42" ht="14.65" thickBot="1" x14ac:dyDescent="0.5">
      <c r="A56" s="1024" t="s">
        <v>240</v>
      </c>
      <c r="B56" s="1025">
        <f t="shared" ref="B56:H56" si="43">SUM(B54:B55)</f>
        <v>22.160000000000004</v>
      </c>
      <c r="C56" s="1026">
        <f t="shared" si="43"/>
        <v>928.43</v>
      </c>
      <c r="D56" s="1027">
        <f t="shared" si="43"/>
        <v>950.59</v>
      </c>
      <c r="E56" s="1024">
        <f t="shared" si="43"/>
        <v>341.23</v>
      </c>
      <c r="F56" s="1024">
        <f t="shared" si="43"/>
        <v>102.46000000000001</v>
      </c>
      <c r="G56" s="1024">
        <f t="shared" si="43"/>
        <v>1394.2799999999997</v>
      </c>
      <c r="H56" s="1381">
        <f t="shared" si="43"/>
        <v>16.788000000000004</v>
      </c>
      <c r="J56" s="1024" t="s">
        <v>240</v>
      </c>
      <c r="K56" s="1025">
        <f t="shared" ref="K56:P56" si="44">SUM(K54:K55)</f>
        <v>21.180000000000003</v>
      </c>
      <c r="L56" s="1026">
        <f t="shared" si="44"/>
        <v>887.02</v>
      </c>
      <c r="M56" s="1027">
        <f t="shared" si="44"/>
        <v>908.20000000000016</v>
      </c>
      <c r="N56" s="1024">
        <f t="shared" si="44"/>
        <v>322.41999999999996</v>
      </c>
      <c r="O56" s="1024">
        <f t="shared" si="44"/>
        <v>96.78</v>
      </c>
      <c r="P56" s="1024">
        <f t="shared" si="44"/>
        <v>1327.3999999999999</v>
      </c>
      <c r="Q56">
        <f t="shared" si="24"/>
        <v>3224199999.9999995</v>
      </c>
      <c r="S56" s="1075" t="s">
        <v>240</v>
      </c>
      <c r="T56" s="1089">
        <f>SUM(T54:T55)</f>
        <v>301000</v>
      </c>
      <c r="U56" s="1089">
        <f>SUM(U54:U55)</f>
        <v>12.05</v>
      </c>
      <c r="V56" s="980">
        <f>SUM(V54:V55)</f>
        <v>27.75</v>
      </c>
      <c r="W56" s="980">
        <f>SUM(W54:W55)</f>
        <v>5.7700000000000005</v>
      </c>
      <c r="X56">
        <f t="shared" si="25"/>
        <v>577.00000000000011</v>
      </c>
      <c r="Z56"/>
      <c r="AA56" s="89"/>
      <c r="AB56">
        <v>113</v>
      </c>
      <c r="AC56">
        <v>9.8699999999999992</v>
      </c>
      <c r="AD56" s="89">
        <v>125</v>
      </c>
      <c r="AE56">
        <f>(AD56-AB56)/AB56*100</f>
        <v>10.619469026548673</v>
      </c>
      <c r="AF56">
        <f>(AD56-AC56)/AC56*100</f>
        <v>1166.4640324214793</v>
      </c>
      <c r="AG56" s="89"/>
      <c r="AI56"/>
      <c r="AJ56" s="89"/>
      <c r="AL56"/>
      <c r="AM56" s="89"/>
      <c r="AO56"/>
      <c r="AP56" s="89"/>
    </row>
    <row r="57" spans="1:42" x14ac:dyDescent="0.45">
      <c r="D57">
        <f>D36+D37</f>
        <v>254.16000000000003</v>
      </c>
      <c r="E57">
        <f>E36+E37</f>
        <v>67.040000000000006</v>
      </c>
      <c r="F57">
        <f>F36+F37</f>
        <v>17.45</v>
      </c>
      <c r="G57">
        <f>G36+G37</f>
        <v>338.65</v>
      </c>
      <c r="H57" s="216">
        <f>H36+H37</f>
        <v>4.1970000000000001</v>
      </c>
      <c r="I57" s="216">
        <f>I55+I53+I51+I49+I47</f>
        <v>594.52499999999998</v>
      </c>
      <c r="K57">
        <f>K39+K41+K43+K45+K47+K49+K51+K53+K55</f>
        <v>15.91</v>
      </c>
      <c r="L57">
        <f>L39+L41+L43+L45+L47+L49+L51+L53+L55</f>
        <v>649.46</v>
      </c>
      <c r="M57" s="229">
        <f>M39+M41+M43+M45+M47+M49+M51+M53+M55</f>
        <v>665.37</v>
      </c>
      <c r="N57">
        <f>N39+N41+N43+N45+N47+N49+N51+N53+N55</f>
        <v>259.07</v>
      </c>
      <c r="O57">
        <f>O39+O41+O43+O45+O47+O49+O51+O53+O55</f>
        <v>80.289999999999992</v>
      </c>
      <c r="T57">
        <f>T39+T41+T43+T45+T47+T49+T51+T53+T55</f>
        <v>211000</v>
      </c>
      <c r="U57">
        <f>U39+U41+U43+U45+U47+U49+U51+U53+U55</f>
        <v>8.4500000000000011</v>
      </c>
      <c r="V57">
        <f>V39+V41+V43+V45+V47+V49+V51+V53+V55</f>
        <v>22.15</v>
      </c>
      <c r="W57">
        <f>W39+W41+W43+W45+W47+W49+W51+W53+W55</f>
        <v>4.53</v>
      </c>
      <c r="X57">
        <f>U57*10000000</f>
        <v>84500000.000000015</v>
      </c>
    </row>
    <row r="58" spans="1:42" ht="14.65" thickBot="1" x14ac:dyDescent="0.5">
      <c r="C58">
        <f>D34+D35+D37+D39+D41+D43+D45+D47</f>
        <v>646.76</v>
      </c>
      <c r="D58" s="229">
        <f>D47+D45+D43+D41+D39</f>
        <v>392.6</v>
      </c>
      <c r="E58" s="229">
        <f>E47+E45+E43+E41+E39</f>
        <v>162.37</v>
      </c>
      <c r="F58" s="229">
        <f>F47+F45+F43+F41+F39</f>
        <v>40.540000000000006</v>
      </c>
      <c r="G58" s="229">
        <f>G47+G45+G43+G41+G39</f>
        <v>595.51</v>
      </c>
      <c r="H58" s="229">
        <f>H47+H45+H43+H41+H39</f>
        <v>6.9950000000000001</v>
      </c>
      <c r="V58">
        <f>V57/100000</f>
        <v>2.2149999999999999E-4</v>
      </c>
      <c r="W58">
        <f>W57/100000</f>
        <v>4.5300000000000003E-5</v>
      </c>
    </row>
    <row r="59" spans="1:42" x14ac:dyDescent="0.45">
      <c r="E59" s="2414" t="s">
        <v>127</v>
      </c>
      <c r="F59" s="2268" t="s">
        <v>694</v>
      </c>
      <c r="G59" s="2416"/>
      <c r="H59" s="2417"/>
      <c r="J59" s="2414" t="s">
        <v>127</v>
      </c>
      <c r="K59" s="2268" t="s">
        <v>694</v>
      </c>
      <c r="L59" s="2416"/>
      <c r="M59" s="2417"/>
      <c r="T59" s="786">
        <f>T40/1000</f>
        <v>113</v>
      </c>
    </row>
    <row r="60" spans="1:42" ht="14.65" thickBot="1" x14ac:dyDescent="0.5">
      <c r="E60" s="2415"/>
      <c r="F60" s="1118" t="s">
        <v>94</v>
      </c>
      <c r="G60" s="1116" t="s">
        <v>97</v>
      </c>
      <c r="H60" s="1117" t="s">
        <v>63</v>
      </c>
      <c r="J60" s="2415"/>
      <c r="K60" s="1118" t="s">
        <v>94</v>
      </c>
      <c r="L60" s="1116" t="s">
        <v>97</v>
      </c>
      <c r="M60" s="1117" t="s">
        <v>63</v>
      </c>
    </row>
    <row r="61" spans="1:42" ht="16.149999999999999" thickBot="1" x14ac:dyDescent="0.5">
      <c r="A61" s="1378" t="s">
        <v>131</v>
      </c>
      <c r="B61">
        <f>SUMIF($A$34:$A$56,A61,$B$34:$B$56)</f>
        <v>1.72</v>
      </c>
      <c r="C61">
        <f>SUMIF($A$34:$A$56,A61,$C$34:$C$56)</f>
        <v>81.02</v>
      </c>
      <c r="D61">
        <f>SUMIF($A$34:$A$56,A61,$D$34:$D$56)</f>
        <v>82.74</v>
      </c>
      <c r="E61" s="1010" t="s">
        <v>131</v>
      </c>
      <c r="F61" s="1119">
        <v>2.19</v>
      </c>
      <c r="G61" s="1012">
        <v>3.03</v>
      </c>
      <c r="H61" s="1013">
        <f>SUM(F61:G61)</f>
        <v>5.22</v>
      </c>
      <c r="J61" s="1010" t="s">
        <v>131</v>
      </c>
      <c r="K61" s="1119">
        <v>2.82</v>
      </c>
      <c r="L61" s="1012">
        <v>3.89</v>
      </c>
      <c r="M61" s="1013">
        <f>SUM(K61:L61)</f>
        <v>6.71</v>
      </c>
      <c r="R61" t="s">
        <v>391</v>
      </c>
      <c r="S61" s="331">
        <v>12.24</v>
      </c>
      <c r="T61" s="786">
        <f>S61/12</f>
        <v>1.02</v>
      </c>
      <c r="U61" s="229">
        <f>(T61*10000000)/100000</f>
        <v>102</v>
      </c>
      <c r="V61" s="229">
        <f>T61*4</f>
        <v>4.08</v>
      </c>
      <c r="W61" s="229">
        <f>T61*9</f>
        <v>9.18</v>
      </c>
    </row>
    <row r="62" spans="1:42" ht="16.149999999999999" thickBot="1" x14ac:dyDescent="0.5">
      <c r="A62" s="1378" t="s">
        <v>132</v>
      </c>
      <c r="B62">
        <f t="shared" ref="B62:B73" si="45">SUMIF($A$34:$A$56,A62,$B$34:$B$56)</f>
        <v>1.86</v>
      </c>
      <c r="C62">
        <f t="shared" ref="C62:C73" si="46">SUMIF($A$34:$A$56,A62,$C$34:$C$56)</f>
        <v>80.39</v>
      </c>
      <c r="D62">
        <f t="shared" ref="D62:D73" si="47">SUMIF($A$34:$A$56,A62,$D$34:$D$56)</f>
        <v>82.25</v>
      </c>
      <c r="E62" s="1015" t="s">
        <v>132</v>
      </c>
      <c r="F62" s="1120">
        <v>2.29</v>
      </c>
      <c r="G62" s="978">
        <v>3.21</v>
      </c>
      <c r="H62" s="1020">
        <f>SUM(F62:G62)</f>
        <v>5.5</v>
      </c>
      <c r="J62" s="1015" t="s">
        <v>132</v>
      </c>
      <c r="K62" s="1120">
        <v>2.94</v>
      </c>
      <c r="L62" s="978">
        <v>4.12</v>
      </c>
      <c r="M62" s="1020">
        <f>SUM(K62:L62)</f>
        <v>7.0600000000000005</v>
      </c>
      <c r="N62" s="229"/>
      <c r="R62" t="s">
        <v>446</v>
      </c>
      <c r="S62" s="333">
        <v>2.1</v>
      </c>
      <c r="T62" s="786">
        <f>S62/12</f>
        <v>0.17500000000000002</v>
      </c>
      <c r="U62" s="273">
        <f>(T62*10000000)/100000</f>
        <v>17.500000000000004</v>
      </c>
      <c r="V62" s="229">
        <f>T62*4</f>
        <v>0.70000000000000007</v>
      </c>
      <c r="W62" s="229">
        <f>T62*9</f>
        <v>1.5750000000000002</v>
      </c>
    </row>
    <row r="63" spans="1:42" ht="16.149999999999999" thickBot="1" x14ac:dyDescent="0.5">
      <c r="A63" s="1378" t="s">
        <v>133</v>
      </c>
      <c r="B63">
        <f t="shared" si="45"/>
        <v>1.94</v>
      </c>
      <c r="C63">
        <f t="shared" si="46"/>
        <v>87.23</v>
      </c>
      <c r="D63">
        <f t="shared" si="47"/>
        <v>89.17</v>
      </c>
      <c r="E63" s="1017" t="s">
        <v>204</v>
      </c>
      <c r="F63" s="1121">
        <f>SUM(F61:F62)</f>
        <v>4.4800000000000004</v>
      </c>
      <c r="G63" s="1121">
        <f>SUM(G61:G62)</f>
        <v>6.24</v>
      </c>
      <c r="H63" s="1121">
        <f>SUM(H61:H62)</f>
        <v>10.719999999999999</v>
      </c>
      <c r="J63" s="1017" t="s">
        <v>204</v>
      </c>
      <c r="K63" s="1121">
        <f>SUM(K61:K62)</f>
        <v>5.76</v>
      </c>
      <c r="L63" s="981">
        <f>SUM(L61:L62)</f>
        <v>8.01</v>
      </c>
      <c r="M63" s="1019">
        <f>SUM(K63:L63)</f>
        <v>13.77</v>
      </c>
      <c r="R63" t="s">
        <v>730</v>
      </c>
      <c r="S63" s="331">
        <v>2.4500000000000002</v>
      </c>
      <c r="T63" s="786">
        <f>S63/12</f>
        <v>0.20416666666666669</v>
      </c>
      <c r="U63" s="229">
        <f>(T63*10000000)/100000</f>
        <v>20.416666666666671</v>
      </c>
      <c r="V63" s="229">
        <f>T63*4</f>
        <v>0.81666666666666676</v>
      </c>
      <c r="W63" s="229">
        <f>T63*9</f>
        <v>1.8375000000000001</v>
      </c>
    </row>
    <row r="64" spans="1:42" ht="14.65" thickBot="1" x14ac:dyDescent="0.5">
      <c r="A64" s="1378" t="s">
        <v>51</v>
      </c>
      <c r="B64">
        <f t="shared" si="45"/>
        <v>2.21</v>
      </c>
      <c r="C64">
        <f t="shared" si="46"/>
        <v>86.01</v>
      </c>
      <c r="D64">
        <f t="shared" si="47"/>
        <v>88.22</v>
      </c>
      <c r="E64" s="1015" t="s">
        <v>133</v>
      </c>
      <c r="F64" s="1120">
        <v>2.48</v>
      </c>
      <c r="G64" s="978">
        <v>3.12</v>
      </c>
      <c r="H64" s="1020">
        <f>SUM(F64:G64)</f>
        <v>5.6</v>
      </c>
      <c r="J64" s="1015" t="s">
        <v>133</v>
      </c>
      <c r="K64" s="1120">
        <v>3.18</v>
      </c>
      <c r="L64" s="978">
        <v>4.01</v>
      </c>
      <c r="M64" s="1020">
        <f>SUM(K64:L64)</f>
        <v>7.1899999999999995</v>
      </c>
      <c r="N64" s="229"/>
      <c r="S64" s="54">
        <f>SUM(S61:S63)</f>
        <v>16.79</v>
      </c>
      <c r="T64" s="786">
        <f>S64/12</f>
        <v>1.3991666666666667</v>
      </c>
      <c r="V64" s="229">
        <f>T64*4</f>
        <v>5.5966666666666667</v>
      </c>
      <c r="W64" s="229">
        <f>SUM(W61:W63)</f>
        <v>12.592499999999999</v>
      </c>
      <c r="X64" s="1100"/>
      <c r="Y64" s="1100">
        <f>K64/30</f>
        <v>0.10600000000000001</v>
      </c>
      <c r="Z64" s="1100">
        <f>L64/30</f>
        <v>0.13366666666666666</v>
      </c>
      <c r="AA64" s="1100">
        <f>M64/30</f>
        <v>0.23966666666666664</v>
      </c>
      <c r="AB64" s="1100">
        <f>N64/30</f>
        <v>0</v>
      </c>
    </row>
    <row r="65" spans="1:28" ht="14.65" thickBot="1" x14ac:dyDescent="0.5">
      <c r="A65" s="1378"/>
      <c r="B65" s="89">
        <f>SUM(B61:B64)</f>
        <v>7.7299999999999995</v>
      </c>
      <c r="C65" s="89">
        <f>SUM(C61:C64)</f>
        <v>334.65</v>
      </c>
      <c r="D65" s="89">
        <f>SUM(D61:D64)</f>
        <v>342.38</v>
      </c>
      <c r="E65" s="1017" t="s">
        <v>205</v>
      </c>
      <c r="F65" s="1121">
        <f>SUM(F63:F64)</f>
        <v>6.9600000000000009</v>
      </c>
      <c r="G65" s="1121">
        <f>SUM(G63:G64)</f>
        <v>9.36</v>
      </c>
      <c r="H65" s="1121">
        <f>SUM(H63:H64)</f>
        <v>16.32</v>
      </c>
      <c r="J65" s="1017" t="s">
        <v>205</v>
      </c>
      <c r="K65" s="1121">
        <f>SUM(K63:K64)</f>
        <v>8.94</v>
      </c>
      <c r="L65" s="981">
        <f>SUM(L63:L64)</f>
        <v>12.02</v>
      </c>
      <c r="M65" s="1021">
        <f>SUM(M63:M64)</f>
        <v>20.96</v>
      </c>
      <c r="O65" s="470">
        <f>F82/31</f>
        <v>4.5483870967741931E-2</v>
      </c>
      <c r="P65" s="470">
        <f>G82/31</f>
        <v>4.9354838709677419E-2</v>
      </c>
      <c r="Q65" s="470">
        <f>H82/31</f>
        <v>9.483870967741935E-2</v>
      </c>
      <c r="S65" s="54">
        <f>S64/100000</f>
        <v>1.6789999999999999E-4</v>
      </c>
      <c r="X65" s="1099"/>
      <c r="Y65" s="1099">
        <f>Y64*26</f>
        <v>2.7560000000000002</v>
      </c>
      <c r="Z65" s="1099">
        <f>Z64*26</f>
        <v>3.4753333333333329</v>
      </c>
      <c r="AA65" s="1099">
        <f>AA64*26</f>
        <v>6.2313333333333327</v>
      </c>
      <c r="AB65" s="1099">
        <f>AB64*19</f>
        <v>0</v>
      </c>
    </row>
    <row r="66" spans="1:28" ht="14.65" thickBot="1" x14ac:dyDescent="0.5">
      <c r="A66" s="1378" t="s">
        <v>134</v>
      </c>
      <c r="B66">
        <f t="shared" si="45"/>
        <v>1.96</v>
      </c>
      <c r="C66">
        <f t="shared" si="46"/>
        <v>67.94</v>
      </c>
      <c r="D66">
        <f t="shared" si="47"/>
        <v>69.899999999999991</v>
      </c>
      <c r="E66" s="1015" t="s">
        <v>51</v>
      </c>
      <c r="F66" s="1120">
        <v>2.85</v>
      </c>
      <c r="G66" s="978">
        <v>2.91</v>
      </c>
      <c r="H66" s="1020">
        <f>SUM(F66:G66)</f>
        <v>5.76</v>
      </c>
      <c r="J66" s="1015" t="s">
        <v>51</v>
      </c>
      <c r="K66" s="1120">
        <v>3.66</v>
      </c>
      <c r="L66" s="978">
        <v>3.73</v>
      </c>
      <c r="M66" s="1020">
        <f>SUM(K66:L66)</f>
        <v>7.3900000000000006</v>
      </c>
      <c r="N66" s="91"/>
      <c r="O66" s="1144">
        <f>O65*26</f>
        <v>1.1825806451612901</v>
      </c>
      <c r="P66" s="1144">
        <f>P65*26</f>
        <v>1.2832258064516129</v>
      </c>
      <c r="Q66" s="1144">
        <f>Q65*26</f>
        <v>2.4658064516129032</v>
      </c>
      <c r="R66" s="216">
        <f>(O66*1000000)/100000</f>
        <v>11.825806451612902</v>
      </c>
      <c r="S66" s="216">
        <f>S65/12</f>
        <v>1.3991666666666665E-5</v>
      </c>
      <c r="X66" s="229"/>
      <c r="Y66" s="229">
        <f>K63+Y65</f>
        <v>8.516</v>
      </c>
      <c r="Z66" s="229">
        <f>L63+Z65</f>
        <v>11.485333333333333</v>
      </c>
      <c r="AA66" s="229">
        <f>M63+AA65</f>
        <v>20.001333333333331</v>
      </c>
      <c r="AB66" s="229">
        <f>N63+AB65</f>
        <v>0</v>
      </c>
    </row>
    <row r="67" spans="1:28" ht="14.65" thickBot="1" x14ac:dyDescent="0.5">
      <c r="A67" s="1378" t="s">
        <v>135</v>
      </c>
      <c r="B67">
        <f t="shared" si="45"/>
        <v>1.93</v>
      </c>
      <c r="C67">
        <f t="shared" si="46"/>
        <v>75.34</v>
      </c>
      <c r="D67">
        <f t="shared" si="47"/>
        <v>77.27000000000001</v>
      </c>
      <c r="E67" s="1017" t="s">
        <v>207</v>
      </c>
      <c r="F67" s="1121">
        <f>SUM(F65:F66)</f>
        <v>9.81</v>
      </c>
      <c r="G67" s="1121">
        <f>SUM(G65:G66)</f>
        <v>12.27</v>
      </c>
      <c r="H67" s="1121">
        <f>SUM(H65:H66)</f>
        <v>22.08</v>
      </c>
      <c r="J67" s="1017" t="s">
        <v>207</v>
      </c>
      <c r="K67" s="1121">
        <f>SUM(K65:K66)</f>
        <v>12.6</v>
      </c>
      <c r="L67" s="981">
        <f>SUM(L65:L66)</f>
        <v>15.75</v>
      </c>
      <c r="M67" s="1021">
        <f>SUM(M65:M66)</f>
        <v>28.35</v>
      </c>
      <c r="O67" s="1143">
        <f>O66+F81</f>
        <v>28.642580645161292</v>
      </c>
      <c r="P67" s="1143">
        <f>P66+G81</f>
        <v>33.413225806451607</v>
      </c>
      <c r="Q67" s="1143">
        <f>Q66+H81</f>
        <v>62.055806451612909</v>
      </c>
    </row>
    <row r="68" spans="1:28" ht="14.65" thickBot="1" x14ac:dyDescent="0.5">
      <c r="A68" s="1378" t="s">
        <v>136</v>
      </c>
      <c r="B68">
        <f t="shared" si="45"/>
        <v>1.78</v>
      </c>
      <c r="C68">
        <f t="shared" si="46"/>
        <v>70.849999999999994</v>
      </c>
      <c r="D68">
        <f t="shared" si="47"/>
        <v>72.63</v>
      </c>
      <c r="E68" s="1015" t="s">
        <v>134</v>
      </c>
      <c r="F68" s="1120">
        <v>2.63</v>
      </c>
      <c r="G68" s="978">
        <v>2.34</v>
      </c>
      <c r="H68" s="1020">
        <f>SUM(F68:G68)</f>
        <v>4.97</v>
      </c>
      <c r="J68" s="1015" t="s">
        <v>134</v>
      </c>
      <c r="K68" s="1120">
        <v>3.38</v>
      </c>
      <c r="L68" s="978">
        <v>3</v>
      </c>
      <c r="M68" s="1020">
        <f>SUM(K68:L68)</f>
        <v>6.38</v>
      </c>
    </row>
    <row r="69" spans="1:28" ht="14.65" thickBot="1" x14ac:dyDescent="0.5">
      <c r="A69" s="1378" t="s">
        <v>137</v>
      </c>
      <c r="B69">
        <f t="shared" si="45"/>
        <v>1.91</v>
      </c>
      <c r="C69">
        <f t="shared" si="46"/>
        <v>82.67</v>
      </c>
      <c r="D69">
        <f t="shared" si="47"/>
        <v>84.58</v>
      </c>
      <c r="E69" s="1017" t="s">
        <v>208</v>
      </c>
      <c r="F69" s="1121">
        <f>SUM(F67:F68)</f>
        <v>12.440000000000001</v>
      </c>
      <c r="G69" s="1121">
        <f>SUM(G67:G68)</f>
        <v>14.61</v>
      </c>
      <c r="H69" s="1121">
        <f>SUM(H67:H68)</f>
        <v>27.049999999999997</v>
      </c>
      <c r="J69" s="1017" t="s">
        <v>208</v>
      </c>
      <c r="K69" s="1121">
        <f>SUM(K67:K68)</f>
        <v>15.98</v>
      </c>
      <c r="L69" s="981">
        <f>SUM(L67:L68)</f>
        <v>18.75</v>
      </c>
      <c r="M69" s="1021">
        <f>SUM(M67:M68)</f>
        <v>34.730000000000004</v>
      </c>
    </row>
    <row r="70" spans="1:28" ht="14.65" thickBot="1" x14ac:dyDescent="0.5">
      <c r="A70" s="1378" t="s">
        <v>138</v>
      </c>
      <c r="B70">
        <f t="shared" si="45"/>
        <v>2.0299999999999998</v>
      </c>
      <c r="C70">
        <f t="shared" si="46"/>
        <v>83.4</v>
      </c>
      <c r="D70">
        <f t="shared" si="47"/>
        <v>85.43</v>
      </c>
      <c r="E70" s="1015" t="s">
        <v>135</v>
      </c>
      <c r="F70" s="1120">
        <v>2.62</v>
      </c>
      <c r="G70" s="978">
        <v>2.77</v>
      </c>
      <c r="H70" s="1020">
        <f>SUM(F70:G70)</f>
        <v>5.3900000000000006</v>
      </c>
      <c r="J70" s="1015" t="s">
        <v>135</v>
      </c>
      <c r="K70" s="1120">
        <v>3.37</v>
      </c>
      <c r="L70" s="978">
        <v>3.56</v>
      </c>
      <c r="M70" s="1020">
        <f>SUM(K70:L70)</f>
        <v>6.93</v>
      </c>
    </row>
    <row r="71" spans="1:28" ht="14.65" thickBot="1" x14ac:dyDescent="0.5">
      <c r="A71" s="1378" t="s">
        <v>872</v>
      </c>
      <c r="B71">
        <v>1.94</v>
      </c>
      <c r="C71">
        <v>92.37</v>
      </c>
      <c r="D71">
        <v>94.31</v>
      </c>
      <c r="E71" s="1017" t="s">
        <v>209</v>
      </c>
      <c r="F71" s="1121">
        <f>SUM(F69:F70)</f>
        <v>15.060000000000002</v>
      </c>
      <c r="G71" s="1121">
        <f>SUM(G69:G70)</f>
        <v>17.38</v>
      </c>
      <c r="H71" s="1121">
        <f>SUM(H69:H70)</f>
        <v>32.44</v>
      </c>
      <c r="J71" s="1017" t="s">
        <v>209</v>
      </c>
      <c r="K71" s="1121">
        <f>SUM(K69:K70)</f>
        <v>19.350000000000001</v>
      </c>
      <c r="L71" s="981">
        <f>SUM(L69:L70)</f>
        <v>22.31</v>
      </c>
      <c r="M71" s="1021">
        <f>SUM(M69:M70)</f>
        <v>41.660000000000004</v>
      </c>
    </row>
    <row r="72" spans="1:28" ht="14.65" thickBot="1" x14ac:dyDescent="0.5">
      <c r="A72" s="1378" t="s">
        <v>140</v>
      </c>
      <c r="B72">
        <f t="shared" si="45"/>
        <v>1.78</v>
      </c>
      <c r="C72">
        <f t="shared" si="46"/>
        <v>85.07</v>
      </c>
      <c r="D72">
        <f t="shared" si="47"/>
        <v>86.85</v>
      </c>
      <c r="E72" s="1015" t="s">
        <v>136</v>
      </c>
      <c r="F72" s="1120">
        <v>2.2599999999999998</v>
      </c>
      <c r="G72" s="978">
        <v>2.7</v>
      </c>
      <c r="H72" s="1022">
        <v>4.96</v>
      </c>
      <c r="J72" s="1015" t="s">
        <v>136</v>
      </c>
      <c r="K72" s="1120">
        <v>2.91</v>
      </c>
      <c r="L72" s="978">
        <v>3.47</v>
      </c>
      <c r="M72" s="1020">
        <f>SUM(K72:L72)</f>
        <v>6.3800000000000008</v>
      </c>
      <c r="T72" s="2409" t="s">
        <v>194</v>
      </c>
      <c r="U72" s="2411">
        <v>44764</v>
      </c>
      <c r="V72" s="2411">
        <v>44763</v>
      </c>
      <c r="W72" s="1142"/>
    </row>
    <row r="73" spans="1:28" ht="14.65" thickBot="1" x14ac:dyDescent="0.5">
      <c r="A73" s="1378" t="s">
        <v>141</v>
      </c>
      <c r="B73">
        <f t="shared" si="45"/>
        <v>1.1000000000000001</v>
      </c>
      <c r="C73">
        <f t="shared" si="46"/>
        <v>36.14</v>
      </c>
      <c r="D73">
        <f t="shared" si="47"/>
        <v>37.24</v>
      </c>
      <c r="E73" s="1017" t="s">
        <v>210</v>
      </c>
      <c r="F73" s="1121">
        <f>SUM(F71:F72)</f>
        <v>17.32</v>
      </c>
      <c r="G73" s="1121">
        <f>SUM(G71:G72)</f>
        <v>20.079999999999998</v>
      </c>
      <c r="H73" s="1121">
        <f>SUM(H71:H72)</f>
        <v>37.4</v>
      </c>
      <c r="J73" s="1017" t="s">
        <v>210</v>
      </c>
      <c r="K73" s="1121">
        <f>SUM(K71:K72)</f>
        <v>22.26</v>
      </c>
      <c r="L73" s="981">
        <f>SUM(L71:L72)</f>
        <v>25.779999999999998</v>
      </c>
      <c r="M73" s="1021">
        <f>SUM(M71:M72)</f>
        <v>48.040000000000006</v>
      </c>
      <c r="T73" s="2410"/>
      <c r="U73" s="2412"/>
      <c r="V73" s="2412"/>
      <c r="W73" s="1142"/>
    </row>
    <row r="74" spans="1:28" ht="16.899999999999999" thickBot="1" x14ac:dyDescent="0.5">
      <c r="B74" s="89">
        <f>SUM(B66:B73)</f>
        <v>14.429999999999998</v>
      </c>
      <c r="C74" s="89">
        <f>SUM(C66:C73)</f>
        <v>593.78000000000009</v>
      </c>
      <c r="D74" s="89">
        <f>SUM(D66:D73)</f>
        <v>608.21</v>
      </c>
      <c r="E74" s="1015" t="s">
        <v>137</v>
      </c>
      <c r="F74" s="1120">
        <v>2.5</v>
      </c>
      <c r="G74" s="978">
        <v>3.1</v>
      </c>
      <c r="H74" s="1020">
        <f>SUM(F74:G74)</f>
        <v>5.6</v>
      </c>
      <c r="J74" s="1015" t="s">
        <v>137</v>
      </c>
      <c r="K74" s="1120">
        <v>3.2</v>
      </c>
      <c r="L74" s="978">
        <v>3.99</v>
      </c>
      <c r="M74" s="1020">
        <f>SUM(K74:L74)</f>
        <v>7.19</v>
      </c>
      <c r="T74" s="830">
        <v>160000</v>
      </c>
      <c r="U74" s="480">
        <v>172573</v>
      </c>
      <c r="V74" s="481">
        <v>52203</v>
      </c>
      <c r="W74" s="1142">
        <f>(U74-T74)/T74*100</f>
        <v>7.8581250000000002</v>
      </c>
      <c r="X74">
        <f>(U74-V74)/V74*100</f>
        <v>230.58061797214719</v>
      </c>
    </row>
    <row r="75" spans="1:28" ht="16.899999999999999" thickBot="1" x14ac:dyDescent="0.5">
      <c r="B75">
        <f>B65+B74</f>
        <v>22.159999999999997</v>
      </c>
      <c r="C75">
        <f>C65+C74</f>
        <v>928.43000000000006</v>
      </c>
      <c r="D75">
        <f>D65+D74</f>
        <v>950.59</v>
      </c>
      <c r="E75" s="1017" t="s">
        <v>211</v>
      </c>
      <c r="F75" s="1121">
        <f>SUM(F73:F74)</f>
        <v>19.82</v>
      </c>
      <c r="G75" s="1121">
        <f>SUM(G73:G74)</f>
        <v>23.18</v>
      </c>
      <c r="H75" s="1121">
        <f>SUM(H73:H74)</f>
        <v>43</v>
      </c>
      <c r="J75" s="1017" t="s">
        <v>211</v>
      </c>
      <c r="K75" s="1121">
        <f>SUM(K73:K74)</f>
        <v>25.46</v>
      </c>
      <c r="L75" s="981">
        <f>SUM(L73:L74)</f>
        <v>29.769999999999996</v>
      </c>
      <c r="M75" s="1021">
        <f>SUM(M73:M74)</f>
        <v>55.230000000000004</v>
      </c>
      <c r="T75" s="831">
        <v>585</v>
      </c>
      <c r="U75" s="530">
        <v>1208</v>
      </c>
      <c r="V75" s="481">
        <v>212</v>
      </c>
      <c r="W75" s="1142">
        <f>(U75-T75)/T75*100</f>
        <v>106.4957264957265</v>
      </c>
      <c r="X75">
        <f>(U75-V75)/V75*100</f>
        <v>469.81132075471697</v>
      </c>
    </row>
    <row r="76" spans="1:28" x14ac:dyDescent="0.45">
      <c r="E76" s="1015" t="s">
        <v>138</v>
      </c>
      <c r="F76" s="1120">
        <v>2.67</v>
      </c>
      <c r="G76" s="978">
        <v>3.12</v>
      </c>
      <c r="H76" s="1022">
        <f>SUM(F76:G76)</f>
        <v>5.79</v>
      </c>
      <c r="J76" s="1015" t="s">
        <v>138</v>
      </c>
      <c r="K76" s="1120">
        <v>3.42</v>
      </c>
      <c r="L76" s="978">
        <v>4.01</v>
      </c>
      <c r="M76" s="1022">
        <f>SUM(K76:L76)</f>
        <v>7.43</v>
      </c>
    </row>
    <row r="77" spans="1:28" x14ac:dyDescent="0.45">
      <c r="E77" s="1017" t="s">
        <v>212</v>
      </c>
      <c r="F77" s="1121">
        <f>SUM(F75:F76)</f>
        <v>22.490000000000002</v>
      </c>
      <c r="G77" s="1121">
        <f>SUM(G75:G76)</f>
        <v>26.3</v>
      </c>
      <c r="H77" s="1121">
        <f>SUM(H75:H76)</f>
        <v>48.79</v>
      </c>
      <c r="J77" s="1017" t="s">
        <v>212</v>
      </c>
      <c r="K77" s="1121">
        <f>SUM(K75:K76)</f>
        <v>28.880000000000003</v>
      </c>
      <c r="L77" s="981">
        <f>SUM(L75:L76)</f>
        <v>33.779999999999994</v>
      </c>
      <c r="M77" s="1021">
        <f>SUM(M75:M76)</f>
        <v>62.660000000000004</v>
      </c>
    </row>
    <row r="78" spans="1:28" x14ac:dyDescent="0.45">
      <c r="E78" s="1015" t="s">
        <v>139</v>
      </c>
      <c r="F78" s="1120">
        <v>2.65</v>
      </c>
      <c r="G78" s="978">
        <v>2.99</v>
      </c>
      <c r="H78" s="1020">
        <f>SUM(F78:G78)</f>
        <v>5.6400000000000006</v>
      </c>
      <c r="J78" s="1015" t="s">
        <v>139</v>
      </c>
      <c r="K78" s="1120">
        <v>3.41</v>
      </c>
      <c r="L78" s="978">
        <v>3.86</v>
      </c>
      <c r="M78" s="1020">
        <f>SUM(K78:L78)</f>
        <v>7.27</v>
      </c>
      <c r="O78">
        <f>K78*10</f>
        <v>34.1</v>
      </c>
      <c r="P78">
        <f>L78*10</f>
        <v>38.6</v>
      </c>
    </row>
    <row r="79" spans="1:28" ht="16.899999999999999" thickBot="1" x14ac:dyDescent="0.5">
      <c r="B79">
        <f>F62+F64+F66+F68+F70+F72+F74</f>
        <v>17.630000000000003</v>
      </c>
      <c r="C79">
        <f>G62+G64+G66+G68+G70+G72+G74</f>
        <v>20.150000000000002</v>
      </c>
      <c r="D79">
        <f>H62+H64+H66+H68+H70+H72+H74</f>
        <v>37.78</v>
      </c>
      <c r="E79" s="1017" t="s">
        <v>206</v>
      </c>
      <c r="F79" s="1121">
        <f>SUM(F77:F78)</f>
        <v>25.14</v>
      </c>
      <c r="G79" s="1121">
        <f>SUM(G77:G78)</f>
        <v>29.29</v>
      </c>
      <c r="H79" s="1121">
        <f>SUM(H77:H78)</f>
        <v>54.43</v>
      </c>
      <c r="J79" s="1017" t="s">
        <v>206</v>
      </c>
      <c r="K79" s="1121">
        <f>SUM(K77:K78)</f>
        <v>32.290000000000006</v>
      </c>
      <c r="L79" s="981">
        <f>SUM(L77:L78)</f>
        <v>37.639999999999993</v>
      </c>
      <c r="M79" s="1021">
        <f>SUM(M77:M78)</f>
        <v>69.930000000000007</v>
      </c>
      <c r="T79" s="530">
        <v>816</v>
      </c>
      <c r="U79" s="915">
        <v>701.75</v>
      </c>
      <c r="V79" s="844">
        <v>214.2</v>
      </c>
      <c r="X79" s="216">
        <f t="shared" ref="X79:X84" si="48">(U79-T79)/T79*100</f>
        <v>-14.001225490196079</v>
      </c>
      <c r="Y79" s="216">
        <f t="shared" ref="Y79:Y84" si="49">(U79-V79)/V79*100</f>
        <v>227.61437908496737</v>
      </c>
    </row>
    <row r="80" spans="1:28" ht="16.899999999999999" thickBot="1" x14ac:dyDescent="0.5">
      <c r="B80">
        <f>F76+F78+F80+F82</f>
        <v>9.0500000000000007</v>
      </c>
      <c r="C80" s="229">
        <f>G76+G78+G80+G82</f>
        <v>10.479999999999999</v>
      </c>
      <c r="D80" s="229">
        <f>H76+H78+H80+H82</f>
        <v>19.53</v>
      </c>
      <c r="E80" s="1015" t="s">
        <v>140</v>
      </c>
      <c r="F80" s="1120">
        <v>2.3199999999999998</v>
      </c>
      <c r="G80" s="978">
        <v>2.84</v>
      </c>
      <c r="H80" s="1020">
        <f>SUM(F80:G80)</f>
        <v>5.16</v>
      </c>
      <c r="J80" s="1015" t="s">
        <v>140</v>
      </c>
      <c r="K80" s="1120">
        <v>2.98</v>
      </c>
      <c r="L80" s="978">
        <v>3.63</v>
      </c>
      <c r="M80" s="1020">
        <f>SUM(K80:L80)</f>
        <v>6.6099999999999994</v>
      </c>
      <c r="T80" s="530">
        <v>163</v>
      </c>
      <c r="U80" s="915">
        <v>124.9</v>
      </c>
      <c r="V80" s="844">
        <v>20.3</v>
      </c>
      <c r="X80" s="216">
        <f t="shared" si="48"/>
        <v>-23.374233128834351</v>
      </c>
      <c r="Y80" s="216">
        <f t="shared" si="49"/>
        <v>515.27093596059115</v>
      </c>
    </row>
    <row r="81" spans="1:32" ht="16.899999999999999" thickBot="1" x14ac:dyDescent="0.5">
      <c r="E81" s="1017" t="s">
        <v>215</v>
      </c>
      <c r="F81" s="1121">
        <f>SUM(F79:F80)</f>
        <v>27.46</v>
      </c>
      <c r="G81" s="1121">
        <f>SUM(G79:G80)</f>
        <v>32.129999999999995</v>
      </c>
      <c r="H81" s="1121">
        <f>SUM(H79:H80)</f>
        <v>59.59</v>
      </c>
      <c r="J81" s="1017" t="s">
        <v>215</v>
      </c>
      <c r="K81" s="1122">
        <f>SUM(K79:K80)</f>
        <v>35.270000000000003</v>
      </c>
      <c r="L81" s="981">
        <f>SUM(L79:L80)</f>
        <v>41.269999999999996</v>
      </c>
      <c r="M81" s="1021">
        <f>SUM(M79:M80)</f>
        <v>76.540000000000006</v>
      </c>
      <c r="N81">
        <f>K81*1000000</f>
        <v>35270000</v>
      </c>
      <c r="O81">
        <f>L81*1000000</f>
        <v>41269999.999999993</v>
      </c>
      <c r="P81">
        <f>M81*1000000</f>
        <v>76540000</v>
      </c>
      <c r="T81" s="530">
        <v>0</v>
      </c>
      <c r="U81" s="915">
        <v>0</v>
      </c>
      <c r="V81" s="844">
        <v>0</v>
      </c>
      <c r="X81" s="216" t="e">
        <f t="shared" si="48"/>
        <v>#DIV/0!</v>
      </c>
      <c r="Y81" s="216" t="e">
        <f t="shared" si="49"/>
        <v>#DIV/0!</v>
      </c>
      <c r="Z81" s="1146">
        <v>3305831535</v>
      </c>
      <c r="AA81" s="1146">
        <v>3885007521</v>
      </c>
      <c r="AB81" s="1146">
        <v>14.9</v>
      </c>
      <c r="AC81" s="1147">
        <v>85.09</v>
      </c>
    </row>
    <row r="82" spans="1:32" ht="16.899999999999999" thickBot="1" x14ac:dyDescent="0.5">
      <c r="E82" s="1015" t="s">
        <v>141</v>
      </c>
      <c r="F82" s="1120">
        <v>1.41</v>
      </c>
      <c r="G82" s="978">
        <v>1.53</v>
      </c>
      <c r="H82" s="1020">
        <f>SUM(F82:G82)</f>
        <v>2.94</v>
      </c>
      <c r="J82" s="1015" t="s">
        <v>141</v>
      </c>
      <c r="K82" s="1120">
        <v>1.82</v>
      </c>
      <c r="L82" s="978">
        <v>1.96</v>
      </c>
      <c r="M82" s="1020">
        <f>SUM(K82:L82)</f>
        <v>3.7800000000000002</v>
      </c>
      <c r="N82">
        <f>N81/100000</f>
        <v>352.7</v>
      </c>
      <c r="O82">
        <f>O81/100000</f>
        <v>412.69999999999993</v>
      </c>
      <c r="P82">
        <f>P81/100000</f>
        <v>765.4</v>
      </c>
      <c r="T82" s="530">
        <v>189</v>
      </c>
      <c r="U82" s="915">
        <v>80.39</v>
      </c>
      <c r="V82" s="844">
        <v>15.1</v>
      </c>
      <c r="X82" s="216">
        <f t="shared" si="48"/>
        <v>-57.465608465608462</v>
      </c>
      <c r="Y82" s="216">
        <f t="shared" si="49"/>
        <v>432.38410596026495</v>
      </c>
      <c r="Z82">
        <f>Z81/10000000</f>
        <v>330.58315349999998</v>
      </c>
      <c r="AA82">
        <f>AA81/10000000</f>
        <v>388.5007521</v>
      </c>
    </row>
    <row r="83" spans="1:32" ht="16.899999999999999" thickBot="1" x14ac:dyDescent="0.5">
      <c r="E83" s="1024" t="s">
        <v>240</v>
      </c>
      <c r="F83" s="1121">
        <f>SUM(F81:F82)</f>
        <v>28.87</v>
      </c>
      <c r="G83" s="1121">
        <f>SUM(G81:G82)</f>
        <v>33.659999999999997</v>
      </c>
      <c r="H83" s="1121">
        <f>SUM(H81:H82)</f>
        <v>62.53</v>
      </c>
      <c r="I83" s="229">
        <f>H61+H62+H64+H66+H68+H70+H72+H74+H76+H78+H80+H82</f>
        <v>62.53</v>
      </c>
      <c r="J83" s="1024" t="s">
        <v>240</v>
      </c>
      <c r="K83" s="1123">
        <f>SUM(K81:K82)</f>
        <v>37.090000000000003</v>
      </c>
      <c r="L83" s="1026">
        <f>SUM(L81:L82)</f>
        <v>43.23</v>
      </c>
      <c r="M83" s="1027">
        <f>SUM(M81:M82)</f>
        <v>80.320000000000007</v>
      </c>
      <c r="T83" s="530">
        <v>0</v>
      </c>
      <c r="U83" s="915">
        <v>21.01</v>
      </c>
      <c r="V83" s="844">
        <v>4</v>
      </c>
      <c r="X83" s="216" t="e">
        <f t="shared" si="48"/>
        <v>#DIV/0!</v>
      </c>
      <c r="Y83" s="216">
        <f t="shared" si="49"/>
        <v>425.25000000000006</v>
      </c>
    </row>
    <row r="84" spans="1:32" ht="16.899999999999999" thickBot="1" x14ac:dyDescent="0.5">
      <c r="F84">
        <f>F66+F68+F70+F72+F74+F76+F78+F80+F82</f>
        <v>21.91</v>
      </c>
      <c r="G84">
        <f>G66+G68+G70+G72+G74+G76+G78+G80+G82</f>
        <v>24.3</v>
      </c>
      <c r="H84">
        <f>H66+H68+H70+H72+H74+H76+H78+H80+H82</f>
        <v>46.209999999999994</v>
      </c>
      <c r="T84" s="841">
        <v>1168</v>
      </c>
      <c r="U84" s="498">
        <v>928.05</v>
      </c>
      <c r="V84" s="499">
        <v>253.6</v>
      </c>
      <c r="X84" s="216">
        <f t="shared" si="48"/>
        <v>-20.543664383561648</v>
      </c>
      <c r="Y84" s="216">
        <f t="shared" si="49"/>
        <v>265.95031545741324</v>
      </c>
    </row>
    <row r="85" spans="1:32" x14ac:dyDescent="0.45">
      <c r="F85">
        <f t="shared" ref="F85:H86" si="50">F82*10</f>
        <v>14.1</v>
      </c>
      <c r="G85">
        <f t="shared" si="50"/>
        <v>15.3</v>
      </c>
      <c r="H85">
        <f t="shared" si="50"/>
        <v>29.4</v>
      </c>
      <c r="K85">
        <f>K67*1000000</f>
        <v>12600000</v>
      </c>
      <c r="L85">
        <f>L67*1000000</f>
        <v>15750000</v>
      </c>
      <c r="M85">
        <f>M67*1000000</f>
        <v>28350000</v>
      </c>
    </row>
    <row r="86" spans="1:32" x14ac:dyDescent="0.45">
      <c r="F86">
        <f t="shared" si="50"/>
        <v>288.7</v>
      </c>
      <c r="G86">
        <f t="shared" si="50"/>
        <v>336.59999999999997</v>
      </c>
      <c r="H86">
        <f t="shared" si="50"/>
        <v>625.29999999999995</v>
      </c>
      <c r="K86">
        <f>K85/100000</f>
        <v>126</v>
      </c>
      <c r="L86">
        <f>L85/100000</f>
        <v>157.5</v>
      </c>
      <c r="M86">
        <f>M85/100000</f>
        <v>283.5</v>
      </c>
    </row>
    <row r="87" spans="1:32" x14ac:dyDescent="0.45">
      <c r="F87">
        <v>33.659999999999997</v>
      </c>
    </row>
    <row r="88" spans="1:32" x14ac:dyDescent="0.45">
      <c r="F88">
        <f>F86+F87</f>
        <v>322.36</v>
      </c>
    </row>
    <row r="89" spans="1:32" ht="14.65" thickBot="1" x14ac:dyDescent="0.5">
      <c r="Y89" s="1384">
        <v>13000000</v>
      </c>
      <c r="Z89" s="1384">
        <v>2564168</v>
      </c>
      <c r="AA89" s="1384">
        <v>24827865</v>
      </c>
      <c r="AB89" s="1385">
        <v>35000</v>
      </c>
      <c r="AC89" s="1385">
        <v>5874</v>
      </c>
      <c r="AD89" s="1385">
        <v>36953</v>
      </c>
      <c r="AE89" s="216">
        <f>(AD89-AB89)/AB89*100</f>
        <v>5.58</v>
      </c>
      <c r="AF89" s="1387">
        <f>(AD89-AC89)/AC89*100</f>
        <v>529.0943139257746</v>
      </c>
    </row>
    <row r="90" spans="1:32" ht="14.65" thickBot="1" x14ac:dyDescent="0.5">
      <c r="Y90" s="1384">
        <v>13000000</v>
      </c>
      <c r="Z90" s="1384">
        <v>1741842</v>
      </c>
      <c r="AA90" s="1384">
        <v>25457795</v>
      </c>
      <c r="AB90" s="1385">
        <v>32000</v>
      </c>
      <c r="AC90" s="1385">
        <v>4390</v>
      </c>
      <c r="AD90" s="1385">
        <v>37312</v>
      </c>
      <c r="AE90" s="216">
        <f t="shared" ref="AE90:AE96" si="51">(AD90-AB90)/AB90*100</f>
        <v>16.600000000000001</v>
      </c>
      <c r="AF90" s="1387">
        <f t="shared" ref="AF90:AF101" si="52">(AD90-AC90)/AC90*100</f>
        <v>749.93166287015947</v>
      </c>
    </row>
    <row r="91" spans="1:32" ht="14.65" thickBot="1" x14ac:dyDescent="0.5">
      <c r="Y91" s="1384">
        <v>10000000</v>
      </c>
      <c r="Z91" s="1384">
        <v>2937554</v>
      </c>
      <c r="AA91" s="1384">
        <v>20496885</v>
      </c>
      <c r="AB91" s="1385">
        <v>23000</v>
      </c>
      <c r="AC91" s="1385">
        <v>7386</v>
      </c>
      <c r="AD91" s="1385">
        <v>30714</v>
      </c>
      <c r="AE91" s="216">
        <f t="shared" si="51"/>
        <v>33.539130434782614</v>
      </c>
      <c r="AF91" s="1387">
        <f t="shared" si="52"/>
        <v>315.84077985377741</v>
      </c>
    </row>
    <row r="92" spans="1:32" ht="14.65" thickBot="1" x14ac:dyDescent="0.5">
      <c r="A92" s="1378" t="s">
        <v>131</v>
      </c>
      <c r="B92">
        <f>SUMIF($A$34:$A$56,A92,$B$34:$B$56)</f>
        <v>1.72</v>
      </c>
      <c r="C92">
        <f>SUMIF($A$34:$A$56,A92,$C$34:$C$56)</f>
        <v>81.02</v>
      </c>
      <c r="D92">
        <f>SUMIF($A$34:$A$56,A92,$D$34:$D$56)</f>
        <v>82.74</v>
      </c>
      <c r="E92">
        <f>SUMIF($A$34:$A$56,A92,$E$34:$E$56)</f>
        <v>24.22</v>
      </c>
      <c r="F92">
        <f>SUMIF($A$34:$A$56,A92,$F$34:$F$56)</f>
        <v>7.83</v>
      </c>
      <c r="G92">
        <f>SUMIF($A$34:$A$56,A92,$H$34:$H$56)</f>
        <v>1.399</v>
      </c>
      <c r="Y92" s="1384">
        <v>7500000</v>
      </c>
      <c r="Z92" s="1384">
        <v>3852606</v>
      </c>
      <c r="AA92" s="1384">
        <v>15327085</v>
      </c>
      <c r="AB92" s="1385">
        <v>23000</v>
      </c>
      <c r="AC92" s="1385">
        <v>9878</v>
      </c>
      <c r="AD92" s="1385">
        <v>20555</v>
      </c>
      <c r="AE92" s="216">
        <f t="shared" si="51"/>
        <v>-10.630434782608695</v>
      </c>
      <c r="AF92" s="1387">
        <f t="shared" si="52"/>
        <v>108.0886819194169</v>
      </c>
    </row>
    <row r="93" spans="1:32" ht="14.65" thickBot="1" x14ac:dyDescent="0.5">
      <c r="A93" s="1378" t="s">
        <v>132</v>
      </c>
      <c r="B93">
        <f t="shared" ref="B93:B104" si="53">SUMIF($A$34:$A$56,A93,$B$34:$B$56)</f>
        <v>1.86</v>
      </c>
      <c r="C93">
        <f>SUMIF($A$34:$A$56,A93,$C$34:$C$56)</f>
        <v>80.39</v>
      </c>
      <c r="D93">
        <f>SUMIF($A$34:$A$56,A93,$D$34:$D$56)</f>
        <v>82.25</v>
      </c>
      <c r="E93">
        <f t="shared" ref="E93:E104" si="54">SUMIF($A$34:$A$56,A93,$E$34:$E$56)</f>
        <v>25.59</v>
      </c>
      <c r="F93">
        <f t="shared" ref="F93:F104" si="55">SUMIF($A$34:$A$56,A93,$F$34:$F$56)</f>
        <v>4.83</v>
      </c>
      <c r="Y93" s="1384">
        <v>7500000</v>
      </c>
      <c r="Z93" s="1384">
        <v>4410979</v>
      </c>
      <c r="AA93" s="1384">
        <v>15254665</v>
      </c>
      <c r="AB93" s="1385">
        <v>24000</v>
      </c>
      <c r="AC93" s="1385">
        <v>10963</v>
      </c>
      <c r="AD93" s="1385">
        <v>21044</v>
      </c>
      <c r="AE93" s="216">
        <f t="shared" si="51"/>
        <v>-12.316666666666666</v>
      </c>
      <c r="AF93" s="1387">
        <f t="shared" si="52"/>
        <v>91.954756909605038</v>
      </c>
    </row>
    <row r="94" spans="1:32" ht="14.65" thickBot="1" x14ac:dyDescent="0.5">
      <c r="A94" s="1378" t="s">
        <v>133</v>
      </c>
      <c r="B94">
        <f t="shared" si="53"/>
        <v>1.94</v>
      </c>
      <c r="C94">
        <f>SUMIF($A$34:$A$56,A94,$C$34:$C$56)</f>
        <v>87.23</v>
      </c>
      <c r="D94">
        <f>SUMIF($A$34:$A$56,A94,$D$34:$D$56)</f>
        <v>89.17</v>
      </c>
      <c r="E94">
        <f t="shared" si="54"/>
        <v>17.23</v>
      </c>
      <c r="F94">
        <f t="shared" si="55"/>
        <v>4.79</v>
      </c>
      <c r="Y94" s="1384">
        <v>7500000</v>
      </c>
      <c r="Z94" s="1384">
        <v>5658605</v>
      </c>
      <c r="AA94" s="1384">
        <v>19427920</v>
      </c>
      <c r="AB94" s="1385">
        <v>23000</v>
      </c>
      <c r="AC94" s="1385">
        <v>13712</v>
      </c>
      <c r="AD94" s="1385">
        <v>26555</v>
      </c>
      <c r="AE94" s="216">
        <f t="shared" si="51"/>
        <v>15.456521739130435</v>
      </c>
      <c r="AF94" s="1387">
        <f t="shared" si="52"/>
        <v>93.662485414235704</v>
      </c>
    </row>
    <row r="95" spans="1:32" ht="14.65" thickBot="1" x14ac:dyDescent="0.5">
      <c r="A95" s="1378" t="s">
        <v>51</v>
      </c>
      <c r="B95">
        <f t="shared" si="53"/>
        <v>2.21</v>
      </c>
      <c r="C95">
        <f>SUMIF($A$34:$A$56,A95,$C$34:$C$56)</f>
        <v>86.01</v>
      </c>
      <c r="D95">
        <f>SUMIF($A$34:$A$56,A95,$D$34:$D$56)</f>
        <v>88.22</v>
      </c>
      <c r="E95">
        <f t="shared" si="54"/>
        <v>17.920000000000002</v>
      </c>
      <c r="F95">
        <f t="shared" si="55"/>
        <v>5.59</v>
      </c>
      <c r="Y95" s="1384">
        <v>10000000</v>
      </c>
      <c r="Z95" s="1384">
        <v>9774728</v>
      </c>
      <c r="AA95" s="1384">
        <v>26353896</v>
      </c>
      <c r="AB95" s="1385">
        <v>31000</v>
      </c>
      <c r="AC95" s="1385">
        <v>23875</v>
      </c>
      <c r="AD95" s="1385">
        <v>32841</v>
      </c>
      <c r="AE95" s="216">
        <f t="shared" si="51"/>
        <v>5.9387096774193546</v>
      </c>
      <c r="AF95" s="1387">
        <f t="shared" si="52"/>
        <v>37.553926701570681</v>
      </c>
    </row>
    <row r="96" spans="1:32" ht="14.65" thickBot="1" x14ac:dyDescent="0.5">
      <c r="A96" s="1378"/>
      <c r="B96" s="89">
        <f t="shared" ref="B96:G96" si="56">SUM(B92:B95)</f>
        <v>7.7299999999999995</v>
      </c>
      <c r="C96" s="89">
        <f t="shared" si="56"/>
        <v>334.65</v>
      </c>
      <c r="D96" s="89">
        <f t="shared" si="56"/>
        <v>342.38</v>
      </c>
      <c r="E96" s="89">
        <f t="shared" si="56"/>
        <v>84.960000000000008</v>
      </c>
      <c r="F96" s="89">
        <f t="shared" si="56"/>
        <v>23.04</v>
      </c>
      <c r="G96" s="89">
        <f t="shared" si="56"/>
        <v>1.399</v>
      </c>
      <c r="Y96" s="1384">
        <v>12500000</v>
      </c>
      <c r="Z96" s="1384">
        <v>14049899</v>
      </c>
      <c r="AA96" s="1384">
        <v>19604565</v>
      </c>
      <c r="AB96" s="1385">
        <v>22000</v>
      </c>
      <c r="AC96" s="1385">
        <v>31094</v>
      </c>
      <c r="AD96" s="1385">
        <v>26694</v>
      </c>
      <c r="AE96" s="216">
        <f t="shared" si="51"/>
        <v>21.336363636363636</v>
      </c>
      <c r="AF96" s="1387">
        <f t="shared" si="52"/>
        <v>-14.150639994854314</v>
      </c>
    </row>
    <row r="97" spans="1:32" ht="14.65" thickBot="1" x14ac:dyDescent="0.5">
      <c r="A97" s="1378" t="s">
        <v>134</v>
      </c>
      <c r="B97">
        <f t="shared" si="53"/>
        <v>1.96</v>
      </c>
      <c r="C97">
        <f>SUMIF($A$34:$A$56,A97,$C$34:$C$56)</f>
        <v>67.94</v>
      </c>
      <c r="D97">
        <f>SUMIF($A$34:$A$56,A97,$D$34:$D$56)</f>
        <v>69.899999999999991</v>
      </c>
      <c r="E97">
        <f t="shared" si="54"/>
        <v>37.69</v>
      </c>
      <c r="F97">
        <f t="shared" si="55"/>
        <v>6.66</v>
      </c>
      <c r="Y97" s="1384">
        <v>12500000</v>
      </c>
      <c r="Z97" s="1384">
        <v>14544739</v>
      </c>
      <c r="AA97" s="1384">
        <v>16995965</v>
      </c>
      <c r="AB97" s="1385">
        <v>22000</v>
      </c>
      <c r="AC97" s="1385">
        <v>27089</v>
      </c>
      <c r="AD97" s="1385">
        <v>23934</v>
      </c>
      <c r="AE97" s="216">
        <f>(AD97-AB97)/AB97*100</f>
        <v>8.790909090909091</v>
      </c>
      <c r="AF97" s="1387">
        <f t="shared" si="52"/>
        <v>-11.646793901583669</v>
      </c>
    </row>
    <row r="98" spans="1:32" ht="14.65" thickBot="1" x14ac:dyDescent="0.5">
      <c r="A98" s="1378" t="s">
        <v>135</v>
      </c>
      <c r="B98">
        <f t="shared" si="53"/>
        <v>1.93</v>
      </c>
      <c r="C98">
        <f>SUMIF($A$34:$A$56,A98,$C$34:$C$56)</f>
        <v>75.34</v>
      </c>
      <c r="D98">
        <f>SUMIF($A$34:$A$56,A98,$D$34:$D$56)</f>
        <v>77.27000000000001</v>
      </c>
      <c r="E98">
        <f t="shared" si="54"/>
        <v>33.14</v>
      </c>
      <c r="F98">
        <f t="shared" si="55"/>
        <v>8.2200000000000006</v>
      </c>
      <c r="Y98" s="1385">
        <v>9000000</v>
      </c>
      <c r="Z98" s="1385">
        <v>14294364</v>
      </c>
      <c r="AA98" s="1385">
        <v>20217270</v>
      </c>
      <c r="AB98" s="1385">
        <v>22000</v>
      </c>
      <c r="AC98" s="1385">
        <v>25148</v>
      </c>
      <c r="AD98" s="1385">
        <v>28006</v>
      </c>
      <c r="AE98" s="216">
        <f>(AD98-AB98)/AB98*100</f>
        <v>27.3</v>
      </c>
      <c r="AF98" s="1387">
        <f t="shared" si="52"/>
        <v>11.364720852552887</v>
      </c>
    </row>
    <row r="99" spans="1:32" ht="14.65" thickBot="1" x14ac:dyDescent="0.5">
      <c r="A99" s="1378" t="s">
        <v>136</v>
      </c>
      <c r="B99">
        <f t="shared" si="53"/>
        <v>1.78</v>
      </c>
      <c r="C99">
        <f>SUMIF($A$34:$A$56,A99,$C$34:$C$56)</f>
        <v>70.849999999999994</v>
      </c>
      <c r="D99">
        <f>SUMIF($A$34:$A$56,A99,$D$34:$D$56)</f>
        <v>72.63</v>
      </c>
      <c r="E99">
        <f t="shared" si="54"/>
        <v>41.26</v>
      </c>
      <c r="F99">
        <f t="shared" si="55"/>
        <v>9.6</v>
      </c>
      <c r="Y99" s="1385">
        <v>9000000</v>
      </c>
      <c r="Z99" s="1386">
        <v>15930513</v>
      </c>
      <c r="AA99" s="1386">
        <v>21287380</v>
      </c>
      <c r="AB99" s="1385">
        <v>22000</v>
      </c>
      <c r="AC99" s="1385">
        <v>27518</v>
      </c>
      <c r="AD99" s="1385">
        <v>27547</v>
      </c>
      <c r="AE99" s="216">
        <f>(AD99-AB99)/AB99*100</f>
        <v>25.213636363636365</v>
      </c>
      <c r="AF99" s="1387">
        <f t="shared" si="52"/>
        <v>0.10538556581146886</v>
      </c>
    </row>
    <row r="100" spans="1:32" ht="14.65" thickBot="1" x14ac:dyDescent="0.5">
      <c r="A100" s="1378" t="s">
        <v>137</v>
      </c>
      <c r="B100">
        <f t="shared" si="53"/>
        <v>1.91</v>
      </c>
      <c r="C100">
        <f>SUMIF($A$34:$A$56,A100,$C$34:$C$56)</f>
        <v>82.67</v>
      </c>
      <c r="D100">
        <f>SUMIF($A$34:$A$56,A100,$D$34:$D$56)</f>
        <v>84.58</v>
      </c>
      <c r="E100">
        <f t="shared" si="54"/>
        <v>32.36</v>
      </c>
      <c r="F100">
        <f t="shared" si="55"/>
        <v>10.47</v>
      </c>
      <c r="Y100" s="1385">
        <v>9000000</v>
      </c>
      <c r="Z100" s="1386">
        <v>20012975</v>
      </c>
      <c r="AA100" s="1386">
        <v>21327530</v>
      </c>
      <c r="AB100" s="1385">
        <v>22000</v>
      </c>
      <c r="AC100" s="1385">
        <v>32317</v>
      </c>
      <c r="AD100" s="1385">
        <v>29021</v>
      </c>
      <c r="AE100" s="216">
        <f>(AD100-AB100)/AB100*100</f>
        <v>31.913636363636368</v>
      </c>
      <c r="AF100" s="1387">
        <f t="shared" si="52"/>
        <v>-10.198966488226011</v>
      </c>
    </row>
    <row r="101" spans="1:32" ht="14.65" thickBot="1" x14ac:dyDescent="0.5">
      <c r="A101" s="1378" t="s">
        <v>138</v>
      </c>
      <c r="B101">
        <f t="shared" si="53"/>
        <v>2.0299999999999998</v>
      </c>
      <c r="C101">
        <f>SUMIF($A$34:$A$56,A101,$C$34:$C$56)</f>
        <v>83.4</v>
      </c>
      <c r="D101">
        <f>SUMIF($A$34:$A$56,A101,$D$34:$D$56)</f>
        <v>85.43</v>
      </c>
      <c r="E101">
        <f t="shared" si="54"/>
        <v>38.26</v>
      </c>
      <c r="F101">
        <f t="shared" si="55"/>
        <v>11.12</v>
      </c>
      <c r="AB101" s="1388">
        <v>301000</v>
      </c>
      <c r="AC101" s="1388">
        <v>219244</v>
      </c>
      <c r="AD101" s="1388">
        <v>341176</v>
      </c>
      <c r="AE101" s="216">
        <f>(AD101-AB101)/AB101*100</f>
        <v>13.347508305647841</v>
      </c>
      <c r="AF101" s="1387">
        <f t="shared" si="52"/>
        <v>55.614748864279072</v>
      </c>
    </row>
    <row r="102" spans="1:32" ht="14.65" thickBot="1" x14ac:dyDescent="0.5">
      <c r="A102" s="1378" t="s">
        <v>872</v>
      </c>
      <c r="B102">
        <v>1.94</v>
      </c>
      <c r="C102">
        <v>92.37</v>
      </c>
      <c r="D102">
        <v>94.31</v>
      </c>
      <c r="E102">
        <v>32.04</v>
      </c>
      <c r="F102">
        <v>10.29</v>
      </c>
    </row>
    <row r="103" spans="1:32" ht="14.65" thickBot="1" x14ac:dyDescent="0.5">
      <c r="A103" s="1378" t="s">
        <v>140</v>
      </c>
      <c r="B103">
        <f t="shared" si="53"/>
        <v>1.78</v>
      </c>
      <c r="C103">
        <f>SUMIF($A$34:$A$56,A103,$C$34:$C$56)</f>
        <v>85.07</v>
      </c>
      <c r="D103">
        <f>SUMIF($A$34:$A$56,A103,$D$34:$D$56)</f>
        <v>86.85</v>
      </c>
      <c r="E103">
        <f t="shared" si="54"/>
        <v>22.58</v>
      </c>
      <c r="F103">
        <f t="shared" si="55"/>
        <v>9.5500000000000007</v>
      </c>
    </row>
    <row r="104" spans="1:32" ht="14.65" thickBot="1" x14ac:dyDescent="0.5">
      <c r="A104" s="1378" t="s">
        <v>141</v>
      </c>
      <c r="B104">
        <f t="shared" si="53"/>
        <v>1.1000000000000001</v>
      </c>
      <c r="C104">
        <f>SUMIF($A$34:$A$56,A104,$C$34:$C$56)</f>
        <v>36.14</v>
      </c>
      <c r="D104">
        <f>SUMIF($A$34:$A$56,A104,$D$34:$D$56)</f>
        <v>37.24</v>
      </c>
      <c r="E104">
        <f t="shared" si="54"/>
        <v>18.940000000000001</v>
      </c>
      <c r="F104">
        <f t="shared" si="55"/>
        <v>13.51</v>
      </c>
    </row>
    <row r="105" spans="1:32" x14ac:dyDescent="0.45">
      <c r="B105" s="89">
        <f t="shared" ref="B105:G105" si="57">SUM(B97:B104)</f>
        <v>14.429999999999998</v>
      </c>
      <c r="C105" s="89">
        <f t="shared" si="57"/>
        <v>593.78000000000009</v>
      </c>
      <c r="D105" s="89">
        <f t="shared" si="57"/>
        <v>608.21</v>
      </c>
      <c r="E105" s="89">
        <f t="shared" si="57"/>
        <v>256.27</v>
      </c>
      <c r="F105" s="89">
        <f t="shared" si="57"/>
        <v>79.42</v>
      </c>
      <c r="G105" s="89">
        <f t="shared" si="57"/>
        <v>0</v>
      </c>
    </row>
    <row r="106" spans="1:32" x14ac:dyDescent="0.45">
      <c r="B106">
        <f t="shared" ref="B106:G106" si="58">B96+B105</f>
        <v>22.159999999999997</v>
      </c>
      <c r="C106">
        <f t="shared" si="58"/>
        <v>928.43000000000006</v>
      </c>
      <c r="D106">
        <f t="shared" si="58"/>
        <v>950.59</v>
      </c>
      <c r="E106">
        <f t="shared" si="58"/>
        <v>341.23</v>
      </c>
      <c r="F106">
        <f t="shared" si="58"/>
        <v>102.46000000000001</v>
      </c>
      <c r="G106">
        <f t="shared" si="58"/>
        <v>1.399</v>
      </c>
    </row>
  </sheetData>
  <mergeCells count="45">
    <mergeCell ref="E59:E60"/>
    <mergeCell ref="F59:H59"/>
    <mergeCell ref="A31:G31"/>
    <mergeCell ref="A32:A33"/>
    <mergeCell ref="B32:D32"/>
    <mergeCell ref="E32:E33"/>
    <mergeCell ref="F32:F33"/>
    <mergeCell ref="G32:G33"/>
    <mergeCell ref="W32:W33"/>
    <mergeCell ref="J59:J60"/>
    <mergeCell ref="K59:M59"/>
    <mergeCell ref="T32:U32"/>
    <mergeCell ref="J31:P31"/>
    <mergeCell ref="J32:J33"/>
    <mergeCell ref="K32:M32"/>
    <mergeCell ref="N32:N33"/>
    <mergeCell ref="O32:O33"/>
    <mergeCell ref="P32:P33"/>
    <mergeCell ref="S31:W31"/>
    <mergeCell ref="AM1:AO1"/>
    <mergeCell ref="AM2:AO2"/>
    <mergeCell ref="AD1:AF1"/>
    <mergeCell ref="AD2:AF2"/>
    <mergeCell ref="AG1:AI1"/>
    <mergeCell ref="AG2:AI2"/>
    <mergeCell ref="AJ1:AL1"/>
    <mergeCell ref="AJ2:AL2"/>
    <mergeCell ref="W2:W3"/>
    <mergeCell ref="X2:Z2"/>
    <mergeCell ref="AA2:AC2"/>
    <mergeCell ref="X1:Z1"/>
    <mergeCell ref="AA1:AC1"/>
    <mergeCell ref="J1:P1"/>
    <mergeCell ref="J2:J3"/>
    <mergeCell ref="K2:M2"/>
    <mergeCell ref="N2:N3"/>
    <mergeCell ref="O2:O3"/>
    <mergeCell ref="P2:P3"/>
    <mergeCell ref="T72:T73"/>
    <mergeCell ref="U72:U73"/>
    <mergeCell ref="V72:V73"/>
    <mergeCell ref="S2:S3"/>
    <mergeCell ref="T2:T3"/>
    <mergeCell ref="S32:S33"/>
    <mergeCell ref="V32:V33"/>
  </mergeCells>
  <phoneticPr fontId="166" type="noConversion"/>
  <printOptions horizontalCentered="1" verticalCentered="1"/>
  <pageMargins left="0.2" right="0.28999999999999998" top="0.32" bottom="0.2" header="0.3" footer="0.3"/>
  <pageSetup paperSize="9" scale="36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6EB4C-4102-46A2-B470-B431E72573DF}">
  <sheetPr>
    <pageSetUpPr fitToPage="1"/>
  </sheetPr>
  <dimension ref="A1:BL132"/>
  <sheetViews>
    <sheetView workbookViewId="0">
      <selection activeCell="BA10" sqref="BA10"/>
    </sheetView>
  </sheetViews>
  <sheetFormatPr defaultColWidth="9.1328125" defaultRowHeight="15" x14ac:dyDescent="0.4"/>
  <cols>
    <col min="1" max="1" width="3.73046875" style="1235" customWidth="1"/>
    <col min="2" max="2" width="36.1328125" style="300" customWidth="1"/>
    <col min="3" max="3" width="12" style="5" bestFit="1" customWidth="1"/>
    <col min="4" max="4" width="14.26562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265625" style="11" customWidth="1"/>
    <col min="9" max="9" width="12" style="82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59765625" style="1209" customWidth="1"/>
    <col min="14" max="14" width="35.265625" style="5" customWidth="1"/>
    <col min="15" max="15" width="10.265625" style="5" customWidth="1"/>
    <col min="16" max="16" width="10.59765625" style="5" customWidth="1"/>
    <col min="17" max="17" width="12.1328125" style="5" hidden="1" customWidth="1"/>
    <col min="18" max="18" width="16.86328125" style="5" bestFit="1" customWidth="1"/>
    <col min="19" max="19" width="11.265625" style="5" bestFit="1" customWidth="1"/>
    <col min="20" max="21" width="14" style="5" customWidth="1"/>
    <col min="22" max="25" width="11.1328125" style="5" customWidth="1"/>
    <col min="26" max="26" width="6.73046875" style="5" customWidth="1"/>
    <col min="27" max="27" width="30.3984375" style="5" bestFit="1" customWidth="1"/>
    <col min="28" max="29" width="11.1328125" style="5" hidden="1" customWidth="1"/>
    <col min="30" max="51" width="11.1328125" style="5" customWidth="1"/>
    <col min="52" max="52" width="9.1328125" style="5"/>
    <col min="53" max="53" width="12.3984375" style="5" bestFit="1" customWidth="1"/>
    <col min="54" max="54" width="13.3984375" style="172" customWidth="1"/>
    <col min="55" max="55" width="11.265625" style="5" bestFit="1" customWidth="1"/>
    <col min="56" max="56" width="10.265625" style="5" bestFit="1" customWidth="1"/>
    <col min="57" max="57" width="10.59765625" style="5" bestFit="1" customWidth="1"/>
    <col min="58" max="58" width="9.1328125" style="5"/>
    <col min="59" max="59" width="37.3984375" style="5" customWidth="1"/>
    <col min="60" max="60" width="16.59765625" style="5" customWidth="1"/>
    <col min="61" max="61" width="16.86328125" style="5" customWidth="1"/>
    <col min="62" max="62" width="17.59765625" style="5" customWidth="1"/>
    <col min="63" max="63" width="16.3984375" style="5" bestFit="1" customWidth="1"/>
    <col min="64" max="64" width="15.1328125" style="5" customWidth="1"/>
    <col min="65" max="16384" width="9.1328125" style="5"/>
  </cols>
  <sheetData>
    <row r="1" spans="1:64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156" t="s">
        <v>781</v>
      </c>
      <c r="N1" s="2156"/>
      <c r="O1" s="2156"/>
      <c r="P1" s="2156"/>
      <c r="Q1" s="2156"/>
      <c r="R1" s="2156"/>
      <c r="S1" s="2156"/>
      <c r="T1" s="2156"/>
      <c r="U1" s="2156"/>
      <c r="V1" s="2156"/>
      <c r="W1" s="2156"/>
      <c r="X1" s="1390"/>
      <c r="Y1" s="1390"/>
      <c r="Z1" s="2156" t="s">
        <v>781</v>
      </c>
      <c r="AA1" s="2156"/>
      <c r="AB1" s="2156"/>
      <c r="AC1" s="2156"/>
      <c r="AD1" s="2156"/>
      <c r="AE1" s="2156"/>
      <c r="AF1" s="2156"/>
      <c r="AG1" s="2156"/>
      <c r="AH1" s="2156"/>
      <c r="AI1" s="2156"/>
      <c r="AJ1" s="2156"/>
      <c r="AK1" s="1390"/>
      <c r="AL1" s="1390"/>
      <c r="AM1" s="2156" t="s">
        <v>781</v>
      </c>
      <c r="AN1" s="2156"/>
      <c r="AO1" s="2156"/>
      <c r="AP1" s="2156"/>
      <c r="AQ1" s="2156"/>
      <c r="AR1" s="2156"/>
      <c r="AS1" s="2156"/>
      <c r="AT1" s="2156"/>
      <c r="AU1" s="2156"/>
      <c r="AV1" s="2156"/>
      <c r="AW1" s="2156"/>
      <c r="AX1" s="1390"/>
      <c r="AY1" s="1390"/>
    </row>
    <row r="2" spans="1:64" s="301" customFormat="1" ht="18" thickBot="1" x14ac:dyDescent="0.4">
      <c r="A2" s="2346" t="s">
        <v>820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873</v>
      </c>
      <c r="N2" s="2446"/>
      <c r="O2" s="2446"/>
      <c r="P2" s="2446"/>
      <c r="Q2" s="2446"/>
      <c r="R2" s="2093"/>
      <c r="S2" s="2093"/>
      <c r="T2" s="2093"/>
      <c r="U2" s="2093"/>
      <c r="V2" s="2093"/>
      <c r="W2" s="2094"/>
      <c r="X2" s="1391"/>
      <c r="Y2" s="1391"/>
      <c r="Z2" s="2092" t="s">
        <v>875</v>
      </c>
      <c r="AA2" s="2446"/>
      <c r="AB2" s="2446"/>
      <c r="AC2" s="2446"/>
      <c r="AD2" s="2446"/>
      <c r="AE2" s="2093"/>
      <c r="AF2" s="2093"/>
      <c r="AG2" s="2093"/>
      <c r="AH2" s="2093"/>
      <c r="AI2" s="2093"/>
      <c r="AJ2" s="2094"/>
      <c r="AK2" s="1391"/>
      <c r="AL2" s="1391"/>
      <c r="AM2" s="2092" t="s">
        <v>851</v>
      </c>
      <c r="AN2" s="2446"/>
      <c r="AO2" s="2446"/>
      <c r="AP2" s="2446"/>
      <c r="AQ2" s="2446"/>
      <c r="AR2" s="2093"/>
      <c r="AS2" s="2093"/>
      <c r="AT2" s="2093"/>
      <c r="AU2" s="2093"/>
      <c r="AV2" s="2093"/>
      <c r="AW2" s="2094"/>
      <c r="AX2" s="1391"/>
      <c r="AY2" s="1391"/>
      <c r="BB2" s="1149"/>
      <c r="BG2" s="2326" t="s">
        <v>781</v>
      </c>
      <c r="BH2" s="2326"/>
      <c r="BI2" s="2326"/>
      <c r="BJ2" s="2326"/>
      <c r="BK2" s="2326"/>
      <c r="BL2" s="2326"/>
    </row>
    <row r="3" spans="1:64" ht="17.25" customHeight="1" thickTop="1" x14ac:dyDescent="0.5">
      <c r="A3" s="2360" t="s">
        <v>144</v>
      </c>
      <c r="B3" s="2342" t="s">
        <v>353</v>
      </c>
      <c r="C3" s="1190" t="s">
        <v>10</v>
      </c>
      <c r="D3" s="2107" t="s">
        <v>8</v>
      </c>
      <c r="E3" s="2108"/>
      <c r="F3" s="2447" t="s">
        <v>10</v>
      </c>
      <c r="G3" s="2448"/>
      <c r="H3" s="2109" t="s">
        <v>813</v>
      </c>
      <c r="I3" s="2110"/>
      <c r="M3" s="2358" t="s">
        <v>757</v>
      </c>
      <c r="N3" s="2436" t="s">
        <v>353</v>
      </c>
      <c r="O3" s="2436"/>
      <c r="P3" s="2436"/>
      <c r="Q3" s="1190" t="s">
        <v>10</v>
      </c>
      <c r="R3" s="2107" t="s">
        <v>8</v>
      </c>
      <c r="S3" s="2108"/>
      <c r="T3" s="2107" t="s">
        <v>10</v>
      </c>
      <c r="U3" s="2108"/>
      <c r="V3" s="2109" t="s">
        <v>813</v>
      </c>
      <c r="W3" s="2110"/>
      <c r="X3" s="1392"/>
      <c r="Y3" s="1392"/>
      <c r="Z3" s="2358" t="s">
        <v>757</v>
      </c>
      <c r="AA3" s="2436" t="s">
        <v>353</v>
      </c>
      <c r="AB3" s="2436"/>
      <c r="AC3" s="2436"/>
      <c r="AD3" s="1190" t="s">
        <v>10</v>
      </c>
      <c r="AE3" s="2107" t="s">
        <v>8</v>
      </c>
      <c r="AF3" s="2108"/>
      <c r="AG3" s="2107" t="s">
        <v>10</v>
      </c>
      <c r="AH3" s="2108"/>
      <c r="AI3" s="2109" t="s">
        <v>813</v>
      </c>
      <c r="AJ3" s="2110"/>
      <c r="AK3" s="1392"/>
      <c r="AL3" s="1392"/>
      <c r="AM3" s="2358" t="s">
        <v>757</v>
      </c>
      <c r="AN3" s="2436" t="s">
        <v>353</v>
      </c>
      <c r="AO3" s="2436"/>
      <c r="AP3" s="2436"/>
      <c r="AQ3" s="1190" t="s">
        <v>10</v>
      </c>
      <c r="AR3" s="2107" t="s">
        <v>8</v>
      </c>
      <c r="AS3" s="2108"/>
      <c r="AT3" s="2107" t="s">
        <v>10</v>
      </c>
      <c r="AU3" s="2108"/>
      <c r="AV3" s="2109" t="s">
        <v>813</v>
      </c>
      <c r="AW3" s="2110"/>
      <c r="AX3" s="1392"/>
      <c r="AY3" s="1392"/>
      <c r="BG3" s="2341" t="s">
        <v>854</v>
      </c>
      <c r="BH3" s="2341"/>
      <c r="BI3" s="2341"/>
      <c r="BJ3" s="2341"/>
      <c r="BK3" s="2341"/>
      <c r="BL3" s="2341"/>
    </row>
    <row r="4" spans="1:64" s="35" customFormat="1" ht="25.5" customHeight="1" x14ac:dyDescent="0.35">
      <c r="A4" s="2360"/>
      <c r="B4" s="2343"/>
      <c r="C4" s="1183" t="s">
        <v>764</v>
      </c>
      <c r="D4" s="1064" t="s">
        <v>9</v>
      </c>
      <c r="E4" s="422">
        <f>G4</f>
        <v>44986</v>
      </c>
      <c r="F4" s="422">
        <v>44641</v>
      </c>
      <c r="G4" s="422">
        <v>44986</v>
      </c>
      <c r="H4" s="2444" t="s">
        <v>12</v>
      </c>
      <c r="I4" s="2444" t="s">
        <v>13</v>
      </c>
      <c r="J4" s="84"/>
      <c r="K4" s="84"/>
      <c r="L4" s="1150"/>
      <c r="M4" s="2358"/>
      <c r="N4" s="2436"/>
      <c r="O4" s="2436"/>
      <c r="P4" s="2436"/>
      <c r="Q4" s="1183" t="s">
        <v>764</v>
      </c>
      <c r="R4" s="421" t="s">
        <v>9</v>
      </c>
      <c r="S4" s="422">
        <f>E4</f>
        <v>44986</v>
      </c>
      <c r="T4" s="422">
        <f>F4</f>
        <v>44641</v>
      </c>
      <c r="U4" s="422">
        <f>G4</f>
        <v>44986</v>
      </c>
      <c r="V4" s="2331" t="s">
        <v>12</v>
      </c>
      <c r="W4" s="2331" t="s">
        <v>13</v>
      </c>
      <c r="X4" s="1393"/>
      <c r="Y4" s="1393"/>
      <c r="Z4" s="2358"/>
      <c r="AA4" s="2436"/>
      <c r="AB4" s="2436"/>
      <c r="AC4" s="2436"/>
      <c r="AD4" s="1183" t="s">
        <v>764</v>
      </c>
      <c r="AE4" s="421" t="s">
        <v>9</v>
      </c>
      <c r="AF4" s="422" t="str">
        <f>R4</f>
        <v>Yearly</v>
      </c>
      <c r="AG4" s="422">
        <f>S4</f>
        <v>44986</v>
      </c>
      <c r="AH4" s="422">
        <f>T4</f>
        <v>44641</v>
      </c>
      <c r="AI4" s="2331" t="s">
        <v>12</v>
      </c>
      <c r="AJ4" s="2331" t="s">
        <v>13</v>
      </c>
      <c r="AK4" s="1393"/>
      <c r="AL4" s="1393"/>
      <c r="AM4" s="2358"/>
      <c r="AN4" s="2436"/>
      <c r="AO4" s="2436"/>
      <c r="AP4" s="2436"/>
      <c r="AQ4" s="1183" t="s">
        <v>764</v>
      </c>
      <c r="AR4" s="421" t="s">
        <v>9</v>
      </c>
      <c r="AS4" s="422" t="str">
        <f>AE4</f>
        <v>Yearly</v>
      </c>
      <c r="AT4" s="422" t="str">
        <f>AF4</f>
        <v>Yearly</v>
      </c>
      <c r="AU4" s="422">
        <f>AG4</f>
        <v>44986</v>
      </c>
      <c r="AV4" s="2331" t="s">
        <v>12</v>
      </c>
      <c r="AW4" s="2331" t="s">
        <v>13</v>
      </c>
      <c r="AX4" s="1393"/>
      <c r="AY4" s="1393"/>
      <c r="BB4" s="1150"/>
      <c r="BG4" s="1294" t="s">
        <v>353</v>
      </c>
      <c r="BH4" s="1294" t="s">
        <v>77</v>
      </c>
      <c r="BI4" s="1294" t="s">
        <v>249</v>
      </c>
      <c r="BJ4" s="1365" t="s">
        <v>853</v>
      </c>
      <c r="BK4" s="1294" t="s">
        <v>438</v>
      </c>
      <c r="BL4" s="1294" t="s">
        <v>701</v>
      </c>
    </row>
    <row r="5" spans="1:64" ht="18.75" hidden="1" customHeight="1" x14ac:dyDescent="0.5">
      <c r="A5" s="2361"/>
      <c r="B5" s="2344"/>
      <c r="C5" s="1184"/>
      <c r="D5" s="2157" t="s">
        <v>249</v>
      </c>
      <c r="E5" s="2158"/>
      <c r="F5" s="1134" t="s">
        <v>249</v>
      </c>
      <c r="G5" s="1134" t="s">
        <v>438</v>
      </c>
      <c r="H5" s="2445"/>
      <c r="I5" s="2445"/>
      <c r="M5" s="2359"/>
      <c r="N5" s="2436"/>
      <c r="O5" s="2436"/>
      <c r="P5" s="2436"/>
      <c r="Q5" s="1184"/>
      <c r="R5" s="2157" t="s">
        <v>249</v>
      </c>
      <c r="S5" s="2158"/>
      <c r="T5" s="602" t="s">
        <v>249</v>
      </c>
      <c r="U5" s="602" t="s">
        <v>438</v>
      </c>
      <c r="V5" s="2332"/>
      <c r="W5" s="2332"/>
      <c r="X5" s="1393"/>
      <c r="Y5" s="1393"/>
      <c r="Z5" s="2359"/>
      <c r="AA5" s="2436"/>
      <c r="AB5" s="2436"/>
      <c r="AC5" s="2436"/>
      <c r="AD5" s="1184"/>
      <c r="AE5" s="2157" t="s">
        <v>249</v>
      </c>
      <c r="AF5" s="2158"/>
      <c r="AG5" s="602" t="s">
        <v>249</v>
      </c>
      <c r="AH5" s="602" t="s">
        <v>438</v>
      </c>
      <c r="AI5" s="2332"/>
      <c r="AJ5" s="2332"/>
      <c r="AK5" s="1393"/>
      <c r="AL5" s="1393"/>
      <c r="AM5" s="2359"/>
      <c r="AN5" s="2436"/>
      <c r="AO5" s="2436"/>
      <c r="AP5" s="2436"/>
      <c r="AQ5" s="1184"/>
      <c r="AR5" s="2157" t="s">
        <v>249</v>
      </c>
      <c r="AS5" s="2158"/>
      <c r="AT5" s="602" t="s">
        <v>249</v>
      </c>
      <c r="AU5" s="602" t="s">
        <v>438</v>
      </c>
      <c r="AV5" s="2332"/>
      <c r="AW5" s="2332"/>
      <c r="AX5" s="1393"/>
      <c r="AY5" s="1393"/>
      <c r="BG5" s="6"/>
      <c r="BH5" s="6"/>
      <c r="BI5" s="1363"/>
      <c r="BJ5" s="1366"/>
      <c r="BK5" s="602" t="s">
        <v>249</v>
      </c>
      <c r="BL5" s="602" t="s">
        <v>438</v>
      </c>
    </row>
    <row r="6" spans="1:64" ht="30" customHeight="1" x14ac:dyDescent="0.35">
      <c r="A6" s="1229">
        <v>1</v>
      </c>
      <c r="B6" s="1191" t="s">
        <v>290</v>
      </c>
      <c r="C6" s="1185">
        <v>615.09889696200003</v>
      </c>
      <c r="D6" s="1312">
        <f>'target FY 22-23'!D56</f>
        <v>950.59</v>
      </c>
      <c r="E6" s="1315">
        <f>'AUG-22'!E6+'SEP-2022'!E6+'OCT-2022'!E6+'NOV -22'!E6+'DEC-22'!E6+'JAN-23'!E6+'FEB -23'!E6+'MARCH -23 '!E6</f>
        <v>590.84</v>
      </c>
      <c r="F6" s="1315">
        <f>'AUG-22'!F6+'SEP-2022'!F6+'OCT-2022'!F6+'NOV -22'!F6+'DEC-22'!F6+'JAN-23'!F6+'FEB -23'!F6+'MARCH -23 '!F6</f>
        <v>491.11638450499998</v>
      </c>
      <c r="G6" s="1315">
        <f>'AUG-22'!G6+'SEP-2022'!G6+'OCT-2022'!G6+'NOV -22'!G6+'DEC-22'!G6+'JAN-23'!G6+'FEB -23'!G6+'MARCH -23 '!G6</f>
        <v>709.3646056</v>
      </c>
      <c r="H6" s="517">
        <f>(G6-E6)/E6*100</f>
        <v>20.060355696973794</v>
      </c>
      <c r="I6" s="517">
        <f>(G6-F6)/F6*100</f>
        <v>44.439205854427783</v>
      </c>
      <c r="M6" s="1203">
        <v>1</v>
      </c>
      <c r="N6" s="2049" t="s">
        <v>290</v>
      </c>
      <c r="O6" s="2049"/>
      <c r="P6" s="2049"/>
      <c r="Q6" s="1185">
        <v>615.09889696200003</v>
      </c>
      <c r="R6" s="1312">
        <v>950.59</v>
      </c>
      <c r="S6" s="434">
        <f>'MARCH -23 '!S6-'JULY 22'!Q6</f>
        <v>608.21</v>
      </c>
      <c r="T6" s="434">
        <f>'MARCH -23 '!T6-'JULY 22'!R6</f>
        <v>491.109211405</v>
      </c>
      <c r="U6" s="434">
        <f>'MARCH -23 '!U6-'JULY 22'!S6</f>
        <v>709.37825359999999</v>
      </c>
      <c r="V6" s="1313">
        <f>(U6-S6)/S6*100</f>
        <v>16.633770178063489</v>
      </c>
      <c r="W6" s="1313">
        <f>(U6-T6)/T6*100</f>
        <v>44.444094536642979</v>
      </c>
      <c r="X6" s="1394"/>
      <c r="Y6" s="1394"/>
      <c r="Z6" s="1203">
        <v>1</v>
      </c>
      <c r="AA6" s="2049" t="s">
        <v>290</v>
      </c>
      <c r="AB6" s="2049"/>
      <c r="AC6" s="2049"/>
      <c r="AD6" s="1185">
        <v>615.09889696200003</v>
      </c>
      <c r="AE6" s="1312">
        <v>950.59</v>
      </c>
      <c r="AF6" s="434">
        <f>'target FY 22-23'!D57</f>
        <v>254.16000000000003</v>
      </c>
      <c r="AG6" s="434">
        <f>T6+'JULY 22'!F6</f>
        <v>536.33309100500003</v>
      </c>
      <c r="AH6" s="434">
        <f>U6+'JULY 22'!G6</f>
        <v>797.68099299999994</v>
      </c>
      <c r="AI6" s="1313">
        <f>(AH6-AF6)/AF6*100</f>
        <v>213.84993429335844</v>
      </c>
      <c r="AJ6" s="1313">
        <f>(AH6-AG6)/AG6*100</f>
        <v>48.728655079864069</v>
      </c>
      <c r="AK6" s="1394"/>
      <c r="AL6" s="1394"/>
      <c r="AM6" s="1203">
        <v>1</v>
      </c>
      <c r="AN6" s="2049" t="s">
        <v>290</v>
      </c>
      <c r="AO6" s="2049"/>
      <c r="AP6" s="2049"/>
      <c r="AQ6" s="1185">
        <v>615.09889696200003</v>
      </c>
      <c r="AR6" s="1312">
        <v>950.59</v>
      </c>
      <c r="AS6" s="434">
        <v>950.59</v>
      </c>
      <c r="AT6" s="434">
        <v>615.095131262</v>
      </c>
      <c r="AU6" s="434">
        <v>1024.2159494</v>
      </c>
      <c r="AV6" s="1313">
        <f>(AU6-AS6)/AS6*100</f>
        <v>7.7452897042889113</v>
      </c>
      <c r="AW6" s="1313">
        <f>(AU6-AT6)/AT6*100</f>
        <v>66.513421639121191</v>
      </c>
      <c r="AX6" s="1394"/>
      <c r="AY6" s="1394"/>
      <c r="AZ6" s="12">
        <v>314.83999999999997</v>
      </c>
      <c r="BA6" s="12">
        <f t="shared" ref="BA6:BA12" si="0">AZ6+U6</f>
        <v>1024.2182536</v>
      </c>
      <c r="BB6" s="491"/>
      <c r="BC6" s="491"/>
      <c r="BG6" s="1191" t="s">
        <v>855</v>
      </c>
      <c r="BH6" s="434">
        <v>873.14</v>
      </c>
      <c r="BI6" s="434">
        <v>615.09889696200003</v>
      </c>
      <c r="BJ6" s="1315">
        <v>950.59</v>
      </c>
      <c r="BK6" s="434">
        <v>950.59</v>
      </c>
      <c r="BL6" s="434">
        <v>1024.2159494</v>
      </c>
    </row>
    <row r="7" spans="1:64" ht="26.25" customHeight="1" x14ac:dyDescent="0.35">
      <c r="A7" s="1230">
        <v>2</v>
      </c>
      <c r="B7" s="1154" t="s">
        <v>291</v>
      </c>
      <c r="C7" s="1186">
        <v>275.33999999999997</v>
      </c>
      <c r="D7" s="434">
        <f>'target FY 22-23'!E56</f>
        <v>341.23</v>
      </c>
      <c r="E7" s="1315">
        <f>'AUG-22'!E7+'SEP-2022'!E7+'OCT-2022'!E7+'NOV -22'!E7+'DEC-22'!E7+'JAN-23'!E7+'FEB -23'!E7+'MARCH -23 '!E7</f>
        <v>246.2</v>
      </c>
      <c r="F7" s="1315">
        <f>'AUG-22'!F7+'SEP-2022'!F7+'OCT-2022'!F7+'NOV -22'!F7+'DEC-22'!F7+'JAN-23'!F7+'FEB -23'!F7+'MARCH -23 '!F7</f>
        <v>206.06219279999999</v>
      </c>
      <c r="G7" s="1315">
        <f>'AUG-22'!G7+'SEP-2022'!G7+'OCT-2022'!G7+'NOV -22'!G7+'DEC-22'!G7+'JAN-23'!G7+'FEB -23'!G7+'MARCH -23 '!G7</f>
        <v>273.42499999999995</v>
      </c>
      <c r="H7" s="517">
        <f>(G7-E7)/E7*100</f>
        <v>11.058082859463838</v>
      </c>
      <c r="I7" s="517">
        <f>(G7-F7)/F7*100</f>
        <v>32.690522353792964</v>
      </c>
      <c r="M7" s="1204">
        <v>2</v>
      </c>
      <c r="N7" s="2428" t="s">
        <v>291</v>
      </c>
      <c r="O7" s="2428"/>
      <c r="P7" s="2428"/>
      <c r="Q7" s="1186">
        <v>275.33999999999997</v>
      </c>
      <c r="R7" s="434">
        <v>341.23</v>
      </c>
      <c r="S7" s="434">
        <f>'MARCH -23 '!S7-'JULY 22'!Q7</f>
        <v>256.27</v>
      </c>
      <c r="T7" s="434">
        <f>'MARCH -23 '!T7-'JULY 22'!R7</f>
        <v>206.81582819999997</v>
      </c>
      <c r="U7" s="434">
        <f>'MARCH -23 '!U7-'JULY 22'!S7</f>
        <v>273.28169340000005</v>
      </c>
      <c r="V7" s="1313">
        <f>(U7-S7)/S7*100</f>
        <v>6.6381915167596954</v>
      </c>
      <c r="W7" s="1313">
        <f>(U7-T7)/T7*100</f>
        <v>32.13770714672993</v>
      </c>
      <c r="X7" s="1394"/>
      <c r="Y7" s="1394"/>
      <c r="Z7" s="1204">
        <v>2</v>
      </c>
      <c r="AA7" s="2428" t="s">
        <v>291</v>
      </c>
      <c r="AB7" s="2428"/>
      <c r="AC7" s="2428"/>
      <c r="AD7" s="1186">
        <v>275.33999999999997</v>
      </c>
      <c r="AE7" s="434">
        <v>341.23</v>
      </c>
      <c r="AF7" s="434">
        <f>'target FY 22-23'!E57</f>
        <v>67.040000000000006</v>
      </c>
      <c r="AG7" s="434">
        <f>T7+'JULY 22'!F7</f>
        <v>221.26457019999998</v>
      </c>
      <c r="AH7" s="434">
        <f>U7+'JULY 22'!G7</f>
        <v>313.82579340000007</v>
      </c>
      <c r="AI7" s="1313">
        <f>(AH7-AF7)/AF7*100</f>
        <v>368.11723359188545</v>
      </c>
      <c r="AJ7" s="1313">
        <f>(AH7-AG7)/AG7*100</f>
        <v>41.83282624793226</v>
      </c>
      <c r="AK7" s="1394"/>
      <c r="AL7" s="1394"/>
      <c r="AM7" s="1204">
        <v>2</v>
      </c>
      <c r="AN7" s="2428" t="s">
        <v>291</v>
      </c>
      <c r="AO7" s="2428"/>
      <c r="AP7" s="2428"/>
      <c r="AQ7" s="1186">
        <v>275.33999999999997</v>
      </c>
      <c r="AR7" s="434">
        <v>341.23</v>
      </c>
      <c r="AS7" s="434">
        <v>341.23</v>
      </c>
      <c r="AT7" s="434">
        <v>275.33999999999997</v>
      </c>
      <c r="AU7" s="434">
        <v>403.10200000000003</v>
      </c>
      <c r="AV7" s="1313">
        <f>(AU7-AS7)/AS7*100</f>
        <v>18.132051695337459</v>
      </c>
      <c r="AW7" s="1313">
        <f>(AU7-AT7)/AT7*100</f>
        <v>46.401539914287817</v>
      </c>
      <c r="AX7" s="1394"/>
      <c r="AY7" s="1394"/>
      <c r="AZ7" s="5">
        <v>129.82</v>
      </c>
      <c r="BA7" s="12">
        <f t="shared" si="0"/>
        <v>403.10169340000004</v>
      </c>
      <c r="BB7" s="491"/>
      <c r="BC7" s="491"/>
      <c r="BG7" s="606" t="s">
        <v>856</v>
      </c>
      <c r="BH7" s="434">
        <v>194.94915280000004</v>
      </c>
      <c r="BI7" s="434">
        <v>275.33999999999997</v>
      </c>
      <c r="BJ7" s="1315">
        <v>341.23</v>
      </c>
      <c r="BK7" s="434">
        <v>341.23</v>
      </c>
      <c r="BL7" s="434">
        <v>403.10200000000003</v>
      </c>
    </row>
    <row r="8" spans="1:64" ht="32.25" customHeight="1" x14ac:dyDescent="0.35">
      <c r="A8" s="1231">
        <v>3</v>
      </c>
      <c r="B8" s="1155" t="s">
        <v>292</v>
      </c>
      <c r="C8" s="1187">
        <v>71.674099700000014</v>
      </c>
      <c r="D8" s="1314">
        <f>'target FY 22-23'!F56</f>
        <v>102.46000000000001</v>
      </c>
      <c r="E8" s="1315">
        <f>'AUG-22'!E8+'SEP-2022'!E8+'OCT-2022'!E8+'NOV -22'!E8+'DEC-22'!E8+'JAN-23'!E8+'FEB -23'!E8+'MARCH -23 '!E8</f>
        <v>76.87</v>
      </c>
      <c r="F8" s="1315">
        <f>'AUG-22'!F8+'SEP-2022'!F8+'OCT-2022'!F8+'NOV -22'!F8+'DEC-22'!F8+'JAN-23'!F8+'FEB -23'!F8+'MARCH -23 '!F8</f>
        <v>53.739202599999999</v>
      </c>
      <c r="G8" s="1315">
        <f>'AUG-22'!G8+'SEP-2022'!G8+'OCT-2022'!G8+'NOV -22'!G8+'DEC-22'!G8+'JAN-23'!G8+'FEB -23'!G8+'MARCH -23 '!G8</f>
        <v>67.756226699999985</v>
      </c>
      <c r="H8" s="517">
        <f>(G8-E8)/E8*100</f>
        <v>-11.856085989332664</v>
      </c>
      <c r="I8" s="517">
        <f>(G8-F8)/F8*100</f>
        <v>26.083424058845239</v>
      </c>
      <c r="M8" s="1205">
        <v>3</v>
      </c>
      <c r="N8" s="2427" t="s">
        <v>292</v>
      </c>
      <c r="O8" s="2427"/>
      <c r="P8" s="2427"/>
      <c r="Q8" s="1187">
        <v>71.674099700000014</v>
      </c>
      <c r="R8" s="1314">
        <v>102.46000000000001</v>
      </c>
      <c r="S8" s="434">
        <f>'MARCH -23 '!S8-'JULY 22'!Q8</f>
        <v>79.420000000000016</v>
      </c>
      <c r="T8" s="434">
        <f>'MARCH -23 '!T8-'JULY 22'!R8</f>
        <v>53.736460899999983</v>
      </c>
      <c r="U8" s="434">
        <f>'MARCH -23 '!U8-'JULY 22'!S8</f>
        <v>67.811706100000009</v>
      </c>
      <c r="V8" s="1313">
        <f>(U8-S8)/S8*100</f>
        <v>-14.616335809619748</v>
      </c>
      <c r="W8" s="1313">
        <f>(U8-T8)/T8*100</f>
        <v>26.19310048384677</v>
      </c>
      <c r="X8" s="1394"/>
      <c r="Y8" s="1394"/>
      <c r="Z8" s="1205">
        <v>3</v>
      </c>
      <c r="AA8" s="2427" t="s">
        <v>292</v>
      </c>
      <c r="AB8" s="2427"/>
      <c r="AC8" s="2427"/>
      <c r="AD8" s="1187">
        <v>71.674099700000014</v>
      </c>
      <c r="AE8" s="1314">
        <v>102.46000000000001</v>
      </c>
      <c r="AF8" s="434">
        <f>'target FY 22-23'!F57</f>
        <v>17.45</v>
      </c>
      <c r="AG8" s="434">
        <f>T8+'JULY 22'!F8</f>
        <v>58.550215499999986</v>
      </c>
      <c r="AH8" s="434">
        <f>U8+'JULY 22'!G8</f>
        <v>76.878794000000013</v>
      </c>
      <c r="AI8" s="1313">
        <f>(AH8-AF8)/AF8*100</f>
        <v>340.56615472779379</v>
      </c>
      <c r="AJ8" s="1313">
        <f>(AH8-AG8)/AG8*100</f>
        <v>31.304032518889755</v>
      </c>
      <c r="AK8" s="1394"/>
      <c r="AL8" s="1394"/>
      <c r="AM8" s="1205">
        <v>3</v>
      </c>
      <c r="AN8" s="2427" t="s">
        <v>292</v>
      </c>
      <c r="AO8" s="2427"/>
      <c r="AP8" s="2427"/>
      <c r="AQ8" s="1187">
        <v>71.674099700000014</v>
      </c>
      <c r="AR8" s="1314">
        <v>102.46000000000001</v>
      </c>
      <c r="AS8" s="434">
        <v>102.46000000000001</v>
      </c>
      <c r="AT8" s="1314">
        <v>71.674099699999985</v>
      </c>
      <c r="AU8" s="434">
        <v>106.68749520000001</v>
      </c>
      <c r="AV8" s="1313">
        <f>(AU8-AS8)/AS8*100</f>
        <v>4.1259957056412322</v>
      </c>
      <c r="AW8" s="1313">
        <f>(AU8-AT8)/AT8*100</f>
        <v>48.850834048216221</v>
      </c>
      <c r="AX8" s="1394"/>
      <c r="AY8" s="1394"/>
      <c r="AZ8" s="5">
        <v>38.880000000000003</v>
      </c>
      <c r="BA8" s="12">
        <f t="shared" si="0"/>
        <v>106.6917061</v>
      </c>
      <c r="BB8" s="491"/>
      <c r="BC8" s="491"/>
      <c r="BG8" s="1361" t="s">
        <v>857</v>
      </c>
      <c r="BH8" s="434">
        <v>85.182228199999997</v>
      </c>
      <c r="BI8" s="434">
        <v>71.674099700000014</v>
      </c>
      <c r="BJ8" s="1315">
        <v>102.46000000000001</v>
      </c>
      <c r="BK8" s="434">
        <v>102.46000000000001</v>
      </c>
      <c r="BL8" s="434">
        <v>106.68749520000001</v>
      </c>
    </row>
    <row r="9" spans="1:64" ht="34.5" customHeight="1" x14ac:dyDescent="0.35">
      <c r="A9" s="1230">
        <v>4</v>
      </c>
      <c r="B9" s="1156" t="s">
        <v>293</v>
      </c>
      <c r="C9" s="1185">
        <v>5.1459812999999999</v>
      </c>
      <c r="D9" s="434">
        <f>D39+D40+D41</f>
        <v>16.79</v>
      </c>
      <c r="E9" s="1315">
        <f>'AUG-22'!E9+'SEP-2022'!E9+'OCT-2022'!E9+'NOV -22'!E9+'DEC-22'!E9+'JAN-23'!E9+'FEB -23'!E9+'MARCH -23 '!E9</f>
        <v>11.559333333333331</v>
      </c>
      <c r="F9" s="1315">
        <f>'AUG-22'!F9+'SEP-2022'!F9+'OCT-2022'!F9+'NOV -22'!F9+'DEC-22'!F9+'JAN-23'!F9+'FEB -23'!F9+'MARCH -23 '!F9</f>
        <v>5.1835284000000001</v>
      </c>
      <c r="G9" s="1315">
        <f>'AUG-22'!G9+'SEP-2022'!G9+'OCT-2022'!G9+'NOV -22'!G9+'DEC-22'!G9+'JAN-23'!G9+'FEB -23'!G9+'MARCH -23 '!G9</f>
        <v>14.514553800000002</v>
      </c>
      <c r="H9" s="517">
        <f>(G9-E9)/E9*100</f>
        <v>25.565665263279346</v>
      </c>
      <c r="I9" s="517">
        <f>(G9-F9)/F9*100</f>
        <v>180.01300812782276</v>
      </c>
      <c r="M9" s="1204">
        <v>4</v>
      </c>
      <c r="N9" s="2428" t="s">
        <v>293</v>
      </c>
      <c r="O9" s="2428"/>
      <c r="P9" s="2428"/>
      <c r="Q9" s="1185">
        <v>5.1459812999999999</v>
      </c>
      <c r="R9" s="434">
        <f>R39+R40+R41</f>
        <v>16.79</v>
      </c>
      <c r="S9" s="434">
        <f>'MARCH -23 '!S9-'JULY 22'!Q9</f>
        <v>11.19</v>
      </c>
      <c r="T9" s="434">
        <f>'MARCH -23 '!T9-'JULY 22'!R9</f>
        <v>4.1385796000000008</v>
      </c>
      <c r="U9" s="434">
        <f>'MARCH -23 '!U9-'JULY 22'!S9</f>
        <v>14.474954799999997</v>
      </c>
      <c r="V9" s="1313">
        <f>(U9-S9)/S9*100</f>
        <v>29.356164432529024</v>
      </c>
      <c r="W9" s="1313">
        <f>(U9-T9)/T9*100</f>
        <v>249.75658798492105</v>
      </c>
      <c r="X9" s="1394"/>
      <c r="Y9" s="1394"/>
      <c r="Z9" s="1204">
        <v>4</v>
      </c>
      <c r="AA9" s="2428" t="s">
        <v>293</v>
      </c>
      <c r="AB9" s="2428"/>
      <c r="AC9" s="2428"/>
      <c r="AD9" s="1185">
        <v>5.1459812999999999</v>
      </c>
      <c r="AE9" s="434">
        <f>AE39+AE40+AE41</f>
        <v>16.79</v>
      </c>
      <c r="AF9" s="434">
        <v>12.59</v>
      </c>
      <c r="AG9" s="434">
        <f>T9+'JULY 22'!F9</f>
        <v>4.3408277000000011</v>
      </c>
      <c r="AH9" s="434">
        <f>U9+'JULY 22'!G9</f>
        <v>15.183954799999997</v>
      </c>
      <c r="AI9" s="1313">
        <f>(AH9-AF9)/AF9*100</f>
        <v>20.6032946783161</v>
      </c>
      <c r="AJ9" s="1313">
        <f>(AH9-AG9)/AG9*100</f>
        <v>249.79399896475951</v>
      </c>
      <c r="AK9" s="1394"/>
      <c r="AL9" s="1394"/>
      <c r="AM9" s="1204">
        <v>4</v>
      </c>
      <c r="AN9" s="2428" t="s">
        <v>293</v>
      </c>
      <c r="AO9" s="2428"/>
      <c r="AP9" s="2428"/>
      <c r="AQ9" s="1185">
        <v>5.1459812999999999</v>
      </c>
      <c r="AR9" s="434">
        <v>16.79</v>
      </c>
      <c r="AS9" s="434">
        <v>16.79</v>
      </c>
      <c r="AT9" s="434">
        <v>5.1524325000000006</v>
      </c>
      <c r="AU9" s="434">
        <v>17.701250099999996</v>
      </c>
      <c r="AV9" s="1313">
        <f>(AU9-AS9)/AS9*100</f>
        <v>5.4273382966051029</v>
      </c>
      <c r="AW9" s="1313">
        <f>(AU9-AT9)/AT9*100</f>
        <v>243.55132454428067</v>
      </c>
      <c r="AX9" s="1394"/>
      <c r="AY9" s="1394"/>
      <c r="AZ9" s="5">
        <v>3.14</v>
      </c>
      <c r="BA9" s="12">
        <f t="shared" si="0"/>
        <v>17.614954799999996</v>
      </c>
      <c r="BB9" s="491"/>
      <c r="BC9" s="491"/>
      <c r="BG9" s="606" t="s">
        <v>858</v>
      </c>
      <c r="BH9" s="434">
        <v>9.3101146999999997</v>
      </c>
      <c r="BI9" s="434">
        <v>5.1459812999999999</v>
      </c>
      <c r="BJ9" s="1315">
        <v>16.79</v>
      </c>
      <c r="BK9" s="434">
        <v>16.79</v>
      </c>
      <c r="BL9" s="434">
        <v>17.701250099999996</v>
      </c>
    </row>
    <row r="10" spans="1:64" ht="28.5" customHeight="1" x14ac:dyDescent="0.35">
      <c r="A10" s="1231">
        <v>5</v>
      </c>
      <c r="B10" s="1157" t="s">
        <v>294</v>
      </c>
      <c r="C10" s="1188">
        <f>SUM(C6:C9)</f>
        <v>967.25897796200002</v>
      </c>
      <c r="D10" s="321">
        <f>SUM(D6:D9)</f>
        <v>1411.0700000000002</v>
      </c>
      <c r="E10" s="321">
        <f>SUM(E6:E9)</f>
        <v>925.46933333333334</v>
      </c>
      <c r="F10" s="321">
        <f>SUM(F6:F9)</f>
        <v>756.10130830499998</v>
      </c>
      <c r="G10" s="321">
        <f>SUM(G6:G9)</f>
        <v>1065.0603861</v>
      </c>
      <c r="H10" s="322">
        <f>(G10-E10)/E10*100</f>
        <v>15.083271561672488</v>
      </c>
      <c r="I10" s="322">
        <f>(G10-F10)/F10*100</f>
        <v>40.862127125214613</v>
      </c>
      <c r="M10" s="1205">
        <v>5</v>
      </c>
      <c r="N10" s="2429" t="s">
        <v>294</v>
      </c>
      <c r="O10" s="2429"/>
      <c r="P10" s="2429"/>
      <c r="Q10" s="1188">
        <f>SUM(Q6:Q9)</f>
        <v>967.25897796200002</v>
      </c>
      <c r="R10" s="321">
        <f>SUM(R6:R9)</f>
        <v>1411.0700000000002</v>
      </c>
      <c r="S10" s="321">
        <f>SUM(S6:S9)</f>
        <v>955.09000000000015</v>
      </c>
      <c r="T10" s="321">
        <f>SUM(T6:T9)</f>
        <v>755.80008010499989</v>
      </c>
      <c r="U10" s="321">
        <f>SUM(U6:U9)</f>
        <v>1064.9466079000001</v>
      </c>
      <c r="V10" s="1162">
        <f>(U10-S10)/S10*100</f>
        <v>11.502225748358788</v>
      </c>
      <c r="W10" s="1162">
        <f>(U10-T10)/T10*100</f>
        <v>40.903214478629309</v>
      </c>
      <c r="X10" s="1395"/>
      <c r="Y10" s="1395"/>
      <c r="Z10" s="1205">
        <v>5</v>
      </c>
      <c r="AA10" s="2429" t="s">
        <v>294</v>
      </c>
      <c r="AB10" s="2429"/>
      <c r="AC10" s="2429"/>
      <c r="AD10" s="1188">
        <f>SUM(AD6:AD9)</f>
        <v>967.25897796200002</v>
      </c>
      <c r="AE10" s="321">
        <f>SUM(AE6:AE9)</f>
        <v>1411.0700000000002</v>
      </c>
      <c r="AF10" s="321">
        <f>SUM(AF6:AF9)</f>
        <v>351.24</v>
      </c>
      <c r="AG10" s="321">
        <f>SUM(AG6:AG9)</f>
        <v>820.48870440500002</v>
      </c>
      <c r="AH10" s="321">
        <f>SUM(AH6:AH9)</f>
        <v>1203.5695352</v>
      </c>
      <c r="AI10" s="1162">
        <f>(AH10-AF10)/AF10*100</f>
        <v>242.66300398587859</v>
      </c>
      <c r="AJ10" s="1162">
        <f>(AH10-AG10)/AG10*100</f>
        <v>46.689348523426858</v>
      </c>
      <c r="AK10" s="1395"/>
      <c r="AL10" s="1395"/>
      <c r="AM10" s="1205">
        <v>5</v>
      </c>
      <c r="AN10" s="2429" t="s">
        <v>294</v>
      </c>
      <c r="AO10" s="2429"/>
      <c r="AP10" s="2429"/>
      <c r="AQ10" s="1188">
        <f>SUM(AQ6:AQ9)</f>
        <v>967.25897796200002</v>
      </c>
      <c r="AR10" s="321">
        <f>SUM(AR6:AR9)</f>
        <v>1411.0700000000002</v>
      </c>
      <c r="AS10" s="321">
        <f>SUM(AS6:AS9)</f>
        <v>1411.0700000000002</v>
      </c>
      <c r="AT10" s="321">
        <f>SUM(AT6:AT9)</f>
        <v>967.26166346199989</v>
      </c>
      <c r="AU10" s="321">
        <f>SUM(AU6:AU9)</f>
        <v>1551.7066947000001</v>
      </c>
      <c r="AV10" s="1162">
        <f>(AU10-AS10)/AS10*100</f>
        <v>9.9666703069301956</v>
      </c>
      <c r="AW10" s="1162">
        <f>(AU10-AT10)/AT10*100</f>
        <v>60.422639841443569</v>
      </c>
      <c r="AX10" s="1395"/>
      <c r="AY10" s="1395"/>
      <c r="AZ10" s="12">
        <f>SUM(AZ6:AZ9)</f>
        <v>486.67999999999995</v>
      </c>
      <c r="BA10" s="12">
        <f t="shared" si="0"/>
        <v>1551.6266079000002</v>
      </c>
      <c r="BB10" s="12"/>
      <c r="BC10" s="12"/>
      <c r="BD10" s="12">
        <f>U10-BC10</f>
        <v>1064.9466079000001</v>
      </c>
      <c r="BG10" s="1362" t="s">
        <v>859</v>
      </c>
      <c r="BH10" s="1364">
        <f>SUM(BH6:BH9)</f>
        <v>1162.5814957</v>
      </c>
      <c r="BI10" s="1364">
        <f>SUM(BI6:BI9)</f>
        <v>967.25897796200002</v>
      </c>
      <c r="BJ10" s="445">
        <f>SUM(BJ6:BJ9)</f>
        <v>1411.0700000000002</v>
      </c>
      <c r="BK10" s="321">
        <f>SUM(BK6:BK9)</f>
        <v>1411.0700000000002</v>
      </c>
      <c r="BL10" s="321">
        <f>SUM(BL6:BL9)</f>
        <v>1551.7066947000001</v>
      </c>
    </row>
    <row r="11" spans="1:64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2"/>
      <c r="V11" s="2062"/>
      <c r="W11" s="2063"/>
      <c r="X11" s="1235"/>
      <c r="Y11" s="1235"/>
      <c r="Z11" s="2061"/>
      <c r="AA11" s="2062"/>
      <c r="AB11" s="2062"/>
      <c r="AC11" s="2062"/>
      <c r="AD11" s="2062"/>
      <c r="AE11" s="2062"/>
      <c r="AF11" s="2062"/>
      <c r="AG11" s="2062"/>
      <c r="AH11" s="2062"/>
      <c r="AI11" s="2062"/>
      <c r="AJ11" s="2063"/>
      <c r="AK11" s="1235"/>
      <c r="AL11" s="1235"/>
      <c r="AM11" s="2061"/>
      <c r="AN11" s="2062"/>
      <c r="AO11" s="2062"/>
      <c r="AP11" s="2062"/>
      <c r="AQ11" s="2062"/>
      <c r="AR11" s="2062"/>
      <c r="AS11" s="2062"/>
      <c r="AT11" s="2062"/>
      <c r="AU11" s="2062"/>
      <c r="AV11" s="2062"/>
      <c r="AW11" s="2063"/>
      <c r="AX11" s="1235"/>
      <c r="AY11" s="1235"/>
      <c r="BA11" s="12">
        <f t="shared" si="0"/>
        <v>0</v>
      </c>
      <c r="BG11" s="6"/>
      <c r="BH11" s="6"/>
      <c r="BI11" s="234"/>
      <c r="BJ11" s="1297"/>
      <c r="BK11" s="6"/>
      <c r="BL11" s="6"/>
    </row>
    <row r="12" spans="1:64" ht="31.5" customHeight="1" x14ac:dyDescent="0.35">
      <c r="A12" s="1230">
        <v>6.3</v>
      </c>
      <c r="B12" s="1293" t="s">
        <v>778</v>
      </c>
      <c r="C12" s="1307">
        <v>16.11</v>
      </c>
      <c r="D12" s="332">
        <v>62.53</v>
      </c>
      <c r="E12" s="307">
        <f>E46+E47</f>
        <v>2.94</v>
      </c>
      <c r="F12" s="1294">
        <f>F46+F47+F48</f>
        <v>2.614271</v>
      </c>
      <c r="G12" s="1294">
        <f>G46+G47+G48</f>
        <v>4.4247230000000002</v>
      </c>
      <c r="H12" s="308">
        <f>(G12-E12)/E12*100</f>
        <v>50.500782312925175</v>
      </c>
      <c r="I12" s="316">
        <f>(G12-F12)/F12*100</f>
        <v>69.252652077768531</v>
      </c>
      <c r="M12" s="1204">
        <v>6.3</v>
      </c>
      <c r="N12" s="2430" t="s">
        <v>250</v>
      </c>
      <c r="O12" s="2431"/>
      <c r="P12" s="2432"/>
      <c r="Q12" s="1307">
        <v>16.61</v>
      </c>
      <c r="R12" s="332">
        <v>62.53</v>
      </c>
      <c r="S12" s="307">
        <f>S46+S47</f>
        <v>40.450000000000003</v>
      </c>
      <c r="T12" s="1294">
        <f>T46+T47+T48</f>
        <v>13.988567</v>
      </c>
      <c r="U12" s="1294">
        <f>U46+U47+U48</f>
        <v>33.979680000000002</v>
      </c>
      <c r="V12" s="1161">
        <f>(U12-S12)/S12*100</f>
        <v>-15.99584672435105</v>
      </c>
      <c r="W12" s="1060">
        <f>(U12-T12)/T12*100</f>
        <v>142.91037101941896</v>
      </c>
      <c r="X12" s="1396"/>
      <c r="Y12" s="1396"/>
      <c r="Z12" s="1204">
        <v>6.3</v>
      </c>
      <c r="AA12" s="2430" t="s">
        <v>250</v>
      </c>
      <c r="AB12" s="2431"/>
      <c r="AC12" s="2432"/>
      <c r="AD12" s="1307">
        <v>16.61</v>
      </c>
      <c r="AE12" s="332">
        <v>62.53</v>
      </c>
      <c r="AF12" s="307">
        <f>AF46+AF47</f>
        <v>46.21</v>
      </c>
      <c r="AG12" s="1294">
        <f>AG46+AG47+AG48</f>
        <v>14.976817</v>
      </c>
      <c r="AH12" s="1294">
        <f>AH46+AH47+AH48</f>
        <v>37.616885999999994</v>
      </c>
      <c r="AI12" s="1161">
        <f>(AH12-AF12)/AF12*100</f>
        <v>-18.595788790305143</v>
      </c>
      <c r="AJ12" s="1060">
        <f>(AH12-AG12)/AG12*100</f>
        <v>151.16742763165226</v>
      </c>
      <c r="AK12" s="1396"/>
      <c r="AL12" s="1396"/>
      <c r="AM12" s="1204">
        <v>6.3</v>
      </c>
      <c r="AN12" s="2430" t="s">
        <v>250</v>
      </c>
      <c r="AO12" s="2431"/>
      <c r="AP12" s="2432"/>
      <c r="AQ12" s="1307">
        <v>16.61</v>
      </c>
      <c r="AR12" s="332">
        <v>62.53</v>
      </c>
      <c r="AS12" s="307">
        <v>62.53</v>
      </c>
      <c r="AT12" s="1294">
        <v>16.611401999999998</v>
      </c>
      <c r="AU12" s="1294">
        <v>47.027382000000003</v>
      </c>
      <c r="AV12" s="1161">
        <f>(AU12-AS12)/AS12*100</f>
        <v>-24.792288501519266</v>
      </c>
      <c r="AW12" s="1060">
        <f>(AU12-AT12)/AT12*100</f>
        <v>183.10302766738175</v>
      </c>
      <c r="AX12" s="1396"/>
      <c r="AY12" s="1396"/>
      <c r="AZ12" s="35">
        <v>2.62</v>
      </c>
      <c r="BA12" s="428">
        <f t="shared" si="0"/>
        <v>36.599679999999999</v>
      </c>
      <c r="BG12" s="1316" t="s">
        <v>814</v>
      </c>
      <c r="BH12" s="1294">
        <v>77.260000000000005</v>
      </c>
      <c r="BI12" s="1294">
        <v>16.61</v>
      </c>
      <c r="BJ12" s="1367">
        <v>62.53</v>
      </c>
      <c r="BK12" s="1294">
        <v>16.611401999999998</v>
      </c>
      <c r="BL12" s="1294">
        <v>47.027382000000003</v>
      </c>
    </row>
    <row r="13" spans="1:64" s="1310" customFormat="1" ht="13.5" customHeight="1" x14ac:dyDescent="0.35">
      <c r="A13" s="1309"/>
      <c r="B13" s="2438" t="s">
        <v>229</v>
      </c>
      <c r="C13" s="2439"/>
      <c r="D13" s="2439"/>
      <c r="E13" s="2439"/>
      <c r="F13" s="2439"/>
      <c r="G13" s="2439"/>
      <c r="H13" s="2439"/>
      <c r="I13" s="2440"/>
      <c r="L13" s="1311"/>
      <c r="M13" s="1309"/>
      <c r="N13" s="2433" t="s">
        <v>229</v>
      </c>
      <c r="O13" s="2434"/>
      <c r="P13" s="2434"/>
      <c r="Q13" s="2434"/>
      <c r="R13" s="2434"/>
      <c r="S13" s="2434"/>
      <c r="T13" s="2434"/>
      <c r="U13" s="2434"/>
      <c r="V13" s="2434"/>
      <c r="W13" s="2435"/>
      <c r="X13" s="1397"/>
      <c r="Y13" s="1397"/>
      <c r="Z13" s="1309"/>
      <c r="AA13" s="2433" t="s">
        <v>229</v>
      </c>
      <c r="AB13" s="2434"/>
      <c r="AC13" s="2434"/>
      <c r="AD13" s="2434"/>
      <c r="AE13" s="2434"/>
      <c r="AF13" s="2434"/>
      <c r="AG13" s="2434"/>
      <c r="AH13" s="2434"/>
      <c r="AI13" s="2434"/>
      <c r="AJ13" s="2435"/>
      <c r="AK13" s="1397"/>
      <c r="AL13" s="1397"/>
      <c r="AM13" s="1309"/>
      <c r="AN13" s="2433" t="s">
        <v>229</v>
      </c>
      <c r="AO13" s="2434"/>
      <c r="AP13" s="2434"/>
      <c r="AQ13" s="2434"/>
      <c r="AR13" s="2434"/>
      <c r="AS13" s="2434"/>
      <c r="AT13" s="2434"/>
      <c r="AU13" s="2434"/>
      <c r="AV13" s="2434"/>
      <c r="AW13" s="2435"/>
      <c r="AX13" s="1397"/>
      <c r="AY13" s="1397"/>
      <c r="BB13" s="1311"/>
    </row>
    <row r="14" spans="1:64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0"/>
      <c r="V14" s="2310"/>
      <c r="W14" s="2311"/>
      <c r="X14" s="1398"/>
      <c r="Y14" s="1398"/>
      <c r="Z14" s="2368">
        <v>1</v>
      </c>
      <c r="AA14" s="2309" t="s">
        <v>278</v>
      </c>
      <c r="AB14" s="2310"/>
      <c r="AC14" s="2310"/>
      <c r="AD14" s="2310"/>
      <c r="AE14" s="2310"/>
      <c r="AF14" s="2310"/>
      <c r="AG14" s="2310"/>
      <c r="AH14" s="2310"/>
      <c r="AI14" s="2310"/>
      <c r="AJ14" s="2311"/>
      <c r="AK14" s="1398"/>
      <c r="AL14" s="1398"/>
      <c r="AM14" s="2368">
        <v>1</v>
      </c>
      <c r="AN14" s="2309" t="s">
        <v>278</v>
      </c>
      <c r="AO14" s="2310"/>
      <c r="AP14" s="2310"/>
      <c r="AQ14" s="2310"/>
      <c r="AR14" s="2310"/>
      <c r="AS14" s="2310"/>
      <c r="AT14" s="2310"/>
      <c r="AU14" s="2310"/>
      <c r="AV14" s="2310"/>
      <c r="AW14" s="2311"/>
      <c r="AX14" s="1398"/>
      <c r="AY14" s="1398"/>
    </row>
    <row r="15" spans="1:64" ht="15.4" x14ac:dyDescent="0.4">
      <c r="A15" s="2374"/>
      <c r="B15" s="378" t="s">
        <v>802</v>
      </c>
      <c r="C15" s="1282">
        <v>2.0896889139999999</v>
      </c>
      <c r="D15" s="333">
        <v>22.16</v>
      </c>
      <c r="E15" s="1249">
        <v>1.1000000000000001</v>
      </c>
      <c r="F15" s="315">
        <v>0.50202440000000004</v>
      </c>
      <c r="G15" s="315">
        <v>1.0327909</v>
      </c>
      <c r="H15" s="316">
        <f>(G15-E15)/E15*100</f>
        <v>-6.1099181818181938</v>
      </c>
      <c r="I15" s="314">
        <f>(G15-F15)/F15*100</f>
        <v>105.72523964970624</v>
      </c>
      <c r="J15" s="1128">
        <f>373857/10000000</f>
        <v>3.7385700000000001E-2</v>
      </c>
      <c r="M15" s="2369"/>
      <c r="N15" s="2422" t="s">
        <v>863</v>
      </c>
      <c r="O15" s="2422"/>
      <c r="P15" s="6" t="s">
        <v>166</v>
      </c>
      <c r="Q15" s="1282">
        <v>2.0896889139999999</v>
      </c>
      <c r="R15" s="333">
        <v>22.16</v>
      </c>
      <c r="S15" s="434">
        <f>'MARCH -23 '!S15-'JULY 22'!Q15</f>
        <v>14.43</v>
      </c>
      <c r="T15" s="434">
        <f>'MARCH -23 '!T15-'JULY 22'!R15</f>
        <v>1.8912988569999998</v>
      </c>
      <c r="U15" s="434">
        <f>'MARCH -23 '!U15-'JULY 22'!S15</f>
        <v>8.1698690000000003</v>
      </c>
      <c r="V15" s="316">
        <f>(U15-S15)/S15*100</f>
        <v>-43.382751212751209</v>
      </c>
      <c r="W15" s="314">
        <f>(U15-T15)/T15*100</f>
        <v>331.97133915467708</v>
      </c>
      <c r="X15" s="1399"/>
      <c r="Y15" s="1399"/>
      <c r="Z15" s="2369"/>
      <c r="AA15" s="2422" t="s">
        <v>863</v>
      </c>
      <c r="AB15" s="2422"/>
      <c r="AC15" s="6" t="s">
        <v>166</v>
      </c>
      <c r="AD15" s="1282">
        <v>2.0896889139999999</v>
      </c>
      <c r="AE15" s="333">
        <v>22.16</v>
      </c>
      <c r="AF15" s="434">
        <f>'target FY 22-23'!B57</f>
        <v>0</v>
      </c>
      <c r="AG15" s="434">
        <f>T15+'JULY 22'!F15</f>
        <v>1.9569594569999997</v>
      </c>
      <c r="AH15" s="434">
        <f>U15+'JULY 22'!G15</f>
        <v>9.1022303999999998</v>
      </c>
      <c r="AI15" s="316" t="e">
        <f>(AH15-AF15)/AF15*100</f>
        <v>#DIV/0!</v>
      </c>
      <c r="AJ15" s="314">
        <f>(AH15-AG15)/AG15*100</f>
        <v>365.12105130443695</v>
      </c>
      <c r="AK15" s="1399"/>
      <c r="AL15" s="1399"/>
      <c r="AM15" s="2369"/>
      <c r="AN15" s="2422" t="s">
        <v>863</v>
      </c>
      <c r="AO15" s="2422"/>
      <c r="AP15" s="6" t="s">
        <v>166</v>
      </c>
      <c r="AQ15" s="1282">
        <v>2.0896889139999999</v>
      </c>
      <c r="AR15" s="333">
        <v>22.16</v>
      </c>
      <c r="AS15" s="315">
        <v>22.16</v>
      </c>
      <c r="AT15" s="315">
        <v>2.0896889139999999</v>
      </c>
      <c r="AU15" s="315">
        <v>11.460276500000001</v>
      </c>
      <c r="AV15" s="316">
        <f>(AU15-AS15)/AS15*100</f>
        <v>-48.283950812274362</v>
      </c>
      <c r="AW15" s="314">
        <f>(AU15-AT15)/AT15*100</f>
        <v>448.42021811099107</v>
      </c>
      <c r="AX15" s="1399"/>
      <c r="AY15" s="1399"/>
      <c r="AZ15" s="12">
        <f>'JULY 22'!S15</f>
        <v>3.2904075000000002</v>
      </c>
      <c r="BA15" s="428">
        <f>AZ15+U15</f>
        <v>11.460276500000001</v>
      </c>
      <c r="BC15" s="12">
        <f>T16+T17</f>
        <v>489.21791254799996</v>
      </c>
      <c r="BD15" s="12">
        <f>U16+U17</f>
        <v>701.20838460000004</v>
      </c>
      <c r="BE15" s="5">
        <f>(BD15-BC15)/BC15*100</f>
        <v>43.332524548802262</v>
      </c>
    </row>
    <row r="16" spans="1:64" ht="15.4" x14ac:dyDescent="0.4">
      <c r="A16" s="2374"/>
      <c r="B16" s="1281" t="s">
        <v>801</v>
      </c>
      <c r="C16" s="1282">
        <v>2.1157408480000002</v>
      </c>
      <c r="D16" s="2166">
        <v>928.43</v>
      </c>
      <c r="E16" s="2065">
        <v>36.14</v>
      </c>
      <c r="F16" s="315">
        <v>0.6845137</v>
      </c>
      <c r="G16" s="315">
        <v>14.6200163</v>
      </c>
      <c r="H16" s="2154">
        <f>L16</f>
        <v>155.31341532927502</v>
      </c>
      <c r="I16" s="314">
        <f>(G16-F16)/F16*100</f>
        <v>2035.8252289179895</v>
      </c>
      <c r="J16" s="12">
        <f>F16+F17</f>
        <v>76.614513700000003</v>
      </c>
      <c r="K16" s="12">
        <f>G16+G17</f>
        <v>92.270268299999998</v>
      </c>
      <c r="L16" s="172">
        <f>(K16-E16)/E16*100</f>
        <v>155.31341532927502</v>
      </c>
      <c r="M16" s="2369"/>
      <c r="N16" s="2423" t="s">
        <v>864</v>
      </c>
      <c r="O16" s="2423"/>
      <c r="P16" s="1201" t="s">
        <v>166</v>
      </c>
      <c r="Q16" s="1282">
        <v>2.1157408480000002</v>
      </c>
      <c r="R16" s="2166">
        <v>928.43</v>
      </c>
      <c r="S16" s="2065">
        <v>593.78</v>
      </c>
      <c r="T16" s="434">
        <f>'MARCH -23 '!T16-'JULY 22'!R16</f>
        <v>1.9593649480000002</v>
      </c>
      <c r="U16" s="434">
        <f>'MARCH -23 '!U16-'JULY 22'!S16</f>
        <v>110.3264022</v>
      </c>
      <c r="V16" s="2154">
        <v>18.09</v>
      </c>
      <c r="W16" s="314">
        <f>(U16-T16)/T16*100</f>
        <v>5530.7224599794154</v>
      </c>
      <c r="X16" s="1399"/>
      <c r="Y16" s="1399"/>
      <c r="Z16" s="2369"/>
      <c r="AA16" s="2423" t="s">
        <v>864</v>
      </c>
      <c r="AB16" s="2423"/>
      <c r="AC16" s="1201" t="s">
        <v>166</v>
      </c>
      <c r="AD16" s="1282">
        <v>2.1157408480000002</v>
      </c>
      <c r="AE16" s="2166">
        <v>928.43</v>
      </c>
      <c r="AF16" s="2065">
        <f>'target FY 22-23'!C57</f>
        <v>0</v>
      </c>
      <c r="AG16" s="434">
        <f>T16+'JULY 22'!F16</f>
        <v>2.0102019480000002</v>
      </c>
      <c r="AH16" s="434">
        <f>U16+'JULY 22'!G16</f>
        <v>119.19624880000001</v>
      </c>
      <c r="AI16" s="2154">
        <v>18.09</v>
      </c>
      <c r="AJ16" s="314">
        <f>(AH16-AG16)/AG16*100</f>
        <v>5829.5658786218628</v>
      </c>
      <c r="AK16" s="1399"/>
      <c r="AL16" s="1399"/>
      <c r="AM16" s="2369"/>
      <c r="AN16" s="2423" t="s">
        <v>864</v>
      </c>
      <c r="AO16" s="2423"/>
      <c r="AP16" s="1201" t="s">
        <v>166</v>
      </c>
      <c r="AQ16" s="1282">
        <v>2.1157408480000002</v>
      </c>
      <c r="AR16" s="2166">
        <v>928.43</v>
      </c>
      <c r="AS16" s="2065">
        <v>928.43</v>
      </c>
      <c r="AT16" s="315">
        <v>2.1157408480000002</v>
      </c>
      <c r="AU16" s="315">
        <v>126.72018780000001</v>
      </c>
      <c r="AV16" s="2154">
        <f>AZ16</f>
        <v>16.393785600000001</v>
      </c>
      <c r="AW16" s="314">
        <f>(AU16-AT16)/AT16*100</f>
        <v>5889.4002575876912</v>
      </c>
      <c r="AX16" s="1399"/>
      <c r="AY16" s="1399"/>
      <c r="AZ16" s="12">
        <f>'JULY 22'!S16</f>
        <v>16.393785600000001</v>
      </c>
      <c r="BA16" s="428">
        <f>AZ16+U16</f>
        <v>126.72018780000001</v>
      </c>
      <c r="BB16" s="172">
        <f>(BA16-S16)/S16*100</f>
        <v>-78.658730876755698</v>
      </c>
    </row>
    <row r="17" spans="1:56" ht="15.4" x14ac:dyDescent="0.4">
      <c r="A17" s="2375"/>
      <c r="B17" s="320" t="s">
        <v>803</v>
      </c>
      <c r="C17" s="1282">
        <v>610.89346720000003</v>
      </c>
      <c r="D17" s="2064"/>
      <c r="E17" s="2066"/>
      <c r="F17" s="315">
        <v>75.930000000000007</v>
      </c>
      <c r="G17" s="315">
        <v>77.650251999999995</v>
      </c>
      <c r="H17" s="2155"/>
      <c r="I17" s="314">
        <f>(G17-F17)/F17*100</f>
        <v>2.2655761885947423</v>
      </c>
      <c r="J17" s="323">
        <f>114680295/10000000</f>
        <v>11.4680295</v>
      </c>
      <c r="M17" s="2245"/>
      <c r="N17" s="2422" t="s">
        <v>472</v>
      </c>
      <c r="O17" s="2422"/>
      <c r="P17" s="1201" t="s">
        <v>228</v>
      </c>
      <c r="Q17" s="1282">
        <v>610.89346720000003</v>
      </c>
      <c r="R17" s="2064"/>
      <c r="S17" s="2066"/>
      <c r="T17" s="434">
        <f>'MARCH -23 '!T17-'JULY 22'!R17</f>
        <v>487.25854759999999</v>
      </c>
      <c r="U17" s="434">
        <f>'MARCH -23 '!U17-'JULY 22'!S17</f>
        <v>590.88198240000008</v>
      </c>
      <c r="V17" s="2155"/>
      <c r="W17" s="314">
        <f>(U17-T17)/T17*100</f>
        <v>21.266622270742921</v>
      </c>
      <c r="X17" s="1399"/>
      <c r="Y17" s="1399"/>
      <c r="Z17" s="2245"/>
      <c r="AA17" s="2422" t="s">
        <v>472</v>
      </c>
      <c r="AB17" s="2422"/>
      <c r="AC17" s="1201" t="s">
        <v>228</v>
      </c>
      <c r="AD17" s="1282">
        <v>610.89346720000003</v>
      </c>
      <c r="AE17" s="2064"/>
      <c r="AF17" s="2066"/>
      <c r="AG17" s="434">
        <f>T17+'JULY 22'!F17</f>
        <v>532.36592959999996</v>
      </c>
      <c r="AH17" s="434">
        <f>U17+'JULY 22'!G17</f>
        <v>669.38251380000008</v>
      </c>
      <c r="AI17" s="2155"/>
      <c r="AJ17" s="314">
        <f>(AH17-AG17)/AG17*100</f>
        <v>25.737293951727775</v>
      </c>
      <c r="AK17" s="1399"/>
      <c r="AL17" s="1399"/>
      <c r="AM17" s="2245"/>
      <c r="AN17" s="2422" t="s">
        <v>472</v>
      </c>
      <c r="AO17" s="2422"/>
      <c r="AP17" s="1201" t="s">
        <v>228</v>
      </c>
      <c r="AQ17" s="1282">
        <v>610.89346720000003</v>
      </c>
      <c r="AR17" s="2064"/>
      <c r="AS17" s="2066"/>
      <c r="AT17" s="315">
        <v>610.8897015</v>
      </c>
      <c r="AU17" s="315">
        <v>886.03548510000007</v>
      </c>
      <c r="AV17" s="2155"/>
      <c r="AW17" s="314">
        <f>(AU17-AT17)/AT17*100</f>
        <v>45.040173852071405</v>
      </c>
      <c r="AX17" s="1399"/>
      <c r="AY17" s="1399"/>
      <c r="AZ17" s="12">
        <f>'JULY 22'!S17</f>
        <v>295.15350269999999</v>
      </c>
      <c r="BA17" s="428">
        <f>AZ17+U17</f>
        <v>886.03548510000007</v>
      </c>
    </row>
    <row r="18" spans="1:56" ht="21" customHeight="1" x14ac:dyDescent="0.35">
      <c r="A18" s="1982">
        <v>2</v>
      </c>
      <c r="B18" s="1067" t="s">
        <v>678</v>
      </c>
      <c r="C18" s="2312" t="s">
        <v>680</v>
      </c>
      <c r="D18" s="2312"/>
      <c r="E18" s="2312"/>
      <c r="F18" s="2321" t="s">
        <v>684</v>
      </c>
      <c r="G18" s="2322"/>
      <c r="H18" s="2322"/>
      <c r="I18" s="2323"/>
      <c r="M18" s="2368">
        <v>2</v>
      </c>
      <c r="N18" s="1067" t="s">
        <v>678</v>
      </c>
      <c r="O18" s="2321" t="s">
        <v>862</v>
      </c>
      <c r="P18" s="2323"/>
      <c r="Q18" s="2312" t="s">
        <v>680</v>
      </c>
      <c r="R18" s="2312"/>
      <c r="S18" s="2312"/>
      <c r="T18" s="2321" t="s">
        <v>684</v>
      </c>
      <c r="U18" s="2322"/>
      <c r="V18" s="2322"/>
      <c r="W18" s="2323"/>
      <c r="X18" s="1400"/>
      <c r="Y18" s="1400"/>
      <c r="Z18" s="2368">
        <v>2</v>
      </c>
      <c r="AA18" s="1067"/>
      <c r="AB18" s="2321" t="s">
        <v>862</v>
      </c>
      <c r="AC18" s="2323"/>
      <c r="AD18" s="2312" t="s">
        <v>680</v>
      </c>
      <c r="AE18" s="2312"/>
      <c r="AF18" s="2312"/>
      <c r="AG18" s="2321" t="s">
        <v>684</v>
      </c>
      <c r="AH18" s="2322"/>
      <c r="AI18" s="2322"/>
      <c r="AJ18" s="2323"/>
      <c r="AK18" s="1400"/>
      <c r="AL18" s="1400"/>
      <c r="AM18" s="2368">
        <v>2</v>
      </c>
      <c r="AN18" s="1067" t="s">
        <v>678</v>
      </c>
      <c r="AO18" s="2321" t="s">
        <v>862</v>
      </c>
      <c r="AP18" s="2323"/>
      <c r="AQ18" s="2312" t="s">
        <v>680</v>
      </c>
      <c r="AR18" s="2312"/>
      <c r="AS18" s="2312"/>
      <c r="AT18" s="2321" t="s">
        <v>684</v>
      </c>
      <c r="AU18" s="2322"/>
      <c r="AV18" s="2322"/>
      <c r="AW18" s="2323"/>
      <c r="AX18" s="1400"/>
      <c r="AY18" s="1400"/>
    </row>
    <row r="19" spans="1:56" ht="19.5" customHeight="1" x14ac:dyDescent="0.35">
      <c r="A19" s="1983"/>
      <c r="B19" s="1069" t="s">
        <v>230</v>
      </c>
      <c r="C19" s="1098">
        <f>F4</f>
        <v>44641</v>
      </c>
      <c r="D19" s="1098">
        <f>G4</f>
        <v>44986</v>
      </c>
      <c r="E19" s="1069" t="s">
        <v>681</v>
      </c>
      <c r="F19" s="1098">
        <f>F4</f>
        <v>44641</v>
      </c>
      <c r="G19" s="1098">
        <f>G4</f>
        <v>44986</v>
      </c>
      <c r="H19" s="1071" t="s">
        <v>682</v>
      </c>
      <c r="I19" s="1072" t="s">
        <v>681</v>
      </c>
      <c r="M19" s="2369"/>
      <c r="N19" s="1069" t="s">
        <v>230</v>
      </c>
      <c r="O19" s="1098">
        <v>44641</v>
      </c>
      <c r="P19" s="1098">
        <v>44986</v>
      </c>
      <c r="Q19" s="1098">
        <f>T4</f>
        <v>44641</v>
      </c>
      <c r="R19" s="1098">
        <f>U4</f>
        <v>44986</v>
      </c>
      <c r="S19" s="1069" t="s">
        <v>681</v>
      </c>
      <c r="T19" s="1098">
        <f>T4</f>
        <v>44641</v>
      </c>
      <c r="U19" s="1098">
        <f>U4</f>
        <v>44986</v>
      </c>
      <c r="V19" s="1071" t="s">
        <v>682</v>
      </c>
      <c r="W19" s="1072" t="s">
        <v>681</v>
      </c>
      <c r="X19" s="1400"/>
      <c r="Y19" s="1400"/>
      <c r="Z19" s="2369"/>
      <c r="AA19" s="1069" t="s">
        <v>230</v>
      </c>
      <c r="AB19" s="1098">
        <v>44641</v>
      </c>
      <c r="AC19" s="1098">
        <v>44986</v>
      </c>
      <c r="AD19" s="1098">
        <f>AG4</f>
        <v>44986</v>
      </c>
      <c r="AE19" s="1098">
        <f>AH4</f>
        <v>44641</v>
      </c>
      <c r="AF19" s="1069" t="s">
        <v>681</v>
      </c>
      <c r="AG19" s="1098">
        <f>AG4</f>
        <v>44986</v>
      </c>
      <c r="AH19" s="1098">
        <f>AH4</f>
        <v>44641</v>
      </c>
      <c r="AI19" s="1071" t="s">
        <v>682</v>
      </c>
      <c r="AJ19" s="1072" t="s">
        <v>681</v>
      </c>
      <c r="AK19" s="1400"/>
      <c r="AL19" s="1400"/>
      <c r="AM19" s="2369"/>
      <c r="AN19" s="1069" t="s">
        <v>230</v>
      </c>
      <c r="AO19" s="1098" t="s">
        <v>323</v>
      </c>
      <c r="AP19" s="1098">
        <v>44986</v>
      </c>
      <c r="AQ19" s="1098" t="str">
        <f>AT4</f>
        <v>Yearly</v>
      </c>
      <c r="AR19" s="1098">
        <f>AU4</f>
        <v>44986</v>
      </c>
      <c r="AS19" s="1069" t="s">
        <v>681</v>
      </c>
      <c r="AT19" s="1098" t="str">
        <f>AT4</f>
        <v>Yearly</v>
      </c>
      <c r="AU19" s="1098">
        <f>AU4</f>
        <v>44986</v>
      </c>
      <c r="AV19" s="1071" t="s">
        <v>682</v>
      </c>
      <c r="AW19" s="1072" t="s">
        <v>681</v>
      </c>
      <c r="AX19" s="1400"/>
      <c r="AY19" s="1400"/>
    </row>
    <row r="20" spans="1:56" ht="18.75" customHeight="1" x14ac:dyDescent="0.4">
      <c r="A20" s="1983"/>
      <c r="B20" s="1055" t="s">
        <v>231</v>
      </c>
      <c r="C20" s="85">
        <v>53181</v>
      </c>
      <c r="D20" s="303">
        <v>49520</v>
      </c>
      <c r="E20" s="314">
        <f>(D20-C20)/C20*100</f>
        <v>-6.8840375322013498</v>
      </c>
      <c r="F20" s="315">
        <v>6.36</v>
      </c>
      <c r="G20" s="315">
        <v>13.6</v>
      </c>
      <c r="H20" s="1060">
        <f>G20/G7*100</f>
        <v>4.9739416659047277</v>
      </c>
      <c r="I20" s="314">
        <f>(G20-F20)/F20*100</f>
        <v>113.83647798742136</v>
      </c>
      <c r="M20" s="2369"/>
      <c r="N20" s="1055" t="s">
        <v>231</v>
      </c>
      <c r="O20" s="1055"/>
      <c r="P20" s="1055"/>
      <c r="Q20" s="833">
        <v>1160782</v>
      </c>
      <c r="R20" s="833">
        <v>950064</v>
      </c>
      <c r="S20" s="314">
        <f>(R20-Q20)/Q20*100</f>
        <v>-18.153107129504075</v>
      </c>
      <c r="T20" s="316">
        <v>207.34293589999999</v>
      </c>
      <c r="U20" s="315">
        <v>182.9</v>
      </c>
      <c r="V20" s="1060">
        <f>U20/U7*100</f>
        <v>66.927278488534128</v>
      </c>
      <c r="W20" s="314">
        <f>(U20-T20)/T20*100</f>
        <v>-11.788651392391122</v>
      </c>
      <c r="X20" s="1399"/>
      <c r="Y20" s="1399"/>
      <c r="Z20" s="2369"/>
      <c r="AA20" s="1055" t="s">
        <v>231</v>
      </c>
      <c r="AB20" s="1055"/>
      <c r="AC20" s="1055"/>
      <c r="AD20" s="833">
        <v>1160782</v>
      </c>
      <c r="AE20" s="833">
        <v>950064</v>
      </c>
      <c r="AF20" s="314">
        <f>(AE20-AD20)/AD20*100</f>
        <v>-18.153107129504075</v>
      </c>
      <c r="AG20" s="316">
        <v>207.34293589999999</v>
      </c>
      <c r="AH20" s="315">
        <v>182.9</v>
      </c>
      <c r="AI20" s="1060">
        <f>AH20/AH7*100</f>
        <v>58.280741687435814</v>
      </c>
      <c r="AJ20" s="314">
        <f>(AH20-AG20)/AG20*100</f>
        <v>-11.788651392391122</v>
      </c>
      <c r="AK20" s="1399"/>
      <c r="AL20" s="1399"/>
      <c r="AM20" s="2369"/>
      <c r="AN20" s="1055" t="s">
        <v>231</v>
      </c>
      <c r="AO20" s="1055"/>
      <c r="AP20" s="1055"/>
      <c r="AQ20" s="833">
        <v>1160782</v>
      </c>
      <c r="AR20" s="833">
        <v>950064</v>
      </c>
      <c r="AS20" s="314">
        <f>(AR20-AQ20)/AQ20*100</f>
        <v>-18.153107129504075</v>
      </c>
      <c r="AT20" s="316">
        <v>207.34293589999999</v>
      </c>
      <c r="AU20" s="315">
        <v>182.9</v>
      </c>
      <c r="AV20" s="1060">
        <f>AU20/AU7*100</f>
        <v>45.373131366254697</v>
      </c>
      <c r="AW20" s="314">
        <f>(AU20-AT20)/AT20*100</f>
        <v>-11.788651392391122</v>
      </c>
      <c r="AX20" s="1399"/>
      <c r="AY20" s="1399"/>
    </row>
    <row r="21" spans="1:56" ht="18.75" customHeight="1" x14ac:dyDescent="0.4">
      <c r="A21" s="1983"/>
      <c r="B21" s="1055" t="s">
        <v>232</v>
      </c>
      <c r="C21" s="1214">
        <v>41529</v>
      </c>
      <c r="D21" s="1214">
        <v>75096</v>
      </c>
      <c r="E21" s="314">
        <f>(D21-C21)/C21*100</f>
        <v>80.827855233692119</v>
      </c>
      <c r="F21" s="315">
        <v>1.46</v>
      </c>
      <c r="G21" s="315">
        <v>7.73</v>
      </c>
      <c r="H21" s="1060">
        <f>G21/G7*100</f>
        <v>2.8271006674590846</v>
      </c>
      <c r="I21" s="314">
        <f>(G21-F21)/F21*100</f>
        <v>429.45205479452062</v>
      </c>
      <c r="M21" s="2369"/>
      <c r="N21" s="1055" t="s">
        <v>232</v>
      </c>
      <c r="O21" s="1055"/>
      <c r="P21" s="1055"/>
      <c r="Q21" s="833">
        <v>239253</v>
      </c>
      <c r="R21" s="833">
        <v>990683</v>
      </c>
      <c r="S21" s="314">
        <f>(R21-Q21)/Q21*100</f>
        <v>314.07338674959141</v>
      </c>
      <c r="T21" s="315">
        <v>12.3503062</v>
      </c>
      <c r="U21" s="315">
        <v>99.97</v>
      </c>
      <c r="V21" s="1060">
        <f>U21/U7*100</f>
        <v>36.581301424268759</v>
      </c>
      <c r="W21" s="314">
        <f>(U21-T21)/T21*100</f>
        <v>709.4536150042984</v>
      </c>
      <c r="X21" s="1399"/>
      <c r="Y21" s="1399"/>
      <c r="Z21" s="2369"/>
      <c r="AA21" s="1055" t="s">
        <v>232</v>
      </c>
      <c r="AB21" s="1055"/>
      <c r="AC21" s="1055"/>
      <c r="AD21" s="833">
        <v>239253</v>
      </c>
      <c r="AE21" s="833">
        <v>990683</v>
      </c>
      <c r="AF21" s="314">
        <f>(AE21-AD21)/AD21*100</f>
        <v>314.07338674959141</v>
      </c>
      <c r="AG21" s="315">
        <v>12.3503062</v>
      </c>
      <c r="AH21" s="315">
        <v>99.97</v>
      </c>
      <c r="AI21" s="1060">
        <f>AH21/AH7*100</f>
        <v>31.855252851246352</v>
      </c>
      <c r="AJ21" s="314">
        <f>(AH21-AG21)/AG21*100</f>
        <v>709.4536150042984</v>
      </c>
      <c r="AK21" s="1399"/>
      <c r="AL21" s="1399"/>
      <c r="AM21" s="2369"/>
      <c r="AN21" s="1055" t="s">
        <v>232</v>
      </c>
      <c r="AO21" s="1055"/>
      <c r="AP21" s="1055"/>
      <c r="AQ21" s="833">
        <v>239253</v>
      </c>
      <c r="AR21" s="833">
        <v>990683</v>
      </c>
      <c r="AS21" s="314">
        <f>(AR21-AQ21)/AQ21*100</f>
        <v>314.07338674959141</v>
      </c>
      <c r="AT21" s="315">
        <v>12.3503062</v>
      </c>
      <c r="AU21" s="315">
        <v>99.97</v>
      </c>
      <c r="AV21" s="1060">
        <f>AU21/AU7*100</f>
        <v>24.800174645623191</v>
      </c>
      <c r="AW21" s="314">
        <f>(AU21-AT21)/AT21*100</f>
        <v>709.4536150042984</v>
      </c>
      <c r="AX21" s="1399"/>
      <c r="AY21" s="1399"/>
      <c r="BB21" s="172">
        <v>2.95</v>
      </c>
      <c r="BC21" s="5" t="e">
        <f>(BB21-BA21)/BA21*100</f>
        <v>#DIV/0!</v>
      </c>
    </row>
    <row r="22" spans="1:56" ht="18.75" customHeight="1" x14ac:dyDescent="0.4">
      <c r="A22" s="1983"/>
      <c r="B22" s="1055" t="s">
        <v>239</v>
      </c>
      <c r="C22" s="303">
        <v>60242</v>
      </c>
      <c r="D22" s="1214">
        <v>74894</v>
      </c>
      <c r="E22" s="314">
        <f>(D22-C22)/C22*100</f>
        <v>24.321901663291392</v>
      </c>
      <c r="F22" s="315">
        <v>6.28</v>
      </c>
      <c r="G22" s="315">
        <v>10.98</v>
      </c>
      <c r="H22" s="1060">
        <f>G22/G7*100</f>
        <v>4.0157264332083757</v>
      </c>
      <c r="I22" s="314">
        <f>(G22-F22)/F22*100</f>
        <v>74.840764331210181</v>
      </c>
      <c r="M22" s="2369"/>
      <c r="N22" s="1055" t="s">
        <v>239</v>
      </c>
      <c r="O22" s="1055"/>
      <c r="P22" s="1055"/>
      <c r="Q22" s="833">
        <v>436521</v>
      </c>
      <c r="R22" s="833">
        <v>860111</v>
      </c>
      <c r="S22" s="314">
        <f>(R22-Q22)/Q22*100</f>
        <v>97.037714107683243</v>
      </c>
      <c r="T22" s="315">
        <v>45.52</v>
      </c>
      <c r="U22" s="315">
        <v>109.5</v>
      </c>
      <c r="V22" s="1060">
        <f>U22/U7*100</f>
        <v>40.068545623261272</v>
      </c>
      <c r="W22" s="314">
        <f>(U22-T22)/T22*100</f>
        <v>140.55360281195078</v>
      </c>
      <c r="X22" s="1399"/>
      <c r="Y22" s="1399"/>
      <c r="Z22" s="2369"/>
      <c r="AA22" s="1055" t="s">
        <v>239</v>
      </c>
      <c r="AB22" s="1055"/>
      <c r="AC22" s="1055"/>
      <c r="AD22" s="833">
        <v>436521</v>
      </c>
      <c r="AE22" s="833">
        <v>860111</v>
      </c>
      <c r="AF22" s="314">
        <f>(AE22-AD22)/AD22*100</f>
        <v>97.037714107683243</v>
      </c>
      <c r="AG22" s="315">
        <v>45.52</v>
      </c>
      <c r="AH22" s="315">
        <v>109.5</v>
      </c>
      <c r="AI22" s="1060">
        <f>AH22/AH7*100</f>
        <v>34.891969462953639</v>
      </c>
      <c r="AJ22" s="314">
        <f>(AH22-AG22)/AG22*100</f>
        <v>140.55360281195078</v>
      </c>
      <c r="AK22" s="1399"/>
      <c r="AL22" s="1399"/>
      <c r="AM22" s="2369"/>
      <c r="AN22" s="1055" t="s">
        <v>239</v>
      </c>
      <c r="AO22" s="1055"/>
      <c r="AP22" s="1055"/>
      <c r="AQ22" s="833">
        <v>436521</v>
      </c>
      <c r="AR22" s="833">
        <v>860111</v>
      </c>
      <c r="AS22" s="314">
        <f>(AR22-AQ22)/AQ22*100</f>
        <v>97.037714107683243</v>
      </c>
      <c r="AT22" s="315">
        <v>45.52</v>
      </c>
      <c r="AU22" s="315">
        <v>109.5</v>
      </c>
      <c r="AV22" s="1060">
        <f>AU22/AU7*100</f>
        <v>27.164340539119131</v>
      </c>
      <c r="AW22" s="314">
        <f>(AU22-AT22)/AT22*100</f>
        <v>140.55360281195078</v>
      </c>
      <c r="AX22" s="1399"/>
      <c r="AY22" s="1399"/>
    </row>
    <row r="23" spans="1:56" ht="18.75" customHeight="1" x14ac:dyDescent="0.4">
      <c r="A23" s="1983"/>
      <c r="B23" s="1055" t="s">
        <v>233</v>
      </c>
      <c r="C23" s="303">
        <v>32815</v>
      </c>
      <c r="D23" s="1214">
        <v>15686</v>
      </c>
      <c r="E23" s="314">
        <f>(D23-C23)/C23*100</f>
        <v>-52.198689623647724</v>
      </c>
      <c r="F23" s="315">
        <v>1.32</v>
      </c>
      <c r="G23" s="315">
        <v>0.57999999999999996</v>
      </c>
      <c r="H23" s="1060">
        <f>G23/G7*100</f>
        <v>0.21212398281064282</v>
      </c>
      <c r="I23" s="314">
        <f>(G23-F23)/F23*100</f>
        <v>-56.060606060606069</v>
      </c>
      <c r="M23" s="2369"/>
      <c r="N23" s="1055" t="s">
        <v>233</v>
      </c>
      <c r="O23" s="1055"/>
      <c r="P23" s="1055"/>
      <c r="Q23" s="833">
        <v>292316</v>
      </c>
      <c r="R23" s="833">
        <v>277144</v>
      </c>
      <c r="S23" s="314">
        <f>(R23-Q23)/Q23*100</f>
        <v>-5.1902735395941377</v>
      </c>
      <c r="T23" s="315">
        <v>9.7899999999999991</v>
      </c>
      <c r="U23" s="315">
        <v>10.262</v>
      </c>
      <c r="V23" s="1060">
        <f>U23/U7*100</f>
        <v>3.7550996820630789</v>
      </c>
      <c r="W23" s="314">
        <f>(U23-T23)/T23*100</f>
        <v>4.8212461695607907</v>
      </c>
      <c r="X23" s="1399"/>
      <c r="Y23" s="1399"/>
      <c r="Z23" s="2369"/>
      <c r="AA23" s="1055" t="s">
        <v>233</v>
      </c>
      <c r="AB23" s="1055"/>
      <c r="AC23" s="1055"/>
      <c r="AD23" s="833">
        <v>292316</v>
      </c>
      <c r="AE23" s="833">
        <v>277144</v>
      </c>
      <c r="AF23" s="314">
        <f>(AE23-AD23)/AD23*100</f>
        <v>-5.1902735395941377</v>
      </c>
      <c r="AG23" s="315">
        <v>9.7899999999999991</v>
      </c>
      <c r="AH23" s="315">
        <v>10.262</v>
      </c>
      <c r="AI23" s="1060">
        <f>AH23/AH7*100</f>
        <v>3.2699670377062127</v>
      </c>
      <c r="AJ23" s="314">
        <f>(AH23-AG23)/AG23*100</f>
        <v>4.8212461695607907</v>
      </c>
      <c r="AK23" s="1399"/>
      <c r="AL23" s="1399"/>
      <c r="AM23" s="2369"/>
      <c r="AN23" s="1055" t="s">
        <v>233</v>
      </c>
      <c r="AO23" s="1055"/>
      <c r="AP23" s="1055"/>
      <c r="AQ23" s="833">
        <v>292316</v>
      </c>
      <c r="AR23" s="833">
        <v>277144</v>
      </c>
      <c r="AS23" s="314">
        <f>(AR23-AQ23)/AQ23*100</f>
        <v>-5.1902735395941377</v>
      </c>
      <c r="AT23" s="315">
        <v>9.7899999999999991</v>
      </c>
      <c r="AU23" s="315">
        <v>10.262</v>
      </c>
      <c r="AV23" s="1060">
        <f>AU23/AU7*100</f>
        <v>2.5457576494286807</v>
      </c>
      <c r="AW23" s="314">
        <f>(AU23-AT23)/AT23*100</f>
        <v>4.8212461695607907</v>
      </c>
      <c r="AX23" s="1399"/>
      <c r="AY23" s="1399"/>
      <c r="BD23" s="5">
        <f>25.63+0.96</f>
        <v>26.59</v>
      </c>
    </row>
    <row r="24" spans="1:56" ht="18.75" customHeight="1" x14ac:dyDescent="0.4">
      <c r="A24" s="1983"/>
      <c r="B24" s="1055" t="s">
        <v>739</v>
      </c>
      <c r="C24" s="303">
        <v>0</v>
      </c>
      <c r="D24" s="303">
        <v>0</v>
      </c>
      <c r="E24" s="836">
        <v>0</v>
      </c>
      <c r="F24" s="833">
        <v>0</v>
      </c>
      <c r="G24" s="315">
        <v>0</v>
      </c>
      <c r="H24" s="1060">
        <f>G24/G7*100</f>
        <v>0</v>
      </c>
      <c r="I24" s="314">
        <v>0</v>
      </c>
      <c r="M24" s="2369"/>
      <c r="N24" s="1055" t="s">
        <v>739</v>
      </c>
      <c r="O24" s="1055"/>
      <c r="P24" s="1055"/>
      <c r="Q24" s="833">
        <v>0</v>
      </c>
      <c r="R24" s="833">
        <v>2661</v>
      </c>
      <c r="S24" s="836">
        <v>0</v>
      </c>
      <c r="T24" s="315">
        <v>0</v>
      </c>
      <c r="U24" s="315">
        <v>0.04</v>
      </c>
      <c r="V24" s="1060">
        <f>U24/U7*100</f>
        <v>1.4636911643200464E-2</v>
      </c>
      <c r="W24" s="314">
        <v>0</v>
      </c>
      <c r="X24" s="1399"/>
      <c r="Y24" s="1399"/>
      <c r="Z24" s="2369"/>
      <c r="AA24" s="1055" t="s">
        <v>739</v>
      </c>
      <c r="AB24" s="1055"/>
      <c r="AC24" s="1055"/>
      <c r="AD24" s="833">
        <v>0</v>
      </c>
      <c r="AE24" s="833">
        <v>2661</v>
      </c>
      <c r="AF24" s="836">
        <v>0</v>
      </c>
      <c r="AG24" s="315">
        <v>0</v>
      </c>
      <c r="AH24" s="315">
        <v>0.04</v>
      </c>
      <c r="AI24" s="1060">
        <f>AH24/AH7*100</f>
        <v>1.2745924917973933E-2</v>
      </c>
      <c r="AJ24" s="314">
        <v>0</v>
      </c>
      <c r="AK24" s="1399"/>
      <c r="AL24" s="1399"/>
      <c r="AM24" s="2369"/>
      <c r="AN24" s="1055" t="s">
        <v>739</v>
      </c>
      <c r="AO24" s="1055"/>
      <c r="AP24" s="1055"/>
      <c r="AQ24" s="833">
        <v>0</v>
      </c>
      <c r="AR24" s="833">
        <v>2661</v>
      </c>
      <c r="AS24" s="836">
        <v>0</v>
      </c>
      <c r="AT24" s="315">
        <v>0</v>
      </c>
      <c r="AU24" s="315">
        <v>0.04</v>
      </c>
      <c r="AV24" s="1060">
        <f>AU24/AU7*100</f>
        <v>9.923046772280961E-3</v>
      </c>
      <c r="AW24" s="314">
        <v>0</v>
      </c>
      <c r="AX24" s="1399"/>
      <c r="AY24" s="1399"/>
    </row>
    <row r="25" spans="1:56" ht="18.75" customHeight="1" x14ac:dyDescent="0.4">
      <c r="A25" s="1983"/>
      <c r="B25" s="1055" t="s">
        <v>235</v>
      </c>
      <c r="C25" s="303">
        <v>0</v>
      </c>
      <c r="D25" s="303">
        <v>0</v>
      </c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M25" s="2369"/>
      <c r="N25" s="1055" t="s">
        <v>235</v>
      </c>
      <c r="O25" s="1055"/>
      <c r="P25" s="1055"/>
      <c r="Q25" s="833">
        <v>1377</v>
      </c>
      <c r="R25" s="833">
        <v>2748</v>
      </c>
      <c r="S25" s="836">
        <v>0</v>
      </c>
      <c r="T25" s="315">
        <v>3.8016399999999999E-2</v>
      </c>
      <c r="U25" s="315">
        <v>0.11</v>
      </c>
      <c r="V25" s="1060">
        <f>U25/U7*100</f>
        <v>4.0251507018801272E-2</v>
      </c>
      <c r="W25" s="314">
        <v>0</v>
      </c>
      <c r="X25" s="1399"/>
      <c r="Y25" s="1399"/>
      <c r="Z25" s="2369"/>
      <c r="AA25" s="1055" t="s">
        <v>235</v>
      </c>
      <c r="AB25" s="1055"/>
      <c r="AC25" s="1055"/>
      <c r="AD25" s="833">
        <v>1377</v>
      </c>
      <c r="AE25" s="833">
        <v>2748</v>
      </c>
      <c r="AF25" s="836">
        <v>0</v>
      </c>
      <c r="AG25" s="315">
        <v>3.8016399999999999E-2</v>
      </c>
      <c r="AH25" s="315">
        <v>0.11</v>
      </c>
      <c r="AI25" s="1060">
        <f>AH25/AH7*100</f>
        <v>3.5051293524428317E-2</v>
      </c>
      <c r="AJ25" s="314">
        <v>0</v>
      </c>
      <c r="AK25" s="1399"/>
      <c r="AL25" s="1399"/>
      <c r="AM25" s="2369"/>
      <c r="AN25" s="1055" t="s">
        <v>235</v>
      </c>
      <c r="AO25" s="1055"/>
      <c r="AP25" s="1055"/>
      <c r="AQ25" s="833">
        <v>1377</v>
      </c>
      <c r="AR25" s="833">
        <v>2748</v>
      </c>
      <c r="AS25" s="836">
        <v>0</v>
      </c>
      <c r="AT25" s="315">
        <v>3.8016399999999999E-2</v>
      </c>
      <c r="AU25" s="315">
        <v>0.11</v>
      </c>
      <c r="AV25" s="1060">
        <f>AU25/AU7*100</f>
        <v>2.7288378623772643E-2</v>
      </c>
      <c r="AW25" s="314">
        <v>0</v>
      </c>
      <c r="AX25" s="1399"/>
      <c r="AY25" s="1399"/>
      <c r="BD25" s="5">
        <v>40.450000000000003</v>
      </c>
    </row>
    <row r="26" spans="1:56" ht="27" customHeight="1" x14ac:dyDescent="0.4">
      <c r="A26" s="1984"/>
      <c r="B26" s="1056" t="s">
        <v>693</v>
      </c>
      <c r="C26" s="1059">
        <v>0</v>
      </c>
      <c r="D26" s="1059">
        <v>0</v>
      </c>
      <c r="E26" s="836">
        <v>0</v>
      </c>
      <c r="F26" s="315">
        <v>0.03</v>
      </c>
      <c r="G26" s="833">
        <v>0</v>
      </c>
      <c r="H26" s="1060">
        <f>G26/G7*100</f>
        <v>0</v>
      </c>
      <c r="I26" s="314">
        <f>(G26-F26)/F26*100</f>
        <v>-100</v>
      </c>
      <c r="M26" s="2245"/>
      <c r="N26" s="1056" t="s">
        <v>693</v>
      </c>
      <c r="O26" s="1056"/>
      <c r="P26" s="1056"/>
      <c r="Q26" s="833">
        <f>1329+121</f>
        <v>1450</v>
      </c>
      <c r="R26" s="833">
        <f>4060</f>
        <v>4060</v>
      </c>
      <c r="S26" s="836">
        <v>0</v>
      </c>
      <c r="T26" s="315">
        <v>0.29395139999999997</v>
      </c>
      <c r="U26" s="315">
        <v>0.32</v>
      </c>
      <c r="V26" s="1060">
        <f>U26/U7*100</f>
        <v>0.11709529314560371</v>
      </c>
      <c r="W26" s="314">
        <f>(U26-T26)/T26*100</f>
        <v>8.8615328928523684</v>
      </c>
      <c r="X26" s="1399"/>
      <c r="Y26" s="1399"/>
      <c r="Z26" s="2245"/>
      <c r="AA26" s="1056" t="s">
        <v>693</v>
      </c>
      <c r="AB26" s="1056"/>
      <c r="AC26" s="1056"/>
      <c r="AD26" s="833">
        <f>1329+121</f>
        <v>1450</v>
      </c>
      <c r="AE26" s="833">
        <f>4060</f>
        <v>4060</v>
      </c>
      <c r="AF26" s="836">
        <v>0</v>
      </c>
      <c r="AG26" s="315">
        <v>0.29395139999999997</v>
      </c>
      <c r="AH26" s="315">
        <v>0.32</v>
      </c>
      <c r="AI26" s="1060">
        <f>AH26/AH7*100</f>
        <v>0.10196739934379147</v>
      </c>
      <c r="AJ26" s="314">
        <f>(AH26-AG26)/AG26*100</f>
        <v>8.8615328928523684</v>
      </c>
      <c r="AK26" s="1399"/>
      <c r="AL26" s="1399"/>
      <c r="AM26" s="2245"/>
      <c r="AN26" s="1056" t="s">
        <v>693</v>
      </c>
      <c r="AO26" s="1056"/>
      <c r="AP26" s="1056"/>
      <c r="AQ26" s="833">
        <v>1450</v>
      </c>
      <c r="AR26" s="833">
        <v>4060</v>
      </c>
      <c r="AS26" s="836">
        <v>0</v>
      </c>
      <c r="AT26" s="315">
        <v>0.29395139999999997</v>
      </c>
      <c r="AU26" s="315">
        <v>0.32</v>
      </c>
      <c r="AV26" s="1060">
        <f>AU26/AU7*100</f>
        <v>7.9384374178247688E-2</v>
      </c>
      <c r="AW26" s="314">
        <f>(AU26-AT26)/AT26*100</f>
        <v>8.8615328928523684</v>
      </c>
      <c r="AX26" s="1399"/>
      <c r="AY26" s="1399"/>
      <c r="BD26" s="5">
        <v>22.08</v>
      </c>
    </row>
    <row r="27" spans="1:56" s="26" customFormat="1" ht="19.5" customHeight="1" x14ac:dyDescent="0.4">
      <c r="A27" s="1216"/>
      <c r="B27" s="1063" t="s">
        <v>683</v>
      </c>
      <c r="C27" s="1063">
        <f>SUM(C20:C26)</f>
        <v>187767</v>
      </c>
      <c r="D27" s="1063">
        <f>SUM(D20:D26)</f>
        <v>215196</v>
      </c>
      <c r="E27" s="394">
        <f>(D27-C27)/C27*100</f>
        <v>14.607998210548178</v>
      </c>
      <c r="F27" s="1054">
        <f>SUM(F20:F26)</f>
        <v>15.450000000000001</v>
      </c>
      <c r="G27" s="1054">
        <f>G20+G21+G22+G23+G24+G25+G26</f>
        <v>32.89</v>
      </c>
      <c r="H27" s="1066">
        <f>SUM(H20:H26)</f>
        <v>12.028892749382832</v>
      </c>
      <c r="I27" s="394">
        <f>(G27-F27)/F27*100</f>
        <v>112.88025889967635</v>
      </c>
      <c r="J27" s="762"/>
      <c r="K27" s="762"/>
      <c r="L27" s="432"/>
      <c r="M27" s="1202"/>
      <c r="N27" s="1063" t="s">
        <v>683</v>
      </c>
      <c r="O27" s="1063"/>
      <c r="P27" s="1063"/>
      <c r="Q27" s="1259">
        <f>SUM(Q20:Q26)</f>
        <v>2131699</v>
      </c>
      <c r="R27" s="1259">
        <f>SUM(R20:R26)</f>
        <v>3087471</v>
      </c>
      <c r="S27" s="394">
        <f>(R27-Q27)/Q27*100</f>
        <v>44.836161202871509</v>
      </c>
      <c r="T27" s="1054">
        <f>SUM(T20:T26)</f>
        <v>275.33520990000005</v>
      </c>
      <c r="U27" s="1054">
        <f>SUM(U20:U26)</f>
        <v>403.10200000000003</v>
      </c>
      <c r="V27" s="1066">
        <f>SUM(V20:V26)</f>
        <v>147.50420892993486</v>
      </c>
      <c r="W27" s="394">
        <f>(U27-T27)/T27*100</f>
        <v>46.40408691151562</v>
      </c>
      <c r="X27" s="1401"/>
      <c r="Y27" s="1401"/>
      <c r="Z27" s="1202"/>
      <c r="AA27" s="1063" t="s">
        <v>683</v>
      </c>
      <c r="AB27" s="1063"/>
      <c r="AC27" s="1063"/>
      <c r="AD27" s="1259">
        <f>SUM(AD20:AD26)</f>
        <v>2131699</v>
      </c>
      <c r="AE27" s="1259">
        <f>SUM(AE20:AE26)</f>
        <v>3087471</v>
      </c>
      <c r="AF27" s="394">
        <f>(AE27-AD27)/AD27*100</f>
        <v>44.836161202871509</v>
      </c>
      <c r="AG27" s="1054">
        <f>SUM(AG20:AG26)</f>
        <v>275.33520990000005</v>
      </c>
      <c r="AH27" s="1054">
        <f>SUM(AH20:AH26)</f>
        <v>403.10200000000003</v>
      </c>
      <c r="AI27" s="1066">
        <f>SUM(AI20:AI26)</f>
        <v>128.44769565712818</v>
      </c>
      <c r="AJ27" s="394">
        <f>(AH27-AG27)/AG27*100</f>
        <v>46.40408691151562</v>
      </c>
      <c r="AK27" s="1401"/>
      <c r="AL27" s="1401"/>
      <c r="AM27" s="1202"/>
      <c r="AN27" s="1063" t="s">
        <v>683</v>
      </c>
      <c r="AO27" s="1063"/>
      <c r="AP27" s="1063"/>
      <c r="AQ27" s="1259">
        <f>SUM(AQ20:AQ26)</f>
        <v>2131699</v>
      </c>
      <c r="AR27" s="1259">
        <f>SUM(AR20:AR26)</f>
        <v>3087471</v>
      </c>
      <c r="AS27" s="394">
        <f>(AR27-AQ27)/AQ27*100</f>
        <v>44.836161202871509</v>
      </c>
      <c r="AT27" s="1054">
        <f>SUM(AT20:AT26)</f>
        <v>275.33520990000005</v>
      </c>
      <c r="AU27" s="1054">
        <f>SUM(AU20:AU26)</f>
        <v>403.10200000000003</v>
      </c>
      <c r="AV27" s="1066">
        <f>SUM(AV20:AV26)</f>
        <v>100</v>
      </c>
      <c r="AW27" s="394">
        <f>(AU27-AT27)/AT27*100</f>
        <v>46.40408691151562</v>
      </c>
      <c r="AX27" s="1401"/>
      <c r="AY27" s="1401"/>
      <c r="BB27" s="432"/>
    </row>
    <row r="28" spans="1:56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1201"/>
      <c r="N28" s="2313" t="s">
        <v>7</v>
      </c>
      <c r="O28" s="2313"/>
      <c r="P28" s="2313"/>
      <c r="Q28" s="2313"/>
      <c r="R28" s="2314" t="s">
        <v>8</v>
      </c>
      <c r="S28" s="2314"/>
      <c r="T28" s="2314" t="s">
        <v>10</v>
      </c>
      <c r="U28" s="2314"/>
      <c r="V28" s="2315" t="s">
        <v>11</v>
      </c>
      <c r="W28" s="2315"/>
      <c r="X28" s="1402"/>
      <c r="Y28" s="1402"/>
      <c r="Z28" s="1201"/>
      <c r="AA28" s="2313" t="s">
        <v>7</v>
      </c>
      <c r="AB28" s="2313"/>
      <c r="AC28" s="2313"/>
      <c r="AD28" s="2313"/>
      <c r="AE28" s="2314" t="s">
        <v>8</v>
      </c>
      <c r="AF28" s="2314"/>
      <c r="AG28" s="2314" t="s">
        <v>10</v>
      </c>
      <c r="AH28" s="2314"/>
      <c r="AI28" s="2315" t="s">
        <v>11</v>
      </c>
      <c r="AJ28" s="2315"/>
      <c r="AK28" s="1402"/>
      <c r="AL28" s="1402"/>
      <c r="AM28" s="1201"/>
      <c r="AN28" s="2313" t="s">
        <v>7</v>
      </c>
      <c r="AO28" s="2313"/>
      <c r="AP28" s="2313"/>
      <c r="AQ28" s="2313"/>
      <c r="AR28" s="2314" t="s">
        <v>8</v>
      </c>
      <c r="AS28" s="2314"/>
      <c r="AT28" s="2314" t="s">
        <v>10</v>
      </c>
      <c r="AU28" s="2314"/>
      <c r="AV28" s="2315" t="s">
        <v>11</v>
      </c>
      <c r="AW28" s="2315"/>
      <c r="AX28" s="1402"/>
      <c r="AY28" s="1402"/>
    </row>
    <row r="29" spans="1:56" ht="24" hidden="1" customHeight="1" x14ac:dyDescent="0.35">
      <c r="A29" s="135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606"/>
      <c r="N29" s="2313"/>
      <c r="O29" s="2313"/>
      <c r="P29" s="2313"/>
      <c r="Q29" s="2313"/>
      <c r="R29" s="272" t="s">
        <v>9</v>
      </c>
      <c r="S29" s="1057">
        <f>U29</f>
        <v>44652</v>
      </c>
      <c r="T29" s="1057">
        <v>44287</v>
      </c>
      <c r="U29" s="1057">
        <v>44652</v>
      </c>
      <c r="V29" s="1065" t="s">
        <v>12</v>
      </c>
      <c r="W29" s="1065" t="s">
        <v>13</v>
      </c>
      <c r="X29" s="1403"/>
      <c r="Y29" s="1403"/>
      <c r="Z29" s="606"/>
      <c r="AA29" s="2313"/>
      <c r="AB29" s="2313"/>
      <c r="AC29" s="2313"/>
      <c r="AD29" s="2313"/>
      <c r="AE29" s="272" t="s">
        <v>9</v>
      </c>
      <c r="AF29" s="1057">
        <f>AH29</f>
        <v>44652</v>
      </c>
      <c r="AG29" s="1057">
        <v>44287</v>
      </c>
      <c r="AH29" s="1057">
        <v>44652</v>
      </c>
      <c r="AI29" s="1065" t="s">
        <v>12</v>
      </c>
      <c r="AJ29" s="1065" t="s">
        <v>13</v>
      </c>
      <c r="AK29" s="1403"/>
      <c r="AL29" s="1403"/>
      <c r="AM29" s="606"/>
      <c r="AN29" s="2313"/>
      <c r="AO29" s="2313"/>
      <c r="AP29" s="2313"/>
      <c r="AQ29" s="2313"/>
      <c r="AR29" s="272" t="s">
        <v>9</v>
      </c>
      <c r="AS29" s="1057">
        <f>AU29</f>
        <v>44652</v>
      </c>
      <c r="AT29" s="1057">
        <v>44287</v>
      </c>
      <c r="AU29" s="1057">
        <v>44652</v>
      </c>
      <c r="AV29" s="1065" t="s">
        <v>12</v>
      </c>
      <c r="AW29" s="1065" t="s">
        <v>13</v>
      </c>
      <c r="AX29" s="1403"/>
      <c r="AY29" s="1403"/>
    </row>
    <row r="30" spans="1:56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1287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0"/>
      <c r="V30" s="2310"/>
      <c r="W30" s="2311"/>
      <c r="X30" s="1398"/>
      <c r="Y30" s="1398"/>
      <c r="Z30" s="1287">
        <v>3</v>
      </c>
      <c r="AA30" s="2309" t="s">
        <v>623</v>
      </c>
      <c r="AB30" s="2310"/>
      <c r="AC30" s="2310"/>
      <c r="AD30" s="2310"/>
      <c r="AE30" s="2310"/>
      <c r="AF30" s="2310"/>
      <c r="AG30" s="2310"/>
      <c r="AH30" s="2310"/>
      <c r="AI30" s="2310"/>
      <c r="AJ30" s="2311"/>
      <c r="AK30" s="1398"/>
      <c r="AL30" s="1398"/>
      <c r="AM30" s="1287">
        <v>3</v>
      </c>
      <c r="AN30" s="2309" t="s">
        <v>623</v>
      </c>
      <c r="AO30" s="2310"/>
      <c r="AP30" s="2310"/>
      <c r="AQ30" s="2310"/>
      <c r="AR30" s="2310"/>
      <c r="AS30" s="2310"/>
      <c r="AT30" s="2310"/>
      <c r="AU30" s="2310"/>
      <c r="AV30" s="2310"/>
      <c r="AW30" s="2311"/>
      <c r="AX30" s="1398"/>
      <c r="AY30" s="1398"/>
    </row>
    <row r="31" spans="1:56" ht="15.4" x14ac:dyDescent="0.4">
      <c r="A31" s="2382"/>
      <c r="B31" s="378" t="s">
        <v>2</v>
      </c>
      <c r="C31" s="1283">
        <v>10.977297400000001</v>
      </c>
      <c r="D31" s="331">
        <v>12.05</v>
      </c>
      <c r="E31" s="315">
        <v>0.9</v>
      </c>
      <c r="F31" s="313">
        <v>2.0012975000000002</v>
      </c>
      <c r="G31" s="313">
        <v>2.1327530000000001</v>
      </c>
      <c r="H31" s="314">
        <f>(G31-E31)/E31*100</f>
        <v>136.97255555555557</v>
      </c>
      <c r="I31" s="314">
        <f t="shared" ref="I31:I36" si="1">(G31-F31)/F31*100</f>
        <v>6.5685136767522039</v>
      </c>
      <c r="J31" s="84">
        <f>2661720/10000000</f>
        <v>0.26617200000000002</v>
      </c>
      <c r="K31" s="84">
        <f>11596205/10000000</f>
        <v>1.1596204999999999</v>
      </c>
      <c r="M31" s="1288"/>
      <c r="N31" s="2006" t="s">
        <v>2</v>
      </c>
      <c r="O31" s="2019"/>
      <c r="P31" s="2007"/>
      <c r="Q31" s="1283">
        <v>10.977297400000001</v>
      </c>
      <c r="R31" s="331">
        <v>12.05</v>
      </c>
      <c r="S31" s="434">
        <f>'MARCH -23 '!S31-'JULY 22'!Q31</f>
        <v>7.7000000000000011</v>
      </c>
      <c r="T31" s="434">
        <f>'MARCH -23 '!T31-'JULY 22'!R31</f>
        <v>9.8676804000000011</v>
      </c>
      <c r="U31" s="434">
        <f>'MARCH -23 '!U31-'JULY 22'!S31</f>
        <v>16.086370500000001</v>
      </c>
      <c r="V31" s="314">
        <f>(U31-S31)/S31*100</f>
        <v>108.9139025974026</v>
      </c>
      <c r="W31" s="314">
        <f t="shared" ref="W31:W37" si="2">(U31-T31)/T31*100</f>
        <v>63.020789566715187</v>
      </c>
      <c r="X31" s="1399"/>
      <c r="Y31" s="1399"/>
      <c r="Z31" s="1288"/>
      <c r="AA31" s="2006" t="s">
        <v>2</v>
      </c>
      <c r="AB31" s="2019"/>
      <c r="AC31" s="2007"/>
      <c r="AD31" s="1283">
        <v>10.977297400000001</v>
      </c>
      <c r="AE31" s="331">
        <v>12.05</v>
      </c>
      <c r="AF31" s="434">
        <f>S31+'JULY 22'!E31</f>
        <v>8.4500000000000011</v>
      </c>
      <c r="AG31" s="434">
        <f>T31+'JULY 22'!F31</f>
        <v>10.252941000000002</v>
      </c>
      <c r="AH31" s="434">
        <f>U31+'JULY 22'!G31</f>
        <v>17.616525000000003</v>
      </c>
      <c r="AI31" s="314">
        <f>(AH31-AF31)/AF31*100</f>
        <v>108.47958579881659</v>
      </c>
      <c r="AJ31" s="314">
        <f t="shared" ref="AJ31:AJ37" si="3">(AH31-AG31)/AG31*100</f>
        <v>71.819237036475684</v>
      </c>
      <c r="AK31" s="1399"/>
      <c r="AL31" s="1399"/>
      <c r="AM31" s="1288"/>
      <c r="AN31" s="2006" t="s">
        <v>2</v>
      </c>
      <c r="AO31" s="2019"/>
      <c r="AP31" s="2007"/>
      <c r="AQ31" s="1283">
        <v>10.977297400000001</v>
      </c>
      <c r="AR31" s="331">
        <v>12.05</v>
      </c>
      <c r="AS31" s="307">
        <v>12.05</v>
      </c>
      <c r="AT31" s="315">
        <v>10.977297400000001</v>
      </c>
      <c r="AU31" s="315">
        <v>24.66</v>
      </c>
      <c r="AV31" s="314">
        <f>(AU31-AS31)/AS31*100</f>
        <v>104.6473029045643</v>
      </c>
      <c r="AW31" s="314">
        <f t="shared" ref="AW31:AW37" si="4">(AU31-AT31)/AT31*100</f>
        <v>124.64545781550929</v>
      </c>
      <c r="AX31" s="1399"/>
      <c r="AY31" s="1399"/>
      <c r="AZ31" s="12">
        <f>'JULY 22'!S31</f>
        <v>8.5736295000000009</v>
      </c>
      <c r="BA31" s="428">
        <f>AZ31+U31</f>
        <v>24.660000000000004</v>
      </c>
    </row>
    <row r="32" spans="1:56" ht="15.4" x14ac:dyDescent="0.4">
      <c r="A32" s="2382"/>
      <c r="B32" s="378" t="s">
        <v>23</v>
      </c>
      <c r="C32" s="1283">
        <v>25.645024399999997</v>
      </c>
      <c r="D32" s="331">
        <v>27.75</v>
      </c>
      <c r="E32" s="315">
        <v>2.61</v>
      </c>
      <c r="F32" s="313">
        <v>2.4199715999999998</v>
      </c>
      <c r="G32" s="313">
        <v>2.0591189000000001</v>
      </c>
      <c r="H32" s="314">
        <f>(G32-E32)/E32*100</f>
        <v>-21.106555555555548</v>
      </c>
      <c r="I32" s="314">
        <f>(G32-F32)/F32*100</f>
        <v>-14.911443588842104</v>
      </c>
      <c r="J32" s="1128">
        <f>0.42-0.02</f>
        <v>0.39999999999999997</v>
      </c>
      <c r="K32" s="84">
        <f>0.58-0.12</f>
        <v>0.45999999999999996</v>
      </c>
      <c r="M32" s="1288"/>
      <c r="N32" s="2006" t="s">
        <v>23</v>
      </c>
      <c r="O32" s="2019"/>
      <c r="P32" s="2007"/>
      <c r="Q32" s="1283">
        <v>25.645024399999997</v>
      </c>
      <c r="R32" s="331">
        <v>27.75</v>
      </c>
      <c r="S32" s="434">
        <f>'MARCH -23 '!S32-'JULY 22'!Q32</f>
        <v>19.96</v>
      </c>
      <c r="T32" s="434">
        <f>'MARCH -23 '!T32-'JULY 22'!R32</f>
        <v>18.455156599999995</v>
      </c>
      <c r="U32" s="434">
        <f>'MARCH -23 '!U32-'JULY 22'!S32</f>
        <v>17.381622700000001</v>
      </c>
      <c r="V32" s="314">
        <f>(U32-S32)/S32*100</f>
        <v>-12.917721943887772</v>
      </c>
      <c r="W32" s="314">
        <f t="shared" si="2"/>
        <v>-5.8169861316700731</v>
      </c>
      <c r="X32" s="1399"/>
      <c r="Y32" s="1399"/>
      <c r="Z32" s="1288"/>
      <c r="AA32" s="2006" t="s">
        <v>23</v>
      </c>
      <c r="AB32" s="2019"/>
      <c r="AC32" s="2007"/>
      <c r="AD32" s="1283">
        <v>25.645024399999997</v>
      </c>
      <c r="AE32" s="331">
        <v>27.75</v>
      </c>
      <c r="AF32" s="434">
        <f>S32+'JULY 22'!E32</f>
        <v>22.150000000000002</v>
      </c>
      <c r="AG32" s="434">
        <f>T32+'JULY 22'!F32</f>
        <v>20.478190299999994</v>
      </c>
      <c r="AH32" s="434">
        <f>U32+'JULY 22'!G32</f>
        <v>20.2137262</v>
      </c>
      <c r="AI32" s="314">
        <f>(AH32-AF32)/AF32*100</f>
        <v>-8.7416424379232591</v>
      </c>
      <c r="AJ32" s="314">
        <f t="shared" si="3"/>
        <v>-1.2914427306596248</v>
      </c>
      <c r="AK32" s="1399"/>
      <c r="AL32" s="1399"/>
      <c r="AM32" s="1288"/>
      <c r="AN32" s="2006" t="s">
        <v>23</v>
      </c>
      <c r="AO32" s="2019"/>
      <c r="AP32" s="2007"/>
      <c r="AQ32" s="1283">
        <v>25.645024399999997</v>
      </c>
      <c r="AR32" s="331">
        <v>27.75</v>
      </c>
      <c r="AS32" s="307">
        <v>27.75</v>
      </c>
      <c r="AT32" s="315">
        <v>25.645024399999997</v>
      </c>
      <c r="AU32" s="315">
        <v>27.693304099999999</v>
      </c>
      <c r="AV32" s="314">
        <f>(AU32-AS32)/AS32*100</f>
        <v>-0.2043095495495536</v>
      </c>
      <c r="AW32" s="314">
        <f t="shared" si="4"/>
        <v>7.9870452375159458</v>
      </c>
      <c r="AX32" s="1399"/>
      <c r="AY32" s="1399"/>
      <c r="AZ32" s="12">
        <f>'JULY 22'!S32</f>
        <v>10.311681399999999</v>
      </c>
      <c r="BA32" s="428">
        <f t="shared" ref="BA32:BA48" si="5">AZ32+U32</f>
        <v>27.693304099999999</v>
      </c>
    </row>
    <row r="33" spans="1:57" ht="15.4" x14ac:dyDescent="0.4">
      <c r="A33" s="2382"/>
      <c r="B33" s="378" t="s">
        <v>1</v>
      </c>
      <c r="C33" s="1283">
        <v>1.1151324</v>
      </c>
      <c r="D33" s="331">
        <v>5.77</v>
      </c>
      <c r="E33" s="315">
        <v>0.46</v>
      </c>
      <c r="F33" s="313">
        <v>7.7782400000000002E-2</v>
      </c>
      <c r="G33" s="313">
        <v>8.3219899999999999E-2</v>
      </c>
      <c r="H33" s="314">
        <f>(G33-E33)/E33*100</f>
        <v>-81.908717391304336</v>
      </c>
      <c r="I33" s="314">
        <f t="shared" si="1"/>
        <v>6.9906559838729549</v>
      </c>
      <c r="M33" s="1288"/>
      <c r="N33" s="2006" t="s">
        <v>1</v>
      </c>
      <c r="O33" s="2019"/>
      <c r="P33" s="2007"/>
      <c r="Q33" s="1283">
        <v>1.1151324</v>
      </c>
      <c r="R33" s="331">
        <v>5.77</v>
      </c>
      <c r="S33" s="434">
        <f>'MARCH -23 '!S33-'JULY 22'!Q33</f>
        <v>3.9099999999999997</v>
      </c>
      <c r="T33" s="434">
        <f>'MARCH -23 '!T33-'JULY 22'!R33</f>
        <v>0.75456990000000002</v>
      </c>
      <c r="U33" s="434">
        <f>'MARCH -23 '!U33-'JULY 22'!S33</f>
        <v>0.63034719999999989</v>
      </c>
      <c r="V33" s="314">
        <f>(U33-S33)/S33*100</f>
        <v>-83.878588235294131</v>
      </c>
      <c r="W33" s="314">
        <f t="shared" si="2"/>
        <v>-16.462716045259707</v>
      </c>
      <c r="X33" s="1399"/>
      <c r="Y33" s="1399"/>
      <c r="Z33" s="1288"/>
      <c r="AA33" s="2006" t="s">
        <v>1</v>
      </c>
      <c r="AB33" s="2019"/>
      <c r="AC33" s="2007"/>
      <c r="AD33" s="1283">
        <v>1.1151324</v>
      </c>
      <c r="AE33" s="331">
        <v>5.77</v>
      </c>
      <c r="AF33" s="434">
        <f>S33+'JULY 22'!E33</f>
        <v>4.5299999999999994</v>
      </c>
      <c r="AG33" s="434">
        <f>T33+'JULY 22'!F33</f>
        <v>0.87150740000000004</v>
      </c>
      <c r="AH33" s="434">
        <f>U33+'JULY 22'!G33</f>
        <v>0.72590579999999982</v>
      </c>
      <c r="AI33" s="314">
        <f>(AH33-AF33)/AF33*100</f>
        <v>-83.975589403973515</v>
      </c>
      <c r="AJ33" s="314">
        <f t="shared" si="3"/>
        <v>-16.706869040928421</v>
      </c>
      <c r="AK33" s="1399"/>
      <c r="AL33" s="1399"/>
      <c r="AM33" s="1288"/>
      <c r="AN33" s="2006" t="s">
        <v>1</v>
      </c>
      <c r="AO33" s="2019"/>
      <c r="AP33" s="2007"/>
      <c r="AQ33" s="1283">
        <v>1.1151324</v>
      </c>
      <c r="AR33" s="331">
        <v>5.77</v>
      </c>
      <c r="AS33" s="307">
        <v>5.77</v>
      </c>
      <c r="AT33" s="315">
        <v>1.1151324</v>
      </c>
      <c r="AU33" s="315">
        <v>1.0446717999999999</v>
      </c>
      <c r="AV33" s="314">
        <f>(AU33-AS33)/AS33*100</f>
        <v>-81.894769497400361</v>
      </c>
      <c r="AW33" s="314">
        <f t="shared" si="4"/>
        <v>-6.3185860261974351</v>
      </c>
      <c r="AX33" s="1399"/>
      <c r="AY33" s="1399"/>
      <c r="AZ33" s="12">
        <f>'JULY 22'!S33</f>
        <v>0.41432459999999999</v>
      </c>
      <c r="BA33" s="428">
        <f t="shared" si="5"/>
        <v>1.0446717999999999</v>
      </c>
    </row>
    <row r="34" spans="1:57" ht="15.4" x14ac:dyDescent="0.4">
      <c r="A34" s="2382"/>
      <c r="B34" s="378" t="s">
        <v>24</v>
      </c>
      <c r="C34" s="1283">
        <v>0.36572300000000002</v>
      </c>
      <c r="D34" s="603" t="s">
        <v>221</v>
      </c>
      <c r="E34" s="315"/>
      <c r="F34" s="313">
        <v>4.9202000000000003E-2</v>
      </c>
      <c r="G34" s="313">
        <v>0.243704</v>
      </c>
      <c r="H34" s="316" t="s">
        <v>221</v>
      </c>
      <c r="I34" s="314">
        <f t="shared" si="1"/>
        <v>395.31319865046135</v>
      </c>
      <c r="J34" s="84">
        <f>62410/10000000</f>
        <v>6.241E-3</v>
      </c>
      <c r="M34" s="1288"/>
      <c r="N34" s="2006" t="s">
        <v>24</v>
      </c>
      <c r="O34" s="2019"/>
      <c r="P34" s="2007"/>
      <c r="Q34" s="1283">
        <v>0.36572300000000002</v>
      </c>
      <c r="R34" s="603" t="s">
        <v>221</v>
      </c>
      <c r="S34" s="315" t="s">
        <v>221</v>
      </c>
      <c r="T34" s="434">
        <f>'MARCH -23 '!T34-'JULY 22'!R34</f>
        <v>0.29781400000000002</v>
      </c>
      <c r="U34" s="434">
        <f>'MARCH -23 '!U34-'JULY 22'!S34</f>
        <v>2.0528080000000002</v>
      </c>
      <c r="V34" s="316" t="s">
        <v>221</v>
      </c>
      <c r="W34" s="314">
        <f t="shared" si="2"/>
        <v>589.29197418522972</v>
      </c>
      <c r="X34" s="1399"/>
      <c r="Y34" s="1399"/>
      <c r="Z34" s="1288"/>
      <c r="AA34" s="2006" t="s">
        <v>24</v>
      </c>
      <c r="AB34" s="2019"/>
      <c r="AC34" s="2007"/>
      <c r="AD34" s="1283">
        <v>0.36572300000000002</v>
      </c>
      <c r="AE34" s="603" t="s">
        <v>221</v>
      </c>
      <c r="AF34" s="315" t="s">
        <v>221</v>
      </c>
      <c r="AG34" s="434">
        <f>T34+'JULY 22'!F34</f>
        <v>0.31281700000000001</v>
      </c>
      <c r="AH34" s="434">
        <f>U34+'JULY 22'!G34</f>
        <v>2.2799990000000001</v>
      </c>
      <c r="AI34" s="316" t="s">
        <v>221</v>
      </c>
      <c r="AJ34" s="314">
        <f t="shared" si="3"/>
        <v>628.86032408724589</v>
      </c>
      <c r="AK34" s="1399"/>
      <c r="AL34" s="1399"/>
      <c r="AM34" s="1288"/>
      <c r="AN34" s="2006" t="s">
        <v>24</v>
      </c>
      <c r="AO34" s="2019"/>
      <c r="AP34" s="2007"/>
      <c r="AQ34" s="1283">
        <v>0.36572300000000002</v>
      </c>
      <c r="AR34" s="603" t="s">
        <v>221</v>
      </c>
      <c r="AS34" s="315" t="s">
        <v>221</v>
      </c>
      <c r="AT34" s="315">
        <v>0.36572300000000002</v>
      </c>
      <c r="AU34" s="315">
        <v>3.1600820000000001</v>
      </c>
      <c r="AV34" s="316" t="s">
        <v>221</v>
      </c>
      <c r="AW34" s="314">
        <f t="shared" si="4"/>
        <v>764.06433284206901</v>
      </c>
      <c r="AX34" s="1399"/>
      <c r="AY34" s="1399"/>
      <c r="AZ34" s="12">
        <f>'JULY 22'!S34</f>
        <v>1.1072739999999999</v>
      </c>
      <c r="BA34" s="428">
        <f t="shared" si="5"/>
        <v>3.1600820000000001</v>
      </c>
    </row>
    <row r="35" spans="1:57" ht="15.4" x14ac:dyDescent="0.4">
      <c r="A35" s="2382"/>
      <c r="B35" s="1278" t="s">
        <v>25</v>
      </c>
      <c r="C35" s="1284">
        <v>2.9771365000000003</v>
      </c>
      <c r="D35" s="603" t="s">
        <v>221</v>
      </c>
      <c r="E35" s="315"/>
      <c r="F35" s="313">
        <v>0.39</v>
      </c>
      <c r="G35" s="313">
        <v>0.53867149999999997</v>
      </c>
      <c r="H35" s="316" t="s">
        <v>221</v>
      </c>
      <c r="I35" s="314">
        <v>0</v>
      </c>
      <c r="M35" s="1288"/>
      <c r="N35" s="2017" t="s">
        <v>25</v>
      </c>
      <c r="O35" s="2018"/>
      <c r="P35" s="2030"/>
      <c r="Q35" s="1284">
        <v>2.9771365000000003</v>
      </c>
      <c r="R35" s="603" t="s">
        <v>221</v>
      </c>
      <c r="S35" s="315" t="s">
        <v>221</v>
      </c>
      <c r="T35" s="434">
        <f>'MARCH -23 '!T35-'JULY 22'!R35</f>
        <v>2.2889101000000003</v>
      </c>
      <c r="U35" s="434">
        <f>'MARCH -23 '!U35-'JULY 22'!S35</f>
        <v>1.7063901000000001</v>
      </c>
      <c r="V35" s="316" t="s">
        <v>221</v>
      </c>
      <c r="W35" s="314">
        <f t="shared" si="2"/>
        <v>-25.449667070803699</v>
      </c>
      <c r="X35" s="1399"/>
      <c r="Y35" s="1399"/>
      <c r="Z35" s="1288"/>
      <c r="AA35" s="2017" t="s">
        <v>25</v>
      </c>
      <c r="AB35" s="2018"/>
      <c r="AC35" s="2030"/>
      <c r="AD35" s="1284">
        <v>2.9771365000000003</v>
      </c>
      <c r="AE35" s="603" t="s">
        <v>221</v>
      </c>
      <c r="AF35" s="315" t="s">
        <v>221</v>
      </c>
      <c r="AG35" s="434">
        <f>T35+'JULY 22'!F35</f>
        <v>2.9466695000000005</v>
      </c>
      <c r="AH35" s="434">
        <f>U35+'JULY 22'!G35</f>
        <v>2.7714104000000002</v>
      </c>
      <c r="AI35" s="316" t="s">
        <v>221</v>
      </c>
      <c r="AJ35" s="314">
        <f t="shared" si="3"/>
        <v>-5.9477012946311181</v>
      </c>
      <c r="AK35" s="1399"/>
      <c r="AL35" s="1399"/>
      <c r="AM35" s="1288"/>
      <c r="AN35" s="2017" t="s">
        <v>25</v>
      </c>
      <c r="AO35" s="2018"/>
      <c r="AP35" s="2030"/>
      <c r="AQ35" s="1284">
        <v>2.9771365000000003</v>
      </c>
      <c r="AR35" s="603" t="s">
        <v>221</v>
      </c>
      <c r="AS35" s="315" t="s">
        <v>221</v>
      </c>
      <c r="AT35" s="315">
        <v>2.9771365000000003</v>
      </c>
      <c r="AU35" s="315">
        <v>6.2230024999999998</v>
      </c>
      <c r="AV35" s="316" t="s">
        <v>221</v>
      </c>
      <c r="AW35" s="314">
        <f t="shared" si="4"/>
        <v>109.02644201903404</v>
      </c>
      <c r="AX35" s="1399"/>
      <c r="AY35" s="1399"/>
      <c r="AZ35" s="12">
        <f>'JULY 22'!S35</f>
        <v>4.5166123999999996</v>
      </c>
      <c r="BA35" s="428">
        <f t="shared" si="5"/>
        <v>6.2230024999999998</v>
      </c>
    </row>
    <row r="36" spans="1:57" ht="17.25" customHeight="1" x14ac:dyDescent="0.4">
      <c r="A36" s="2383"/>
      <c r="B36" s="1278" t="s">
        <v>241</v>
      </c>
      <c r="C36" s="1284">
        <v>30.062250799999997</v>
      </c>
      <c r="D36" s="540" t="s">
        <v>221</v>
      </c>
      <c r="E36" s="316"/>
      <c r="F36" s="313">
        <v>2.9019903999999999</v>
      </c>
      <c r="G36" s="313">
        <v>3.5754269999999999</v>
      </c>
      <c r="H36" s="316" t="s">
        <v>221</v>
      </c>
      <c r="I36" s="314">
        <f t="shared" si="1"/>
        <v>23.206024389329478</v>
      </c>
      <c r="J36" s="323">
        <f>(3613355)/10000000</f>
        <v>0.36133549999999998</v>
      </c>
      <c r="K36" s="323">
        <f>(20880+ 10612529)/10000000</f>
        <v>1.0633409</v>
      </c>
      <c r="M36" s="1289"/>
      <c r="N36" s="2424" t="s">
        <v>241</v>
      </c>
      <c r="O36" s="2425"/>
      <c r="P36" s="2426"/>
      <c r="Q36" s="1284">
        <v>30.062250799999997</v>
      </c>
      <c r="R36" s="540" t="s">
        <v>221</v>
      </c>
      <c r="S36" s="315" t="s">
        <v>221</v>
      </c>
      <c r="T36" s="434">
        <f>'MARCH -23 '!T36-'JULY 22'!R36</f>
        <v>21.669159099999998</v>
      </c>
      <c r="U36" s="434">
        <f>'MARCH -23 '!U36-'JULY 22'!S36</f>
        <v>29.407764200000003</v>
      </c>
      <c r="V36" s="316" t="s">
        <v>221</v>
      </c>
      <c r="W36" s="314">
        <f t="shared" si="2"/>
        <v>35.712530718370175</v>
      </c>
      <c r="X36" s="1399"/>
      <c r="Y36" s="1399"/>
      <c r="Z36" s="1289"/>
      <c r="AA36" s="2424" t="s">
        <v>241</v>
      </c>
      <c r="AB36" s="2425"/>
      <c r="AC36" s="2426"/>
      <c r="AD36" s="1284">
        <v>30.062250799999997</v>
      </c>
      <c r="AE36" s="540" t="s">
        <v>221</v>
      </c>
      <c r="AF36" s="315" t="s">
        <v>221</v>
      </c>
      <c r="AG36" s="434">
        <f>T36+'JULY 22'!F36</f>
        <v>23.243249199999998</v>
      </c>
      <c r="AH36" s="434">
        <f>U36+'JULY 22'!G36</f>
        <v>32.6280024</v>
      </c>
      <c r="AI36" s="316" t="s">
        <v>221</v>
      </c>
      <c r="AJ36" s="314">
        <f t="shared" si="3"/>
        <v>40.376253419853207</v>
      </c>
      <c r="AK36" s="1399"/>
      <c r="AL36" s="1399"/>
      <c r="AM36" s="1289"/>
      <c r="AN36" s="2424" t="s">
        <v>241</v>
      </c>
      <c r="AO36" s="2425"/>
      <c r="AP36" s="2426"/>
      <c r="AQ36" s="1284">
        <v>30.062250799999997</v>
      </c>
      <c r="AR36" s="540" t="s">
        <v>221</v>
      </c>
      <c r="AS36" s="315" t="s">
        <v>221</v>
      </c>
      <c r="AT36" s="315">
        <v>30.062250799999997</v>
      </c>
      <c r="AU36" s="315">
        <v>43.050880200000002</v>
      </c>
      <c r="AV36" s="316" t="s">
        <v>221</v>
      </c>
      <c r="AW36" s="314">
        <f t="shared" si="4"/>
        <v>43.205778191432046</v>
      </c>
      <c r="AX36" s="1399"/>
      <c r="AY36" s="1399"/>
      <c r="AZ36" s="12">
        <f>'JULY 22'!S36</f>
        <v>13.643115999999999</v>
      </c>
      <c r="BA36" s="428">
        <f t="shared" si="5"/>
        <v>43.050880200000002</v>
      </c>
    </row>
    <row r="37" spans="1:57" ht="15.4" x14ac:dyDescent="0.4">
      <c r="A37" s="1234"/>
      <c r="B37" s="378" t="s">
        <v>260</v>
      </c>
      <c r="C37" s="1283">
        <v>0.53153519999999999</v>
      </c>
      <c r="D37" s="540" t="s">
        <v>221</v>
      </c>
      <c r="E37" s="316"/>
      <c r="F37" s="313">
        <v>6.4186699999999999E-2</v>
      </c>
      <c r="G37" s="313">
        <v>0.12989329999999999</v>
      </c>
      <c r="H37" s="413"/>
      <c r="I37" s="314">
        <v>0</v>
      </c>
      <c r="M37" s="1208"/>
      <c r="N37" s="2006" t="s">
        <v>260</v>
      </c>
      <c r="O37" s="2019"/>
      <c r="P37" s="2007"/>
      <c r="Q37" s="1283">
        <v>0.53153519999999999</v>
      </c>
      <c r="R37" s="540" t="s">
        <v>221</v>
      </c>
      <c r="S37" s="315" t="s">
        <v>221</v>
      </c>
      <c r="T37" s="434">
        <f>'MARCH -23 '!T37-'JULY 22'!R37</f>
        <v>0.4031708</v>
      </c>
      <c r="U37" s="434">
        <f>'MARCH -23 '!U37-'JULY 22'!S37</f>
        <v>0.54640339999999998</v>
      </c>
      <c r="V37" s="413"/>
      <c r="W37" s="314">
        <f t="shared" si="2"/>
        <v>35.526531187278444</v>
      </c>
      <c r="X37" s="1399"/>
      <c r="Y37" s="1399"/>
      <c r="Z37" s="1208"/>
      <c r="AA37" s="2006" t="s">
        <v>260</v>
      </c>
      <c r="AB37" s="2019"/>
      <c r="AC37" s="2007"/>
      <c r="AD37" s="1283">
        <v>0.53153519999999999</v>
      </c>
      <c r="AE37" s="540" t="s">
        <v>221</v>
      </c>
      <c r="AF37" s="315" t="s">
        <v>221</v>
      </c>
      <c r="AG37" s="434">
        <f>T37+'JULY 22'!F37</f>
        <v>0.44484109999999999</v>
      </c>
      <c r="AH37" s="434">
        <f>U37+'JULY 22'!G37</f>
        <v>0.64322519999999994</v>
      </c>
      <c r="AI37" s="413"/>
      <c r="AJ37" s="314">
        <f t="shared" si="3"/>
        <v>44.5966211305565</v>
      </c>
      <c r="AK37" s="1399"/>
      <c r="AL37" s="1399"/>
      <c r="AM37" s="1208"/>
      <c r="AN37" s="2006" t="s">
        <v>260</v>
      </c>
      <c r="AO37" s="2019"/>
      <c r="AP37" s="2007"/>
      <c r="AQ37" s="1283">
        <v>0.53153519999999999</v>
      </c>
      <c r="AR37" s="540" t="s">
        <v>221</v>
      </c>
      <c r="AS37" s="315" t="s">
        <v>221</v>
      </c>
      <c r="AT37" s="315">
        <v>0.53153519999999999</v>
      </c>
      <c r="AU37" s="315">
        <v>0.85555460000000005</v>
      </c>
      <c r="AV37" s="413"/>
      <c r="AW37" s="314">
        <f t="shared" si="4"/>
        <v>60.95916131236465</v>
      </c>
      <c r="AX37" s="1399"/>
      <c r="AY37" s="1399"/>
      <c r="AZ37" s="12">
        <f>'JULY 22'!S37</f>
        <v>0.30915120000000001</v>
      </c>
      <c r="BA37" s="428">
        <f t="shared" si="5"/>
        <v>0.85555460000000005</v>
      </c>
    </row>
    <row r="38" spans="1:57" x14ac:dyDescent="0.35">
      <c r="A38" s="2387">
        <v>4</v>
      </c>
      <c r="B38" s="2309" t="s">
        <v>785</v>
      </c>
      <c r="C38" s="2310"/>
      <c r="D38" s="2310"/>
      <c r="E38" s="2310"/>
      <c r="F38" s="2310"/>
      <c r="G38" s="2310"/>
      <c r="H38" s="2310"/>
      <c r="I38" s="2311"/>
      <c r="M38" s="1286">
        <v>4</v>
      </c>
      <c r="N38" s="2309" t="s">
        <v>786</v>
      </c>
      <c r="O38" s="2310"/>
      <c r="P38" s="2310"/>
      <c r="Q38" s="2310"/>
      <c r="R38" s="2310"/>
      <c r="S38" s="2310"/>
      <c r="T38" s="2310"/>
      <c r="U38" s="2310"/>
      <c r="V38" s="2310"/>
      <c r="W38" s="2311"/>
      <c r="X38" s="1398"/>
      <c r="Y38" s="1398"/>
      <c r="Z38" s="1286">
        <v>4</v>
      </c>
      <c r="AA38" s="2309" t="s">
        <v>786</v>
      </c>
      <c r="AB38" s="2310"/>
      <c r="AC38" s="2310"/>
      <c r="AD38" s="2310"/>
      <c r="AE38" s="2310"/>
      <c r="AF38" s="2310"/>
      <c r="AG38" s="2310"/>
      <c r="AH38" s="2310"/>
      <c r="AI38" s="2310"/>
      <c r="AJ38" s="2311"/>
      <c r="AK38" s="1398"/>
      <c r="AL38" s="1398"/>
      <c r="AM38" s="1286">
        <v>4</v>
      </c>
      <c r="AN38" s="2309" t="s">
        <v>786</v>
      </c>
      <c r="AO38" s="2310"/>
      <c r="AP38" s="2310"/>
      <c r="AQ38" s="2310"/>
      <c r="AR38" s="2310"/>
      <c r="AS38" s="2310"/>
      <c r="AT38" s="2310"/>
      <c r="AU38" s="2310"/>
      <c r="AV38" s="2310"/>
      <c r="AW38" s="2311"/>
      <c r="AX38" s="1398"/>
      <c r="AY38" s="1398"/>
      <c r="AZ38" s="12"/>
      <c r="BA38" s="428"/>
    </row>
    <row r="39" spans="1:57" ht="15.4" x14ac:dyDescent="0.4">
      <c r="A39" s="2387"/>
      <c r="B39" s="378" t="s">
        <v>27</v>
      </c>
      <c r="C39" s="1283">
        <v>4.1788628000000001</v>
      </c>
      <c r="D39" s="331">
        <v>12.24</v>
      </c>
      <c r="E39" s="315">
        <f>'target FY 22-23'!W61</f>
        <v>9.18</v>
      </c>
      <c r="F39" s="381">
        <v>0.70177780000000001</v>
      </c>
      <c r="G39" s="313">
        <v>1.41</v>
      </c>
      <c r="H39" s="314">
        <f>(G40-E40)/E40*100</f>
        <v>-71.428571428571431</v>
      </c>
      <c r="I39" s="314">
        <f>(G39-F39)/F39*100</f>
        <v>100.91829636104191</v>
      </c>
      <c r="J39" s="84">
        <f t="shared" ref="J39:J44" si="6">E39*8</f>
        <v>73.44</v>
      </c>
      <c r="L39" s="172">
        <v>2.1361249999999998</v>
      </c>
      <c r="M39" s="1286"/>
      <c r="N39" s="2006" t="s">
        <v>27</v>
      </c>
      <c r="O39" s="2019"/>
      <c r="P39" s="2007"/>
      <c r="Q39" s="1283">
        <v>4.1788628000000001</v>
      </c>
      <c r="R39" s="331">
        <v>12.24</v>
      </c>
      <c r="S39" s="333">
        <f>'target FY 22-23'!W61</f>
        <v>9.18</v>
      </c>
      <c r="T39" s="434">
        <f>'MARCH -23 '!T39-'JULY 22'!R39</f>
        <v>3.4144676</v>
      </c>
      <c r="U39" s="434">
        <f>'MARCH -23 '!U39-'JULY 22'!S39</f>
        <v>9.4866567999999987</v>
      </c>
      <c r="V39" s="314">
        <f>(U39-S39)/S39*100</f>
        <v>3.3404880174291831</v>
      </c>
      <c r="W39" s="314">
        <f>(U39-T39)/T39*100</f>
        <v>177.83707187615423</v>
      </c>
      <c r="X39" s="1399"/>
      <c r="Y39" s="1399"/>
      <c r="Z39" s="1286"/>
      <c r="AA39" s="2006" t="s">
        <v>27</v>
      </c>
      <c r="AB39" s="2019"/>
      <c r="AC39" s="2007"/>
      <c r="AD39" s="1283">
        <v>4.1788628000000001</v>
      </c>
      <c r="AE39" s="331">
        <v>12.24</v>
      </c>
      <c r="AF39" s="434">
        <v>9.18</v>
      </c>
      <c r="AG39" s="434">
        <f>T39+'JULY 22'!F39</f>
        <v>3.5216980000000002</v>
      </c>
      <c r="AH39" s="434">
        <f>U39+'JULY 22'!G39</f>
        <v>10.0052314</v>
      </c>
      <c r="AI39" s="314">
        <f>(AH39-AF39)/AF39*100</f>
        <v>8.9894488017429186</v>
      </c>
      <c r="AJ39" s="314">
        <f>(AH39-AG39)/AG39*100</f>
        <v>184.10248124626241</v>
      </c>
      <c r="AK39" s="1399">
        <f>AE39/12</f>
        <v>1.02</v>
      </c>
      <c r="AL39" s="1399">
        <f>AK39*9</f>
        <v>9.18</v>
      </c>
      <c r="AM39" s="1286"/>
      <c r="AN39" s="2006" t="s">
        <v>27</v>
      </c>
      <c r="AO39" s="2019"/>
      <c r="AP39" s="2007"/>
      <c r="AQ39" s="1283">
        <v>4.1788628000000001</v>
      </c>
      <c r="AR39" s="331">
        <v>12.24</v>
      </c>
      <c r="AS39" s="331">
        <v>12.24</v>
      </c>
      <c r="AT39" s="315">
        <v>4.1788628000000001</v>
      </c>
      <c r="AU39" s="315">
        <v>12.02</v>
      </c>
      <c r="AV39" s="314">
        <f>(AU39-AS39)/AS39*100</f>
        <v>-1.7973856209150378</v>
      </c>
      <c r="AW39" s="314">
        <f>(AU39-AT39)/AT39*100</f>
        <v>187.63806268059338</v>
      </c>
      <c r="AX39" s="1399"/>
      <c r="AY39" s="1399"/>
      <c r="AZ39" s="12">
        <f>'JULY 22'!S39</f>
        <v>2.5333432</v>
      </c>
      <c r="BA39" s="428">
        <f t="shared" si="5"/>
        <v>12.02</v>
      </c>
      <c r="BB39" s="172">
        <v>141.05000000000001</v>
      </c>
      <c r="BC39" s="5">
        <v>70.17</v>
      </c>
      <c r="BD39" s="11">
        <f t="shared" ref="BD39:BD44" si="7">(BB39-BA39)/BA39*100</f>
        <v>1073.4608985024959</v>
      </c>
      <c r="BE39" s="11">
        <f t="shared" ref="BE39:BE44" si="8">(BB39-BC39)/BC39*100</f>
        <v>101.01182841670231</v>
      </c>
    </row>
    <row r="40" spans="1:57" ht="15.4" x14ac:dyDescent="0.4">
      <c r="A40" s="2387"/>
      <c r="B40" s="378" t="s">
        <v>28</v>
      </c>
      <c r="C40" s="1283">
        <v>0.17199999999999999</v>
      </c>
      <c r="D40" s="333">
        <v>2.1</v>
      </c>
      <c r="E40" s="315">
        <f>'target FY 22-23'!W62</f>
        <v>1.5750000000000002</v>
      </c>
      <c r="F40" s="381">
        <v>0</v>
      </c>
      <c r="G40" s="381">
        <v>0.45</v>
      </c>
      <c r="I40" s="314">
        <v>0</v>
      </c>
      <c r="J40" s="84">
        <f t="shared" si="6"/>
        <v>12.600000000000001</v>
      </c>
      <c r="L40" s="172">
        <v>0.11442669999999999</v>
      </c>
      <c r="M40" s="1286"/>
      <c r="N40" s="2006" t="s">
        <v>28</v>
      </c>
      <c r="O40" s="2019"/>
      <c r="P40" s="2007"/>
      <c r="Q40" s="1283">
        <v>0.17199999999999999</v>
      </c>
      <c r="R40" s="333">
        <v>2.1</v>
      </c>
      <c r="S40" s="333">
        <f>'target FY 22-23'!W62</f>
        <v>1.5750000000000002</v>
      </c>
      <c r="T40" s="434">
        <f>'MARCH -23 '!T40-'JULY 22'!R40</f>
        <v>8.4132999999999986E-2</v>
      </c>
      <c r="U40" s="434">
        <f>'MARCH -23 '!U40-'JULY 22'!S40</f>
        <v>1.8424921999999999</v>
      </c>
      <c r="V40" s="314">
        <f>(U40-S40)/S40*100</f>
        <v>16.983631746031726</v>
      </c>
      <c r="W40" s="314">
        <f>(U40-T40)/T40*100</f>
        <v>2089.975633817884</v>
      </c>
      <c r="X40" s="1399"/>
      <c r="Y40" s="1399"/>
      <c r="Z40" s="1286"/>
      <c r="AA40" s="2006" t="s">
        <v>28</v>
      </c>
      <c r="AB40" s="2019"/>
      <c r="AC40" s="2007"/>
      <c r="AD40" s="1283">
        <v>0.17199999999999999</v>
      </c>
      <c r="AE40" s="333">
        <v>2.1</v>
      </c>
      <c r="AF40" s="434">
        <v>1.5750000000000002</v>
      </c>
      <c r="AG40" s="434">
        <f>T40+'JULY 22'!F40</f>
        <v>0.14662209999999998</v>
      </c>
      <c r="AH40" s="434">
        <f>U40+'JULY 22'!G40</f>
        <v>1.8584012999999999</v>
      </c>
      <c r="AI40" s="314">
        <f>(AH40-AF40)/AF40*100</f>
        <v>17.993733333333314</v>
      </c>
      <c r="AJ40" s="314">
        <f>(AH40-AG40)/AG40*100</f>
        <v>1167.4769356052057</v>
      </c>
      <c r="AK40" s="1399">
        <f>AE40/12</f>
        <v>0.17500000000000002</v>
      </c>
      <c r="AL40" s="1399">
        <f>AK40*9</f>
        <v>1.5750000000000002</v>
      </c>
      <c r="AM40" s="1286"/>
      <c r="AN40" s="2006" t="s">
        <v>28</v>
      </c>
      <c r="AO40" s="2019"/>
      <c r="AP40" s="2007"/>
      <c r="AQ40" s="1283">
        <v>0.17199999999999999</v>
      </c>
      <c r="AR40" s="333">
        <v>2.1</v>
      </c>
      <c r="AS40" s="333">
        <v>2.1</v>
      </c>
      <c r="AT40" s="315">
        <v>0.17199999999999999</v>
      </c>
      <c r="AU40" s="315">
        <v>1.94</v>
      </c>
      <c r="AV40" s="314">
        <f>(AU40-AS40)/AS40*100</f>
        <v>-7.6190476190476257</v>
      </c>
      <c r="AW40" s="314">
        <f>(AU40-AT40)/AT40*100</f>
        <v>1027.9069767441861</v>
      </c>
      <c r="AX40" s="1399"/>
      <c r="AY40" s="1399"/>
      <c r="AZ40" s="12">
        <f>'JULY 22'!S40</f>
        <v>9.7507799999999992E-2</v>
      </c>
      <c r="BA40" s="428">
        <f t="shared" si="5"/>
        <v>1.94</v>
      </c>
      <c r="BB40" s="172">
        <v>19.73</v>
      </c>
      <c r="BC40" s="5">
        <v>3.12</v>
      </c>
      <c r="BD40" s="11">
        <f t="shared" si="7"/>
        <v>917.01030927835041</v>
      </c>
      <c r="BE40" s="11">
        <f t="shared" si="8"/>
        <v>532.3717948717948</v>
      </c>
    </row>
    <row r="41" spans="1:57" ht="15.4" x14ac:dyDescent="0.4">
      <c r="A41" s="2387"/>
      <c r="B41" s="378" t="s">
        <v>224</v>
      </c>
      <c r="C41" s="1283">
        <v>0.23092159999999998</v>
      </c>
      <c r="D41" s="331">
        <v>2.4500000000000002</v>
      </c>
      <c r="E41" s="315">
        <f>'target FY 22-23'!W63</f>
        <v>1.8375000000000001</v>
      </c>
      <c r="F41" s="381">
        <v>9.5620000000000004E-4</v>
      </c>
      <c r="G41" s="313">
        <v>0.19700000000000001</v>
      </c>
      <c r="H41" s="314">
        <f>(G41-E41)/E41*100</f>
        <v>-89.278911564625858</v>
      </c>
      <c r="I41" s="314">
        <v>0</v>
      </c>
      <c r="J41" s="323">
        <f t="shared" si="6"/>
        <v>14.700000000000001</v>
      </c>
      <c r="L41" s="172">
        <v>0.1548958</v>
      </c>
      <c r="M41" s="1286"/>
      <c r="N41" s="2006" t="s">
        <v>224</v>
      </c>
      <c r="O41" s="2019"/>
      <c r="P41" s="2007"/>
      <c r="Q41" s="1283">
        <v>0.23092159999999998</v>
      </c>
      <c r="R41" s="331">
        <v>2.4500000000000002</v>
      </c>
      <c r="S41" s="333">
        <f>'target FY 22-23'!W63</f>
        <v>1.8375000000000001</v>
      </c>
      <c r="T41" s="434">
        <f>'MARCH -23 '!T41-'JULY 22'!R41</f>
        <v>0.22061049999999999</v>
      </c>
      <c r="U41" s="434">
        <f>'MARCH -23 '!U41-'JULY 22'!S41</f>
        <v>1.8250013999999999</v>
      </c>
      <c r="V41" s="314">
        <f>(U41-S41)/S41*100</f>
        <v>-0.68019591836736037</v>
      </c>
      <c r="W41" s="314">
        <f>(U41-T41)/T41*100</f>
        <v>727.25047085247525</v>
      </c>
      <c r="X41" s="1399"/>
      <c r="Y41" s="1399"/>
      <c r="Z41" s="1286"/>
      <c r="AA41" s="2006" t="s">
        <v>224</v>
      </c>
      <c r="AB41" s="2019"/>
      <c r="AC41" s="2007"/>
      <c r="AD41" s="1283">
        <v>0.23092159999999998</v>
      </c>
      <c r="AE41" s="331">
        <v>2.4500000000000002</v>
      </c>
      <c r="AF41" s="434">
        <v>1.8375000000000001</v>
      </c>
      <c r="AG41" s="434">
        <f>T41+'JULY 22'!F41</f>
        <v>0.2211157</v>
      </c>
      <c r="AH41" s="434">
        <f>U41+'JULY 22'!G41</f>
        <v>1.9043397999999998</v>
      </c>
      <c r="AI41" s="314">
        <f>(AH41-AF41)/AF41*100</f>
        <v>3.6375401360544033</v>
      </c>
      <c r="AJ41" s="314">
        <f>(AH41-AG41)/AG41*100</f>
        <v>761.24133202662676</v>
      </c>
      <c r="AK41" s="1399">
        <f>AE41/12</f>
        <v>0.20416666666666669</v>
      </c>
      <c r="AL41" s="1399">
        <f>AK41*9</f>
        <v>1.8375000000000001</v>
      </c>
      <c r="AM41" s="1286"/>
      <c r="AN41" s="2006" t="s">
        <v>224</v>
      </c>
      <c r="AO41" s="2019"/>
      <c r="AP41" s="2007"/>
      <c r="AQ41" s="1283">
        <v>0.23092159999999998</v>
      </c>
      <c r="AR41" s="331">
        <v>2.4500000000000002</v>
      </c>
      <c r="AS41" s="331">
        <v>2.4500000000000002</v>
      </c>
      <c r="AT41" s="315">
        <v>0.23092159999999998</v>
      </c>
      <c r="AU41" s="315">
        <v>1.96</v>
      </c>
      <c r="AV41" s="314">
        <f>(AU41-AS41)/AS41*100</f>
        <v>-20.000000000000007</v>
      </c>
      <c r="AW41" s="314">
        <f>(AU41-AT41)/AT41*100</f>
        <v>748.77291686875549</v>
      </c>
      <c r="AX41" s="1399"/>
      <c r="AY41" s="1399"/>
      <c r="AZ41" s="12">
        <f>'JULY 22'!S41</f>
        <v>0.1349986</v>
      </c>
      <c r="BA41" s="428">
        <f t="shared" si="5"/>
        <v>1.96</v>
      </c>
      <c r="BB41" s="172">
        <v>45.45</v>
      </c>
      <c r="BC41" s="5">
        <v>0</v>
      </c>
      <c r="BD41" s="11">
        <f t="shared" si="7"/>
        <v>2218.8775510204082</v>
      </c>
      <c r="BE41" s="11" t="e">
        <f t="shared" si="8"/>
        <v>#DIV/0!</v>
      </c>
    </row>
    <row r="42" spans="1:57" ht="15.4" hidden="1" x14ac:dyDescent="0.4">
      <c r="A42" s="2387"/>
      <c r="B42" s="378" t="s">
        <v>64</v>
      </c>
      <c r="C42" s="1283">
        <v>0</v>
      </c>
      <c r="D42" s="540" t="s">
        <v>221</v>
      </c>
      <c r="E42" s="315"/>
      <c r="F42" s="381">
        <v>0</v>
      </c>
      <c r="G42" s="313">
        <v>0</v>
      </c>
      <c r="H42" s="314" t="s">
        <v>221</v>
      </c>
      <c r="I42" s="314">
        <v>0</v>
      </c>
      <c r="J42" s="84">
        <f t="shared" si="6"/>
        <v>0</v>
      </c>
      <c r="L42" s="172">
        <v>0</v>
      </c>
      <c r="M42" s="1286"/>
      <c r="N42" s="1368" t="s">
        <v>30</v>
      </c>
      <c r="O42" s="1368"/>
      <c r="P42" s="1368"/>
      <c r="Q42" s="1283">
        <v>0</v>
      </c>
      <c r="R42" s="540" t="s">
        <v>221</v>
      </c>
      <c r="S42" s="315"/>
      <c r="T42" s="434">
        <f>'MARCH -23 '!T42-'JULY 22'!R42</f>
        <v>0</v>
      </c>
      <c r="U42" s="434">
        <f>'MARCH -23 '!U42-'JULY 22'!S42</f>
        <v>0</v>
      </c>
      <c r="V42" s="314" t="s">
        <v>221</v>
      </c>
      <c r="W42" s="314">
        <v>0</v>
      </c>
      <c r="X42" s="1399"/>
      <c r="Y42" s="1399"/>
      <c r="Z42" s="1286"/>
      <c r="AA42" s="1368" t="s">
        <v>30</v>
      </c>
      <c r="AB42" s="1368"/>
      <c r="AC42" s="1368"/>
      <c r="AD42" s="1283">
        <v>0</v>
      </c>
      <c r="AE42" s="540" t="s">
        <v>221</v>
      </c>
      <c r="AF42" s="315"/>
      <c r="AG42" s="434">
        <f>T42+'JULY 22'!F42</f>
        <v>0</v>
      </c>
      <c r="AH42" s="434">
        <f>U42+'JULY 22'!G42</f>
        <v>0</v>
      </c>
      <c r="AI42" s="314" t="s">
        <v>221</v>
      </c>
      <c r="AJ42" s="314">
        <v>0</v>
      </c>
      <c r="AK42" s="1399"/>
      <c r="AL42" s="1399"/>
      <c r="AM42" s="1286"/>
      <c r="AN42" s="1368" t="s">
        <v>30</v>
      </c>
      <c r="AO42" s="1368"/>
      <c r="AP42" s="1368"/>
      <c r="AQ42" s="1283">
        <v>0</v>
      </c>
      <c r="AR42" s="540" t="s">
        <v>221</v>
      </c>
      <c r="AS42" s="315"/>
      <c r="AT42" s="315">
        <v>0</v>
      </c>
      <c r="AU42" s="315">
        <v>0</v>
      </c>
      <c r="AV42" s="314" t="s">
        <v>221</v>
      </c>
      <c r="AW42" s="314">
        <v>0</v>
      </c>
      <c r="AX42" s="1399"/>
      <c r="AY42" s="1399"/>
      <c r="AZ42" s="12">
        <f>'JULY 22'!S42</f>
        <v>0</v>
      </c>
      <c r="BA42" s="428">
        <f t="shared" si="5"/>
        <v>0</v>
      </c>
      <c r="BD42" s="11" t="e">
        <f t="shared" si="7"/>
        <v>#DIV/0!</v>
      </c>
      <c r="BE42" s="11" t="e">
        <f t="shared" si="8"/>
        <v>#DIV/0!</v>
      </c>
    </row>
    <row r="43" spans="1:57" ht="15.4" x14ac:dyDescent="0.4">
      <c r="A43" s="2387"/>
      <c r="B43" s="378" t="s">
        <v>4</v>
      </c>
      <c r="C43" s="1283">
        <v>4.06481E-2</v>
      </c>
      <c r="D43" s="540" t="s">
        <v>221</v>
      </c>
      <c r="E43" s="315"/>
      <c r="F43" s="381">
        <v>6.2969999999999996E-4</v>
      </c>
      <c r="G43" s="313">
        <v>0</v>
      </c>
      <c r="H43" s="314" t="s">
        <v>221</v>
      </c>
      <c r="I43" s="314">
        <v>0</v>
      </c>
      <c r="J43" s="84">
        <f t="shared" si="6"/>
        <v>0</v>
      </c>
      <c r="L43" s="172">
        <v>4.0018400000000003E-2</v>
      </c>
      <c r="M43" s="1286"/>
      <c r="N43" s="2006" t="s">
        <v>4</v>
      </c>
      <c r="O43" s="2019"/>
      <c r="P43" s="2007"/>
      <c r="Q43" s="1283">
        <v>4.06481E-2</v>
      </c>
      <c r="R43" s="540" t="s">
        <v>221</v>
      </c>
      <c r="S43" s="315"/>
      <c r="T43" s="434">
        <f>'MARCH -23 '!T43-'JULY 22'!R43</f>
        <v>9.3499999999999833E-4</v>
      </c>
      <c r="U43" s="434">
        <f>'MARCH -23 '!U43-'JULY 22'!S43</f>
        <v>0.1856275</v>
      </c>
      <c r="V43" s="314" t="s">
        <v>221</v>
      </c>
      <c r="W43" s="314">
        <f>(U43-T43)/T43*100</f>
        <v>19753.20855614977</v>
      </c>
      <c r="X43" s="1399"/>
      <c r="Y43" s="1399"/>
      <c r="Z43" s="1286"/>
      <c r="AA43" s="2006" t="s">
        <v>4</v>
      </c>
      <c r="AB43" s="2019"/>
      <c r="AC43" s="2007"/>
      <c r="AD43" s="1283">
        <v>4.06481E-2</v>
      </c>
      <c r="AE43" s="540" t="s">
        <v>221</v>
      </c>
      <c r="AF43" s="315"/>
      <c r="AG43" s="434">
        <f>T43+'JULY 22'!F43</f>
        <v>9.3499999999999833E-4</v>
      </c>
      <c r="AH43" s="434">
        <f>U43+'JULY 22'!G43</f>
        <v>0.19193199999999999</v>
      </c>
      <c r="AI43" s="314" t="s">
        <v>221</v>
      </c>
      <c r="AJ43" s="314">
        <f>(AH43-AG43)/AG43*100</f>
        <v>20427.48663101608</v>
      </c>
      <c r="AK43" s="1399"/>
      <c r="AL43" s="1399"/>
      <c r="AM43" s="1286"/>
      <c r="AN43" s="2006" t="s">
        <v>4</v>
      </c>
      <c r="AO43" s="2019"/>
      <c r="AP43" s="2007"/>
      <c r="AQ43" s="1283">
        <v>4.06481E-2</v>
      </c>
      <c r="AR43" s="540" t="s">
        <v>221</v>
      </c>
      <c r="AS43" s="315"/>
      <c r="AT43" s="315">
        <v>4.06481E-2</v>
      </c>
      <c r="AU43" s="315">
        <v>0.211532</v>
      </c>
      <c r="AV43" s="314" t="s">
        <v>221</v>
      </c>
      <c r="AW43" s="314">
        <f>(AU43-AT43)/AT43*100</f>
        <v>420.39824739655734</v>
      </c>
      <c r="AX43" s="1399"/>
      <c r="AY43" s="1399"/>
      <c r="AZ43" s="12">
        <f>'JULY 22'!S43</f>
        <v>2.59045E-2</v>
      </c>
      <c r="BA43" s="428">
        <f t="shared" si="5"/>
        <v>0.211532</v>
      </c>
      <c r="BB43" s="172">
        <v>0</v>
      </c>
      <c r="BC43" s="5">
        <v>0.06</v>
      </c>
      <c r="BD43" s="11">
        <f t="shared" si="7"/>
        <v>-100</v>
      </c>
      <c r="BE43" s="11">
        <f t="shared" si="8"/>
        <v>-100</v>
      </c>
    </row>
    <row r="44" spans="1:57" ht="15.4" x14ac:dyDescent="0.4">
      <c r="A44" s="780"/>
      <c r="B44" s="378" t="s">
        <v>259</v>
      </c>
      <c r="C44" s="1283">
        <v>0.53</v>
      </c>
      <c r="D44" s="540" t="s">
        <v>221</v>
      </c>
      <c r="E44" s="315"/>
      <c r="F44" s="1039">
        <v>6.5548800000000004E-2</v>
      </c>
      <c r="G44" s="313">
        <v>8.2695400000000002E-2</v>
      </c>
      <c r="H44" s="407" t="s">
        <v>221</v>
      </c>
      <c r="I44" s="314">
        <f>(G44-F44)/F44*100</f>
        <v>26.1585261667643</v>
      </c>
      <c r="J44" s="84">
        <f t="shared" si="6"/>
        <v>0</v>
      </c>
      <c r="L44" s="172">
        <v>0.93056630000000007</v>
      </c>
      <c r="M44" s="1204"/>
      <c r="N44" s="2006" t="s">
        <v>259</v>
      </c>
      <c r="O44" s="2019"/>
      <c r="P44" s="2007"/>
      <c r="Q44" s="1283">
        <v>0.53</v>
      </c>
      <c r="R44" s="540" t="s">
        <v>221</v>
      </c>
      <c r="S44" s="315"/>
      <c r="T44" s="434">
        <f>'MARCH -23 '!T44-'JULY 22'!R44</f>
        <v>0.41843350000000001</v>
      </c>
      <c r="U44" s="434">
        <f>'MARCH -23 '!U44-'JULY 22'!S44</f>
        <v>1.1351769</v>
      </c>
      <c r="V44" s="407" t="s">
        <v>221</v>
      </c>
      <c r="W44" s="314">
        <f>(U44-T44)/T44*100</f>
        <v>171.29206911014535</v>
      </c>
      <c r="X44" s="1399"/>
      <c r="Y44" s="1399"/>
      <c r="Z44" s="1204"/>
      <c r="AA44" s="2006" t="s">
        <v>259</v>
      </c>
      <c r="AB44" s="2019"/>
      <c r="AC44" s="2007"/>
      <c r="AD44" s="1283">
        <v>0.53</v>
      </c>
      <c r="AE44" s="540" t="s">
        <v>221</v>
      </c>
      <c r="AF44" s="315"/>
      <c r="AG44" s="434">
        <f>T44+'JULY 22'!F44</f>
        <v>0.45045689999999999</v>
      </c>
      <c r="AH44" s="434">
        <f>U44+'JULY 22'!G44</f>
        <v>1.208647</v>
      </c>
      <c r="AI44" s="407" t="s">
        <v>221</v>
      </c>
      <c r="AJ44" s="314">
        <f>(AH44-AG44)/AG44*100</f>
        <v>168.3157922544865</v>
      </c>
      <c r="AK44" s="1399"/>
      <c r="AL44" s="1399"/>
      <c r="AM44" s="1204"/>
      <c r="AN44" s="2006" t="s">
        <v>259</v>
      </c>
      <c r="AO44" s="2019"/>
      <c r="AP44" s="2007"/>
      <c r="AQ44" s="1283">
        <v>0.53</v>
      </c>
      <c r="AR44" s="540" t="s">
        <v>221</v>
      </c>
      <c r="AS44" s="315"/>
      <c r="AT44" s="315">
        <v>0.53</v>
      </c>
      <c r="AU44" s="315">
        <v>1.5697181</v>
      </c>
      <c r="AV44" s="407" t="s">
        <v>221</v>
      </c>
      <c r="AW44" s="314">
        <f>(AU44-AT44)/AT44*100</f>
        <v>196.17322641509432</v>
      </c>
      <c r="AX44" s="1399"/>
      <c r="AY44" s="1399"/>
      <c r="AZ44" s="12">
        <f>'JULY 22'!S44</f>
        <v>0.35184579999999999</v>
      </c>
      <c r="BA44" s="428">
        <f t="shared" si="5"/>
        <v>1.4870227</v>
      </c>
      <c r="BB44" s="172">
        <f>BB39+BB40+BB41+BB43</f>
        <v>206.23000000000002</v>
      </c>
      <c r="BC44" s="172">
        <f>BC39+BC40+BC41+BC43</f>
        <v>73.350000000000009</v>
      </c>
      <c r="BD44" s="11">
        <f t="shared" si="7"/>
        <v>13768.651769740973</v>
      </c>
      <c r="BE44" s="11">
        <f t="shared" si="8"/>
        <v>181.15882753919561</v>
      </c>
    </row>
    <row r="45" spans="1:57" x14ac:dyDescent="0.35">
      <c r="A45" s="2387"/>
      <c r="B45" s="2309" t="s">
        <v>419</v>
      </c>
      <c r="C45" s="2310"/>
      <c r="D45" s="2310"/>
      <c r="E45" s="2310"/>
      <c r="F45" s="2310"/>
      <c r="G45" s="2310"/>
      <c r="H45" s="2310"/>
      <c r="I45" s="2311"/>
      <c r="M45" s="2388">
        <v>5</v>
      </c>
      <c r="N45" s="2309" t="s">
        <v>419</v>
      </c>
      <c r="O45" s="2310"/>
      <c r="P45" s="2310"/>
      <c r="Q45" s="2310"/>
      <c r="R45" s="2310"/>
      <c r="S45" s="2310"/>
      <c r="T45" s="2310"/>
      <c r="U45" s="2310"/>
      <c r="V45" s="2310"/>
      <c r="W45" s="2311"/>
      <c r="X45" s="1398"/>
      <c r="Y45" s="1398"/>
      <c r="Z45" s="2388">
        <v>5</v>
      </c>
      <c r="AA45" s="2309" t="s">
        <v>419</v>
      </c>
      <c r="AB45" s="2310"/>
      <c r="AC45" s="2310"/>
      <c r="AD45" s="2310"/>
      <c r="AE45" s="2310"/>
      <c r="AF45" s="2310"/>
      <c r="AG45" s="2310"/>
      <c r="AH45" s="2310"/>
      <c r="AI45" s="2310"/>
      <c r="AJ45" s="2311"/>
      <c r="AK45" s="1398"/>
      <c r="AL45" s="1398"/>
      <c r="AM45" s="2388">
        <v>5</v>
      </c>
      <c r="AN45" s="2309" t="s">
        <v>419</v>
      </c>
      <c r="AO45" s="2310"/>
      <c r="AP45" s="2310"/>
      <c r="AQ45" s="2310"/>
      <c r="AR45" s="2310"/>
      <c r="AS45" s="2310"/>
      <c r="AT45" s="2310"/>
      <c r="AU45" s="2310"/>
      <c r="AV45" s="2310"/>
      <c r="AW45" s="2311"/>
      <c r="AX45" s="1398"/>
      <c r="AY45" s="1398"/>
      <c r="AZ45" s="12"/>
      <c r="BA45" s="428"/>
    </row>
    <row r="46" spans="1:57" ht="15.4" x14ac:dyDescent="0.4">
      <c r="A46" s="2387"/>
      <c r="B46" s="378" t="s">
        <v>798</v>
      </c>
      <c r="C46" s="1283">
        <v>4.4567049999999995</v>
      </c>
      <c r="D46" s="331">
        <v>28.87</v>
      </c>
      <c r="E46" s="315">
        <v>1.41</v>
      </c>
      <c r="F46" s="315">
        <v>0.94987100000000002</v>
      </c>
      <c r="G46" s="315">
        <v>1.732637</v>
      </c>
      <c r="H46" s="316">
        <f>(G46-E46)/E46*100</f>
        <v>22.882056737588659</v>
      </c>
      <c r="I46" s="314">
        <f>(G46-F46)/F46*100</f>
        <v>82.407611138775678</v>
      </c>
      <c r="J46" s="84">
        <f>94132</f>
        <v>94132</v>
      </c>
      <c r="L46" s="172">
        <f>K46/100000</f>
        <v>0</v>
      </c>
      <c r="M46" s="2388"/>
      <c r="N46" s="2422" t="s">
        <v>863</v>
      </c>
      <c r="O46" s="2422"/>
      <c r="P46" s="6" t="s">
        <v>166</v>
      </c>
      <c r="Q46" s="1283">
        <v>4.4567049999999995</v>
      </c>
      <c r="R46" s="331">
        <v>28.87</v>
      </c>
      <c r="S46" s="315">
        <v>19.059999999999999</v>
      </c>
      <c r="T46" s="434">
        <f>'MARCH -23 '!T46-'JULY 22'!R46</f>
        <v>3.9753179999999997</v>
      </c>
      <c r="U46" s="434">
        <f>'MARCH -23 '!U46-'JULY 22'!S46</f>
        <v>13.499663999999999</v>
      </c>
      <c r="V46" s="316">
        <f>(U46-S46)/S46*100</f>
        <v>-29.172801678908712</v>
      </c>
      <c r="W46" s="314">
        <f>(U46-T46)/T46*100</f>
        <v>239.58702171750787</v>
      </c>
      <c r="X46" s="1399"/>
      <c r="Y46" s="1399"/>
      <c r="Z46" s="2388"/>
      <c r="AA46" s="2422" t="s">
        <v>863</v>
      </c>
      <c r="AB46" s="2422"/>
      <c r="AC46" s="6" t="s">
        <v>166</v>
      </c>
      <c r="AD46" s="1283">
        <v>4.4567049999999995</v>
      </c>
      <c r="AE46" s="331">
        <v>28.87</v>
      </c>
      <c r="AF46" s="315">
        <f>'target FY 22-23'!F84</f>
        <v>21.91</v>
      </c>
      <c r="AG46" s="434">
        <f>T46+'JULY 22'!F46</f>
        <v>4.1360349999999997</v>
      </c>
      <c r="AH46" s="434">
        <f>U46+'JULY 22'!G46</f>
        <v>14.924060999999998</v>
      </c>
      <c r="AI46" s="316">
        <f>(AH46-AF46)/AF46*100</f>
        <v>-31.884705613874953</v>
      </c>
      <c r="AJ46" s="314">
        <f>(AH46-AG46)/AG46*100</f>
        <v>260.83014287838472</v>
      </c>
      <c r="AK46" s="1399"/>
      <c r="AL46" s="1399"/>
      <c r="AM46" s="2388"/>
      <c r="AN46" s="2422" t="s">
        <v>863</v>
      </c>
      <c r="AO46" s="2422"/>
      <c r="AP46" s="6" t="s">
        <v>166</v>
      </c>
      <c r="AQ46" s="1283">
        <v>4.4567049999999995</v>
      </c>
      <c r="AR46" s="331">
        <v>28.87</v>
      </c>
      <c r="AS46" s="315">
        <v>28.87</v>
      </c>
      <c r="AT46" s="315">
        <v>4.4567049999999995</v>
      </c>
      <c r="AU46" s="315">
        <f>AG46+'FEB -23'!AS46</f>
        <v>4.1360349999999997</v>
      </c>
      <c r="AV46" s="316">
        <f>(AU46-AS46)/AS46*100</f>
        <v>-85.673588500173196</v>
      </c>
      <c r="AW46" s="314">
        <f>(AU46-AT46)/AT46*100</f>
        <v>-7.1952260694840664</v>
      </c>
      <c r="AX46" s="1399"/>
      <c r="AY46" s="1399"/>
      <c r="AZ46" s="12">
        <f>'JULY 22'!S46</f>
        <v>5.3253019999999998</v>
      </c>
      <c r="BA46" s="428">
        <f t="shared" si="5"/>
        <v>18.824966</v>
      </c>
    </row>
    <row r="47" spans="1:57" ht="15.4" x14ac:dyDescent="0.4">
      <c r="A47" s="2387"/>
      <c r="B47" s="1280" t="s">
        <v>799</v>
      </c>
      <c r="C47" s="1285">
        <v>1.1915969999999998</v>
      </c>
      <c r="D47" s="2067">
        <v>33.659999999999997</v>
      </c>
      <c r="E47" s="2154">
        <v>1.53</v>
      </c>
      <c r="F47" s="315">
        <v>0.32170500000000002</v>
      </c>
      <c r="G47" s="315">
        <v>1.602762</v>
      </c>
      <c r="H47" s="2027">
        <f>L47</f>
        <v>75.953333333333319</v>
      </c>
      <c r="I47" s="314">
        <f>(G47-F47)/F47*100</f>
        <v>398.20860726441924</v>
      </c>
      <c r="J47" s="84">
        <v>31105</v>
      </c>
      <c r="K47" s="323">
        <f>G47+G48</f>
        <v>2.6920859999999998</v>
      </c>
      <c r="L47" s="1151">
        <f>(K47-E47)/E47*100</f>
        <v>75.953333333333319</v>
      </c>
      <c r="M47" s="2388"/>
      <c r="N47" s="2423" t="s">
        <v>864</v>
      </c>
      <c r="O47" s="2423"/>
      <c r="P47" s="1201" t="s">
        <v>166</v>
      </c>
      <c r="Q47" s="1285">
        <v>1.1915969999999998</v>
      </c>
      <c r="R47" s="2067">
        <v>33.659999999999997</v>
      </c>
      <c r="S47" s="2154">
        <v>21.39</v>
      </c>
      <c r="T47" s="434">
        <f>'MARCH -23 '!T47-'JULY 22'!R47</f>
        <v>1.0299639999999999</v>
      </c>
      <c r="U47" s="434">
        <f>'MARCH -23 '!U47-'JULY 22'!S47</f>
        <v>12.141436000000001</v>
      </c>
      <c r="V47" s="2027">
        <v>-4.3</v>
      </c>
      <c r="W47" s="314">
        <f>(U47-T47)/T47*100</f>
        <v>1078.8213956992674</v>
      </c>
      <c r="X47" s="1399"/>
      <c r="Y47" s="1399"/>
      <c r="Z47" s="2388"/>
      <c r="AA47" s="2423" t="s">
        <v>864</v>
      </c>
      <c r="AB47" s="2423"/>
      <c r="AC47" s="1201" t="s">
        <v>166</v>
      </c>
      <c r="AD47" s="1285">
        <v>1.1915969999999998</v>
      </c>
      <c r="AE47" s="2067">
        <v>33.659999999999997</v>
      </c>
      <c r="AF47" s="2154">
        <f>'target FY 22-23'!G84</f>
        <v>24.3</v>
      </c>
      <c r="AG47" s="434">
        <f>T47+'JULY 22'!F47</f>
        <v>1.0844569999999998</v>
      </c>
      <c r="AH47" s="434">
        <f>U47+'JULY 22'!G47</f>
        <v>13.25634</v>
      </c>
      <c r="AI47" s="2027">
        <v>-4.3</v>
      </c>
      <c r="AJ47" s="314">
        <f>(AH47-AG47)/AG47*100</f>
        <v>1122.3942489190445</v>
      </c>
      <c r="AK47" s="1399"/>
      <c r="AL47" s="1399"/>
      <c r="AM47" s="2388"/>
      <c r="AN47" s="2423" t="s">
        <v>864</v>
      </c>
      <c r="AO47" s="2423"/>
      <c r="AP47" s="1201" t="s">
        <v>166</v>
      </c>
      <c r="AQ47" s="1285">
        <v>1.1915969999999998</v>
      </c>
      <c r="AR47" s="2067">
        <v>33.659999999999997</v>
      </c>
      <c r="AS47" s="2154">
        <v>33.659999999999997</v>
      </c>
      <c r="AT47" s="315">
        <v>1.1915969999999998</v>
      </c>
      <c r="AU47" s="315">
        <f>AG47+'FEB -23'!AS47</f>
        <v>1.0844569999999998</v>
      </c>
      <c r="AV47" s="2027">
        <f>AZ47</f>
        <v>3.203004</v>
      </c>
      <c r="AW47" s="314">
        <f>(AU47-AT47)/AT47*100</f>
        <v>-8.9912948757004294</v>
      </c>
      <c r="AX47" s="1399"/>
      <c r="AY47" s="1399"/>
      <c r="AZ47" s="12">
        <f>'JULY 22'!S47</f>
        <v>3.203004</v>
      </c>
      <c r="BA47" s="428">
        <f t="shared" si="5"/>
        <v>15.344440000000001</v>
      </c>
      <c r="BB47" s="172">
        <f>(BA47-S47)/S47*100</f>
        <v>-28.263487611033195</v>
      </c>
    </row>
    <row r="48" spans="1:57" ht="16.5" x14ac:dyDescent="0.55000000000000004">
      <c r="A48" s="2387"/>
      <c r="B48" s="320" t="s">
        <v>800</v>
      </c>
      <c r="C48" s="1285">
        <v>10.963100000000001</v>
      </c>
      <c r="D48" s="2068"/>
      <c r="E48" s="2155"/>
      <c r="F48" s="315">
        <v>1.342695</v>
      </c>
      <c r="G48" s="315">
        <v>1.089324</v>
      </c>
      <c r="H48" s="2029"/>
      <c r="I48" s="314">
        <f>(G48-F48)/F48*100</f>
        <v>-18.870331683666063</v>
      </c>
      <c r="J48" s="755">
        <v>205039</v>
      </c>
      <c r="K48" s="755"/>
      <c r="M48" s="2388"/>
      <c r="N48" s="2422" t="s">
        <v>472</v>
      </c>
      <c r="O48" s="2422"/>
      <c r="P48" s="1201" t="s">
        <v>228</v>
      </c>
      <c r="Q48" s="1285">
        <v>10.963100000000001</v>
      </c>
      <c r="R48" s="2068"/>
      <c r="S48" s="2155"/>
      <c r="T48" s="434">
        <f>'MARCH -23 '!T48-'JULY 22'!R48</f>
        <v>8.9832850000000004</v>
      </c>
      <c r="U48" s="434">
        <f>'MARCH -23 '!U48-'JULY 22'!S48</f>
        <v>8.3385799999999985</v>
      </c>
      <c r="V48" s="2029"/>
      <c r="W48" s="314">
        <f>(U48-T48)/T48*100</f>
        <v>-7.1767176483881103</v>
      </c>
      <c r="X48" s="1399"/>
      <c r="Y48" s="1399"/>
      <c r="Z48" s="2388"/>
      <c r="AA48" s="2422" t="s">
        <v>472</v>
      </c>
      <c r="AB48" s="2422"/>
      <c r="AC48" s="1201" t="s">
        <v>228</v>
      </c>
      <c r="AD48" s="1285">
        <v>10.963100000000001</v>
      </c>
      <c r="AE48" s="2068"/>
      <c r="AF48" s="2155"/>
      <c r="AG48" s="434">
        <f>T48+'JULY 22'!F48</f>
        <v>9.7563250000000004</v>
      </c>
      <c r="AH48" s="434">
        <f>U48+'JULY 22'!G48</f>
        <v>9.4364849999999976</v>
      </c>
      <c r="AI48" s="2029"/>
      <c r="AJ48" s="314">
        <f>(AH48-AG48)/AG48*100</f>
        <v>-3.2782835750141861</v>
      </c>
      <c r="AK48" s="1399"/>
      <c r="AL48" s="1399"/>
      <c r="AM48" s="2388"/>
      <c r="AN48" s="2422" t="s">
        <v>472</v>
      </c>
      <c r="AO48" s="2422"/>
      <c r="AP48" s="1201" t="s">
        <v>228</v>
      </c>
      <c r="AQ48" s="1285">
        <v>10.963100000000001</v>
      </c>
      <c r="AR48" s="2068"/>
      <c r="AS48" s="2155"/>
      <c r="AT48" s="315">
        <v>10.963100000000001</v>
      </c>
      <c r="AU48" s="315">
        <f>AG48+'FEB -23'!AS48</f>
        <v>9.7563250000000004</v>
      </c>
      <c r="AV48" s="2029"/>
      <c r="AW48" s="314">
        <f>(AU48-AT48)/AT48*100</f>
        <v>-11.007607337340717</v>
      </c>
      <c r="AX48" s="1399"/>
      <c r="AY48" s="1399"/>
      <c r="AZ48" s="12">
        <f>'JULY 22'!S48</f>
        <v>4.5193960000000004</v>
      </c>
      <c r="BA48" s="428">
        <f t="shared" si="5"/>
        <v>12.857975999999999</v>
      </c>
    </row>
    <row r="49" spans="1:63" ht="15.75" customHeight="1" x14ac:dyDescent="0.35">
      <c r="A49" s="2387">
        <v>6</v>
      </c>
      <c r="B49" s="2309" t="s">
        <v>842</v>
      </c>
      <c r="C49" s="2310"/>
      <c r="D49" s="2310"/>
      <c r="E49" s="2310"/>
      <c r="F49" s="2310"/>
      <c r="G49" s="2310"/>
      <c r="H49" s="2310"/>
      <c r="I49" s="2311"/>
      <c r="M49" s="2388">
        <v>6</v>
      </c>
      <c r="N49" s="2309" t="s">
        <v>842</v>
      </c>
      <c r="O49" s="2310"/>
      <c r="P49" s="2310"/>
      <c r="Q49" s="2310"/>
      <c r="R49" s="2310"/>
      <c r="S49" s="2310"/>
      <c r="T49" s="2310"/>
      <c r="U49" s="2310"/>
      <c r="V49" s="2310"/>
      <c r="W49" s="2311"/>
      <c r="X49" s="1398"/>
      <c r="Y49" s="1398"/>
      <c r="Z49" s="2388">
        <v>6</v>
      </c>
      <c r="AA49" s="2309" t="s">
        <v>842</v>
      </c>
      <c r="AB49" s="2310"/>
      <c r="AC49" s="2310"/>
      <c r="AD49" s="2310"/>
      <c r="AE49" s="2310"/>
      <c r="AF49" s="2310"/>
      <c r="AG49" s="2310"/>
      <c r="AH49" s="2310"/>
      <c r="AI49" s="2310"/>
      <c r="AJ49" s="2311"/>
      <c r="AK49" s="1398"/>
      <c r="AL49" s="1398"/>
      <c r="AM49" s="2388">
        <v>6</v>
      </c>
      <c r="AN49" s="2309" t="s">
        <v>874</v>
      </c>
      <c r="AO49" s="2310"/>
      <c r="AP49" s="2310"/>
      <c r="AQ49" s="2310"/>
      <c r="AR49" s="2310"/>
      <c r="AS49" s="2310"/>
      <c r="AT49" s="2310"/>
      <c r="AU49" s="2310"/>
      <c r="AV49" s="2310"/>
      <c r="AW49" s="2311"/>
      <c r="AX49" s="1398"/>
      <c r="AY49" s="1398"/>
    </row>
    <row r="50" spans="1:63" ht="15.4" x14ac:dyDescent="0.4">
      <c r="A50" s="2387"/>
      <c r="B50" s="2006" t="s">
        <v>36</v>
      </c>
      <c r="C50" s="2007"/>
      <c r="D50" s="2368">
        <v>293</v>
      </c>
      <c r="E50" s="2024" t="s">
        <v>221</v>
      </c>
      <c r="F50" s="313">
        <v>182.27</v>
      </c>
      <c r="G50" s="313">
        <v>119.73</v>
      </c>
      <c r="H50" s="2027">
        <f>(G52-D50)/D50*100</f>
        <v>-46.395904436860071</v>
      </c>
      <c r="I50" s="314">
        <f>(G50-F50)/F50*100</f>
        <v>-34.311735337685853</v>
      </c>
      <c r="M50" s="2388"/>
      <c r="N50" s="2006" t="s">
        <v>36</v>
      </c>
      <c r="O50" s="2019"/>
      <c r="P50" s="2019"/>
      <c r="Q50" s="2007"/>
      <c r="R50" s="2368">
        <v>293</v>
      </c>
      <c r="S50" s="2024" t="s">
        <v>221</v>
      </c>
      <c r="T50" s="313">
        <v>182.27</v>
      </c>
      <c r="U50" s="313">
        <v>119.73</v>
      </c>
      <c r="V50" s="2027">
        <f>(U52-R50)/R50*100</f>
        <v>-46.395904436860071</v>
      </c>
      <c r="W50" s="314">
        <f>(U50-T50)/T50*100</f>
        <v>-34.311735337685853</v>
      </c>
      <c r="X50" s="1399"/>
      <c r="Y50" s="1399"/>
      <c r="Z50" s="2388"/>
      <c r="AA50" s="2006" t="s">
        <v>36</v>
      </c>
      <c r="AB50" s="2019"/>
      <c r="AC50" s="2019"/>
      <c r="AD50" s="2007"/>
      <c r="AE50" s="2368">
        <v>293</v>
      </c>
      <c r="AF50" s="2024" t="s">
        <v>221</v>
      </c>
      <c r="AG50" s="313">
        <v>182.27</v>
      </c>
      <c r="AH50" s="313">
        <v>119.73</v>
      </c>
      <c r="AI50" s="2027">
        <f>(AH52-AE50)/AE50*100</f>
        <v>-46.395904436860071</v>
      </c>
      <c r="AJ50" s="314">
        <f>(AH50-AG50)/AG50*100</f>
        <v>-34.311735337685853</v>
      </c>
      <c r="AK50" s="1399"/>
      <c r="AL50" s="1399"/>
      <c r="AM50" s="2388"/>
      <c r="AN50" s="2006" t="s">
        <v>36</v>
      </c>
      <c r="AO50" s="2019"/>
      <c r="AP50" s="2019"/>
      <c r="AQ50" s="2007"/>
      <c r="AR50" s="2368">
        <v>293</v>
      </c>
      <c r="AS50" s="2024" t="s">
        <v>221</v>
      </c>
      <c r="AT50" s="313">
        <v>74.19</v>
      </c>
      <c r="AU50" s="313">
        <v>58.36</v>
      </c>
      <c r="AV50" s="2027">
        <f>(AU52-AR50)/AR50*100</f>
        <v>-76.996587030716725</v>
      </c>
      <c r="AW50" s="314">
        <f>(AU50-AT50)/AT50*100</f>
        <v>-21.337107426876937</v>
      </c>
      <c r="AX50" s="1399"/>
      <c r="AY50" s="1399"/>
    </row>
    <row r="51" spans="1:63" ht="15.4" x14ac:dyDescent="0.4">
      <c r="A51" s="2387"/>
      <c r="B51" s="2006" t="s">
        <v>37</v>
      </c>
      <c r="C51" s="2007"/>
      <c r="D51" s="2369"/>
      <c r="E51" s="2025"/>
      <c r="F51" s="313">
        <v>44.91</v>
      </c>
      <c r="G51" s="313">
        <v>37.33</v>
      </c>
      <c r="H51" s="2028"/>
      <c r="I51" s="314">
        <f>(G51-F51)/F51*100</f>
        <v>-16.878200846136714</v>
      </c>
      <c r="M51" s="2388"/>
      <c r="N51" s="2006" t="s">
        <v>37</v>
      </c>
      <c r="O51" s="2019"/>
      <c r="P51" s="2019"/>
      <c r="Q51" s="2007"/>
      <c r="R51" s="2369"/>
      <c r="S51" s="2025"/>
      <c r="T51" s="313">
        <v>44.91</v>
      </c>
      <c r="U51" s="313">
        <v>37.33</v>
      </c>
      <c r="V51" s="2028"/>
      <c r="W51" s="314">
        <f>(U51-T51)/T51*100</f>
        <v>-16.878200846136714</v>
      </c>
      <c r="X51" s="1399"/>
      <c r="Y51" s="1399"/>
      <c r="Z51" s="2388"/>
      <c r="AA51" s="2006" t="s">
        <v>37</v>
      </c>
      <c r="AB51" s="2019"/>
      <c r="AC51" s="2019"/>
      <c r="AD51" s="2007"/>
      <c r="AE51" s="2369"/>
      <c r="AF51" s="2025"/>
      <c r="AG51" s="313">
        <v>44.91</v>
      </c>
      <c r="AH51" s="313">
        <v>37.33</v>
      </c>
      <c r="AI51" s="2028"/>
      <c r="AJ51" s="314">
        <f>(AH51-AG51)/AG51*100</f>
        <v>-16.878200846136714</v>
      </c>
      <c r="AK51" s="1399"/>
      <c r="AL51" s="1399"/>
      <c r="AM51" s="2388"/>
      <c r="AN51" s="2006" t="s">
        <v>37</v>
      </c>
      <c r="AO51" s="2019"/>
      <c r="AP51" s="2019"/>
      <c r="AQ51" s="2007"/>
      <c r="AR51" s="2369"/>
      <c r="AS51" s="2025"/>
      <c r="AT51" s="313">
        <v>39.380000000000003</v>
      </c>
      <c r="AU51" s="313">
        <v>9.0399999999999991</v>
      </c>
      <c r="AV51" s="2028"/>
      <c r="AW51" s="314">
        <f>(AU51-AT51)/AT51*100</f>
        <v>-77.044184865413925</v>
      </c>
      <c r="AX51" s="1399"/>
      <c r="AY51" s="1399"/>
    </row>
    <row r="52" spans="1:63" ht="15.4" x14ac:dyDescent="0.4">
      <c r="A52" s="2387"/>
      <c r="B52" s="2006" t="s">
        <v>38</v>
      </c>
      <c r="C52" s="2007"/>
      <c r="D52" s="2245"/>
      <c r="E52" s="2026"/>
      <c r="F52" s="313">
        <f>SUM(F50:F51)</f>
        <v>227.18</v>
      </c>
      <c r="G52" s="313">
        <f>SUM(G50:G51)</f>
        <v>157.06</v>
      </c>
      <c r="H52" s="2029"/>
      <c r="I52" s="314">
        <f>(G52-F52)/F52*100</f>
        <v>-30.865393080376798</v>
      </c>
      <c r="M52" s="2388"/>
      <c r="N52" s="2006" t="s">
        <v>38</v>
      </c>
      <c r="O52" s="2019"/>
      <c r="P52" s="2019"/>
      <c r="Q52" s="2007"/>
      <c r="R52" s="2245"/>
      <c r="S52" s="2026"/>
      <c r="T52" s="313">
        <f>SUM(T50:T51)</f>
        <v>227.18</v>
      </c>
      <c r="U52" s="313">
        <f>SUM(U50:U51)</f>
        <v>157.06</v>
      </c>
      <c r="V52" s="2029"/>
      <c r="W52" s="314">
        <f>(U52-T52)/T52*100</f>
        <v>-30.865393080376798</v>
      </c>
      <c r="X52" s="1399"/>
      <c r="Y52" s="1399"/>
      <c r="Z52" s="2388"/>
      <c r="AA52" s="2006" t="s">
        <v>38</v>
      </c>
      <c r="AB52" s="2019"/>
      <c r="AC52" s="2019"/>
      <c r="AD52" s="2007"/>
      <c r="AE52" s="2245"/>
      <c r="AF52" s="2026"/>
      <c r="AG52" s="313">
        <f>SUM(AG50:AG51)</f>
        <v>227.18</v>
      </c>
      <c r="AH52" s="313">
        <f>SUM(AH50:AH51)</f>
        <v>157.06</v>
      </c>
      <c r="AI52" s="2029"/>
      <c r="AJ52" s="314">
        <f>(AH52-AG52)/AG52*100</f>
        <v>-30.865393080376798</v>
      </c>
      <c r="AK52" s="1399"/>
      <c r="AL52" s="1399"/>
      <c r="AM52" s="2388"/>
      <c r="AN52" s="2006" t="s">
        <v>38</v>
      </c>
      <c r="AO52" s="2019"/>
      <c r="AP52" s="2019"/>
      <c r="AQ52" s="2007"/>
      <c r="AR52" s="2245"/>
      <c r="AS52" s="2026"/>
      <c r="AT52" s="313">
        <f>AT50+AT51</f>
        <v>113.57</v>
      </c>
      <c r="AU52" s="313">
        <f>AU50+AU51</f>
        <v>67.400000000000006</v>
      </c>
      <c r="AV52" s="2029"/>
      <c r="AW52" s="314">
        <f>(AU52-AT52)/AT52*100</f>
        <v>-40.653341551466049</v>
      </c>
      <c r="AX52" s="1399"/>
      <c r="AY52" s="1399"/>
    </row>
    <row r="53" spans="1:63" x14ac:dyDescent="0.4">
      <c r="H53" s="41"/>
      <c r="I53" s="41"/>
    </row>
    <row r="54" spans="1:63" ht="15.4" x14ac:dyDescent="0.4">
      <c r="E54" s="12"/>
      <c r="F54" s="12"/>
      <c r="G54" s="12"/>
      <c r="H54" s="314"/>
      <c r="I54" s="314"/>
      <c r="J54" s="314"/>
      <c r="S54" s="12"/>
      <c r="T54" s="12">
        <f t="shared" ref="T54:U56" si="9">(T46*1000000)/100000</f>
        <v>39.753179999999993</v>
      </c>
      <c r="U54" s="12">
        <f t="shared" si="9"/>
        <v>134.99664000000001</v>
      </c>
      <c r="V54" s="314"/>
      <c r="W54" s="314">
        <f>(U54-T54)/T54*100</f>
        <v>239.58702171750801</v>
      </c>
      <c r="X54" s="1399"/>
      <c r="Y54" s="1399"/>
      <c r="Z54" s="1399"/>
      <c r="AA54" s="1399"/>
      <c r="AB54" s="1399"/>
      <c r="AC54" s="1399"/>
      <c r="AD54" s="1399"/>
      <c r="AE54" s="1399"/>
      <c r="AF54" s="1399"/>
      <c r="AG54" s="1399"/>
      <c r="AH54" s="1399"/>
      <c r="AI54" s="26"/>
      <c r="AJ54" s="1399"/>
      <c r="AK54" s="1399"/>
      <c r="AL54" s="1399"/>
      <c r="AM54" s="1399"/>
      <c r="AN54" s="1399"/>
      <c r="AO54" s="1399"/>
      <c r="AP54" s="1399"/>
      <c r="AQ54" s="1399"/>
      <c r="AR54" s="1399"/>
      <c r="AS54" s="1399"/>
      <c r="AT54" s="1399"/>
      <c r="AU54" s="1399"/>
      <c r="AV54" s="1399"/>
      <c r="AW54" s="1399"/>
      <c r="AX54" s="1399"/>
      <c r="AY54" s="1399"/>
      <c r="BA54" s="12">
        <f>T55+T56</f>
        <v>100.13248999999999</v>
      </c>
      <c r="BB54" s="12">
        <f>U55+U56</f>
        <v>204.80015999999998</v>
      </c>
      <c r="BD54" s="314">
        <f>(BB54-BA54)/BA54*100</f>
        <v>104.52917929035821</v>
      </c>
    </row>
    <row r="55" spans="1:63" ht="15.4" x14ac:dyDescent="0.4">
      <c r="H55" s="35"/>
      <c r="I55" s="5"/>
      <c r="J55" s="35"/>
      <c r="K55" s="5"/>
      <c r="L55" s="35"/>
      <c r="R55" s="12"/>
      <c r="S55" s="12"/>
      <c r="T55" s="12">
        <f t="shared" si="9"/>
        <v>10.299639999999998</v>
      </c>
      <c r="U55" s="12">
        <f t="shared" si="9"/>
        <v>121.41436</v>
      </c>
      <c r="W55" s="314">
        <f>(U55-T55)/T55*100</f>
        <v>1078.8213956992674</v>
      </c>
      <c r="X55" s="1399"/>
      <c r="Y55" s="1399"/>
      <c r="Z55" s="1399"/>
      <c r="AA55" s="1399"/>
      <c r="AB55" s="1399"/>
      <c r="AC55" s="1399"/>
      <c r="AD55" s="1399"/>
      <c r="AE55" s="1399"/>
      <c r="AF55" s="1399"/>
      <c r="AG55" s="1399"/>
      <c r="AH55" s="1399"/>
      <c r="AI55" s="1404"/>
      <c r="AJ55" s="1399"/>
      <c r="AK55" s="1399"/>
      <c r="AL55" s="1399"/>
      <c r="AM55" s="1399"/>
      <c r="AN55" s="1399"/>
      <c r="AO55" s="1399"/>
      <c r="AP55" s="1399"/>
      <c r="AQ55" s="1399"/>
      <c r="AR55" s="1399"/>
      <c r="AS55" s="1399"/>
      <c r="AT55" s="1399"/>
      <c r="AU55" s="1399"/>
      <c r="AV55" s="1399"/>
      <c r="AW55" s="1399"/>
      <c r="AX55" s="1399"/>
      <c r="AY55" s="1399"/>
    </row>
    <row r="56" spans="1:63" ht="15.4" x14ac:dyDescent="0.4">
      <c r="T56" s="12">
        <f t="shared" si="9"/>
        <v>89.832849999999993</v>
      </c>
      <c r="U56" s="12">
        <f t="shared" si="9"/>
        <v>83.385799999999975</v>
      </c>
      <c r="W56" s="314">
        <f>(U56-T56)/T56*100</f>
        <v>-7.1767176483881103</v>
      </c>
      <c r="X56" s="1399"/>
      <c r="Y56" s="1399"/>
      <c r="Z56" s="1399"/>
      <c r="AA56" s="1399"/>
      <c r="AB56" s="1399"/>
      <c r="AC56" s="1399"/>
      <c r="AD56" s="1399"/>
      <c r="AE56" s="1399"/>
      <c r="AF56" s="1399"/>
      <c r="AG56" s="1399"/>
      <c r="AH56" s="1399"/>
      <c r="AJ56" s="1399"/>
      <c r="AK56" s="1399"/>
      <c r="AL56" s="1399"/>
      <c r="AM56" s="1399"/>
      <c r="AN56" s="1399"/>
      <c r="AO56" s="1399"/>
      <c r="AP56" s="1399"/>
      <c r="AQ56" s="1399"/>
      <c r="AR56" s="1399"/>
      <c r="AS56" s="1399"/>
      <c r="AT56" s="1399"/>
      <c r="AU56" s="1399"/>
      <c r="AV56" s="1399"/>
      <c r="AW56" s="1399"/>
      <c r="AX56" s="1399"/>
      <c r="AY56" s="1399"/>
    </row>
    <row r="57" spans="1:63" x14ac:dyDescent="0.4">
      <c r="D57" s="85"/>
      <c r="E57" s="1192">
        <v>44614</v>
      </c>
      <c r="F57" s="1192">
        <v>44980</v>
      </c>
      <c r="H57" s="1192">
        <f>E57</f>
        <v>44614</v>
      </c>
      <c r="I57" s="1192">
        <f>F57</f>
        <v>44980</v>
      </c>
      <c r="T57" s="12">
        <f>SUM(T54:T56)</f>
        <v>139.88566999999998</v>
      </c>
      <c r="U57" s="12">
        <f>SUM(U54:U56)</f>
        <v>339.79679999999996</v>
      </c>
      <c r="V57" s="26" t="s">
        <v>156</v>
      </c>
      <c r="W57" s="26" t="s">
        <v>777</v>
      </c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BA57" s="26" t="s">
        <v>156</v>
      </c>
      <c r="BB57" s="26" t="s">
        <v>777</v>
      </c>
      <c r="BD57" s="26" t="s">
        <v>181</v>
      </c>
    </row>
    <row r="58" spans="1:63" ht="15.75" x14ac:dyDescent="0.4">
      <c r="D58" s="1195" t="s">
        <v>766</v>
      </c>
      <c r="E58" s="33"/>
      <c r="F58" s="33"/>
      <c r="H58" s="1244"/>
      <c r="I58" s="1245"/>
      <c r="U58" s="9" t="s">
        <v>152</v>
      </c>
      <c r="V58" s="1291">
        <f>E57</f>
        <v>44614</v>
      </c>
      <c r="W58" s="1291">
        <f>F57</f>
        <v>44980</v>
      </c>
      <c r="X58" s="1404"/>
      <c r="Y58" s="1404"/>
      <c r="Z58" s="1404"/>
      <c r="AA58" s="1404"/>
      <c r="AB58" s="1404"/>
      <c r="AC58" s="1404"/>
      <c r="AD58" s="1404"/>
      <c r="AE58" s="1404"/>
      <c r="AF58" s="1404"/>
      <c r="AG58" s="1404"/>
      <c r="AI58" s="1404"/>
      <c r="AJ58" s="1404"/>
      <c r="AK58" s="1404"/>
      <c r="AL58" s="1404"/>
      <c r="AM58" s="1404"/>
      <c r="AN58" s="1404"/>
      <c r="AO58" s="1404"/>
      <c r="AP58" s="1404"/>
      <c r="AQ58" s="1404"/>
      <c r="AR58" s="1404"/>
      <c r="AS58" s="1404"/>
      <c r="AT58" s="1404"/>
      <c r="AU58" s="1404"/>
      <c r="AV58" s="1404"/>
      <c r="AW58" s="1404"/>
      <c r="AX58" s="1404"/>
      <c r="AY58" s="1404"/>
      <c r="AZ58" s="26"/>
      <c r="BA58" s="1291">
        <v>44958</v>
      </c>
      <c r="BB58" s="1291">
        <v>44958</v>
      </c>
      <c r="BC58" s="26"/>
      <c r="BD58" s="1291">
        <f>V58</f>
        <v>44614</v>
      </c>
      <c r="BE58" s="1291">
        <f>BB58</f>
        <v>44958</v>
      </c>
      <c r="BG58" s="5">
        <v>57578</v>
      </c>
      <c r="BH58" s="5">
        <v>76550</v>
      </c>
    </row>
    <row r="59" spans="1:63" ht="16.149999999999999" x14ac:dyDescent="0.55000000000000004">
      <c r="D59" s="85" t="s">
        <v>94</v>
      </c>
      <c r="E59" s="1193">
        <f t="shared" ref="E59:F61" si="10">H59/10000000</f>
        <v>0.50202429999999998</v>
      </c>
      <c r="F59" s="1193">
        <f t="shared" si="10"/>
        <v>0.8487616</v>
      </c>
      <c r="H59" s="1246">
        <f>E132</f>
        <v>5020243</v>
      </c>
      <c r="I59" s="1246">
        <f>E102</f>
        <v>8487616</v>
      </c>
      <c r="J59" s="1320"/>
      <c r="K59" s="1320"/>
      <c r="U59" s="6" t="s">
        <v>782</v>
      </c>
      <c r="V59" s="6">
        <v>253264</v>
      </c>
      <c r="W59" s="6">
        <v>1192326</v>
      </c>
      <c r="BA59" s="6">
        <v>289113</v>
      </c>
      <c r="BB59" s="1297">
        <v>1741576</v>
      </c>
      <c r="BD59" s="6">
        <v>125940</v>
      </c>
      <c r="BE59" s="6">
        <v>420680</v>
      </c>
      <c r="BG59" s="5">
        <v>53354</v>
      </c>
      <c r="BH59" s="5">
        <v>79370</v>
      </c>
    </row>
    <row r="60" spans="1:63" ht="16.149999999999999" x14ac:dyDescent="0.55000000000000004">
      <c r="D60" s="85" t="s">
        <v>502</v>
      </c>
      <c r="E60" s="1193">
        <f t="shared" si="10"/>
        <v>0.6845137</v>
      </c>
      <c r="F60" s="1193">
        <f t="shared" si="10"/>
        <v>12.1589242</v>
      </c>
      <c r="H60" s="1246">
        <f>G132</f>
        <v>6845137</v>
      </c>
      <c r="I60" s="1246">
        <f>G102</f>
        <v>121589242</v>
      </c>
      <c r="J60" s="1320"/>
      <c r="K60" s="1320"/>
      <c r="L60" s="1217"/>
      <c r="U60" s="1261" t="s">
        <v>789</v>
      </c>
      <c r="V60" s="6">
        <v>216619</v>
      </c>
      <c r="W60" s="6">
        <v>1148002</v>
      </c>
      <c r="AZ60" s="632"/>
      <c r="BA60" s="6">
        <v>597322</v>
      </c>
      <c r="BB60" s="6">
        <v>3581375</v>
      </c>
      <c r="BC60" s="632"/>
      <c r="BD60" s="6">
        <v>149880</v>
      </c>
      <c r="BE60" s="6">
        <v>782160</v>
      </c>
      <c r="BG60" s="41">
        <v>50439</v>
      </c>
      <c r="BH60" s="5">
        <v>78160</v>
      </c>
      <c r="BI60" s="632"/>
      <c r="BJ60" s="632"/>
      <c r="BK60" s="632"/>
    </row>
    <row r="61" spans="1:63" ht="16.899999999999999" thickBot="1" x14ac:dyDescent="0.6">
      <c r="D61" s="85" t="s">
        <v>767</v>
      </c>
      <c r="E61" s="1193">
        <f t="shared" si="10"/>
        <v>64.556091100000003</v>
      </c>
      <c r="F61" s="1193">
        <f t="shared" si="10"/>
        <v>66.885516800000005</v>
      </c>
      <c r="H61" s="1321">
        <f>I132</f>
        <v>645560911</v>
      </c>
      <c r="I61" s="1321">
        <f>I102</f>
        <v>668855168</v>
      </c>
      <c r="J61" s="1215"/>
      <c r="K61" s="824"/>
      <c r="L61" s="1217"/>
      <c r="U61" s="1273">
        <v>44947</v>
      </c>
      <c r="V61" s="1274">
        <v>195242</v>
      </c>
      <c r="W61" s="6">
        <v>1023506</v>
      </c>
      <c r="BA61" s="6">
        <v>288290</v>
      </c>
      <c r="BB61" s="1297">
        <v>1853697</v>
      </c>
      <c r="BD61" s="6">
        <v>127880</v>
      </c>
      <c r="BE61" s="6">
        <v>482050</v>
      </c>
      <c r="BF61" s="1239"/>
      <c r="BG61" s="41">
        <v>45071</v>
      </c>
      <c r="BH61" s="172">
        <v>70290</v>
      </c>
    </row>
    <row r="62" spans="1:63" ht="15.4" x14ac:dyDescent="0.4">
      <c r="E62" s="428"/>
      <c r="F62" s="428"/>
      <c r="K62" s="212"/>
      <c r="L62" s="1217"/>
      <c r="U62" s="1273">
        <v>44948</v>
      </c>
      <c r="V62" s="1274"/>
      <c r="W62" s="6"/>
      <c r="BA62" s="6"/>
      <c r="BB62" s="1297"/>
      <c r="BD62" s="6"/>
      <c r="BE62" s="6"/>
      <c r="BF62" s="1239"/>
      <c r="BG62" s="41">
        <v>41360</v>
      </c>
      <c r="BH62" s="172">
        <v>83580</v>
      </c>
    </row>
    <row r="63" spans="1:63" ht="15.4" x14ac:dyDescent="0.4">
      <c r="E63" s="428"/>
      <c r="F63" s="428"/>
      <c r="I63" s="82">
        <f>J63/1000000</f>
        <v>0.23699999999999999</v>
      </c>
      <c r="J63" s="84">
        <f>2.37*100000</f>
        <v>237000</v>
      </c>
      <c r="K63" s="212"/>
      <c r="L63" s="1217"/>
      <c r="U63" s="1261"/>
      <c r="V63" s="331"/>
      <c r="W63" s="6"/>
      <c r="BA63" s="6"/>
      <c r="BB63" s="1297"/>
      <c r="BD63" s="6"/>
      <c r="BE63" s="6"/>
      <c r="BF63" s="1239"/>
      <c r="BG63" s="41">
        <v>40488</v>
      </c>
      <c r="BH63" s="172">
        <v>94100</v>
      </c>
    </row>
    <row r="64" spans="1:63" ht="16.149999999999999" x14ac:dyDescent="0.55000000000000004">
      <c r="D64" s="1195" t="s">
        <v>768</v>
      </c>
      <c r="E64" s="1193"/>
      <c r="F64" s="1193"/>
      <c r="J64" s="755"/>
      <c r="K64" s="259"/>
      <c r="L64" s="1217"/>
      <c r="U64" s="26" t="s">
        <v>187</v>
      </c>
      <c r="V64" s="26">
        <f>SUM(V59:V63)</f>
        <v>665125</v>
      </c>
      <c r="W64" s="26">
        <f>SUM(W59:W63)</f>
        <v>3363834</v>
      </c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9">
        <f>SUM(BA59:BA63)</f>
        <v>1174725</v>
      </c>
      <c r="BB64" s="9">
        <f>SUM(BB59:BB63)</f>
        <v>7176648</v>
      </c>
      <c r="BC64" s="26"/>
      <c r="BD64" s="9">
        <f>SUM(BD59:BD63)</f>
        <v>403700</v>
      </c>
      <c r="BE64" s="9">
        <f>SUM(BE59:BE63)</f>
        <v>1684890</v>
      </c>
      <c r="BF64" s="1262"/>
      <c r="BG64" s="41">
        <f>SUM(BG58:BG63)</f>
        <v>288290</v>
      </c>
      <c r="BH64" s="41">
        <f>SUM(BH58:BH63)</f>
        <v>482050</v>
      </c>
    </row>
    <row r="65" spans="3:60" ht="16.149999999999999" x14ac:dyDescent="0.55000000000000004">
      <c r="D65" s="85" t="s">
        <v>94</v>
      </c>
      <c r="E65" s="1193">
        <f t="shared" ref="E65:F67" si="11">H65/1000000</f>
        <v>0.94987100000000002</v>
      </c>
      <c r="F65" s="1193">
        <f t="shared" si="11"/>
        <v>1.4281820000000001</v>
      </c>
      <c r="H65" s="1243">
        <f>D132</f>
        <v>949871</v>
      </c>
      <c r="I65" s="1243">
        <f>D102</f>
        <v>1428182</v>
      </c>
      <c r="J65" s="323">
        <f t="shared" ref="J65:K67" si="12">H65/100000</f>
        <v>9.4987100000000009</v>
      </c>
      <c r="K65" s="323">
        <f t="shared" si="12"/>
        <v>14.28182</v>
      </c>
      <c r="L65" s="491">
        <f>K65/100000</f>
        <v>1.428182E-4</v>
      </c>
      <c r="U65" s="9" t="s">
        <v>783</v>
      </c>
      <c r="V65" s="6"/>
      <c r="W65" s="1261"/>
      <c r="X65" s="1239"/>
      <c r="Y65" s="1239"/>
      <c r="Z65" s="1239"/>
      <c r="AA65" s="1239"/>
      <c r="AB65" s="1239"/>
      <c r="AC65" s="1239"/>
      <c r="AD65" s="1239"/>
      <c r="AE65" s="1239"/>
      <c r="AF65" s="1239"/>
      <c r="AG65" s="1239"/>
      <c r="AH65" s="1239"/>
      <c r="AI65" s="1239"/>
      <c r="AJ65" s="1239"/>
      <c r="AK65" s="1239"/>
      <c r="AL65" s="1239"/>
      <c r="AM65" s="1239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BA65" s="6"/>
      <c r="BB65" s="1297"/>
      <c r="BD65" s="6"/>
      <c r="BE65" s="6"/>
      <c r="BF65" s="1239"/>
      <c r="BG65" s="41">
        <v>50768</v>
      </c>
      <c r="BH65" s="172"/>
    </row>
    <row r="66" spans="3:60" ht="16.149999999999999" x14ac:dyDescent="0.55000000000000004">
      <c r="D66" s="85" t="s">
        <v>502</v>
      </c>
      <c r="E66" s="1193">
        <f t="shared" si="11"/>
        <v>0.32170500000000002</v>
      </c>
      <c r="F66" s="1193">
        <f t="shared" si="11"/>
        <v>1.331601</v>
      </c>
      <c r="H66" s="1243">
        <f>F132</f>
        <v>321705</v>
      </c>
      <c r="I66" s="1243">
        <f>F102</f>
        <v>1331601</v>
      </c>
      <c r="J66" s="323">
        <f t="shared" si="12"/>
        <v>3.21705</v>
      </c>
      <c r="K66" s="323">
        <f t="shared" si="12"/>
        <v>13.31601</v>
      </c>
      <c r="L66" s="491">
        <f>K66/100000</f>
        <v>1.3316010000000001E-4</v>
      </c>
      <c r="U66" s="6" t="s">
        <v>782</v>
      </c>
      <c r="V66" s="6">
        <v>58327</v>
      </c>
      <c r="W66" s="6">
        <v>1118200</v>
      </c>
      <c r="BA66" s="6">
        <v>258000</v>
      </c>
      <c r="BB66" s="1297">
        <v>24681160</v>
      </c>
      <c r="BD66" s="6"/>
      <c r="BE66" s="6"/>
      <c r="BF66" s="1239"/>
      <c r="BG66" s="41">
        <v>45797</v>
      </c>
      <c r="BH66" s="172"/>
    </row>
    <row r="67" spans="3:60" ht="16.5" thickBot="1" x14ac:dyDescent="0.6">
      <c r="D67" s="85" t="s">
        <v>767</v>
      </c>
      <c r="E67" s="1193">
        <f t="shared" si="11"/>
        <v>1.1456710000000001</v>
      </c>
      <c r="F67" s="1193">
        <f t="shared" si="11"/>
        <v>0.93065799999999999</v>
      </c>
      <c r="H67" s="1322">
        <f>H132</f>
        <v>1145671</v>
      </c>
      <c r="I67" s="1322">
        <f>H102</f>
        <v>930658</v>
      </c>
      <c r="J67" s="323">
        <f t="shared" si="12"/>
        <v>11.456709999999999</v>
      </c>
      <c r="K67" s="323">
        <f t="shared" si="12"/>
        <v>9.3065800000000003</v>
      </c>
      <c r="L67" s="491">
        <f>K67/100000</f>
        <v>9.3065800000000006E-5</v>
      </c>
      <c r="U67" s="1261" t="s">
        <v>789</v>
      </c>
      <c r="V67" s="6">
        <v>53742</v>
      </c>
      <c r="W67" s="6">
        <v>1266705</v>
      </c>
      <c r="BA67" s="6">
        <v>552593</v>
      </c>
      <c r="BB67" s="1297">
        <v>55522320</v>
      </c>
      <c r="BD67" s="6"/>
      <c r="BE67" s="6"/>
      <c r="BF67" s="1239"/>
      <c r="BG67" s="41">
        <v>44590</v>
      </c>
      <c r="BH67" s="172"/>
    </row>
    <row r="68" spans="3:60" x14ac:dyDescent="0.4">
      <c r="E68" s="428"/>
      <c r="F68" s="323"/>
      <c r="H68" s="1224"/>
      <c r="I68" s="1225"/>
      <c r="K68" s="212"/>
      <c r="L68" s="1217"/>
      <c r="U68" s="1273">
        <v>44947</v>
      </c>
      <c r="V68" s="6">
        <v>49346</v>
      </c>
      <c r="W68" s="6">
        <v>1081490</v>
      </c>
      <c r="BA68" s="6">
        <v>281573</v>
      </c>
      <c r="BB68" s="1297">
        <v>29067783</v>
      </c>
      <c r="BD68" s="6"/>
      <c r="BE68" s="6"/>
      <c r="BF68" s="1239"/>
      <c r="BG68" s="5">
        <v>45433</v>
      </c>
      <c r="BH68" s="172"/>
    </row>
    <row r="69" spans="3:60" x14ac:dyDescent="0.4">
      <c r="E69" s="428"/>
      <c r="F69" s="323"/>
      <c r="H69" s="1224"/>
      <c r="I69" s="1225"/>
      <c r="K69" s="212"/>
      <c r="L69" s="1217"/>
      <c r="U69" s="1273">
        <v>44948</v>
      </c>
      <c r="V69" s="6"/>
      <c r="W69" s="6"/>
      <c r="BA69" s="6"/>
      <c r="BB69" s="1297"/>
      <c r="BD69" s="6"/>
      <c r="BE69" s="6"/>
      <c r="BF69" s="1239"/>
      <c r="BG69" s="5">
        <v>46734</v>
      </c>
      <c r="BH69" s="172"/>
    </row>
    <row r="70" spans="3:60" ht="16.149999999999999" x14ac:dyDescent="0.55000000000000004">
      <c r="D70" s="1195" t="s">
        <v>436</v>
      </c>
      <c r="E70" s="134">
        <f>H70</f>
        <v>1.5882814000000001</v>
      </c>
      <c r="F70" s="134">
        <f>I70</f>
        <v>1.7078644000000001</v>
      </c>
      <c r="H70" s="1263">
        <f>J70/10000000</f>
        <v>1.5882814000000001</v>
      </c>
      <c r="I70" s="1263">
        <f>K70/10000000</f>
        <v>1.7078644000000001</v>
      </c>
      <c r="J70" s="212">
        <v>15882814</v>
      </c>
      <c r="K70" s="212">
        <v>17078644</v>
      </c>
      <c r="L70" s="1217"/>
      <c r="N70" s="755">
        <v>6531262</v>
      </c>
      <c r="O70" s="755"/>
      <c r="P70" s="755"/>
      <c r="U70" s="1261"/>
      <c r="V70" s="6"/>
      <c r="W70" s="6"/>
      <c r="BA70" s="6"/>
      <c r="BB70" s="1297"/>
      <c r="BD70" s="6"/>
      <c r="BE70" s="6"/>
      <c r="BF70" s="1239"/>
      <c r="BG70" s="5">
        <v>48251</v>
      </c>
    </row>
    <row r="71" spans="3:60" x14ac:dyDescent="0.4">
      <c r="C71" s="5">
        <f>66.07-3.11</f>
        <v>62.959999999999994</v>
      </c>
      <c r="D71" s="1195" t="s">
        <v>769</v>
      </c>
      <c r="E71" s="134">
        <f>J78/100</f>
        <v>1.3237000000000001</v>
      </c>
      <c r="F71" s="134">
        <f>K78/100</f>
        <v>1.6048000000000002</v>
      </c>
      <c r="H71" s="1263">
        <f t="shared" ref="H71:I75" si="13">J71/10000000</f>
        <v>0</v>
      </c>
      <c r="I71" s="1263">
        <f t="shared" si="13"/>
        <v>0</v>
      </c>
      <c r="K71" s="323"/>
      <c r="L71" s="1217"/>
      <c r="U71" s="9" t="s">
        <v>784</v>
      </c>
      <c r="V71" s="9">
        <f>SUM(V66:V70)</f>
        <v>161415</v>
      </c>
      <c r="W71" s="9">
        <f>SUM(W66:W70)</f>
        <v>3466395</v>
      </c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9">
        <f>SUM(BA66:BA70)</f>
        <v>1092166</v>
      </c>
      <c r="BB71" s="9">
        <f>SUM(BB66:BB70)</f>
        <v>109271263</v>
      </c>
      <c r="BC71" s="26"/>
      <c r="BD71" s="9">
        <f>SUM(BD66:BD70)</f>
        <v>0</v>
      </c>
      <c r="BE71" s="9">
        <f>SUM(BE66:BE70)</f>
        <v>0</v>
      </c>
      <c r="BF71" s="1262"/>
      <c r="BG71" s="41">
        <f>SUM(BG65:BG70)</f>
        <v>281573</v>
      </c>
    </row>
    <row r="72" spans="3:60" x14ac:dyDescent="0.4">
      <c r="D72" s="1195" t="s">
        <v>125</v>
      </c>
      <c r="E72" s="283">
        <f>J76/100</f>
        <v>5.9800000000000006E-2</v>
      </c>
      <c r="F72" s="283">
        <f>K76/100</f>
        <v>5.7300000000000004E-2</v>
      </c>
      <c r="H72" s="1263">
        <f t="shared" si="13"/>
        <v>0</v>
      </c>
      <c r="I72" s="1263">
        <f t="shared" si="13"/>
        <v>0</v>
      </c>
      <c r="J72" s="1128"/>
      <c r="K72" s="1128"/>
      <c r="L72" s="1217"/>
      <c r="W72" s="1239"/>
      <c r="X72" s="1239"/>
      <c r="Y72" s="1239"/>
      <c r="Z72" s="1239"/>
      <c r="AA72" s="1239"/>
      <c r="AB72" s="1239"/>
      <c r="AC72" s="1239"/>
      <c r="AD72" s="1239"/>
      <c r="AE72" s="1239"/>
      <c r="AF72" s="1239"/>
      <c r="AG72" s="1239"/>
      <c r="AH72" s="1239"/>
      <c r="AI72" s="1239"/>
      <c r="AJ72" s="1239"/>
      <c r="AK72" s="1239"/>
      <c r="AL72" s="1239"/>
      <c r="AM72" s="1239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BF72" s="1239"/>
    </row>
    <row r="73" spans="3:60" x14ac:dyDescent="0.4">
      <c r="D73" s="1195" t="s">
        <v>196</v>
      </c>
      <c r="E73" s="134">
        <f t="shared" ref="E73:F75" si="14">H73</f>
        <v>3.2198999999999998E-2</v>
      </c>
      <c r="F73" s="134">
        <f t="shared" si="14"/>
        <v>0.201262</v>
      </c>
      <c r="H73" s="1263">
        <f t="shared" si="13"/>
        <v>3.2198999999999998E-2</v>
      </c>
      <c r="I73" s="1263">
        <f>K73/10000000</f>
        <v>0.201262</v>
      </c>
      <c r="J73" s="212">
        <f>J132</f>
        <v>321990</v>
      </c>
      <c r="K73" s="212">
        <f>J102</f>
        <v>2012620</v>
      </c>
      <c r="M73" s="1210"/>
      <c r="N73" s="12"/>
      <c r="O73" s="12"/>
      <c r="P73" s="12"/>
      <c r="BB73" s="5"/>
    </row>
    <row r="74" spans="3:60" ht="16.149999999999999" x14ac:dyDescent="0.55000000000000004">
      <c r="D74" s="1195" t="s">
        <v>123</v>
      </c>
      <c r="E74" s="134">
        <f t="shared" si="14"/>
        <v>0</v>
      </c>
      <c r="F74" s="134">
        <f t="shared" si="14"/>
        <v>0.51693069999999997</v>
      </c>
      <c r="H74" s="1263">
        <f t="shared" si="13"/>
        <v>0</v>
      </c>
      <c r="I74" s="1263">
        <f>K74/10000000</f>
        <v>0.51693069999999997</v>
      </c>
      <c r="K74" s="755">
        <f>1078005+4091302</f>
        <v>5169307</v>
      </c>
    </row>
    <row r="75" spans="3:60" ht="16.149999999999999" x14ac:dyDescent="0.55000000000000004">
      <c r="D75" s="1195" t="s">
        <v>435</v>
      </c>
      <c r="E75" s="134">
        <f t="shared" si="14"/>
        <v>2.4348222000000002</v>
      </c>
      <c r="F75" s="134">
        <f t="shared" si="14"/>
        <v>3.0399305999999999</v>
      </c>
      <c r="H75" s="1263">
        <f t="shared" si="13"/>
        <v>2.4348222000000002</v>
      </c>
      <c r="I75" s="1263">
        <f>K75/10000000</f>
        <v>3.0399305999999999</v>
      </c>
      <c r="J75" s="755">
        <v>24348222</v>
      </c>
      <c r="K75" s="755">
        <v>30399306</v>
      </c>
      <c r="N75" s="755"/>
      <c r="O75" s="755"/>
      <c r="P75" s="755"/>
    </row>
    <row r="76" spans="3:60" x14ac:dyDescent="0.4">
      <c r="H76" s="1224"/>
      <c r="I76" s="1225"/>
      <c r="J76" s="84">
        <v>5.98</v>
      </c>
      <c r="K76" s="323">
        <v>5.73</v>
      </c>
      <c r="L76" s="172">
        <f>J76/100</f>
        <v>5.9800000000000006E-2</v>
      </c>
    </row>
    <row r="77" spans="3:60" x14ac:dyDescent="0.4">
      <c r="E77" s="428"/>
      <c r="F77" s="428"/>
      <c r="J77" s="84">
        <v>138.35</v>
      </c>
      <c r="K77" s="84">
        <v>166.21</v>
      </c>
    </row>
    <row r="78" spans="3:60" x14ac:dyDescent="0.4">
      <c r="E78" s="428"/>
      <c r="F78" s="428"/>
      <c r="J78" s="84">
        <f>J77-J76</f>
        <v>132.37</v>
      </c>
      <c r="K78" s="323">
        <f>K77-K76</f>
        <v>160.48000000000002</v>
      </c>
      <c r="L78" s="172">
        <f>J78/100</f>
        <v>1.3237000000000001</v>
      </c>
    </row>
    <row r="79" spans="3:60" x14ac:dyDescent="0.4">
      <c r="E79" s="428"/>
      <c r="F79" s="428"/>
    </row>
    <row r="80" spans="3:60" x14ac:dyDescent="0.4">
      <c r="D80" s="84" t="s">
        <v>164</v>
      </c>
      <c r="E80" s="428" t="s">
        <v>710</v>
      </c>
      <c r="F80" s="84" t="s">
        <v>164</v>
      </c>
      <c r="G80" s="428" t="s">
        <v>710</v>
      </c>
      <c r="H80" s="84" t="s">
        <v>164</v>
      </c>
      <c r="I80" s="428" t="s">
        <v>710</v>
      </c>
      <c r="J80" s="84" t="s">
        <v>196</v>
      </c>
    </row>
    <row r="81" spans="3:11" x14ac:dyDescent="0.4">
      <c r="D81" s="84">
        <v>23</v>
      </c>
      <c r="E81" s="84">
        <v>23</v>
      </c>
      <c r="F81" s="84">
        <v>23</v>
      </c>
      <c r="G81" s="84">
        <v>23</v>
      </c>
      <c r="H81" s="84">
        <v>23</v>
      </c>
      <c r="I81" s="84">
        <v>23</v>
      </c>
      <c r="J81" s="84">
        <v>23</v>
      </c>
      <c r="K81" s="1292">
        <v>23</v>
      </c>
    </row>
    <row r="82" spans="3:11" x14ac:dyDescent="0.4">
      <c r="D82" s="2437" t="s">
        <v>795</v>
      </c>
      <c r="E82" s="2437"/>
      <c r="F82" s="2437" t="s">
        <v>796</v>
      </c>
      <c r="G82" s="2437"/>
      <c r="H82" s="2437" t="s">
        <v>797</v>
      </c>
      <c r="I82" s="2437"/>
      <c r="J82" s="2437" t="s">
        <v>196</v>
      </c>
      <c r="K82" s="2437"/>
    </row>
    <row r="83" spans="3:11" x14ac:dyDescent="0.4">
      <c r="C83" s="632">
        <v>36951</v>
      </c>
      <c r="D83" s="41"/>
      <c r="E83" s="1292"/>
      <c r="F83" s="41"/>
      <c r="G83" s="41"/>
      <c r="H83" s="41"/>
      <c r="I83" s="1318"/>
      <c r="J83" s="212"/>
    </row>
    <row r="84" spans="3:11" x14ac:dyDescent="0.4">
      <c r="C84" s="632">
        <v>37316</v>
      </c>
      <c r="D84" s="212"/>
      <c r="E84" s="1292"/>
      <c r="F84" s="41"/>
      <c r="G84" s="41"/>
      <c r="H84" s="41"/>
      <c r="I84" s="212"/>
      <c r="J84" s="212"/>
    </row>
    <row r="85" spans="3:11" x14ac:dyDescent="0.4">
      <c r="C85" s="632">
        <v>37681</v>
      </c>
      <c r="D85" s="212"/>
      <c r="E85" s="1292"/>
      <c r="F85" s="41"/>
      <c r="G85" s="41"/>
      <c r="H85" s="41"/>
      <c r="I85" s="212"/>
      <c r="J85" s="212"/>
    </row>
    <row r="86" spans="3:11" x14ac:dyDescent="0.4">
      <c r="C86" s="632">
        <v>38047</v>
      </c>
      <c r="D86" s="212"/>
      <c r="E86" s="1292"/>
      <c r="F86" s="41"/>
      <c r="G86" s="41"/>
      <c r="H86" s="41"/>
      <c r="I86" s="212"/>
      <c r="J86" s="212"/>
    </row>
    <row r="87" spans="3:11" x14ac:dyDescent="0.4">
      <c r="C87" s="632">
        <v>38412</v>
      </c>
      <c r="D87" s="212"/>
      <c r="E87" s="1292"/>
      <c r="F87" s="41"/>
      <c r="G87" s="41"/>
      <c r="H87" s="41"/>
      <c r="I87" s="212"/>
      <c r="J87" s="212"/>
    </row>
    <row r="88" spans="3:11" x14ac:dyDescent="0.4">
      <c r="C88" s="632">
        <v>38777</v>
      </c>
      <c r="D88" s="323"/>
      <c r="E88" s="428"/>
    </row>
    <row r="89" spans="3:11" x14ac:dyDescent="0.4">
      <c r="C89" s="632">
        <v>39142</v>
      </c>
      <c r="D89" s="323"/>
      <c r="E89" s="428"/>
    </row>
    <row r="90" spans="3:11" x14ac:dyDescent="0.4">
      <c r="C90" s="632">
        <v>39508</v>
      </c>
      <c r="D90" s="323"/>
      <c r="E90" s="428"/>
    </row>
    <row r="91" spans="3:11" x14ac:dyDescent="0.4">
      <c r="C91" s="632">
        <v>39873</v>
      </c>
      <c r="D91" s="323"/>
      <c r="E91" s="428"/>
    </row>
    <row r="92" spans="3:11" x14ac:dyDescent="0.4">
      <c r="C92" s="632">
        <v>40238</v>
      </c>
      <c r="D92" s="212">
        <v>620394</v>
      </c>
      <c r="E92" s="1292">
        <v>3477837</v>
      </c>
      <c r="F92" s="5">
        <v>593814</v>
      </c>
      <c r="G92" s="5">
        <v>52739710</v>
      </c>
      <c r="J92" s="84">
        <v>802270</v>
      </c>
    </row>
    <row r="93" spans="3:11" x14ac:dyDescent="0.4">
      <c r="C93" s="632">
        <v>40603</v>
      </c>
      <c r="D93" s="212">
        <v>521353</v>
      </c>
      <c r="E93" s="1292">
        <v>3158283</v>
      </c>
      <c r="F93" s="5">
        <v>462072</v>
      </c>
      <c r="G93" s="5">
        <v>42597705</v>
      </c>
      <c r="J93" s="84">
        <v>745790</v>
      </c>
    </row>
    <row r="94" spans="3:11" ht="16.149999999999999" thickBot="1" x14ac:dyDescent="0.45">
      <c r="C94" s="632">
        <v>40969</v>
      </c>
      <c r="D94" s="212">
        <v>286435</v>
      </c>
      <c r="E94" s="1292">
        <v>1851496</v>
      </c>
      <c r="F94" s="5">
        <v>275715</v>
      </c>
      <c r="G94" s="5">
        <v>26251827</v>
      </c>
      <c r="H94" s="824">
        <v>930658</v>
      </c>
      <c r="I94" s="910">
        <v>668855168</v>
      </c>
      <c r="J94" s="84">
        <v>464560</v>
      </c>
    </row>
    <row r="95" spans="3:11" x14ac:dyDescent="0.4">
      <c r="C95" s="632">
        <v>41334</v>
      </c>
      <c r="D95" s="323"/>
      <c r="E95" s="428"/>
    </row>
    <row r="96" spans="3:11" x14ac:dyDescent="0.4">
      <c r="C96" s="632">
        <v>41699</v>
      </c>
      <c r="D96" s="323"/>
      <c r="E96" s="428"/>
    </row>
    <row r="97" spans="3:11" x14ac:dyDescent="0.4">
      <c r="C97" s="632">
        <v>42064</v>
      </c>
      <c r="D97" s="323"/>
      <c r="E97" s="428"/>
    </row>
    <row r="98" spans="3:11" x14ac:dyDescent="0.4">
      <c r="C98" s="632">
        <v>42430</v>
      </c>
      <c r="D98" s="323"/>
      <c r="E98" s="428"/>
    </row>
    <row r="99" spans="3:11" x14ac:dyDescent="0.4">
      <c r="C99" s="632">
        <v>42795</v>
      </c>
      <c r="D99" s="323"/>
      <c r="E99" s="428"/>
    </row>
    <row r="100" spans="3:11" x14ac:dyDescent="0.4">
      <c r="C100" s="632">
        <v>43160</v>
      </c>
      <c r="D100" s="323"/>
      <c r="E100" s="428"/>
    </row>
    <row r="101" spans="3:11" x14ac:dyDescent="0.4">
      <c r="C101" s="632">
        <v>43525</v>
      </c>
      <c r="D101" s="323"/>
      <c r="E101" s="428"/>
    </row>
    <row r="102" spans="3:11" x14ac:dyDescent="0.4">
      <c r="D102" s="212">
        <f t="shared" ref="D102:J102" si="15">SUM(D83:D101)</f>
        <v>1428182</v>
      </c>
      <c r="E102" s="212">
        <f t="shared" si="15"/>
        <v>8487616</v>
      </c>
      <c r="F102" s="212">
        <f t="shared" si="15"/>
        <v>1331601</v>
      </c>
      <c r="G102" s="212">
        <f t="shared" si="15"/>
        <v>121589242</v>
      </c>
      <c r="H102" s="212">
        <f t="shared" si="15"/>
        <v>930658</v>
      </c>
      <c r="I102" s="1228">
        <f t="shared" si="15"/>
        <v>668855168</v>
      </c>
      <c r="J102" s="212">
        <f t="shared" si="15"/>
        <v>2012620</v>
      </c>
    </row>
    <row r="110" spans="3:11" x14ac:dyDescent="0.4">
      <c r="D110" s="84" t="s">
        <v>164</v>
      </c>
      <c r="E110" s="428" t="s">
        <v>710</v>
      </c>
      <c r="F110" s="84" t="s">
        <v>164</v>
      </c>
      <c r="G110" s="428" t="s">
        <v>710</v>
      </c>
      <c r="H110" s="84" t="s">
        <v>164</v>
      </c>
      <c r="I110" s="428" t="s">
        <v>710</v>
      </c>
      <c r="J110" s="84" t="s">
        <v>196</v>
      </c>
    </row>
    <row r="111" spans="3:11" x14ac:dyDescent="0.4">
      <c r="D111" s="84">
        <v>22</v>
      </c>
      <c r="E111" s="84">
        <v>22</v>
      </c>
      <c r="F111" s="84">
        <v>22</v>
      </c>
      <c r="G111" s="84">
        <v>22</v>
      </c>
      <c r="H111" s="84">
        <v>22</v>
      </c>
      <c r="I111" s="84">
        <v>22</v>
      </c>
      <c r="J111" s="84">
        <v>22</v>
      </c>
      <c r="K111" s="1292">
        <v>22</v>
      </c>
    </row>
    <row r="112" spans="3:11" x14ac:dyDescent="0.4">
      <c r="D112" s="2437" t="s">
        <v>795</v>
      </c>
      <c r="E112" s="2437"/>
      <c r="F112" s="2437" t="s">
        <v>796</v>
      </c>
      <c r="G112" s="2437"/>
      <c r="H112" s="2437" t="s">
        <v>797</v>
      </c>
      <c r="I112" s="2437"/>
      <c r="J112" s="2437" t="s">
        <v>196</v>
      </c>
      <c r="K112" s="2437"/>
    </row>
    <row r="113" spans="3:10" ht="16.149999999999999" x14ac:dyDescent="0.55000000000000004">
      <c r="C113" s="632">
        <v>36951</v>
      </c>
      <c r="D113" s="41"/>
      <c r="E113" s="1292"/>
      <c r="H113" s="755"/>
      <c r="I113" s="1319"/>
    </row>
    <row r="114" spans="3:10" x14ac:dyDescent="0.4">
      <c r="C114" s="632">
        <v>37316</v>
      </c>
      <c r="D114" s="212"/>
      <c r="E114" s="428"/>
    </row>
    <row r="115" spans="3:10" x14ac:dyDescent="0.4">
      <c r="C115" s="632">
        <v>37681</v>
      </c>
      <c r="D115" s="323"/>
      <c r="E115" s="428"/>
    </row>
    <row r="116" spans="3:10" x14ac:dyDescent="0.4">
      <c r="C116" s="632">
        <v>38047</v>
      </c>
      <c r="D116" s="323"/>
      <c r="E116" s="428"/>
    </row>
    <row r="117" spans="3:10" x14ac:dyDescent="0.4">
      <c r="C117" s="632">
        <v>38412</v>
      </c>
      <c r="D117" s="323"/>
      <c r="E117" s="428"/>
    </row>
    <row r="118" spans="3:10" x14ac:dyDescent="0.4">
      <c r="C118" s="632">
        <v>38777</v>
      </c>
      <c r="D118" s="323"/>
      <c r="E118" s="428"/>
    </row>
    <row r="119" spans="3:10" x14ac:dyDescent="0.4">
      <c r="C119" s="632">
        <v>39142</v>
      </c>
      <c r="D119" s="323"/>
      <c r="E119" s="428"/>
    </row>
    <row r="120" spans="3:10" x14ac:dyDescent="0.4">
      <c r="C120" s="632">
        <v>39508</v>
      </c>
      <c r="D120" s="323"/>
      <c r="E120" s="428"/>
    </row>
    <row r="121" spans="3:10" x14ac:dyDescent="0.4">
      <c r="C121" s="632">
        <v>39873</v>
      </c>
      <c r="D121" s="323"/>
      <c r="E121" s="428"/>
    </row>
    <row r="122" spans="3:10" x14ac:dyDescent="0.4">
      <c r="C122" s="632">
        <v>40238</v>
      </c>
      <c r="D122" s="212">
        <v>363029</v>
      </c>
      <c r="E122" s="1292">
        <v>1750205</v>
      </c>
      <c r="F122" s="5">
        <v>110568</v>
      </c>
      <c r="G122" s="5">
        <v>1500523</v>
      </c>
      <c r="J122" s="84">
        <v>157670</v>
      </c>
    </row>
    <row r="123" spans="3:10" x14ac:dyDescent="0.4">
      <c r="C123" s="632">
        <v>40603</v>
      </c>
      <c r="D123" s="212">
        <v>269652</v>
      </c>
      <c r="E123" s="1292">
        <v>1501052</v>
      </c>
      <c r="F123" s="5">
        <v>72474</v>
      </c>
      <c r="G123" s="5">
        <v>1394852</v>
      </c>
      <c r="J123" s="84">
        <v>164320</v>
      </c>
    </row>
    <row r="124" spans="3:10" ht="16.149999999999999" x14ac:dyDescent="0.55000000000000004">
      <c r="C124" s="632">
        <v>40969</v>
      </c>
      <c r="D124" s="323">
        <v>317190</v>
      </c>
      <c r="E124" s="428">
        <v>1768986</v>
      </c>
      <c r="F124" s="5">
        <v>138663</v>
      </c>
      <c r="G124" s="5">
        <v>3949762</v>
      </c>
      <c r="H124" s="755">
        <v>1145671</v>
      </c>
      <c r="I124" s="755">
        <v>645560911</v>
      </c>
    </row>
    <row r="125" spans="3:10" x14ac:dyDescent="0.4">
      <c r="C125" s="632">
        <v>41334</v>
      </c>
      <c r="D125" s="323"/>
      <c r="E125" s="428"/>
    </row>
    <row r="126" spans="3:10" x14ac:dyDescent="0.4">
      <c r="C126" s="632">
        <v>41699</v>
      </c>
      <c r="D126" s="323"/>
      <c r="E126" s="428"/>
    </row>
    <row r="127" spans="3:10" x14ac:dyDescent="0.4">
      <c r="C127" s="632">
        <v>42064</v>
      </c>
      <c r="D127" s="323"/>
      <c r="E127" s="428"/>
    </row>
    <row r="128" spans="3:10" x14ac:dyDescent="0.4">
      <c r="C128" s="632">
        <v>42430</v>
      </c>
      <c r="D128" s="323"/>
      <c r="E128" s="428"/>
    </row>
    <row r="129" spans="3:10" x14ac:dyDescent="0.4">
      <c r="C129" s="632">
        <v>42795</v>
      </c>
      <c r="D129" s="323"/>
      <c r="E129" s="428"/>
    </row>
    <row r="130" spans="3:10" x14ac:dyDescent="0.4">
      <c r="C130" s="632">
        <v>43160</v>
      </c>
      <c r="D130" s="323"/>
      <c r="E130" s="428"/>
    </row>
    <row r="131" spans="3:10" x14ac:dyDescent="0.4">
      <c r="C131" s="632">
        <v>43525</v>
      </c>
      <c r="D131" s="323"/>
      <c r="E131" s="428"/>
    </row>
    <row r="132" spans="3:10" x14ac:dyDescent="0.4">
      <c r="D132" s="212">
        <f t="shared" ref="D132:J132" si="16">SUM(D113:D131)</f>
        <v>949871</v>
      </c>
      <c r="E132" s="212">
        <f t="shared" si="16"/>
        <v>5020243</v>
      </c>
      <c r="F132" s="212">
        <f t="shared" si="16"/>
        <v>321705</v>
      </c>
      <c r="G132" s="212">
        <f t="shared" si="16"/>
        <v>6845137</v>
      </c>
      <c r="H132" s="212">
        <f t="shared" si="16"/>
        <v>1145671</v>
      </c>
      <c r="I132" s="1228">
        <f t="shared" si="16"/>
        <v>645560911</v>
      </c>
      <c r="J132" s="212">
        <f t="shared" si="16"/>
        <v>321990</v>
      </c>
    </row>
  </sheetData>
  <mergeCells count="243">
    <mergeCell ref="Z49:Z52"/>
    <mergeCell ref="AA49:AJ49"/>
    <mergeCell ref="AA50:AD50"/>
    <mergeCell ref="AE50:AE52"/>
    <mergeCell ref="AF50:AF52"/>
    <mergeCell ref="AI50:AI52"/>
    <mergeCell ref="AA51:AD51"/>
    <mergeCell ref="AA52:AD52"/>
    <mergeCell ref="AA40:AC40"/>
    <mergeCell ref="AA41:AC41"/>
    <mergeCell ref="AA43:AC43"/>
    <mergeCell ref="AA44:AC44"/>
    <mergeCell ref="Z45:Z48"/>
    <mergeCell ref="AA45:AJ45"/>
    <mergeCell ref="AA46:AB46"/>
    <mergeCell ref="AA47:AB47"/>
    <mergeCell ref="AE47:AE48"/>
    <mergeCell ref="AF47:AF48"/>
    <mergeCell ref="AI47:AI48"/>
    <mergeCell ref="AA48:AB48"/>
    <mergeCell ref="AA31:AC31"/>
    <mergeCell ref="AA32:AC32"/>
    <mergeCell ref="AA33:AC33"/>
    <mergeCell ref="AA34:AC34"/>
    <mergeCell ref="AA35:AC35"/>
    <mergeCell ref="AA36:AC36"/>
    <mergeCell ref="AA37:AC37"/>
    <mergeCell ref="AA38:AJ38"/>
    <mergeCell ref="AA39:AC39"/>
    <mergeCell ref="Z18:Z26"/>
    <mergeCell ref="AB18:AC18"/>
    <mergeCell ref="AD18:AF18"/>
    <mergeCell ref="AG18:AJ18"/>
    <mergeCell ref="AA28:AD29"/>
    <mergeCell ref="AE28:AF28"/>
    <mergeCell ref="AG28:AH28"/>
    <mergeCell ref="AI28:AJ28"/>
    <mergeCell ref="AA30:AJ30"/>
    <mergeCell ref="AA6:AC6"/>
    <mergeCell ref="AA7:AC7"/>
    <mergeCell ref="AA8:AC8"/>
    <mergeCell ref="AA9:AC9"/>
    <mergeCell ref="AA10:AC10"/>
    <mergeCell ref="Z11:AJ11"/>
    <mergeCell ref="AA12:AC12"/>
    <mergeCell ref="AA13:AJ13"/>
    <mergeCell ref="Z14:Z17"/>
    <mergeCell ref="AA14:AJ14"/>
    <mergeCell ref="AA15:AB15"/>
    <mergeCell ref="AA16:AB16"/>
    <mergeCell ref="AE16:AE17"/>
    <mergeCell ref="AF16:AF17"/>
    <mergeCell ref="AI16:AI17"/>
    <mergeCell ref="AA17:AB17"/>
    <mergeCell ref="BG3:BL3"/>
    <mergeCell ref="A1:I1"/>
    <mergeCell ref="M1:W1"/>
    <mergeCell ref="A2:I2"/>
    <mergeCell ref="M2:W2"/>
    <mergeCell ref="BG2:BL2"/>
    <mergeCell ref="A3:A5"/>
    <mergeCell ref="B3:B5"/>
    <mergeCell ref="D3:E3"/>
    <mergeCell ref="F3:G3"/>
    <mergeCell ref="H3:I3"/>
    <mergeCell ref="Z1:AJ1"/>
    <mergeCell ref="Z2:AJ2"/>
    <mergeCell ref="Z3:Z5"/>
    <mergeCell ref="AA3:AC5"/>
    <mergeCell ref="AE3:AF3"/>
    <mergeCell ref="AG3:AH3"/>
    <mergeCell ref="AI3:AJ3"/>
    <mergeCell ref="AI4:AI5"/>
    <mergeCell ref="AJ4:AJ5"/>
    <mergeCell ref="AE5:AF5"/>
    <mergeCell ref="AM1:AW1"/>
    <mergeCell ref="AM2:AW2"/>
    <mergeCell ref="AM3:AM5"/>
    <mergeCell ref="N6:P6"/>
    <mergeCell ref="N7:P7"/>
    <mergeCell ref="N8:P8"/>
    <mergeCell ref="N9:P9"/>
    <mergeCell ref="N10:P10"/>
    <mergeCell ref="A11:I11"/>
    <mergeCell ref="M11:W11"/>
    <mergeCell ref="H4:H5"/>
    <mergeCell ref="I4:I5"/>
    <mergeCell ref="V4:V5"/>
    <mergeCell ref="W4:W5"/>
    <mergeCell ref="D5:E5"/>
    <mergeCell ref="R5:S5"/>
    <mergeCell ref="M3:M5"/>
    <mergeCell ref="N3:P5"/>
    <mergeCell ref="R3:S3"/>
    <mergeCell ref="T3:U3"/>
    <mergeCell ref="V3:W3"/>
    <mergeCell ref="V16:V17"/>
    <mergeCell ref="N17:O17"/>
    <mergeCell ref="N12:P12"/>
    <mergeCell ref="B13:I13"/>
    <mergeCell ref="N13:W13"/>
    <mergeCell ref="A14:A17"/>
    <mergeCell ref="B14:I14"/>
    <mergeCell ref="M14:M17"/>
    <mergeCell ref="N14:W14"/>
    <mergeCell ref="N15:O15"/>
    <mergeCell ref="D16:D17"/>
    <mergeCell ref="E16:E17"/>
    <mergeCell ref="A18:A26"/>
    <mergeCell ref="C18:E18"/>
    <mergeCell ref="F18:I18"/>
    <mergeCell ref="M18:M26"/>
    <mergeCell ref="O18:P18"/>
    <mergeCell ref="Q18:S18"/>
    <mergeCell ref="H16:H17"/>
    <mergeCell ref="N16:O16"/>
    <mergeCell ref="R16:R17"/>
    <mergeCell ref="S16:S17"/>
    <mergeCell ref="T18:W18"/>
    <mergeCell ref="B28:C29"/>
    <mergeCell ref="D28:E28"/>
    <mergeCell ref="F28:G28"/>
    <mergeCell ref="H28:I28"/>
    <mergeCell ref="N28:Q29"/>
    <mergeCell ref="R28:S28"/>
    <mergeCell ref="T28:U28"/>
    <mergeCell ref="V28:W28"/>
    <mergeCell ref="N37:P37"/>
    <mergeCell ref="A38:A43"/>
    <mergeCell ref="B38:I38"/>
    <mergeCell ref="N38:W38"/>
    <mergeCell ref="N39:P39"/>
    <mergeCell ref="N40:P40"/>
    <mergeCell ref="N41:P41"/>
    <mergeCell ref="N43:P43"/>
    <mergeCell ref="A30:A36"/>
    <mergeCell ref="B30:I30"/>
    <mergeCell ref="N30:W30"/>
    <mergeCell ref="N31:P31"/>
    <mergeCell ref="N32:P32"/>
    <mergeCell ref="N33:P33"/>
    <mergeCell ref="N34:P34"/>
    <mergeCell ref="N35:P35"/>
    <mergeCell ref="N36:P36"/>
    <mergeCell ref="N44:P44"/>
    <mergeCell ref="A45:A48"/>
    <mergeCell ref="B45:I45"/>
    <mergeCell ref="M45:M48"/>
    <mergeCell ref="N45:W45"/>
    <mergeCell ref="N46:O46"/>
    <mergeCell ref="D47:D48"/>
    <mergeCell ref="E47:E48"/>
    <mergeCell ref="H47:H48"/>
    <mergeCell ref="N47:O47"/>
    <mergeCell ref="R50:R52"/>
    <mergeCell ref="S50:S52"/>
    <mergeCell ref="V50:V52"/>
    <mergeCell ref="R47:R48"/>
    <mergeCell ref="S47:S48"/>
    <mergeCell ref="V47:V48"/>
    <mergeCell ref="N48:O48"/>
    <mergeCell ref="A49:A52"/>
    <mergeCell ref="B49:I49"/>
    <mergeCell ref="M49:M52"/>
    <mergeCell ref="N49:W49"/>
    <mergeCell ref="B50:C50"/>
    <mergeCell ref="D50:D52"/>
    <mergeCell ref="D112:E112"/>
    <mergeCell ref="F112:G112"/>
    <mergeCell ref="H112:I112"/>
    <mergeCell ref="J112:K112"/>
    <mergeCell ref="B51:C51"/>
    <mergeCell ref="N51:Q51"/>
    <mergeCell ref="B52:C52"/>
    <mergeCell ref="N52:Q52"/>
    <mergeCell ref="D82:E82"/>
    <mergeCell ref="F82:G82"/>
    <mergeCell ref="H82:I82"/>
    <mergeCell ref="J82:K82"/>
    <mergeCell ref="E50:E52"/>
    <mergeCell ref="H50:H52"/>
    <mergeCell ref="N50:Q50"/>
    <mergeCell ref="AN3:AP5"/>
    <mergeCell ref="AR3:AS3"/>
    <mergeCell ref="AT3:AU3"/>
    <mergeCell ref="AV3:AW3"/>
    <mergeCell ref="AV4:AV5"/>
    <mergeCell ref="AW4:AW5"/>
    <mergeCell ref="AR5:AS5"/>
    <mergeCell ref="AN6:AP6"/>
    <mergeCell ref="AN7:AP7"/>
    <mergeCell ref="AN8:AP8"/>
    <mergeCell ref="AN9:AP9"/>
    <mergeCell ref="AN10:AP10"/>
    <mergeCell ref="AM11:AW11"/>
    <mergeCell ref="AN12:AP12"/>
    <mergeCell ref="AN13:AW13"/>
    <mergeCell ref="AM14:AM17"/>
    <mergeCell ref="AN14:AW14"/>
    <mergeCell ref="AN15:AO15"/>
    <mergeCell ref="AN16:AO16"/>
    <mergeCell ref="AR16:AR17"/>
    <mergeCell ref="AS16:AS17"/>
    <mergeCell ref="AV16:AV17"/>
    <mergeCell ref="AN17:AO17"/>
    <mergeCell ref="AM18:AM26"/>
    <mergeCell ref="AO18:AP18"/>
    <mergeCell ref="AQ18:AS18"/>
    <mergeCell ref="AT18:AW18"/>
    <mergeCell ref="AN28:AQ29"/>
    <mergeCell ref="AR28:AS28"/>
    <mergeCell ref="AT28:AU28"/>
    <mergeCell ref="AV28:AW28"/>
    <mergeCell ref="AN30:AW30"/>
    <mergeCell ref="AN31:AP31"/>
    <mergeCell ref="AN32:AP32"/>
    <mergeCell ref="AN33:AP33"/>
    <mergeCell ref="AN34:AP34"/>
    <mergeCell ref="AN35:AP35"/>
    <mergeCell ref="AN36:AP36"/>
    <mergeCell ref="AN37:AP37"/>
    <mergeCell ref="AN38:AW38"/>
    <mergeCell ref="AN39:AP39"/>
    <mergeCell ref="AM49:AM52"/>
    <mergeCell ref="AN49:AW49"/>
    <mergeCell ref="AN50:AQ50"/>
    <mergeCell ref="AR50:AR52"/>
    <mergeCell ref="AS50:AS52"/>
    <mergeCell ref="AV50:AV52"/>
    <mergeCell ref="AN51:AQ51"/>
    <mergeCell ref="AN52:AQ52"/>
    <mergeCell ref="AN40:AP40"/>
    <mergeCell ref="AN41:AP41"/>
    <mergeCell ref="AN43:AP43"/>
    <mergeCell ref="AN44:AP44"/>
    <mergeCell ref="AM45:AM48"/>
    <mergeCell ref="AN45:AW45"/>
    <mergeCell ref="AN46:AO46"/>
    <mergeCell ref="AN47:AO47"/>
    <mergeCell ref="AR47:AR48"/>
    <mergeCell ref="AS47:AS48"/>
    <mergeCell ref="AV47:AV48"/>
    <mergeCell ref="AN48:AO48"/>
  </mergeCells>
  <pageMargins left="0.2" right="0.2" top="0.75" bottom="0.75" header="0.3" footer="0.3"/>
  <pageSetup paperSize="9" scale="12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3661-3C8B-4580-820D-BA84AFCFE2A4}">
  <sheetPr>
    <pageSetUpPr fitToPage="1"/>
  </sheetPr>
  <dimension ref="A1:AK132"/>
  <sheetViews>
    <sheetView topLeftCell="G1" workbookViewId="0">
      <selection activeCell="U15" sqref="U15"/>
    </sheetView>
  </sheetViews>
  <sheetFormatPr defaultColWidth="9.1328125" defaultRowHeight="15" x14ac:dyDescent="0.4"/>
  <cols>
    <col min="1" max="1" width="3.73046875" style="1235" customWidth="1"/>
    <col min="2" max="2" width="36.1328125" style="300" customWidth="1"/>
    <col min="3" max="3" width="12" style="5" bestFit="1" customWidth="1"/>
    <col min="4" max="4" width="14.26562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265625" style="11" customWidth="1"/>
    <col min="9" max="9" width="12" style="82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59765625" style="1209" customWidth="1"/>
    <col min="14" max="14" width="35.265625" style="5" customWidth="1"/>
    <col min="15" max="15" width="10.265625" style="5" customWidth="1"/>
    <col min="16" max="16" width="10.59765625" style="5" customWidth="1"/>
    <col min="17" max="17" width="12.1328125" style="5" customWidth="1"/>
    <col min="18" max="18" width="16.86328125" style="5" bestFit="1" customWidth="1"/>
    <col min="19" max="19" width="11.265625" style="5" customWidth="1"/>
    <col min="20" max="21" width="14" style="5" customWidth="1"/>
    <col min="22" max="23" width="11.1328125" style="5" customWidth="1"/>
    <col min="24" max="24" width="9.1328125" style="5"/>
    <col min="25" max="25" width="12.3984375" style="5" bestFit="1" customWidth="1"/>
    <col min="26" max="26" width="13.3984375" style="172" customWidth="1"/>
    <col min="27" max="27" width="11.265625" style="5" bestFit="1" customWidth="1"/>
    <col min="28" max="28" width="10.265625" style="5" bestFit="1" customWidth="1"/>
    <col min="29" max="29" width="10.59765625" style="5" bestFit="1" customWidth="1"/>
    <col min="30" max="30" width="9.1328125" style="5"/>
    <col min="31" max="31" width="37.3984375" style="5" customWidth="1"/>
    <col min="32" max="32" width="16.59765625" style="5" hidden="1" customWidth="1"/>
    <col min="33" max="33" width="16.86328125" style="5" hidden="1" customWidth="1"/>
    <col min="34" max="34" width="17.59765625" style="5" hidden="1" customWidth="1"/>
    <col min="35" max="35" width="16.3984375" style="5" hidden="1" customWidth="1"/>
    <col min="36" max="36" width="15.1328125" style="5" customWidth="1"/>
    <col min="37" max="16384" width="9.1328125" style="5"/>
  </cols>
  <sheetData>
    <row r="1" spans="1:37" ht="21.75" customHeight="1" x14ac:dyDescent="0.35">
      <c r="A1" s="2156" t="s">
        <v>876</v>
      </c>
      <c r="B1" s="2156"/>
      <c r="C1" s="2156"/>
      <c r="D1" s="2156"/>
      <c r="E1" s="2156"/>
      <c r="F1" s="2156"/>
      <c r="G1" s="2156"/>
      <c r="H1" s="2156"/>
      <c r="I1" s="2156"/>
      <c r="M1" s="2156" t="s">
        <v>781</v>
      </c>
      <c r="N1" s="2156"/>
      <c r="O1" s="2156"/>
      <c r="P1" s="2156"/>
      <c r="Q1" s="2156"/>
      <c r="R1" s="2156"/>
      <c r="S1" s="2156"/>
      <c r="T1" s="2156"/>
      <c r="U1" s="2156"/>
      <c r="V1" s="2156"/>
      <c r="W1" s="2156"/>
    </row>
    <row r="2" spans="1:37" s="301" customFormat="1" ht="18" thickBot="1" x14ac:dyDescent="0.4">
      <c r="A2" s="2346"/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851</v>
      </c>
      <c r="N2" s="2446"/>
      <c r="O2" s="2446"/>
      <c r="P2" s="2446"/>
      <c r="Q2" s="2446"/>
      <c r="R2" s="2093"/>
      <c r="S2" s="2093"/>
      <c r="T2" s="2093"/>
      <c r="U2" s="2093"/>
      <c r="V2" s="2093"/>
      <c r="W2" s="2094"/>
      <c r="Z2" s="1149"/>
      <c r="AE2" s="2326" t="s">
        <v>781</v>
      </c>
      <c r="AF2" s="2326"/>
      <c r="AG2" s="2326"/>
      <c r="AH2" s="2326"/>
      <c r="AI2" s="2326"/>
      <c r="AJ2" s="2326"/>
    </row>
    <row r="3" spans="1:37" ht="17.25" customHeight="1" thickTop="1" x14ac:dyDescent="0.5">
      <c r="A3" s="2360" t="s">
        <v>144</v>
      </c>
      <c r="B3" s="2342" t="s">
        <v>353</v>
      </c>
      <c r="C3" s="1190" t="s">
        <v>10</v>
      </c>
      <c r="D3" s="2107" t="s">
        <v>8</v>
      </c>
      <c r="E3" s="2108"/>
      <c r="F3" s="2447" t="s">
        <v>10</v>
      </c>
      <c r="G3" s="2448"/>
      <c r="H3" s="2109" t="s">
        <v>813</v>
      </c>
      <c r="I3" s="2110"/>
      <c r="M3" s="2358" t="s">
        <v>757</v>
      </c>
      <c r="N3" s="2436" t="s">
        <v>353</v>
      </c>
      <c r="O3" s="2436"/>
      <c r="P3" s="2436"/>
      <c r="Q3" s="1190" t="s">
        <v>10</v>
      </c>
      <c r="R3" s="2107" t="s">
        <v>8</v>
      </c>
      <c r="S3" s="2108"/>
      <c r="T3" s="2107" t="s">
        <v>10</v>
      </c>
      <c r="U3" s="2108"/>
      <c r="V3" s="2109" t="s">
        <v>813</v>
      </c>
      <c r="W3" s="2110"/>
      <c r="AE3" s="2341" t="s">
        <v>854</v>
      </c>
      <c r="AF3" s="2341"/>
      <c r="AG3" s="2341"/>
      <c r="AH3" s="2341"/>
      <c r="AI3" s="2341"/>
      <c r="AJ3" s="2449"/>
    </row>
    <row r="4" spans="1:37" s="35" customFormat="1" ht="25.5" customHeight="1" x14ac:dyDescent="0.35">
      <c r="A4" s="2360"/>
      <c r="B4" s="2343"/>
      <c r="C4" s="1183" t="s">
        <v>764</v>
      </c>
      <c r="D4" s="1064" t="s">
        <v>9</v>
      </c>
      <c r="E4" s="422">
        <f>G4</f>
        <v>44986</v>
      </c>
      <c r="F4" s="422">
        <v>44641</v>
      </c>
      <c r="G4" s="422">
        <v>44986</v>
      </c>
      <c r="H4" s="2444" t="s">
        <v>12</v>
      </c>
      <c r="I4" s="2444" t="s">
        <v>13</v>
      </c>
      <c r="J4" s="84"/>
      <c r="K4" s="84"/>
      <c r="L4" s="1150"/>
      <c r="M4" s="2358"/>
      <c r="N4" s="2436"/>
      <c r="O4" s="2436"/>
      <c r="P4" s="2436"/>
      <c r="Q4" s="1183" t="s">
        <v>764</v>
      </c>
      <c r="R4" s="421" t="s">
        <v>9</v>
      </c>
      <c r="S4" s="422">
        <f>E4</f>
        <v>44986</v>
      </c>
      <c r="T4" s="422">
        <f>F4</f>
        <v>44641</v>
      </c>
      <c r="U4" s="422">
        <f>G4</f>
        <v>44986</v>
      </c>
      <c r="V4" s="2331" t="s">
        <v>12</v>
      </c>
      <c r="W4" s="2331" t="s">
        <v>13</v>
      </c>
      <c r="Z4" s="1150"/>
      <c r="AE4" s="1294" t="s">
        <v>353</v>
      </c>
      <c r="AF4" s="1294" t="s">
        <v>77</v>
      </c>
      <c r="AG4" s="1294" t="s">
        <v>249</v>
      </c>
      <c r="AH4" s="1365" t="s">
        <v>853</v>
      </c>
      <c r="AI4" s="1294" t="s">
        <v>438</v>
      </c>
      <c r="AJ4" s="1294" t="s">
        <v>701</v>
      </c>
      <c r="AK4" s="33" t="s">
        <v>353</v>
      </c>
    </row>
    <row r="5" spans="1:37" ht="18.75" hidden="1" customHeight="1" x14ac:dyDescent="0.5">
      <c r="A5" s="2361"/>
      <c r="B5" s="2344"/>
      <c r="C5" s="1184"/>
      <c r="D5" s="2157" t="s">
        <v>249</v>
      </c>
      <c r="E5" s="2158"/>
      <c r="F5" s="1134" t="s">
        <v>249</v>
      </c>
      <c r="G5" s="1134" t="s">
        <v>438</v>
      </c>
      <c r="H5" s="2445"/>
      <c r="I5" s="2445"/>
      <c r="M5" s="2359"/>
      <c r="N5" s="2436"/>
      <c r="O5" s="2436"/>
      <c r="P5" s="2436"/>
      <c r="Q5" s="1184"/>
      <c r="R5" s="2157" t="s">
        <v>249</v>
      </c>
      <c r="S5" s="2158"/>
      <c r="T5" s="602" t="s">
        <v>249</v>
      </c>
      <c r="U5" s="602" t="s">
        <v>438</v>
      </c>
      <c r="V5" s="2332"/>
      <c r="W5" s="2332"/>
      <c r="AE5" s="6"/>
      <c r="AF5" s="6"/>
      <c r="AG5" s="1363"/>
      <c r="AH5" s="1366"/>
      <c r="AI5" s="602" t="s">
        <v>249</v>
      </c>
      <c r="AJ5" s="602" t="s">
        <v>438</v>
      </c>
      <c r="AK5" s="6"/>
    </row>
    <row r="6" spans="1:37" ht="30" customHeight="1" x14ac:dyDescent="0.35">
      <c r="A6" s="1229">
        <v>1</v>
      </c>
      <c r="B6" s="1191" t="s">
        <v>290</v>
      </c>
      <c r="C6" s="1185">
        <v>615.09889696200003</v>
      </c>
      <c r="D6" s="1312">
        <f>'target FY 22-23'!D56</f>
        <v>950.59</v>
      </c>
      <c r="E6" s="1315">
        <f>'target FY 22-23'!D28</f>
        <v>564.02</v>
      </c>
      <c r="F6" s="434">
        <f>'MAY-22'!F6+'JUNE-22'!F6+'JULY 22'!F6+'AUG-22'!F6+'SEP-2022'!F6+'OCT-2022'!F6+'NOV -22'!F6</f>
        <v>329.66651169400001</v>
      </c>
      <c r="G6" s="434">
        <f>'MAY-22'!G6+'JUNE-22'!G6+'JULY 22'!G6+'AUG-22'!G6+'SEP-2022'!G6+'OCT-2022'!G6+'NOV -22'!G6</f>
        <v>584.11742700000002</v>
      </c>
      <c r="H6" s="517">
        <f>(G6-E6)/E6*100</f>
        <v>3.5632472252757061</v>
      </c>
      <c r="I6" s="517">
        <f>(G6-F6)/F6*100</f>
        <v>77.18433819634798</v>
      </c>
      <c r="M6" s="1203">
        <v>1</v>
      </c>
      <c r="N6" s="2049" t="s">
        <v>290</v>
      </c>
      <c r="O6" s="2049"/>
      <c r="P6" s="2049"/>
      <c r="Q6" s="1185">
        <v>615.09889696200003</v>
      </c>
      <c r="R6" s="1312">
        <v>950.59</v>
      </c>
      <c r="S6" s="434">
        <v>950.59</v>
      </c>
      <c r="T6" s="434">
        <f>T15+T16+T17</f>
        <v>615.095131262</v>
      </c>
      <c r="U6" s="434">
        <f>U15+U16+U17</f>
        <v>1515.0303172000001</v>
      </c>
      <c r="V6" s="1313">
        <f>(U6-S6)/S6*100</f>
        <v>59.377893434603777</v>
      </c>
      <c r="W6" s="1313">
        <f>(U6-T6)/T6*100</f>
        <v>146.30829284757783</v>
      </c>
      <c r="X6" s="12">
        <f>(U6-R6)/R6*100</f>
        <v>59.377893434603777</v>
      </c>
      <c r="Y6" s="5">
        <f>(U6-R6)/R6*100</f>
        <v>59.377893434603777</v>
      </c>
      <c r="Z6" s="491">
        <f>'APRIL-22'!F6+'MAY-22'!F6+'JUNE-22'!F6+'JULY 22'!F6+'AUG-22'!F6+'SEP-2022'!F6</f>
        <v>234.29859418299998</v>
      </c>
      <c r="AA6" s="491">
        <f>'APRIL-22'!G6+'MAY-22'!G6+'JUNE-22'!G6+'JULY 22'!G6+'AUG-22'!G6+'SEP-2022'!G6</f>
        <v>486.57014339999995</v>
      </c>
      <c r="AE6" s="1191" t="s">
        <v>855</v>
      </c>
      <c r="AF6" s="434">
        <v>873.14</v>
      </c>
      <c r="AG6" s="434">
        <v>615.09889696200003</v>
      </c>
      <c r="AH6" s="1315">
        <v>950.59</v>
      </c>
      <c r="AI6" s="434">
        <v>950.59</v>
      </c>
      <c r="AJ6" s="434">
        <v>1024.2159494</v>
      </c>
      <c r="AK6" s="6" t="s">
        <v>237</v>
      </c>
    </row>
    <row r="7" spans="1:37" ht="26.25" customHeight="1" x14ac:dyDescent="0.35">
      <c r="A7" s="1230">
        <v>2</v>
      </c>
      <c r="B7" s="1154" t="s">
        <v>291</v>
      </c>
      <c r="C7" s="1186">
        <v>275.33999999999997</v>
      </c>
      <c r="D7" s="434">
        <f>'target FY 22-23'!E56</f>
        <v>341.23</v>
      </c>
      <c r="E7" s="1315">
        <f>'target FY 22-23'!E28</f>
        <v>205.19</v>
      </c>
      <c r="F7" s="434">
        <v>165.44</v>
      </c>
      <c r="G7" s="434">
        <f>'MAY-22'!G7+'JUNE-22'!G7+'JULY 22'!G7+'AUG-22'!G7+'SEP-2022'!G7+'OCT-2022'!G7+'NOV -22'!G7</f>
        <v>247.93630660000002</v>
      </c>
      <c r="H7" s="517">
        <f>(G7-E7)/E7*100</f>
        <v>20.832548662215519</v>
      </c>
      <c r="I7" s="517">
        <f>(G7-F7)/F7*100</f>
        <v>49.864788805609301</v>
      </c>
      <c r="M7" s="1204">
        <v>2</v>
      </c>
      <c r="N7" s="2428" t="s">
        <v>291</v>
      </c>
      <c r="O7" s="2428"/>
      <c r="P7" s="2428"/>
      <c r="Q7" s="1186">
        <v>275.33999999999997</v>
      </c>
      <c r="R7" s="434">
        <v>341.23</v>
      </c>
      <c r="S7" s="434">
        <v>341.23</v>
      </c>
      <c r="T7" s="434">
        <v>275.33999999999997</v>
      </c>
      <c r="U7" s="434">
        <f>U20+U21+U22+U23+U24+U25+U26</f>
        <v>403.10200000000003</v>
      </c>
      <c r="V7" s="1313">
        <f>(U7-S7)/S7*100</f>
        <v>18.132051695337459</v>
      </c>
      <c r="W7" s="1313">
        <f>(U7-T7)/T7*100</f>
        <v>46.401539914287817</v>
      </c>
      <c r="Z7" s="491">
        <f>'APRIL-22'!F7+'MAY-22'!F7+'JUNE-22'!F7+'JULY 22'!F7+'AUG-22'!F7+'SEP-2022'!F7</f>
        <v>124.89550630000001</v>
      </c>
      <c r="AA7" s="491">
        <f>'APRIL-22'!G7+'MAY-22'!G7+'JUNE-22'!G7+'JULY 22'!G7+'AUG-22'!G7+'SEP-2022'!G7</f>
        <v>203.11230660000001</v>
      </c>
      <c r="AE7" s="606" t="s">
        <v>856</v>
      </c>
      <c r="AF7" s="434">
        <v>194.94915280000004</v>
      </c>
      <c r="AG7" s="434">
        <v>275.33999999999997</v>
      </c>
      <c r="AH7" s="1315">
        <v>341.23</v>
      </c>
      <c r="AI7" s="434">
        <v>341.23</v>
      </c>
      <c r="AJ7" s="434">
        <v>403.10200000000003</v>
      </c>
      <c r="AK7" s="6" t="s">
        <v>177</v>
      </c>
    </row>
    <row r="8" spans="1:37" ht="32.25" customHeight="1" x14ac:dyDescent="0.35">
      <c r="A8" s="1231">
        <v>3</v>
      </c>
      <c r="B8" s="1155" t="s">
        <v>292</v>
      </c>
      <c r="C8" s="1187">
        <v>71.674099700000014</v>
      </c>
      <c r="D8" s="1314">
        <f>'target FY 22-23'!F56</f>
        <v>102.46000000000001</v>
      </c>
      <c r="E8" s="1315">
        <f>'target FY 22-23'!F28</f>
        <v>50.160000000000004</v>
      </c>
      <c r="F8" s="434">
        <f>'MAY-22'!F8+'JUNE-22'!F8+'JULY 22'!F8+'AUG-22'!F8+'SEP-2022'!F8+'OCT-2022'!F8+'NOV -22'!F8</f>
        <v>37.019754199999994</v>
      </c>
      <c r="G8" s="434">
        <f>'MAY-22'!G8+'JUNE-22'!G8+'JULY 22'!G8+'AUG-22'!G8+'SEP-2022'!G8+'OCT-2022'!G8+'NOV -22'!G8</f>
        <v>64.693568100000007</v>
      </c>
      <c r="H8" s="517">
        <f>(G8-E8)/E8*100</f>
        <v>28.974418062200964</v>
      </c>
      <c r="I8" s="517">
        <f>(G8-F8)/F8*100</f>
        <v>74.754180566655464</v>
      </c>
      <c r="M8" s="1205">
        <v>3</v>
      </c>
      <c r="N8" s="2427" t="s">
        <v>292</v>
      </c>
      <c r="O8" s="2427"/>
      <c r="P8" s="2427"/>
      <c r="Q8" s="1187">
        <v>71.674099700000014</v>
      </c>
      <c r="R8" s="1314">
        <v>102.46000000000001</v>
      </c>
      <c r="S8" s="434">
        <f>R8</f>
        <v>102.46000000000001</v>
      </c>
      <c r="T8" s="1314">
        <f>T31+T32+T33+T34+T35+T36+T37</f>
        <v>71.674099699999985</v>
      </c>
      <c r="U8" s="434">
        <f>U31+U32+U33+U34+U35+U36+U37</f>
        <v>106.68749520000001</v>
      </c>
      <c r="V8" s="1313">
        <f>(U8-S8)/S8*100</f>
        <v>4.1259957056412322</v>
      </c>
      <c r="W8" s="1313">
        <f>(U8-T8)/T8*100</f>
        <v>48.850834048216221</v>
      </c>
      <c r="Z8" s="491">
        <f>'APRIL-22'!F8+'MAY-22'!F8+'JUNE-22'!F8+'JULY 22'!F8+'AUG-22'!F8+'SEP-2022'!F8</f>
        <v>27.944966799999996</v>
      </c>
      <c r="AA8" s="491">
        <f>'APRIL-22'!G8+'MAY-22'!G8+'JUNE-22'!G8+'JULY 22'!G8+'AUG-22'!G8+'SEP-2022'!G8</f>
        <v>55.066350600000007</v>
      </c>
      <c r="AE8" s="1361" t="s">
        <v>857</v>
      </c>
      <c r="AF8" s="434">
        <v>85.182228199999997</v>
      </c>
      <c r="AG8" s="434">
        <v>71.674099700000014</v>
      </c>
      <c r="AH8" s="1315">
        <v>102.46000000000001</v>
      </c>
      <c r="AI8" s="434">
        <v>102.46000000000001</v>
      </c>
      <c r="AJ8" s="434">
        <v>106.68749520000001</v>
      </c>
      <c r="AK8" s="6" t="s">
        <v>371</v>
      </c>
    </row>
    <row r="9" spans="1:37" ht="34.5" customHeight="1" x14ac:dyDescent="0.35">
      <c r="A9" s="1230">
        <v>4</v>
      </c>
      <c r="B9" s="1156" t="s">
        <v>293</v>
      </c>
      <c r="C9" s="1185">
        <v>5.1459812999999999</v>
      </c>
      <c r="D9" s="434">
        <f>D39+D40+D41</f>
        <v>16.79</v>
      </c>
      <c r="E9" s="1315">
        <f>'target FY 22-23'!G28</f>
        <v>9.7999999999999989</v>
      </c>
      <c r="F9" s="434">
        <f>'MAY-22'!F9+'JUNE-22'!F9+'JULY 22'!F9+'AUG-22'!F9+'SEP-2022'!F9+'OCT-2022'!F9+'NOV -22'!F9</f>
        <v>3.4636481999999997</v>
      </c>
      <c r="G9" s="434">
        <f>'MAY-22'!G9+'JUNE-22'!G9+'JULY 22'!G9+'AUG-22'!G9+'SEP-2022'!G9+'OCT-2022'!G9+'NOV -22'!G9</f>
        <v>9.7404372000000006</v>
      </c>
      <c r="H9" s="517">
        <f>(G9-E9)/E9*100</f>
        <v>-0.60778367346937112</v>
      </c>
      <c r="I9" s="517">
        <f>(G9-F9)/F9*100</f>
        <v>181.21901063739676</v>
      </c>
      <c r="M9" s="1204">
        <v>4</v>
      </c>
      <c r="N9" s="2428" t="s">
        <v>293</v>
      </c>
      <c r="O9" s="2428"/>
      <c r="P9" s="2428"/>
      <c r="Q9" s="1185">
        <v>5.1459812999999999</v>
      </c>
      <c r="R9" s="434">
        <f>R39+R40+R41</f>
        <v>16.79</v>
      </c>
      <c r="S9" s="434">
        <f>R9</f>
        <v>16.79</v>
      </c>
      <c r="T9" s="434">
        <f>T39+T40+T41+T42+T43+T44</f>
        <v>5.1524325000000006</v>
      </c>
      <c r="U9" s="434">
        <f>U39+U40+U41+U42+U43+U44</f>
        <v>17.618554699999997</v>
      </c>
      <c r="V9" s="1313">
        <f>(U9-S9)/S9*100</f>
        <v>4.9348106015485289</v>
      </c>
      <c r="W9" s="1313">
        <f>(U9-T9)/T9*100</f>
        <v>241.94634670129099</v>
      </c>
      <c r="Z9" s="491">
        <f>'APRIL-22'!F9+'MAY-22'!F9+'JUNE-22'!F9+'JULY 22'!F9+'AUG-22'!F9+'SEP-2022'!F9</f>
        <v>2.8027249000000003</v>
      </c>
      <c r="AA9" s="491">
        <f>'APRIL-22'!G9+'MAY-22'!G9+'JUNE-22'!G9+'JULY 22'!G9+'AUG-22'!G9+'SEP-2022'!G9</f>
        <v>7.3723258000000005</v>
      </c>
      <c r="AE9" s="606" t="s">
        <v>858</v>
      </c>
      <c r="AF9" s="434">
        <v>9.3101146999999997</v>
      </c>
      <c r="AG9" s="434">
        <v>5.1459812999999999</v>
      </c>
      <c r="AH9" s="1315">
        <v>16.79</v>
      </c>
      <c r="AI9" s="434">
        <v>16.79</v>
      </c>
      <c r="AJ9" s="434">
        <v>17.701250099999996</v>
      </c>
      <c r="AK9" s="6" t="s">
        <v>203</v>
      </c>
    </row>
    <row r="10" spans="1:37" ht="28.5" customHeight="1" x14ac:dyDescent="0.35">
      <c r="A10" s="1231">
        <v>5</v>
      </c>
      <c r="B10" s="1157" t="s">
        <v>294</v>
      </c>
      <c r="C10" s="1188">
        <f>SUM(C6:C9)</f>
        <v>967.25897796200002</v>
      </c>
      <c r="D10" s="321">
        <f>SUM(D6:D9)</f>
        <v>1411.0700000000002</v>
      </c>
      <c r="E10" s="321">
        <f>SUM(E6:E9)</f>
        <v>829.17</v>
      </c>
      <c r="F10" s="321">
        <f>SUM(F6:F9)</f>
        <v>535.58991409399994</v>
      </c>
      <c r="G10" s="321">
        <f>SUM(G6:G9)</f>
        <v>906.48773889999995</v>
      </c>
      <c r="H10" s="322">
        <f>(G10-E10)/E10*100</f>
        <v>9.3247149438595223</v>
      </c>
      <c r="I10" s="322">
        <f>(G10-F10)/F10*100</f>
        <v>69.250337813662554</v>
      </c>
      <c r="M10" s="1205">
        <v>5</v>
      </c>
      <c r="N10" s="2429" t="s">
        <v>294</v>
      </c>
      <c r="O10" s="2429"/>
      <c r="P10" s="2429"/>
      <c r="Q10" s="1188">
        <f>SUM(Q6:Q9)</f>
        <v>967.25897796200002</v>
      </c>
      <c r="R10" s="321">
        <f>SUM(R6:R9)</f>
        <v>1411.0700000000002</v>
      </c>
      <c r="S10" s="321">
        <f>SUM(S6:S9)</f>
        <v>1411.0700000000002</v>
      </c>
      <c r="T10" s="321">
        <f>SUM(T6:T9)</f>
        <v>967.26166346199989</v>
      </c>
      <c r="U10" s="321">
        <f>SUM(U6:U9)</f>
        <v>2042.4383671000003</v>
      </c>
      <c r="V10" s="1162">
        <f>(U10-S10)/S10*100</f>
        <v>44.743943751904588</v>
      </c>
      <c r="W10" s="1162">
        <f>(U10-T10)/T10*100</f>
        <v>111.15675770605375</v>
      </c>
      <c r="Z10" s="12">
        <f>SUM(Z6:Z9)</f>
        <v>389.94179218299996</v>
      </c>
      <c r="AA10" s="12">
        <f>SUM(AA6:AA9)</f>
        <v>752.12112639999998</v>
      </c>
      <c r="AB10" s="12">
        <f>U10-AA10</f>
        <v>1290.3172407000002</v>
      </c>
      <c r="AE10" s="1362" t="s">
        <v>859</v>
      </c>
      <c r="AF10" s="1364">
        <f>SUM(AF6:AF9)</f>
        <v>1162.5814957</v>
      </c>
      <c r="AG10" s="1364">
        <f>SUM(AG6:AG9)</f>
        <v>967.25897796200002</v>
      </c>
      <c r="AH10" s="445">
        <f>SUM(AH6:AH9)</f>
        <v>1411.0700000000002</v>
      </c>
      <c r="AI10" s="321">
        <f>SUM(AI6:AI9)</f>
        <v>1411.0700000000002</v>
      </c>
      <c r="AJ10" s="1405">
        <f>SUM(AJ6:AJ9)</f>
        <v>1551.7066947000001</v>
      </c>
    </row>
    <row r="11" spans="1:37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2"/>
      <c r="V11" s="2062"/>
      <c r="W11" s="2063"/>
      <c r="AE11" s="6"/>
      <c r="AF11" s="6"/>
      <c r="AG11" s="234"/>
      <c r="AH11" s="1297"/>
      <c r="AI11" s="6"/>
      <c r="AJ11" s="6"/>
    </row>
    <row r="12" spans="1:37" ht="31.5" customHeight="1" x14ac:dyDescent="0.35">
      <c r="A12" s="1230">
        <v>6.3</v>
      </c>
      <c r="B12" s="1293" t="s">
        <v>778</v>
      </c>
      <c r="C12" s="1307">
        <v>16.11</v>
      </c>
      <c r="D12" s="332">
        <v>62.53</v>
      </c>
      <c r="E12" s="307">
        <f>'target FY 22-23'!D79</f>
        <v>37.78</v>
      </c>
      <c r="F12" s="1294">
        <f>F46+F47+F48</f>
        <v>7.8314889999999995</v>
      </c>
      <c r="G12" s="1294">
        <f>G46+G47+G48</f>
        <v>26.832667999999998</v>
      </c>
      <c r="H12" s="308">
        <f>(G12-E12)/E12*100</f>
        <v>-28.976527263102174</v>
      </c>
      <c r="I12" s="316">
        <f>(G12-F12)/F12*100</f>
        <v>242.62536792173242</v>
      </c>
      <c r="M12" s="1204">
        <v>6.3</v>
      </c>
      <c r="N12" s="2430" t="s">
        <v>250</v>
      </c>
      <c r="O12" s="2431"/>
      <c r="P12" s="2432"/>
      <c r="Q12" s="1307">
        <v>16.61</v>
      </c>
      <c r="R12" s="332">
        <v>62.53</v>
      </c>
      <c r="S12" s="307">
        <f>S46+S47</f>
        <v>62.53</v>
      </c>
      <c r="T12" s="1294">
        <f>T46+T47+T48</f>
        <v>16.611401999999998</v>
      </c>
      <c r="U12" s="1294">
        <f>U46+U47+U48</f>
        <v>69.435327000000001</v>
      </c>
      <c r="V12" s="1161">
        <f>(U12-S12)/S12*100</f>
        <v>11.043222453222452</v>
      </c>
      <c r="W12" s="1060">
        <f>(U12-T12)/T12*100</f>
        <v>317.99799318564448</v>
      </c>
      <c r="AE12" s="1316" t="s">
        <v>814</v>
      </c>
      <c r="AF12" s="1294">
        <v>77.260000000000005</v>
      </c>
      <c r="AG12" s="1294">
        <v>16.61</v>
      </c>
      <c r="AH12" s="1367">
        <v>62.53</v>
      </c>
      <c r="AI12" s="1294">
        <v>16.611401999999998</v>
      </c>
      <c r="AJ12" s="1294">
        <v>47.027382000000003</v>
      </c>
    </row>
    <row r="13" spans="1:37" s="1310" customFormat="1" ht="13.5" customHeight="1" x14ac:dyDescent="0.35">
      <c r="A13" s="1309"/>
      <c r="B13" s="2438" t="s">
        <v>229</v>
      </c>
      <c r="C13" s="2439"/>
      <c r="D13" s="2439"/>
      <c r="E13" s="2439"/>
      <c r="F13" s="2439"/>
      <c r="G13" s="2439"/>
      <c r="H13" s="2439"/>
      <c r="I13" s="2440"/>
      <c r="L13" s="1311"/>
      <c r="M13" s="1309"/>
      <c r="N13" s="2433" t="s">
        <v>229</v>
      </c>
      <c r="O13" s="2434"/>
      <c r="P13" s="2434"/>
      <c r="Q13" s="2434"/>
      <c r="R13" s="2434"/>
      <c r="S13" s="2434"/>
      <c r="T13" s="2434"/>
      <c r="U13" s="2434"/>
      <c r="V13" s="2434"/>
      <c r="W13" s="2435"/>
      <c r="Z13" s="1311"/>
    </row>
    <row r="14" spans="1:37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0"/>
      <c r="V14" s="2310"/>
      <c r="W14" s="2311"/>
    </row>
    <row r="15" spans="1:37" ht="15.4" x14ac:dyDescent="0.4">
      <c r="A15" s="2374"/>
      <c r="B15" s="378" t="s">
        <v>802</v>
      </c>
      <c r="C15" s="1282">
        <v>2.0896889139999999</v>
      </c>
      <c r="D15" s="333">
        <v>22.16</v>
      </c>
      <c r="E15" s="1249">
        <f>'target FY 22-23'!B28</f>
        <v>13.59</v>
      </c>
      <c r="F15" s="434">
        <f>'MAY-22'!F15+'JUNE-22'!F15+'JULY 22'!F15+'AUG-22'!F15+'SEP-2022'!F15+'OCT-2022'!F15+'NOV -22'!F15</f>
        <v>0.66826554599999999</v>
      </c>
      <c r="G15" s="434">
        <f>'MAY-22'!G15+'JUNE-22'!G15+'JULY 22'!G15+'AUG-22'!G15+'SEP-2022'!G15+'OCT-2022'!G15+'NOV -22'!G15</f>
        <v>6.7437635000000009</v>
      </c>
      <c r="H15" s="316">
        <f>(G15-E15)/E15*100</f>
        <v>-50.377016188373801</v>
      </c>
      <c r="I15" s="314">
        <f>(G15-F15)/F15*100</f>
        <v>909.14427511125973</v>
      </c>
      <c r="J15" s="1128">
        <f>373857/10000000</f>
        <v>3.7385700000000001E-2</v>
      </c>
      <c r="M15" s="2369"/>
      <c r="N15" s="2422" t="s">
        <v>863</v>
      </c>
      <c r="O15" s="2422"/>
      <c r="P15" s="6" t="s">
        <v>166</v>
      </c>
      <c r="Q15" s="1282">
        <v>2.0896889139999999</v>
      </c>
      <c r="R15" s="333">
        <v>22.16</v>
      </c>
      <c r="S15" s="315">
        <v>22.16</v>
      </c>
      <c r="T15" s="315">
        <v>2.0896889139999999</v>
      </c>
      <c r="U15" s="315">
        <f>G15+'FEB -23'!S15</f>
        <v>17.171249100000001</v>
      </c>
      <c r="V15" s="316">
        <f>(U15-S15)/S15*100</f>
        <v>-22.51241380866426</v>
      </c>
      <c r="W15" s="314">
        <f>(U15-T15)/T15*100</f>
        <v>721.71317390642014</v>
      </c>
      <c r="AA15" s="12">
        <f>T16+T17</f>
        <v>613.00544234799997</v>
      </c>
      <c r="AB15" s="12">
        <f>U16+U17</f>
        <v>1497.8590681000001</v>
      </c>
      <c r="AC15" s="5">
        <f>(AB15-AA15)/AA15*100</f>
        <v>144.34678138626921</v>
      </c>
    </row>
    <row r="16" spans="1:37" ht="15.4" x14ac:dyDescent="0.4">
      <c r="A16" s="2374"/>
      <c r="B16" s="1281" t="s">
        <v>801</v>
      </c>
      <c r="C16" s="1282">
        <v>2.1157408480000002</v>
      </c>
      <c r="D16" s="2166">
        <v>928.43</v>
      </c>
      <c r="E16" s="2065">
        <f>'target FY 22-23'!C28</f>
        <v>550.42999999999995</v>
      </c>
      <c r="F16" s="434">
        <f>'MAY-22'!F16+'JUNE-22'!F16+'JULY 22'!F16+'AUG-22'!F16+'SEP-2022'!F16+'OCT-2022'!F16+'NOV -22'!F16</f>
        <v>0.473129048</v>
      </c>
      <c r="G16" s="434">
        <f>'MAY-22'!G16+'JUNE-22'!G16+'JULY 22'!G16+'AUG-22'!G16+'SEP-2022'!G16+'OCT-2022'!G16+'NOV -22'!G16</f>
        <v>66.735712000000007</v>
      </c>
      <c r="H16" s="2154">
        <f>L16</f>
        <v>4.8950208927565857</v>
      </c>
      <c r="I16" s="314">
        <f>(G16-F16)/F16*100</f>
        <v>14005.181722006637</v>
      </c>
      <c r="J16" s="12">
        <f>F16+F17</f>
        <v>328.99824614799996</v>
      </c>
      <c r="K16" s="12">
        <f>G16+G17</f>
        <v>577.37366350000002</v>
      </c>
      <c r="L16" s="172">
        <f>(K16-E16)/E16*100</f>
        <v>4.8950208927565857</v>
      </c>
      <c r="M16" s="2369"/>
      <c r="N16" s="2423" t="s">
        <v>864</v>
      </c>
      <c r="O16" s="2423"/>
      <c r="P16" s="1201" t="s">
        <v>166</v>
      </c>
      <c r="Q16" s="1282">
        <v>2.1157408480000002</v>
      </c>
      <c r="R16" s="2166">
        <v>928.43</v>
      </c>
      <c r="S16" s="2065">
        <v>928.43</v>
      </c>
      <c r="T16" s="315">
        <v>2.1157408480000002</v>
      </c>
      <c r="U16" s="315">
        <f>G16+'FEB -23'!S16</f>
        <v>178.83588350000002</v>
      </c>
      <c r="V16" s="2154">
        <f>Z16</f>
        <v>61.332471818015378</v>
      </c>
      <c r="W16" s="314">
        <f>(U16-T16)/T16*100</f>
        <v>8352.6365159066027</v>
      </c>
      <c r="X16" s="12">
        <f>T16+T17</f>
        <v>613.00544234799997</v>
      </c>
      <c r="Y16" s="12">
        <f>U16+U17</f>
        <v>1497.8590681000001</v>
      </c>
      <c r="Z16" s="172">
        <f>(Y16-S16)/S16*100</f>
        <v>61.332471818015378</v>
      </c>
    </row>
    <row r="17" spans="1:37" ht="15.4" x14ac:dyDescent="0.4">
      <c r="A17" s="2375"/>
      <c r="B17" s="320" t="s">
        <v>803</v>
      </c>
      <c r="C17" s="1282">
        <v>610.89346720000003</v>
      </c>
      <c r="D17" s="2064"/>
      <c r="E17" s="2066"/>
      <c r="F17" s="434">
        <f>'MAY-22'!F17+'JUNE-22'!F17+'JULY 22'!F17+'AUG-22'!F17+'SEP-2022'!F17+'OCT-2022'!F17+'NOV -22'!F17</f>
        <v>328.52511709999999</v>
      </c>
      <c r="G17" s="434">
        <f>'MAY-22'!G17+'JUNE-22'!G17+'JULY 22'!G17+'AUG-22'!G17+'SEP-2022'!G17+'OCT-2022'!G17+'NOV -22'!G17</f>
        <v>510.63795149999999</v>
      </c>
      <c r="H17" s="2155"/>
      <c r="I17" s="314">
        <f>(G17-F17)/F17*100</f>
        <v>55.433458484870293</v>
      </c>
      <c r="J17" s="323">
        <f>114680295/10000000</f>
        <v>11.4680295</v>
      </c>
      <c r="M17" s="2245"/>
      <c r="N17" s="2422" t="s">
        <v>472</v>
      </c>
      <c r="O17" s="2422"/>
      <c r="P17" s="1201" t="s">
        <v>228</v>
      </c>
      <c r="Q17" s="1282">
        <v>610.89346720000003</v>
      </c>
      <c r="R17" s="2064"/>
      <c r="S17" s="2066"/>
      <c r="T17" s="315">
        <v>610.8897015</v>
      </c>
      <c r="U17" s="315">
        <f>G17+'FEB -23'!S17</f>
        <v>1319.0231846000001</v>
      </c>
      <c r="V17" s="2155"/>
      <c r="W17" s="314">
        <f>(U17-T17)/T17*100</f>
        <v>115.91838614421299</v>
      </c>
      <c r="AJ17" s="6" t="s">
        <v>237</v>
      </c>
      <c r="AK17" s="434">
        <v>1024.2159494</v>
      </c>
    </row>
    <row r="18" spans="1:37" ht="21" customHeight="1" x14ac:dyDescent="0.35">
      <c r="A18" s="1982">
        <v>2</v>
      </c>
      <c r="B18" s="1067" t="s">
        <v>678</v>
      </c>
      <c r="C18" s="2312" t="s">
        <v>680</v>
      </c>
      <c r="D18" s="2312"/>
      <c r="E18" s="2312"/>
      <c r="F18" s="2321" t="s">
        <v>684</v>
      </c>
      <c r="G18" s="2322"/>
      <c r="H18" s="2322"/>
      <c r="I18" s="2323"/>
      <c r="M18" s="2368">
        <v>2</v>
      </c>
      <c r="N18" s="1067" t="s">
        <v>678</v>
      </c>
      <c r="O18" s="2321" t="s">
        <v>862</v>
      </c>
      <c r="P18" s="2323"/>
      <c r="Q18" s="2312" t="s">
        <v>680</v>
      </c>
      <c r="R18" s="2312"/>
      <c r="S18" s="2312"/>
      <c r="T18" s="2321" t="s">
        <v>684</v>
      </c>
      <c r="U18" s="2322"/>
      <c r="V18" s="2322"/>
      <c r="W18" s="2323"/>
      <c r="AJ18" s="6" t="s">
        <v>177</v>
      </c>
      <c r="AK18" s="434">
        <v>403.10200000000003</v>
      </c>
    </row>
    <row r="19" spans="1:37" ht="19.5" customHeight="1" x14ac:dyDescent="0.35">
      <c r="A19" s="1983"/>
      <c r="B19" s="1069" t="s">
        <v>230</v>
      </c>
      <c r="C19" s="1098">
        <f>F4</f>
        <v>44641</v>
      </c>
      <c r="D19" s="1098">
        <f>G4</f>
        <v>44986</v>
      </c>
      <c r="E19" s="1069" t="s">
        <v>681</v>
      </c>
      <c r="F19" s="1098">
        <f>F4</f>
        <v>44641</v>
      </c>
      <c r="G19" s="1098">
        <f>G4</f>
        <v>44986</v>
      </c>
      <c r="H19" s="1071" t="s">
        <v>682</v>
      </c>
      <c r="I19" s="1072" t="s">
        <v>681</v>
      </c>
      <c r="M19" s="2369"/>
      <c r="N19" s="1069" t="s">
        <v>230</v>
      </c>
      <c r="O19" s="1098" t="s">
        <v>323</v>
      </c>
      <c r="P19" s="1098">
        <v>44986</v>
      </c>
      <c r="Q19" s="1098">
        <f>T4</f>
        <v>44641</v>
      </c>
      <c r="R19" s="1098">
        <f>U4</f>
        <v>44986</v>
      </c>
      <c r="S19" s="1069" t="s">
        <v>681</v>
      </c>
      <c r="T19" s="1098">
        <f>T4</f>
        <v>44641</v>
      </c>
      <c r="U19" s="1098">
        <f>U4</f>
        <v>44986</v>
      </c>
      <c r="V19" s="1071" t="s">
        <v>682</v>
      </c>
      <c r="W19" s="1072" t="s">
        <v>681</v>
      </c>
      <c r="AJ19" s="6" t="s">
        <v>371</v>
      </c>
      <c r="AK19" s="434">
        <v>106.68749520000001</v>
      </c>
    </row>
    <row r="20" spans="1:37" ht="18.75" customHeight="1" x14ac:dyDescent="0.4">
      <c r="A20" s="1983"/>
      <c r="B20" s="1055" t="s">
        <v>231</v>
      </c>
      <c r="C20" s="85">
        <v>53181</v>
      </c>
      <c r="D20" s="303">
        <v>49520</v>
      </c>
      <c r="E20" s="314">
        <f>(D20-C20)/C20*100</f>
        <v>-6.8840375322013498</v>
      </c>
      <c r="F20" s="315">
        <v>6.36</v>
      </c>
      <c r="G20" s="315">
        <v>13.6</v>
      </c>
      <c r="H20" s="1060">
        <f>G20/G7*100</f>
        <v>5.4852797424062292</v>
      </c>
      <c r="I20" s="314">
        <f>(G20-F20)/F20*100</f>
        <v>113.83647798742136</v>
      </c>
      <c r="M20" s="2369"/>
      <c r="N20" s="1055" t="s">
        <v>231</v>
      </c>
      <c r="O20" s="1055"/>
      <c r="P20" s="1055"/>
      <c r="Q20" s="833">
        <v>1160782</v>
      </c>
      <c r="R20" s="833">
        <v>950064</v>
      </c>
      <c r="S20" s="314">
        <f>(R20-Q20)/Q20*100</f>
        <v>-18.153107129504075</v>
      </c>
      <c r="T20" s="316">
        <v>207.34293589999999</v>
      </c>
      <c r="U20" s="315">
        <v>182.9</v>
      </c>
      <c r="V20" s="1060">
        <f>U20/U7*100</f>
        <v>45.373131366254697</v>
      </c>
      <c r="W20" s="314">
        <f>(U20-T20)/T20*100</f>
        <v>-11.788651392391122</v>
      </c>
      <c r="AJ20" s="6" t="s">
        <v>203</v>
      </c>
      <c r="AK20" s="434">
        <v>17.701250099999996</v>
      </c>
    </row>
    <row r="21" spans="1:37" ht="18.75" customHeight="1" x14ac:dyDescent="0.4">
      <c r="A21" s="1983"/>
      <c r="B21" s="1055" t="s">
        <v>232</v>
      </c>
      <c r="C21" s="1214">
        <v>41529</v>
      </c>
      <c r="D21" s="1214">
        <v>75096</v>
      </c>
      <c r="E21" s="314">
        <f>(D21-C21)/C21*100</f>
        <v>80.827855233692119</v>
      </c>
      <c r="F21" s="315">
        <v>1.46</v>
      </c>
      <c r="G21" s="315">
        <v>7.73</v>
      </c>
      <c r="H21" s="1060">
        <f>G21/G7*100</f>
        <v>3.1177362065294232</v>
      </c>
      <c r="I21" s="314">
        <f>(G21-F21)/F21*100</f>
        <v>429.45205479452062</v>
      </c>
      <c r="M21" s="2369"/>
      <c r="N21" s="1055" t="s">
        <v>232</v>
      </c>
      <c r="O21" s="1055"/>
      <c r="P21" s="1055"/>
      <c r="Q21" s="833">
        <v>239253</v>
      </c>
      <c r="R21" s="833">
        <v>990683</v>
      </c>
      <c r="S21" s="314">
        <f>(R21-Q21)/Q21*100</f>
        <v>314.07338674959141</v>
      </c>
      <c r="T21" s="315">
        <v>12.3503062</v>
      </c>
      <c r="U21" s="315">
        <v>99.97</v>
      </c>
      <c r="V21" s="1060">
        <f>U21/U7*100</f>
        <v>24.800174645623191</v>
      </c>
      <c r="W21" s="314">
        <f>(U21-T21)/T21*100</f>
        <v>709.4536150042984</v>
      </c>
      <c r="Y21" s="5">
        <v>2.17</v>
      </c>
      <c r="Z21" s="172">
        <v>2.95</v>
      </c>
      <c r="AA21" s="5">
        <f>(Z21-Y21)/Y21*100</f>
        <v>35.944700460829502</v>
      </c>
    </row>
    <row r="22" spans="1:37" ht="18.75" customHeight="1" x14ac:dyDescent="0.4">
      <c r="A22" s="1983"/>
      <c r="B22" s="1055" t="s">
        <v>239</v>
      </c>
      <c r="C22" s="303">
        <v>60242</v>
      </c>
      <c r="D22" s="1214">
        <v>74894</v>
      </c>
      <c r="E22" s="314">
        <f>(D22-C22)/C22*100</f>
        <v>24.321901663291392</v>
      </c>
      <c r="F22" s="315">
        <v>6.28</v>
      </c>
      <c r="G22" s="315">
        <v>10.98</v>
      </c>
      <c r="H22" s="1060">
        <f>G22/G7*100</f>
        <v>4.4285567332073823</v>
      </c>
      <c r="I22" s="314">
        <f>(G22-F22)/F22*100</f>
        <v>74.840764331210181</v>
      </c>
      <c r="M22" s="2369"/>
      <c r="N22" s="1055" t="s">
        <v>239</v>
      </c>
      <c r="O22" s="1055"/>
      <c r="P22" s="1055"/>
      <c r="Q22" s="833">
        <v>436521</v>
      </c>
      <c r="R22" s="833">
        <v>860111</v>
      </c>
      <c r="S22" s="314">
        <f>(R22-Q22)/Q22*100</f>
        <v>97.037714107683243</v>
      </c>
      <c r="T22" s="315">
        <v>45.52</v>
      </c>
      <c r="U22" s="315">
        <v>109.5</v>
      </c>
      <c r="V22" s="1060">
        <f>U22/U7*100</f>
        <v>27.164340539119131</v>
      </c>
      <c r="W22" s="314">
        <f>(U22-T22)/T22*100</f>
        <v>140.55360281195078</v>
      </c>
    </row>
    <row r="23" spans="1:37" ht="18.75" customHeight="1" x14ac:dyDescent="0.4">
      <c r="A23" s="1983"/>
      <c r="B23" s="1055" t="s">
        <v>233</v>
      </c>
      <c r="C23" s="303">
        <v>32815</v>
      </c>
      <c r="D23" s="1214">
        <v>15686</v>
      </c>
      <c r="E23" s="314">
        <f>(D23-C23)/C23*100</f>
        <v>-52.198689623647724</v>
      </c>
      <c r="F23" s="315">
        <v>1.32</v>
      </c>
      <c r="G23" s="315">
        <v>0.57999999999999996</v>
      </c>
      <c r="H23" s="1060">
        <f>G23/G7*100</f>
        <v>0.23393104783791269</v>
      </c>
      <c r="I23" s="314">
        <f>(G23-F23)/F23*100</f>
        <v>-56.060606060606069</v>
      </c>
      <c r="M23" s="2369"/>
      <c r="N23" s="1055" t="s">
        <v>233</v>
      </c>
      <c r="O23" s="1055"/>
      <c r="P23" s="1055"/>
      <c r="Q23" s="833">
        <v>292316</v>
      </c>
      <c r="R23" s="833">
        <v>277144</v>
      </c>
      <c r="S23" s="314">
        <f>(R23-Q23)/Q23*100</f>
        <v>-5.1902735395941377</v>
      </c>
      <c r="T23" s="315">
        <v>9.7899999999999991</v>
      </c>
      <c r="U23" s="315">
        <v>10.262</v>
      </c>
      <c r="V23" s="1060">
        <f>U23/U7*100</f>
        <v>2.5457576494286807</v>
      </c>
      <c r="W23" s="314">
        <f>(U23-T23)/T23*100</f>
        <v>4.8212461695607907</v>
      </c>
      <c r="AB23" s="5">
        <f>25.63+0.96</f>
        <v>26.59</v>
      </c>
    </row>
    <row r="24" spans="1:37" ht="18.75" customHeight="1" x14ac:dyDescent="0.4">
      <c r="A24" s="1983"/>
      <c r="B24" s="1055" t="s">
        <v>739</v>
      </c>
      <c r="C24" s="303">
        <v>0</v>
      </c>
      <c r="D24" s="303">
        <v>0</v>
      </c>
      <c r="E24" s="836">
        <v>0</v>
      </c>
      <c r="F24" s="833">
        <v>0</v>
      </c>
      <c r="G24" s="315">
        <v>0</v>
      </c>
      <c r="H24" s="1060">
        <f>G24/G7*100</f>
        <v>0</v>
      </c>
      <c r="I24" s="314">
        <v>0</v>
      </c>
      <c r="M24" s="2369"/>
      <c r="N24" s="1055" t="s">
        <v>739</v>
      </c>
      <c r="O24" s="1055"/>
      <c r="P24" s="1055"/>
      <c r="Q24" s="833">
        <v>0</v>
      </c>
      <c r="R24" s="833">
        <v>2661</v>
      </c>
      <c r="S24" s="836">
        <v>0</v>
      </c>
      <c r="T24" s="315">
        <v>0</v>
      </c>
      <c r="U24" s="315">
        <v>0.04</v>
      </c>
      <c r="V24" s="1060">
        <f>U24/U7*100</f>
        <v>9.923046772280961E-3</v>
      </c>
      <c r="W24" s="314">
        <v>0</v>
      </c>
    </row>
    <row r="25" spans="1:37" ht="18.75" customHeight="1" x14ac:dyDescent="0.4">
      <c r="A25" s="1983"/>
      <c r="B25" s="1055" t="s">
        <v>235</v>
      </c>
      <c r="C25" s="303">
        <v>0</v>
      </c>
      <c r="D25" s="303">
        <v>0</v>
      </c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M25" s="2369"/>
      <c r="N25" s="1055" t="s">
        <v>235</v>
      </c>
      <c r="O25" s="1055"/>
      <c r="P25" s="1055"/>
      <c r="Q25" s="833">
        <v>1377</v>
      </c>
      <c r="R25" s="833">
        <v>2748</v>
      </c>
      <c r="S25" s="836">
        <v>0</v>
      </c>
      <c r="T25" s="315">
        <v>3.8016399999999999E-2</v>
      </c>
      <c r="U25" s="315">
        <v>0.11</v>
      </c>
      <c r="V25" s="1060">
        <f>U25/U7*100</f>
        <v>2.7288378623772643E-2</v>
      </c>
      <c r="W25" s="314">
        <v>0</v>
      </c>
    </row>
    <row r="26" spans="1:37" ht="27" customHeight="1" x14ac:dyDescent="0.4">
      <c r="A26" s="1984"/>
      <c r="B26" s="1056" t="s">
        <v>693</v>
      </c>
      <c r="C26" s="1059">
        <v>0</v>
      </c>
      <c r="D26" s="1059">
        <v>0</v>
      </c>
      <c r="E26" s="836">
        <v>0</v>
      </c>
      <c r="F26" s="315">
        <v>0.03</v>
      </c>
      <c r="G26" s="833">
        <v>0</v>
      </c>
      <c r="H26" s="1060">
        <f>G26/G7*100</f>
        <v>0</v>
      </c>
      <c r="I26" s="314">
        <f>(G26-F26)/F26*100</f>
        <v>-100</v>
      </c>
      <c r="M26" s="2245"/>
      <c r="N26" s="1056" t="s">
        <v>693</v>
      </c>
      <c r="O26" s="1056"/>
      <c r="P26" s="1056"/>
      <c r="Q26" s="833">
        <f>1329+121</f>
        <v>1450</v>
      </c>
      <c r="R26" s="833">
        <f>4060</f>
        <v>4060</v>
      </c>
      <c r="S26" s="836">
        <v>0</v>
      </c>
      <c r="T26" s="315">
        <v>0.29395139999999997</v>
      </c>
      <c r="U26" s="315">
        <v>0.32</v>
      </c>
      <c r="V26" s="1060">
        <f>U26/U7*100</f>
        <v>7.9384374178247688E-2</v>
      </c>
      <c r="W26" s="314">
        <f>(U26-T26)/T26*100</f>
        <v>8.8615328928523684</v>
      </c>
    </row>
    <row r="27" spans="1:37" s="26" customFormat="1" ht="19.5" customHeight="1" x14ac:dyDescent="0.4">
      <c r="A27" s="1216"/>
      <c r="B27" s="1063" t="s">
        <v>683</v>
      </c>
      <c r="C27" s="1063">
        <f>SUM(C20:C26)</f>
        <v>187767</v>
      </c>
      <c r="D27" s="1063">
        <f>SUM(D20:D26)</f>
        <v>215196</v>
      </c>
      <c r="E27" s="394">
        <f>(D27-C27)/C27*100</f>
        <v>14.607998210548178</v>
      </c>
      <c r="F27" s="1054">
        <f>SUM(F20:F26)</f>
        <v>15.450000000000001</v>
      </c>
      <c r="G27" s="1054">
        <f>G20+G21+G22+G23+G24+G25+G26</f>
        <v>32.89</v>
      </c>
      <c r="H27" s="1066">
        <f>SUM(H20:H26)</f>
        <v>13.265503729980949</v>
      </c>
      <c r="I27" s="394">
        <f>(G27-F27)/F27*100</f>
        <v>112.88025889967635</v>
      </c>
      <c r="J27" s="762"/>
      <c r="K27" s="762"/>
      <c r="L27" s="432"/>
      <c r="M27" s="1202"/>
      <c r="N27" s="1063" t="s">
        <v>683</v>
      </c>
      <c r="O27" s="1063"/>
      <c r="P27" s="1063"/>
      <c r="Q27" s="1259">
        <f>SUM(Q20:Q26)</f>
        <v>2131699</v>
      </c>
      <c r="R27" s="1259">
        <f>SUM(R20:R26)</f>
        <v>3087471</v>
      </c>
      <c r="S27" s="394">
        <f>(R27-Q27)/Q27*100</f>
        <v>44.836161202871509</v>
      </c>
      <c r="T27" s="1054">
        <f>SUM(T20:T26)</f>
        <v>275.33520990000005</v>
      </c>
      <c r="U27" s="1054">
        <f>SUM(U20:U26)</f>
        <v>403.10200000000003</v>
      </c>
      <c r="V27" s="1066">
        <f>SUM(V20:V26)</f>
        <v>100</v>
      </c>
      <c r="W27" s="394">
        <f>(U27-T27)/T27*100</f>
        <v>46.40408691151562</v>
      </c>
      <c r="X27" s="26">
        <f>76.54+0.12</f>
        <v>76.660000000000011</v>
      </c>
      <c r="Y27" s="26">
        <f>R27/1000000</f>
        <v>3.0874709999999999</v>
      </c>
      <c r="Z27" s="432"/>
    </row>
    <row r="28" spans="1:37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1201"/>
      <c r="N28" s="2313" t="s">
        <v>7</v>
      </c>
      <c r="O28" s="2313"/>
      <c r="P28" s="2313"/>
      <c r="Q28" s="2313"/>
      <c r="R28" s="2314" t="s">
        <v>8</v>
      </c>
      <c r="S28" s="2314"/>
      <c r="T28" s="2314" t="s">
        <v>10</v>
      </c>
      <c r="U28" s="2314"/>
      <c r="V28" s="2315" t="s">
        <v>11</v>
      </c>
      <c r="W28" s="2315"/>
    </row>
    <row r="29" spans="1:37" ht="24" hidden="1" customHeight="1" x14ac:dyDescent="0.35">
      <c r="A29" s="135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606"/>
      <c r="N29" s="2313"/>
      <c r="O29" s="2313"/>
      <c r="P29" s="2313"/>
      <c r="Q29" s="2313"/>
      <c r="R29" s="272" t="s">
        <v>9</v>
      </c>
      <c r="S29" s="1057">
        <f>U29</f>
        <v>44652</v>
      </c>
      <c r="T29" s="1057">
        <v>44287</v>
      </c>
      <c r="U29" s="1057">
        <v>44652</v>
      </c>
      <c r="V29" s="1065" t="s">
        <v>12</v>
      </c>
      <c r="W29" s="1065" t="s">
        <v>13</v>
      </c>
    </row>
    <row r="30" spans="1:37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1287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0"/>
      <c r="V30" s="2310"/>
      <c r="W30" s="2311"/>
    </row>
    <row r="31" spans="1:37" ht="15.4" x14ac:dyDescent="0.4">
      <c r="A31" s="2382"/>
      <c r="B31" s="378" t="s">
        <v>2</v>
      </c>
      <c r="C31" s="1283">
        <v>10.977297400000001</v>
      </c>
      <c r="D31" s="331">
        <v>12.05</v>
      </c>
      <c r="E31" s="414">
        <f>'MAY-22'!E31+'JUNE-22'!E31+'JULY 22'!E31+'AUG-22'!E31+'SEP-2022'!E31+'OCT-2022'!E31+'NOV -22'!E31</f>
        <v>6.8</v>
      </c>
      <c r="F31" s="414">
        <f>'MAY-22'!F31+'JUNE-22'!F31+'JULY 22'!F31+'AUG-22'!F31+'SEP-2022'!F31+'OCT-2022'!F31+'NOV -22'!F31</f>
        <v>4.2426215000000003</v>
      </c>
      <c r="G31" s="414">
        <v>14.19</v>
      </c>
      <c r="H31" s="314">
        <f>(G31-E31)/E31*100</f>
        <v>108.67647058823529</v>
      </c>
      <c r="I31" s="314">
        <f t="shared" ref="I31:I36" si="0">(G31-F31)/F31*100</f>
        <v>234.46302009264787</v>
      </c>
      <c r="J31" s="84">
        <f>2661720/10000000</f>
        <v>0.26617200000000002</v>
      </c>
      <c r="K31" s="84">
        <f>11596205/10000000</f>
        <v>1.1596204999999999</v>
      </c>
      <c r="M31" s="1288"/>
      <c r="N31" s="2006" t="s">
        <v>2</v>
      </c>
      <c r="O31" s="2019"/>
      <c r="P31" s="2007"/>
      <c r="Q31" s="1283">
        <v>10.977297400000001</v>
      </c>
      <c r="R31" s="331">
        <v>12.05</v>
      </c>
      <c r="S31" s="307">
        <v>12.05</v>
      </c>
      <c r="T31" s="315">
        <v>10.977297400000001</v>
      </c>
      <c r="U31" s="315">
        <v>24.66</v>
      </c>
      <c r="V31" s="314">
        <f>(U31-S31)/S31*100</f>
        <v>104.6473029045643</v>
      </c>
      <c r="W31" s="314">
        <f t="shared" ref="W31:W37" si="1">(U31-T31)/T31*100</f>
        <v>124.64545781550929</v>
      </c>
      <c r="Y31" s="5">
        <f>(S31*10000000)/100000</f>
        <v>1205</v>
      </c>
    </row>
    <row r="32" spans="1:37" ht="15.4" x14ac:dyDescent="0.4">
      <c r="A32" s="2382"/>
      <c r="B32" s="378" t="s">
        <v>23</v>
      </c>
      <c r="C32" s="1283">
        <v>25.645024399999997</v>
      </c>
      <c r="D32" s="331">
        <v>27.75</v>
      </c>
      <c r="E32" s="414">
        <f>'MAY-22'!E32+'JUNE-22'!E32+'JULY 22'!E32+'AUG-22'!E32+'SEP-2022'!E32+'OCT-2022'!E32+'NOV -22'!E32</f>
        <v>15.53548387096774</v>
      </c>
      <c r="F32" s="414">
        <f>'MAY-22'!F32+'JUNE-22'!F32+'JULY 22'!F32+'AUG-22'!F32+'SEP-2022'!F32+'OCT-2022'!F32+'NOV -22'!F32</f>
        <v>14.582780400000001</v>
      </c>
      <c r="G32" s="414">
        <f>'MAY-22'!G32+'JUNE-22'!G32+'JULY 22'!G32+'AUG-22'!G32+'SEP-2022'!G32+'OCT-2022'!G32+'NOV -22'!G32</f>
        <v>17.967709199999998</v>
      </c>
      <c r="H32" s="314">
        <f>(G32-E32)/E32*100</f>
        <v>15.655935465116283</v>
      </c>
      <c r="I32" s="314">
        <f>(G32-F32)/F32*100</f>
        <v>23.211820428976608</v>
      </c>
      <c r="J32" s="1128">
        <f>0.42-0.02</f>
        <v>0.39999999999999997</v>
      </c>
      <c r="K32" s="84">
        <f>0.58-0.12</f>
        <v>0.45999999999999996</v>
      </c>
      <c r="M32" s="1288"/>
      <c r="N32" s="2006" t="s">
        <v>23</v>
      </c>
      <c r="O32" s="2019"/>
      <c r="P32" s="2007"/>
      <c r="Q32" s="1283">
        <v>25.645024399999997</v>
      </c>
      <c r="R32" s="331">
        <v>27.75</v>
      </c>
      <c r="S32" s="307">
        <v>27.75</v>
      </c>
      <c r="T32" s="315">
        <v>25.645024399999997</v>
      </c>
      <c r="U32" s="315">
        <v>27.693304099999999</v>
      </c>
      <c r="V32" s="314">
        <f>(U32-S32)/S32*100</f>
        <v>-0.2043095495495536</v>
      </c>
      <c r="W32" s="314">
        <f t="shared" si="1"/>
        <v>7.9870452375159458</v>
      </c>
      <c r="Y32" s="5">
        <f>(S32*10000000)/100000</f>
        <v>2775</v>
      </c>
    </row>
    <row r="33" spans="1:29" ht="15.4" x14ac:dyDescent="0.4">
      <c r="A33" s="2382"/>
      <c r="B33" s="378" t="s">
        <v>1</v>
      </c>
      <c r="C33" s="1283">
        <v>1.1151324</v>
      </c>
      <c r="D33" s="331">
        <v>5.77</v>
      </c>
      <c r="E33" s="414">
        <f>'MAY-22'!E33+'JUNE-22'!E33+'JULY 22'!E33+'AUG-22'!E33+'SEP-2022'!E33+'OCT-2022'!E33+'NOV -22'!E33</f>
        <v>3.35</v>
      </c>
      <c r="F33" s="414">
        <f>'MAY-22'!F33+'JUNE-22'!F33+'JULY 22'!F33+'AUG-22'!F33+'SEP-2022'!F33+'OCT-2022'!F33+'NOV -22'!F33</f>
        <v>0.67038229999999999</v>
      </c>
      <c r="G33" s="414">
        <f>'MAY-22'!G33+'JUNE-22'!G33+'JULY 22'!G33+'AUG-22'!G33+'SEP-2022'!G33+'OCT-2022'!G33+'NOV -22'!G33</f>
        <v>0.61137350000000001</v>
      </c>
      <c r="H33" s="314">
        <f>(G33-E33)/E33*100</f>
        <v>-81.750044776119395</v>
      </c>
      <c r="I33" s="314">
        <f t="shared" si="0"/>
        <v>-8.8022610382165478</v>
      </c>
      <c r="M33" s="1288"/>
      <c r="N33" s="2006" t="s">
        <v>1</v>
      </c>
      <c r="O33" s="2019"/>
      <c r="P33" s="2007"/>
      <c r="Q33" s="1283">
        <v>1.1151324</v>
      </c>
      <c r="R33" s="331">
        <v>5.77</v>
      </c>
      <c r="S33" s="307">
        <v>5.77</v>
      </c>
      <c r="T33" s="315">
        <v>1.1151324</v>
      </c>
      <c r="U33" s="315">
        <v>1.0446717999999999</v>
      </c>
      <c r="V33" s="314">
        <f>(U33-S33)/S33*100</f>
        <v>-81.894769497400361</v>
      </c>
      <c r="W33" s="314">
        <f t="shared" si="1"/>
        <v>-6.3185860261974351</v>
      </c>
      <c r="Y33" s="5">
        <f>(S33*10000000)/100000</f>
        <v>576.99999999999989</v>
      </c>
    </row>
    <row r="34" spans="1:29" ht="15.4" x14ac:dyDescent="0.4">
      <c r="A34" s="2382"/>
      <c r="B34" s="378" t="s">
        <v>24</v>
      </c>
      <c r="C34" s="1283">
        <v>0.36572300000000002</v>
      </c>
      <c r="D34" s="603" t="s">
        <v>221</v>
      </c>
      <c r="E34" s="315"/>
      <c r="F34" s="414">
        <f>'MAY-22'!F34+'JUNE-22'!F34+'JULY 22'!F34+'AUG-22'!F34+'SEP-2022'!F34+'OCT-2022'!F34+'NOV -22'!F34</f>
        <v>0.17630200000000001</v>
      </c>
      <c r="G34" s="414">
        <f>'MAY-22'!G34+'JUNE-22'!G34+'JULY 22'!G34+'AUG-22'!G34+'SEP-2022'!G34+'OCT-2022'!G34+'NOV -22'!G34</f>
        <v>1.9114059999999999</v>
      </c>
      <c r="H34" s="316" t="s">
        <v>221</v>
      </c>
      <c r="I34" s="314">
        <f t="shared" si="0"/>
        <v>984.16580640038114</v>
      </c>
      <c r="J34" s="84">
        <f>62410/10000000</f>
        <v>6.241E-3</v>
      </c>
      <c r="M34" s="1288"/>
      <c r="N34" s="2006" t="s">
        <v>24</v>
      </c>
      <c r="O34" s="2019"/>
      <c r="P34" s="2007"/>
      <c r="Q34" s="1283">
        <v>0.36572300000000002</v>
      </c>
      <c r="R34" s="603" t="s">
        <v>221</v>
      </c>
      <c r="S34" s="315" t="s">
        <v>221</v>
      </c>
      <c r="T34" s="315">
        <v>0.36572300000000002</v>
      </c>
      <c r="U34" s="315">
        <v>3.1600820000000001</v>
      </c>
      <c r="V34" s="316" t="s">
        <v>221</v>
      </c>
      <c r="W34" s="314">
        <f t="shared" si="1"/>
        <v>764.06433284206901</v>
      </c>
      <c r="Y34" s="5" t="e">
        <f>(S34*10000000)/100000</f>
        <v>#VALUE!</v>
      </c>
    </row>
    <row r="35" spans="1:29" ht="15.4" x14ac:dyDescent="0.4">
      <c r="A35" s="2382"/>
      <c r="B35" s="1278" t="s">
        <v>25</v>
      </c>
      <c r="C35" s="1284">
        <v>2.9771365000000003</v>
      </c>
      <c r="D35" s="603" t="s">
        <v>221</v>
      </c>
      <c r="E35" s="315"/>
      <c r="F35" s="414">
        <f>'MAY-22'!F35+'JUNE-22'!F35+'JULY 22'!F35+'AUG-22'!F35+'SEP-2022'!F35+'OCT-2022'!F35+'NOV -22'!F35</f>
        <v>2.5549431999999999</v>
      </c>
      <c r="G35" s="414">
        <f>'MAY-22'!G35+'JUNE-22'!G35+'JULY 22'!G35+'AUG-22'!G35+'SEP-2022'!G35+'OCT-2022'!G35+'NOV -22'!G35</f>
        <v>4.8311318999999999</v>
      </c>
      <c r="H35" s="316" t="s">
        <v>221</v>
      </c>
      <c r="I35" s="314">
        <v>0</v>
      </c>
      <c r="M35" s="1288"/>
      <c r="N35" s="2017" t="s">
        <v>25</v>
      </c>
      <c r="O35" s="2018"/>
      <c r="P35" s="2030"/>
      <c r="Q35" s="1284">
        <v>2.9771365000000003</v>
      </c>
      <c r="R35" s="603" t="s">
        <v>221</v>
      </c>
      <c r="S35" s="315" t="s">
        <v>221</v>
      </c>
      <c r="T35" s="315">
        <v>2.9771365000000003</v>
      </c>
      <c r="U35" s="315">
        <v>6.2230024999999998</v>
      </c>
      <c r="V35" s="316" t="s">
        <v>221</v>
      </c>
      <c r="W35" s="314">
        <f t="shared" si="1"/>
        <v>109.02644201903404</v>
      </c>
    </row>
    <row r="36" spans="1:29" ht="17.25" customHeight="1" x14ac:dyDescent="0.4">
      <c r="A36" s="2383"/>
      <c r="B36" s="1278" t="s">
        <v>241</v>
      </c>
      <c r="C36" s="1284">
        <v>30.062250799999997</v>
      </c>
      <c r="D36" s="540" t="s">
        <v>221</v>
      </c>
      <c r="E36" s="316"/>
      <c r="F36" s="414">
        <f>'MAY-22'!F36+'JUNE-22'!F36+'JULY 22'!F36+'AUG-22'!F36+'SEP-2022'!F36+'OCT-2022'!F36+'NOV -22'!F36</f>
        <v>14.4751586</v>
      </c>
      <c r="G36" s="414">
        <v>24.73</v>
      </c>
      <c r="H36" s="316" t="s">
        <v>221</v>
      </c>
      <c r="I36" s="314">
        <f t="shared" si="0"/>
        <v>70.844414789348136</v>
      </c>
      <c r="J36" s="323">
        <f>(3613355)/10000000</f>
        <v>0.36133549999999998</v>
      </c>
      <c r="K36" s="323">
        <f>(20880+ 10612529)/10000000</f>
        <v>1.0633409</v>
      </c>
      <c r="M36" s="1289"/>
      <c r="N36" s="2424" t="s">
        <v>241</v>
      </c>
      <c r="O36" s="2425"/>
      <c r="P36" s="2426"/>
      <c r="Q36" s="1284">
        <v>30.062250799999997</v>
      </c>
      <c r="R36" s="540" t="s">
        <v>221</v>
      </c>
      <c r="S36" s="315" t="s">
        <v>221</v>
      </c>
      <c r="T36" s="315">
        <v>30.062250799999997</v>
      </c>
      <c r="U36" s="315">
        <v>43.050880200000002</v>
      </c>
      <c r="V36" s="316" t="s">
        <v>221</v>
      </c>
      <c r="W36" s="314">
        <f t="shared" si="1"/>
        <v>43.205778191432046</v>
      </c>
    </row>
    <row r="37" spans="1:29" ht="15.4" x14ac:dyDescent="0.4">
      <c r="A37" s="1234"/>
      <c r="B37" s="378" t="s">
        <v>260</v>
      </c>
      <c r="C37" s="1283">
        <v>0.53153519999999999</v>
      </c>
      <c r="D37" s="540" t="s">
        <v>221</v>
      </c>
      <c r="E37" s="316"/>
      <c r="F37" s="414">
        <f>'MAY-22'!F37+'JUNE-22'!F37+'JULY 22'!F37+'AUG-22'!F37+'SEP-2022'!F37+'OCT-2022'!F37+'NOV -22'!F37</f>
        <v>0.31756620000000002</v>
      </c>
      <c r="G37" s="414">
        <f>'MAY-22'!G37+'JUNE-22'!G37+'JULY 22'!G37+'AUG-22'!G37+'SEP-2022'!G37+'OCT-2022'!G37+'NOV -22'!G37</f>
        <v>0.48976700000000006</v>
      </c>
      <c r="H37" s="413"/>
      <c r="I37" s="314">
        <v>0</v>
      </c>
      <c r="M37" s="1208"/>
      <c r="N37" s="2006" t="s">
        <v>260</v>
      </c>
      <c r="O37" s="2019"/>
      <c r="P37" s="2007"/>
      <c r="Q37" s="1283">
        <v>0.53153519999999999</v>
      </c>
      <c r="R37" s="540" t="s">
        <v>221</v>
      </c>
      <c r="S37" s="315" t="s">
        <v>221</v>
      </c>
      <c r="T37" s="315">
        <v>0.53153519999999999</v>
      </c>
      <c r="U37" s="315">
        <v>0.85555460000000005</v>
      </c>
      <c r="V37" s="413"/>
      <c r="W37" s="314">
        <f t="shared" si="1"/>
        <v>60.95916131236465</v>
      </c>
    </row>
    <row r="38" spans="1:29" x14ac:dyDescent="0.35">
      <c r="A38" s="2387">
        <v>4</v>
      </c>
      <c r="B38" s="2309" t="s">
        <v>785</v>
      </c>
      <c r="C38" s="2310"/>
      <c r="D38" s="2310"/>
      <c r="E38" s="2310"/>
      <c r="F38" s="2310"/>
      <c r="G38" s="2310"/>
      <c r="H38" s="2310"/>
      <c r="I38" s="2311"/>
      <c r="M38" s="1286">
        <v>4</v>
      </c>
      <c r="N38" s="2309" t="s">
        <v>786</v>
      </c>
      <c r="O38" s="2310"/>
      <c r="P38" s="2310"/>
      <c r="Q38" s="2310"/>
      <c r="R38" s="2310"/>
      <c r="S38" s="2310"/>
      <c r="T38" s="2310"/>
      <c r="U38" s="2310"/>
      <c r="V38" s="2310"/>
      <c r="W38" s="2311"/>
    </row>
    <row r="39" spans="1:29" ht="15.4" x14ac:dyDescent="0.4">
      <c r="A39" s="2387"/>
      <c r="B39" s="378" t="s">
        <v>27</v>
      </c>
      <c r="C39" s="1283">
        <v>4.1788628000000001</v>
      </c>
      <c r="D39" s="331">
        <v>12.24</v>
      </c>
      <c r="E39" s="414">
        <f>'MAY-22'!E39+'JUNE-22'!E39+'JULY 22'!E39+'AUG-22'!E39+'SEP-2022'!E39+'OCT-2022'!E39+'NOV -22'!E39</f>
        <v>7.1399999999999988</v>
      </c>
      <c r="F39" s="414">
        <f>'MAY-22'!F39+'JUNE-22'!F39+'JULY 22'!F39+'AUG-22'!F39+'SEP-2022'!F39+'OCT-2022'!F39+'NOV -22'!F39</f>
        <v>2.1133617</v>
      </c>
      <c r="G39" s="414">
        <f>'MAY-22'!G39+'JUNE-22'!G39+'JULY 22'!G39+'AUG-22'!G39+'SEP-2022'!G39+'OCT-2022'!G39+'NOV -22'!G39</f>
        <v>6.4537539000000006</v>
      </c>
      <c r="H39" s="314">
        <f>(G40-E40)/E40*100</f>
        <v>-53.641004842615004</v>
      </c>
      <c r="I39" s="314">
        <f>(G39-F39)/F39*100</f>
        <v>205.37857764716753</v>
      </c>
      <c r="J39" s="84">
        <f t="shared" ref="J39:J44" si="2">E39*8</f>
        <v>57.11999999999999</v>
      </c>
      <c r="L39" s="172">
        <v>2.1361249999999998</v>
      </c>
      <c r="M39" s="1286"/>
      <c r="N39" s="2006" t="s">
        <v>27</v>
      </c>
      <c r="O39" s="2019"/>
      <c r="P39" s="2007"/>
      <c r="Q39" s="1283">
        <v>4.1788628000000001</v>
      </c>
      <c r="R39" s="331">
        <v>12.24</v>
      </c>
      <c r="S39" s="331">
        <v>12.24</v>
      </c>
      <c r="T39" s="315">
        <v>4.1788628000000001</v>
      </c>
      <c r="U39" s="315">
        <v>12.02</v>
      </c>
      <c r="V39" s="314">
        <f>(U39-S39)/S39*100</f>
        <v>-1.7973856209150378</v>
      </c>
      <c r="W39" s="314">
        <f>(U39-T39)/T39*100</f>
        <v>187.63806268059338</v>
      </c>
      <c r="Y39" s="5">
        <f>(E39*10000000)/100000</f>
        <v>713.99999999999989</v>
      </c>
      <c r="Z39" s="172">
        <v>141.05000000000001</v>
      </c>
      <c r="AA39" s="5">
        <v>70.17</v>
      </c>
      <c r="AB39" s="11">
        <f t="shared" ref="AB39:AB44" si="3">(Z39-Y39)/Y39*100</f>
        <v>-80.245098039215677</v>
      </c>
      <c r="AC39" s="11">
        <f t="shared" ref="AC39:AC44" si="4">(Z39-AA39)/AA39*100</f>
        <v>101.01182841670231</v>
      </c>
    </row>
    <row r="40" spans="1:29" ht="15.4" x14ac:dyDescent="0.4">
      <c r="A40" s="2387"/>
      <c r="B40" s="378" t="s">
        <v>28</v>
      </c>
      <c r="C40" s="1283">
        <v>0.17199999999999999</v>
      </c>
      <c r="D40" s="333">
        <v>2.1</v>
      </c>
      <c r="E40" s="414">
        <f>'MAY-22'!E40+'JUNE-22'!E40+'JULY 22'!E40+'AUG-22'!E40+'SEP-2022'!E40+'OCT-2022'!E40+'NOV -22'!E40</f>
        <v>1.6519999999999999</v>
      </c>
      <c r="F40" s="414">
        <f>'MAY-22'!F40+'JUNE-22'!F40+'JULY 22'!F40+'AUG-22'!F40+'SEP-2022'!F40+'OCT-2022'!F40+'NOV -22'!F40</f>
        <v>0.11442669999999999</v>
      </c>
      <c r="G40" s="414">
        <f>'MAY-22'!G40+'JUNE-22'!G40+'JULY 22'!G40+'AUG-22'!G40+'SEP-2022'!G40+'OCT-2022'!G40+'NOV -22'!G40</f>
        <v>0.76585060000000005</v>
      </c>
      <c r="I40" s="314">
        <v>0</v>
      </c>
      <c r="J40" s="84">
        <f t="shared" si="2"/>
        <v>13.215999999999999</v>
      </c>
      <c r="L40" s="172">
        <v>0.11442669999999999</v>
      </c>
      <c r="M40" s="1286"/>
      <c r="N40" s="2006" t="s">
        <v>28</v>
      </c>
      <c r="O40" s="2019"/>
      <c r="P40" s="2007"/>
      <c r="Q40" s="1283">
        <v>0.17199999999999999</v>
      </c>
      <c r="R40" s="333">
        <v>2.1</v>
      </c>
      <c r="S40" s="333">
        <v>2.1</v>
      </c>
      <c r="T40" s="315">
        <v>0.17199999999999999</v>
      </c>
      <c r="U40" s="315">
        <v>1.94</v>
      </c>
      <c r="V40" s="314">
        <f>(U40-S40)/S40*100</f>
        <v>-7.6190476190476257</v>
      </c>
      <c r="W40" s="314">
        <f>(U40-T40)/T40*100</f>
        <v>1027.9069767441861</v>
      </c>
      <c r="Y40" s="5">
        <f>(E40*10000000)/100000</f>
        <v>165.2</v>
      </c>
      <c r="Z40" s="172">
        <v>19.73</v>
      </c>
      <c r="AA40" s="5">
        <v>3.12</v>
      </c>
      <c r="AB40" s="11">
        <f t="shared" si="3"/>
        <v>-88.056900726392257</v>
      </c>
      <c r="AC40" s="11">
        <f t="shared" si="4"/>
        <v>532.3717948717948</v>
      </c>
    </row>
    <row r="41" spans="1:29" ht="15.4" x14ac:dyDescent="0.4">
      <c r="A41" s="2387"/>
      <c r="B41" s="378" t="s">
        <v>224</v>
      </c>
      <c r="C41" s="1283">
        <v>0.23092159999999998</v>
      </c>
      <c r="D41" s="331">
        <v>2.4500000000000002</v>
      </c>
      <c r="E41" s="414">
        <f>'MAY-22'!E41+'JUNE-22'!E41+'JULY 22'!E41+'AUG-22'!E41+'SEP-2022'!E41+'OCT-2022'!E41+'NOV -22'!E41</f>
        <v>1.4291666666666667</v>
      </c>
      <c r="F41" s="414">
        <f>'MAY-22'!F41+'JUNE-22'!F41+'JULY 22'!F41+'AUG-22'!F41+'SEP-2022'!F41+'OCT-2022'!F41+'NOV -22'!F41</f>
        <v>0.19865379999999999</v>
      </c>
      <c r="G41" s="414">
        <f>'MAY-22'!G41+'JUNE-22'!G41+'JULY 22'!G41+'AUG-22'!G41+'SEP-2022'!G41+'OCT-2022'!G41+'NOV -22'!G41</f>
        <v>1.2172082</v>
      </c>
      <c r="H41" s="314">
        <f>(G41-E41)/E41*100</f>
        <v>-14.830913119533532</v>
      </c>
      <c r="I41" s="314">
        <v>0</v>
      </c>
      <c r="J41" s="323">
        <f t="shared" si="2"/>
        <v>11.433333333333334</v>
      </c>
      <c r="L41" s="172">
        <v>0.1548958</v>
      </c>
      <c r="M41" s="1286"/>
      <c r="N41" s="2006" t="s">
        <v>224</v>
      </c>
      <c r="O41" s="2019"/>
      <c r="P41" s="2007"/>
      <c r="Q41" s="1283">
        <v>0.23092159999999998</v>
      </c>
      <c r="R41" s="331">
        <v>2.4500000000000002</v>
      </c>
      <c r="S41" s="331">
        <v>2.4500000000000002</v>
      </c>
      <c r="T41" s="315">
        <v>0.23092159999999998</v>
      </c>
      <c r="U41" s="315">
        <v>1.96</v>
      </c>
      <c r="V41" s="314">
        <f>(U41-S41)/S41*100</f>
        <v>-20.000000000000007</v>
      </c>
      <c r="W41" s="314">
        <f>(U41-T41)/T41*100</f>
        <v>748.77291686875549</v>
      </c>
      <c r="Y41" s="11">
        <f>(E41*10000000)/100000</f>
        <v>142.91666666666666</v>
      </c>
      <c r="Z41" s="172">
        <v>45.45</v>
      </c>
      <c r="AA41" s="5">
        <v>0</v>
      </c>
      <c r="AB41" s="11">
        <f t="shared" si="3"/>
        <v>-68.198250728862973</v>
      </c>
      <c r="AC41" s="11" t="e">
        <f t="shared" si="4"/>
        <v>#DIV/0!</v>
      </c>
    </row>
    <row r="42" spans="1:29" ht="15.4" hidden="1" x14ac:dyDescent="0.4">
      <c r="A42" s="2387"/>
      <c r="B42" s="378" t="s">
        <v>64</v>
      </c>
      <c r="C42" s="1283">
        <v>0</v>
      </c>
      <c r="D42" s="540" t="s">
        <v>221</v>
      </c>
      <c r="E42" s="414">
        <f>'MAY-22'!E42+'JUNE-22'!E42+'JULY 22'!E42+'AUG-22'!E42+'SEP-2022'!E42+'OCT-2022'!E42+'NOV -22'!E42</f>
        <v>0</v>
      </c>
      <c r="F42" s="414">
        <f>'MAY-22'!F42+'JUNE-22'!F42+'JULY 22'!F42+'AUG-22'!F42+'SEP-2022'!F42+'OCT-2022'!F42+'NOV -22'!F42</f>
        <v>0</v>
      </c>
      <c r="G42" s="414">
        <f>'MAY-22'!G42+'JUNE-22'!G42+'JULY 22'!G42+'AUG-22'!G42+'SEP-2022'!G42+'OCT-2022'!G42+'NOV -22'!G42</f>
        <v>0</v>
      </c>
      <c r="H42" s="314" t="s">
        <v>221</v>
      </c>
      <c r="I42" s="314">
        <v>0</v>
      </c>
      <c r="J42" s="84">
        <f t="shared" si="2"/>
        <v>0</v>
      </c>
      <c r="L42" s="172">
        <v>0</v>
      </c>
      <c r="M42" s="1286"/>
      <c r="N42" s="1368" t="s">
        <v>30</v>
      </c>
      <c r="O42" s="1368"/>
      <c r="P42" s="1368"/>
      <c r="Q42" s="1283">
        <v>0</v>
      </c>
      <c r="R42" s="540" t="s">
        <v>221</v>
      </c>
      <c r="S42" s="315"/>
      <c r="T42" s="315">
        <v>0</v>
      </c>
      <c r="U42" s="315">
        <f>G42+'DEC-22'!S42</f>
        <v>0</v>
      </c>
      <c r="V42" s="314" t="s">
        <v>221</v>
      </c>
      <c r="W42" s="314">
        <v>0</v>
      </c>
      <c r="Y42" s="5">
        <f>(E42*10000000)/100000</f>
        <v>0</v>
      </c>
      <c r="AB42" s="11" t="e">
        <f t="shared" si="3"/>
        <v>#DIV/0!</v>
      </c>
      <c r="AC42" s="11" t="e">
        <f t="shared" si="4"/>
        <v>#DIV/0!</v>
      </c>
    </row>
    <row r="43" spans="1:29" ht="15.4" x14ac:dyDescent="0.4">
      <c r="A43" s="2387"/>
      <c r="B43" s="378" t="s">
        <v>4</v>
      </c>
      <c r="C43" s="1283">
        <v>4.06481E-2</v>
      </c>
      <c r="D43" s="540" t="s">
        <v>221</v>
      </c>
      <c r="E43" s="315"/>
      <c r="F43" s="414">
        <f>'MAY-22'!F43+'JUNE-22'!F43+'JULY 22'!F43+'AUG-22'!F43+'SEP-2022'!F43+'OCT-2022'!F43+'NOV -22'!F43</f>
        <v>4.0018400000000003E-2</v>
      </c>
      <c r="G43" s="414">
        <f>'MAY-22'!G43+'JUNE-22'!G43+'JULY 22'!G43+'AUG-22'!G43+'SEP-2022'!G43+'OCT-2022'!G43+'NOV -22'!G43</f>
        <v>0.2114162</v>
      </c>
      <c r="H43" s="314" t="s">
        <v>221</v>
      </c>
      <c r="I43" s="314">
        <v>0</v>
      </c>
      <c r="J43" s="84">
        <f t="shared" si="2"/>
        <v>0</v>
      </c>
      <c r="L43" s="172">
        <v>4.0018400000000003E-2</v>
      </c>
      <c r="M43" s="1286"/>
      <c r="N43" s="2006" t="s">
        <v>4</v>
      </c>
      <c r="O43" s="2019"/>
      <c r="P43" s="2007"/>
      <c r="Q43" s="1283">
        <v>4.06481E-2</v>
      </c>
      <c r="R43" s="540" t="s">
        <v>221</v>
      </c>
      <c r="S43" s="315"/>
      <c r="T43" s="315">
        <v>4.06481E-2</v>
      </c>
      <c r="U43" s="315">
        <f>'actual fig'!W32/10000000</f>
        <v>0.211532</v>
      </c>
      <c r="V43" s="314" t="s">
        <v>221</v>
      </c>
      <c r="W43" s="314">
        <f>(U43-T43)/T43*100</f>
        <v>420.39824739655734</v>
      </c>
      <c r="Z43" s="172">
        <v>0</v>
      </c>
      <c r="AA43" s="5">
        <v>0.06</v>
      </c>
      <c r="AB43" s="11" t="e">
        <f t="shared" si="3"/>
        <v>#DIV/0!</v>
      </c>
      <c r="AC43" s="11">
        <f t="shared" si="4"/>
        <v>-100</v>
      </c>
    </row>
    <row r="44" spans="1:29" ht="15.4" x14ac:dyDescent="0.4">
      <c r="A44" s="780"/>
      <c r="B44" s="378" t="s">
        <v>259</v>
      </c>
      <c r="C44" s="1283">
        <v>0.53</v>
      </c>
      <c r="D44" s="540" t="s">
        <v>221</v>
      </c>
      <c r="E44" s="315"/>
      <c r="F44" s="414">
        <f>'MAY-22'!F44+'JUNE-22'!F44+'JULY 22'!F44+'AUG-22'!F44+'SEP-2022'!F44+'OCT-2022'!F44+'NOV -22'!F44</f>
        <v>0.99718760000000017</v>
      </c>
      <c r="G44" s="414">
        <f>'MAY-22'!G44+'JUNE-22'!G44+'JULY 22'!G44+'AUG-22'!G44+'SEP-2022'!G44+'OCT-2022'!G44+'NOV -22'!G44</f>
        <v>1.076805</v>
      </c>
      <c r="H44" s="407" t="s">
        <v>221</v>
      </c>
      <c r="I44" s="314">
        <f>(G44-F44)/F44*100</f>
        <v>7.9841947493129508</v>
      </c>
      <c r="J44" s="84">
        <f t="shared" si="2"/>
        <v>0</v>
      </c>
      <c r="L44" s="172">
        <v>0.93056630000000007</v>
      </c>
      <c r="M44" s="1204"/>
      <c r="N44" s="2006" t="s">
        <v>259</v>
      </c>
      <c r="O44" s="2019"/>
      <c r="P44" s="2007"/>
      <c r="Q44" s="1283">
        <v>0.53</v>
      </c>
      <c r="R44" s="540" t="s">
        <v>221</v>
      </c>
      <c r="S44" s="315"/>
      <c r="T44" s="315">
        <v>0.53</v>
      </c>
      <c r="U44" s="315">
        <f>'actual fig'!X32/10000000</f>
        <v>1.4870227</v>
      </c>
      <c r="V44" s="407" t="s">
        <v>221</v>
      </c>
      <c r="W44" s="314">
        <f>(U44-T44)/T44*100</f>
        <v>180.57032075471696</v>
      </c>
      <c r="Y44" s="595">
        <f>Y39+Y40+Y41+Y43</f>
        <v>1022.1166666666664</v>
      </c>
      <c r="Z44" s="172">
        <f>Z39+Z40+Z41+Z43</f>
        <v>206.23000000000002</v>
      </c>
      <c r="AA44" s="172">
        <f>AA39+AA40+AA41+AA43</f>
        <v>73.350000000000009</v>
      </c>
      <c r="AB44" s="11">
        <f t="shared" si="3"/>
        <v>-79.823242617444194</v>
      </c>
      <c r="AC44" s="11">
        <f t="shared" si="4"/>
        <v>181.15882753919561</v>
      </c>
    </row>
    <row r="45" spans="1:29" x14ac:dyDescent="0.35">
      <c r="A45" s="2387"/>
      <c r="B45" s="2309" t="s">
        <v>419</v>
      </c>
      <c r="C45" s="2310"/>
      <c r="D45" s="2310"/>
      <c r="E45" s="2310"/>
      <c r="F45" s="2310"/>
      <c r="G45" s="2310"/>
      <c r="H45" s="2310"/>
      <c r="I45" s="2311"/>
      <c r="M45" s="2388">
        <v>5</v>
      </c>
      <c r="N45" s="2309" t="s">
        <v>419</v>
      </c>
      <c r="O45" s="2310"/>
      <c r="P45" s="2310"/>
      <c r="Q45" s="2310"/>
      <c r="R45" s="2310"/>
      <c r="S45" s="2310"/>
      <c r="T45" s="2310"/>
      <c r="U45" s="2310"/>
      <c r="V45" s="2310"/>
      <c r="W45" s="2311"/>
    </row>
    <row r="46" spans="1:29" ht="15.4" x14ac:dyDescent="0.4">
      <c r="A46" s="2387"/>
      <c r="B46" s="378" t="s">
        <v>798</v>
      </c>
      <c r="C46" s="1283">
        <v>4.4567049999999995</v>
      </c>
      <c r="D46" s="331">
        <v>28.87</v>
      </c>
      <c r="E46" s="315">
        <f>'target FY 22-23'!B79</f>
        <v>17.630000000000003</v>
      </c>
      <c r="F46" s="414">
        <f>'MAY-22'!F46+'JUNE-22'!F46+'JULY 22'!F46+'AUG-22'!F46+'SEP-2022'!F46+'OCT-2022'!F46+'NOV -22'!F46</f>
        <v>1.6155309999999998</v>
      </c>
      <c r="G46" s="414">
        <f>'MAY-22'!G46+'JUNE-22'!G46+'JULY 22'!G46+'AUG-22'!G46+'SEP-2022'!G46+'OCT-2022'!G46+'NOV -22'!G46</f>
        <v>10.902001</v>
      </c>
      <c r="H46" s="316">
        <f>(G46-E46)/E46*100</f>
        <v>-38.16221781055021</v>
      </c>
      <c r="I46" s="314">
        <f>(G46-F46)/F46*100</f>
        <v>574.82462422571916</v>
      </c>
      <c r="J46" s="84">
        <f>94132</f>
        <v>94132</v>
      </c>
      <c r="L46" s="172">
        <f>K46/100000</f>
        <v>0</v>
      </c>
      <c r="M46" s="2388"/>
      <c r="N46" s="2422" t="s">
        <v>863</v>
      </c>
      <c r="O46" s="2422"/>
      <c r="P46" s="6" t="s">
        <v>166</v>
      </c>
      <c r="Q46" s="1283">
        <v>4.4567049999999995</v>
      </c>
      <c r="R46" s="331">
        <v>28.87</v>
      </c>
      <c r="S46" s="315">
        <v>28.87</v>
      </c>
      <c r="T46" s="315">
        <v>4.4567049999999995</v>
      </c>
      <c r="U46" s="315">
        <f>G46+'FEB -23'!S46</f>
        <v>27.994329999999998</v>
      </c>
      <c r="V46" s="316">
        <f>(U46-S46)/S46*100</f>
        <v>-3.0331485971596921</v>
      </c>
      <c r="W46" s="314">
        <f>(U46-T46)/T46*100</f>
        <v>528.13962333158702</v>
      </c>
    </row>
    <row r="47" spans="1:29" ht="15.4" x14ac:dyDescent="0.4">
      <c r="A47" s="2387"/>
      <c r="B47" s="1280" t="s">
        <v>799</v>
      </c>
      <c r="C47" s="1285">
        <v>1.1915969999999998</v>
      </c>
      <c r="D47" s="2067">
        <v>33.659999999999997</v>
      </c>
      <c r="E47" s="2154">
        <f>'target FY 22-23'!C79</f>
        <v>20.150000000000002</v>
      </c>
      <c r="F47" s="414">
        <f>'MAY-22'!F47+'JUNE-22'!F47+'JULY 22'!F47+'AUG-22'!F47+'SEP-2022'!F47+'OCT-2022'!F47+'NOV -22'!F47</f>
        <v>0.402397</v>
      </c>
      <c r="G47" s="414">
        <f>'MAY-22'!G47+'JUNE-22'!G47+'JULY 22'!G47+'AUG-22'!G47+'SEP-2022'!G47+'OCT-2022'!G47+'NOV -22'!G47</f>
        <v>8.4646410000000003</v>
      </c>
      <c r="H47" s="2027">
        <f>L47</f>
        <v>-20.939617866004973</v>
      </c>
      <c r="I47" s="314">
        <f>(G47-F47)/F47*100</f>
        <v>2003.5546984694217</v>
      </c>
      <c r="J47" s="84">
        <v>31105</v>
      </c>
      <c r="K47" s="323">
        <f>G47+G48</f>
        <v>15.930667</v>
      </c>
      <c r="L47" s="1151">
        <f>(K47-E47)/E47*100</f>
        <v>-20.939617866004973</v>
      </c>
      <c r="M47" s="2388"/>
      <c r="N47" s="2423" t="s">
        <v>864</v>
      </c>
      <c r="O47" s="2423"/>
      <c r="P47" s="1201" t="s">
        <v>166</v>
      </c>
      <c r="Q47" s="1285">
        <v>1.1915969999999998</v>
      </c>
      <c r="R47" s="2067">
        <v>33.659999999999997</v>
      </c>
      <c r="S47" s="2154">
        <v>33.659999999999997</v>
      </c>
      <c r="T47" s="315">
        <v>1.1915969999999998</v>
      </c>
      <c r="U47" s="315">
        <f>G47+'FEB -23'!S47</f>
        <v>22.206319000000001</v>
      </c>
      <c r="V47" s="2027">
        <f>Z47</f>
        <v>23.116449792038026</v>
      </c>
      <c r="W47" s="314">
        <f>(U47-T47)/T47*100</f>
        <v>1763.5762762074767</v>
      </c>
      <c r="Y47" s="12">
        <f>U47+U48</f>
        <v>41.440996999999996</v>
      </c>
      <c r="Z47" s="172">
        <f>(Y47-S47)/S47*100</f>
        <v>23.116449792038026</v>
      </c>
    </row>
    <row r="48" spans="1:29" ht="15.75" x14ac:dyDescent="0.45">
      <c r="A48" s="2387"/>
      <c r="B48" s="320" t="s">
        <v>800</v>
      </c>
      <c r="C48" s="1285">
        <v>10.963100000000001</v>
      </c>
      <c r="D48" s="2068"/>
      <c r="E48" s="2155"/>
      <c r="F48" s="414">
        <f>'MAY-22'!F48+'JUNE-22'!F48+'JULY 22'!F48+'AUG-22'!F48+'SEP-2022'!F48+'OCT-2022'!F48+'NOV -22'!F48</f>
        <v>5.813561</v>
      </c>
      <c r="G48" s="414">
        <f>'MAY-22'!G48+'JUNE-22'!G48+'JULY 22'!G48+'AUG-22'!G48+'SEP-2022'!G48+'OCT-2022'!G48+'NOV -22'!G48</f>
        <v>7.4660260000000003</v>
      </c>
      <c r="H48" s="2029"/>
      <c r="I48" s="314">
        <f>(G48-F48)/F48*100</f>
        <v>28.424316868783183</v>
      </c>
      <c r="J48" s="755">
        <v>205039</v>
      </c>
      <c r="K48" s="755"/>
      <c r="M48" s="2388"/>
      <c r="N48" s="2422" t="s">
        <v>472</v>
      </c>
      <c r="O48" s="2422"/>
      <c r="P48" s="1201" t="s">
        <v>228</v>
      </c>
      <c r="Q48" s="1285">
        <v>10.963100000000001</v>
      </c>
      <c r="R48" s="2068"/>
      <c r="S48" s="2155"/>
      <c r="T48" s="315">
        <v>10.963100000000001</v>
      </c>
      <c r="U48" s="315">
        <f>G48+'FEB -23'!S48</f>
        <v>19.234677999999999</v>
      </c>
      <c r="V48" s="2029"/>
      <c r="W48" s="314">
        <f>(U48-T48)/T48*100</f>
        <v>75.449261613959521</v>
      </c>
    </row>
    <row r="49" spans="1:35" ht="15.75" customHeight="1" x14ac:dyDescent="0.35">
      <c r="A49" s="2387">
        <v>6</v>
      </c>
      <c r="B49" s="2309" t="s">
        <v>842</v>
      </c>
      <c r="C49" s="2310"/>
      <c r="D49" s="2310"/>
      <c r="E49" s="2310"/>
      <c r="F49" s="2310"/>
      <c r="G49" s="2310"/>
      <c r="H49" s="2310"/>
      <c r="I49" s="2311"/>
      <c r="M49" s="2388">
        <v>6</v>
      </c>
      <c r="N49" s="2309" t="s">
        <v>874</v>
      </c>
      <c r="O49" s="2310"/>
      <c r="P49" s="2310"/>
      <c r="Q49" s="2310"/>
      <c r="R49" s="2310"/>
      <c r="S49" s="2310"/>
      <c r="T49" s="2310"/>
      <c r="U49" s="2310"/>
      <c r="V49" s="2310"/>
      <c r="W49" s="2311"/>
    </row>
    <row r="50" spans="1:35" ht="15.4" x14ac:dyDescent="0.4">
      <c r="A50" s="2387"/>
      <c r="B50" s="2006" t="s">
        <v>36</v>
      </c>
      <c r="C50" s="2007"/>
      <c r="D50" s="2368">
        <v>293</v>
      </c>
      <c r="E50" s="2024" t="s">
        <v>221</v>
      </c>
      <c r="F50" s="313">
        <v>182.27</v>
      </c>
      <c r="G50" s="313">
        <v>119.73</v>
      </c>
      <c r="H50" s="2027">
        <f>(G52-D50)/D50*100</f>
        <v>-46.395904436860071</v>
      </c>
      <c r="I50" s="314">
        <f>(G50-F50)/F50*100</f>
        <v>-34.311735337685853</v>
      </c>
      <c r="M50" s="2388"/>
      <c r="N50" s="2006" t="s">
        <v>36</v>
      </c>
      <c r="O50" s="2019"/>
      <c r="P50" s="2019"/>
      <c r="Q50" s="2007"/>
      <c r="R50" s="2368">
        <v>293</v>
      </c>
      <c r="S50" s="2024" t="s">
        <v>221</v>
      </c>
      <c r="T50" s="313">
        <v>74.19</v>
      </c>
      <c r="U50" s="313">
        <v>58.36</v>
      </c>
      <c r="V50" s="2027">
        <f>(U52-R50)/R50*100</f>
        <v>-76.996587030716725</v>
      </c>
      <c r="W50" s="314">
        <f>(U50-T50)/T50*100</f>
        <v>-21.337107426876937</v>
      </c>
    </row>
    <row r="51" spans="1:35" ht="15.4" x14ac:dyDescent="0.4">
      <c r="A51" s="2387"/>
      <c r="B51" s="2006" t="s">
        <v>37</v>
      </c>
      <c r="C51" s="2007"/>
      <c r="D51" s="2369"/>
      <c r="E51" s="2025"/>
      <c r="F51" s="313">
        <v>44.91</v>
      </c>
      <c r="G51" s="313">
        <v>37.33</v>
      </c>
      <c r="H51" s="2028"/>
      <c r="I51" s="314">
        <f>(G51-F51)/F51*100</f>
        <v>-16.878200846136714</v>
      </c>
      <c r="M51" s="2388"/>
      <c r="N51" s="2006" t="s">
        <v>37</v>
      </c>
      <c r="O51" s="2019"/>
      <c r="P51" s="2019"/>
      <c r="Q51" s="2007"/>
      <c r="R51" s="2369"/>
      <c r="S51" s="2025"/>
      <c r="T51" s="313">
        <v>39.380000000000003</v>
      </c>
      <c r="U51" s="313">
        <v>9.0399999999999991</v>
      </c>
      <c r="V51" s="2028"/>
      <c r="W51" s="314">
        <f>(U51-T51)/T51*100</f>
        <v>-77.044184865413925</v>
      </c>
    </row>
    <row r="52" spans="1:35" ht="15.4" x14ac:dyDescent="0.4">
      <c r="A52" s="2387"/>
      <c r="B52" s="2006" t="s">
        <v>38</v>
      </c>
      <c r="C52" s="2007"/>
      <c r="D52" s="2245"/>
      <c r="E52" s="2026"/>
      <c r="F52" s="313">
        <f>SUM(F50:F51)</f>
        <v>227.18</v>
      </c>
      <c r="G52" s="313">
        <f>SUM(G50:G51)</f>
        <v>157.06</v>
      </c>
      <c r="H52" s="2029"/>
      <c r="I52" s="314">
        <f>(G52-F52)/F52*100</f>
        <v>-30.865393080376798</v>
      </c>
      <c r="M52" s="2388"/>
      <c r="N52" s="2006" t="s">
        <v>38</v>
      </c>
      <c r="O52" s="2019"/>
      <c r="P52" s="2019"/>
      <c r="Q52" s="2007"/>
      <c r="R52" s="2245"/>
      <c r="S52" s="2026"/>
      <c r="T52" s="313">
        <f>T50+T51</f>
        <v>113.57</v>
      </c>
      <c r="U52" s="313">
        <f>U50+U51</f>
        <v>67.400000000000006</v>
      </c>
      <c r="V52" s="2029"/>
      <c r="W52" s="314">
        <f>(U52-T52)/T52*100</f>
        <v>-40.653341551466049</v>
      </c>
    </row>
    <row r="53" spans="1:35" x14ac:dyDescent="0.4">
      <c r="H53" s="41"/>
      <c r="I53" s="41"/>
    </row>
    <row r="54" spans="1:35" ht="15.4" x14ac:dyDescent="0.4">
      <c r="C54" s="5">
        <f>D39/12</f>
        <v>1.02</v>
      </c>
      <c r="D54" s="84">
        <f>C54*7</f>
        <v>7.1400000000000006</v>
      </c>
      <c r="E54" s="12"/>
      <c r="F54" s="12"/>
      <c r="G54" s="12"/>
      <c r="H54" s="314"/>
      <c r="I54" s="314"/>
      <c r="J54" s="314"/>
      <c r="S54" s="12"/>
      <c r="T54" s="12">
        <f>(T46*1000000)/100000</f>
        <v>44.567049999999988</v>
      </c>
      <c r="U54" s="12">
        <f t="shared" ref="T54:U56" si="5">(U46*1000000)/100000</f>
        <v>279.94329999999997</v>
      </c>
      <c r="V54" s="314"/>
      <c r="W54" s="314">
        <f>(U54-T54)/T54*100</f>
        <v>528.13962333158702</v>
      </c>
      <c r="Y54" s="12">
        <f>T55+T56</f>
        <v>121.54697</v>
      </c>
      <c r="Z54" s="12">
        <f>U55+U56</f>
        <v>414.40996999999999</v>
      </c>
      <c r="AB54" s="314">
        <f>(Z54-Y54)/Y54*100</f>
        <v>240.94636007791883</v>
      </c>
    </row>
    <row r="55" spans="1:35" ht="15.4" x14ac:dyDescent="0.4">
      <c r="C55" s="5">
        <f>D40/12</f>
        <v>0.17500000000000002</v>
      </c>
      <c r="D55" s="84">
        <f>C55*7</f>
        <v>1.2250000000000001</v>
      </c>
      <c r="H55" s="35"/>
      <c r="I55" s="5"/>
      <c r="J55" s="35"/>
      <c r="K55" s="5"/>
      <c r="L55" s="35"/>
      <c r="R55" s="12"/>
      <c r="S55" s="12"/>
      <c r="T55" s="12">
        <f t="shared" si="5"/>
        <v>11.915969999999998</v>
      </c>
      <c r="U55" s="12">
        <f t="shared" si="5"/>
        <v>222.06318999999999</v>
      </c>
      <c r="W55" s="314">
        <f>(U55-T55)/T55*100</f>
        <v>1763.5762762074767</v>
      </c>
    </row>
    <row r="56" spans="1:35" ht="15.4" x14ac:dyDescent="0.4">
      <c r="C56" s="5">
        <f>D41/12</f>
        <v>0.20416666666666669</v>
      </c>
      <c r="D56" s="84">
        <f>C56*7</f>
        <v>1.4291666666666669</v>
      </c>
      <c r="T56" s="12">
        <f t="shared" si="5"/>
        <v>109.631</v>
      </c>
      <c r="U56" s="12">
        <f t="shared" si="5"/>
        <v>192.34678</v>
      </c>
      <c r="W56" s="314">
        <f>(U56-T56)/T56*100</f>
        <v>75.44926161395955</v>
      </c>
    </row>
    <row r="57" spans="1:35" x14ac:dyDescent="0.4">
      <c r="D57" s="85"/>
      <c r="E57" s="1192">
        <v>44614</v>
      </c>
      <c r="F57" s="1192">
        <v>44980</v>
      </c>
      <c r="H57" s="1192">
        <f>E57</f>
        <v>44614</v>
      </c>
      <c r="I57" s="1192">
        <f>F57</f>
        <v>44980</v>
      </c>
      <c r="T57" s="12">
        <f>SUM(T54:T56)</f>
        <v>166.11401999999998</v>
      </c>
      <c r="U57" s="12">
        <f>SUM(U54:U56)</f>
        <v>694.35326999999995</v>
      </c>
      <c r="V57" s="26" t="s">
        <v>156</v>
      </c>
      <c r="W57" s="26" t="s">
        <v>777</v>
      </c>
      <c r="Y57" s="26" t="s">
        <v>156</v>
      </c>
      <c r="Z57" s="26" t="s">
        <v>777</v>
      </c>
      <c r="AB57" s="26" t="s">
        <v>181</v>
      </c>
    </row>
    <row r="58" spans="1:35" x14ac:dyDescent="0.4">
      <c r="D58" s="1195" t="s">
        <v>766</v>
      </c>
      <c r="E58" s="33"/>
      <c r="F58" s="33"/>
      <c r="H58" s="1244"/>
      <c r="I58" s="1245"/>
      <c r="U58" s="9" t="s">
        <v>152</v>
      </c>
      <c r="V58" s="1291">
        <f>E57</f>
        <v>44614</v>
      </c>
      <c r="W58" s="1291">
        <f>F57</f>
        <v>44980</v>
      </c>
      <c r="X58" s="26"/>
      <c r="Y58" s="1291">
        <v>44958</v>
      </c>
      <c r="Z58" s="1291">
        <v>44958</v>
      </c>
      <c r="AA58" s="26"/>
      <c r="AB58" s="1291">
        <f>V58</f>
        <v>44614</v>
      </c>
      <c r="AC58" s="1291">
        <f>Z58</f>
        <v>44958</v>
      </c>
      <c r="AE58" s="5">
        <v>57578</v>
      </c>
      <c r="AF58" s="5">
        <v>76550</v>
      </c>
    </row>
    <row r="59" spans="1:35" ht="15.4" x14ac:dyDescent="0.45">
      <c r="D59" s="85" t="s">
        <v>94</v>
      </c>
      <c r="E59" s="1193">
        <f t="shared" ref="E59:F61" si="6">H59/10000000</f>
        <v>0.50202429999999998</v>
      </c>
      <c r="F59" s="1193">
        <f t="shared" si="6"/>
        <v>0.8487616</v>
      </c>
      <c r="H59" s="1246">
        <f>E132</f>
        <v>5020243</v>
      </c>
      <c r="I59" s="1246">
        <f>E102</f>
        <v>8487616</v>
      </c>
      <c r="J59" s="1320"/>
      <c r="K59" s="1320"/>
      <c r="U59" s="6" t="s">
        <v>782</v>
      </c>
      <c r="V59" s="6">
        <v>253264</v>
      </c>
      <c r="W59" s="6">
        <v>1192326</v>
      </c>
      <c r="Y59" s="6">
        <v>289113</v>
      </c>
      <c r="Z59" s="1297">
        <v>1741576</v>
      </c>
      <c r="AB59" s="6">
        <v>125940</v>
      </c>
      <c r="AC59" s="6">
        <v>420680</v>
      </c>
      <c r="AE59" s="5">
        <v>53354</v>
      </c>
      <c r="AF59" s="5">
        <v>79370</v>
      </c>
    </row>
    <row r="60" spans="1:35" ht="15.4" x14ac:dyDescent="0.45">
      <c r="D60" s="85" t="s">
        <v>502</v>
      </c>
      <c r="E60" s="1193">
        <f t="shared" si="6"/>
        <v>0.6845137</v>
      </c>
      <c r="F60" s="1193">
        <f t="shared" si="6"/>
        <v>12.1589242</v>
      </c>
      <c r="H60" s="1246">
        <f>G132</f>
        <v>6845137</v>
      </c>
      <c r="I60" s="1246">
        <f>G102</f>
        <v>121589242</v>
      </c>
      <c r="J60" s="1320"/>
      <c r="K60" s="1320"/>
      <c r="L60" s="1217"/>
      <c r="U60" s="1261" t="s">
        <v>789</v>
      </c>
      <c r="V60" s="6">
        <v>216619</v>
      </c>
      <c r="W60" s="6">
        <v>1148002</v>
      </c>
      <c r="X60" s="632"/>
      <c r="Y60" s="6">
        <v>597322</v>
      </c>
      <c r="Z60" s="6">
        <v>3581375</v>
      </c>
      <c r="AA60" s="632"/>
      <c r="AB60" s="6">
        <v>149880</v>
      </c>
      <c r="AC60" s="6">
        <v>782160</v>
      </c>
      <c r="AE60" s="41">
        <v>50439</v>
      </c>
      <c r="AF60" s="5">
        <v>78160</v>
      </c>
      <c r="AG60" s="632"/>
      <c r="AH60" s="632"/>
      <c r="AI60" s="632"/>
    </row>
    <row r="61" spans="1:35" ht="16.149999999999999" thickBot="1" x14ac:dyDescent="0.5">
      <c r="D61" s="85" t="s">
        <v>767</v>
      </c>
      <c r="E61" s="1193">
        <f t="shared" si="6"/>
        <v>64.556091100000003</v>
      </c>
      <c r="F61" s="1193">
        <f t="shared" si="6"/>
        <v>66.885516800000005</v>
      </c>
      <c r="H61" s="1321">
        <f>I132</f>
        <v>645560911</v>
      </c>
      <c r="I61" s="1321">
        <f>I102</f>
        <v>668855168</v>
      </c>
      <c r="J61" s="1215"/>
      <c r="K61" s="824"/>
      <c r="L61" s="1217"/>
      <c r="U61" s="1273">
        <v>44947</v>
      </c>
      <c r="V61" s="1274">
        <v>195242</v>
      </c>
      <c r="W61" s="6">
        <v>1023506</v>
      </c>
      <c r="Y61" s="6">
        <v>288290</v>
      </c>
      <c r="Z61" s="1297">
        <v>1853697</v>
      </c>
      <c r="AB61" s="6">
        <v>127880</v>
      </c>
      <c r="AC61" s="6">
        <v>482050</v>
      </c>
      <c r="AD61" s="1239"/>
      <c r="AE61" s="41">
        <v>45071</v>
      </c>
      <c r="AF61" s="172">
        <v>70290</v>
      </c>
    </row>
    <row r="62" spans="1:35" ht="15.4" x14ac:dyDescent="0.4">
      <c r="E62" s="428"/>
      <c r="F62" s="428"/>
      <c r="K62" s="212"/>
      <c r="L62" s="1217"/>
      <c r="U62" s="1273">
        <v>44948</v>
      </c>
      <c r="V62" s="1274"/>
      <c r="W62" s="6"/>
      <c r="Y62" s="6"/>
      <c r="Z62" s="1297"/>
      <c r="AB62" s="6"/>
      <c r="AC62" s="6"/>
      <c r="AD62" s="1239"/>
      <c r="AE62" s="41">
        <v>41360</v>
      </c>
      <c r="AF62" s="172">
        <v>83580</v>
      </c>
    </row>
    <row r="63" spans="1:35" ht="15.4" x14ac:dyDescent="0.4">
      <c r="E63" s="428"/>
      <c r="F63" s="428"/>
      <c r="I63" s="82">
        <f>J63/1000000</f>
        <v>0.23699999999999999</v>
      </c>
      <c r="J63" s="84">
        <f>2.37*100000</f>
        <v>237000</v>
      </c>
      <c r="K63" s="212"/>
      <c r="L63" s="1217"/>
      <c r="U63" s="1261"/>
      <c r="V63" s="331"/>
      <c r="W63" s="6"/>
      <c r="Y63" s="6"/>
      <c r="Z63" s="1297"/>
      <c r="AB63" s="6"/>
      <c r="AC63" s="6"/>
      <c r="AD63" s="1239"/>
      <c r="AE63" s="41">
        <v>40488</v>
      </c>
      <c r="AF63" s="172">
        <v>94100</v>
      </c>
    </row>
    <row r="64" spans="1:35" ht="15.4" x14ac:dyDescent="0.45">
      <c r="D64" s="1195" t="s">
        <v>768</v>
      </c>
      <c r="E64" s="1193"/>
      <c r="F64" s="1193"/>
      <c r="J64" s="755"/>
      <c r="K64" s="259"/>
      <c r="L64" s="1217"/>
      <c r="U64" s="26" t="s">
        <v>187</v>
      </c>
      <c r="V64" s="26">
        <f>SUM(V59:V63)</f>
        <v>665125</v>
      </c>
      <c r="W64" s="26">
        <f t="shared" ref="W64:AC64" si="7">SUM(W59:W63)</f>
        <v>3363834</v>
      </c>
      <c r="X64" s="26"/>
      <c r="Y64" s="9">
        <f>SUM(Y59:Y63)</f>
        <v>1174725</v>
      </c>
      <c r="Z64" s="9">
        <f t="shared" si="7"/>
        <v>7176648</v>
      </c>
      <c r="AA64" s="26"/>
      <c r="AB64" s="9">
        <f t="shared" si="7"/>
        <v>403700</v>
      </c>
      <c r="AC64" s="9">
        <f t="shared" si="7"/>
        <v>1684890</v>
      </c>
      <c r="AD64" s="1262"/>
      <c r="AE64" s="41">
        <f>SUM(AE58:AE63)</f>
        <v>288290</v>
      </c>
      <c r="AF64" s="41">
        <f>SUM(AF58:AF63)</f>
        <v>482050</v>
      </c>
    </row>
    <row r="65" spans="3:32" ht="15.4" x14ac:dyDescent="0.45">
      <c r="D65" s="85" t="s">
        <v>94</v>
      </c>
      <c r="E65" s="1193">
        <f t="shared" ref="E65:F67" si="8">H65/1000000</f>
        <v>0.94987100000000002</v>
      </c>
      <c r="F65" s="1193">
        <f t="shared" si="8"/>
        <v>1.4281820000000001</v>
      </c>
      <c r="H65" s="1243">
        <f>D132</f>
        <v>949871</v>
      </c>
      <c r="I65" s="1243">
        <f>D102</f>
        <v>1428182</v>
      </c>
      <c r="J65" s="323">
        <f t="shared" ref="J65:K67" si="9">H65/100000</f>
        <v>9.4987100000000009</v>
      </c>
      <c r="K65" s="323">
        <f t="shared" si="9"/>
        <v>14.28182</v>
      </c>
      <c r="L65" s="491">
        <f>K65/100000</f>
        <v>1.428182E-4</v>
      </c>
      <c r="U65" s="9" t="s">
        <v>783</v>
      </c>
      <c r="V65" s="6"/>
      <c r="W65" s="1261"/>
      <c r="Y65" s="6"/>
      <c r="Z65" s="1297"/>
      <c r="AB65" s="6"/>
      <c r="AC65" s="6"/>
      <c r="AD65" s="1239"/>
      <c r="AE65" s="41">
        <v>50768</v>
      </c>
      <c r="AF65" s="172"/>
    </row>
    <row r="66" spans="3:32" ht="15.4" x14ac:dyDescent="0.45">
      <c r="D66" s="85" t="s">
        <v>502</v>
      </c>
      <c r="E66" s="1193">
        <f t="shared" si="8"/>
        <v>0.32170500000000002</v>
      </c>
      <c r="F66" s="1193">
        <f t="shared" si="8"/>
        <v>1.331601</v>
      </c>
      <c r="H66" s="1243">
        <f>F132</f>
        <v>321705</v>
      </c>
      <c r="I66" s="1243">
        <f>F102</f>
        <v>1331601</v>
      </c>
      <c r="J66" s="323">
        <f t="shared" si="9"/>
        <v>3.21705</v>
      </c>
      <c r="K66" s="323">
        <f t="shared" si="9"/>
        <v>13.31601</v>
      </c>
      <c r="L66" s="491">
        <f>K66/100000</f>
        <v>1.3316010000000001E-4</v>
      </c>
      <c r="U66" s="6" t="s">
        <v>782</v>
      </c>
      <c r="V66" s="6">
        <v>58327</v>
      </c>
      <c r="W66" s="6">
        <v>1118200</v>
      </c>
      <c r="Y66" s="6">
        <v>258000</v>
      </c>
      <c r="Z66" s="1297">
        <v>24681160</v>
      </c>
      <c r="AB66" s="6"/>
      <c r="AC66" s="6"/>
      <c r="AD66" s="1239"/>
      <c r="AE66" s="41">
        <v>45797</v>
      </c>
      <c r="AF66" s="172"/>
    </row>
    <row r="67" spans="3:32" ht="15.75" thickBot="1" x14ac:dyDescent="0.5">
      <c r="D67" s="85" t="s">
        <v>767</v>
      </c>
      <c r="E67" s="1193">
        <f t="shared" si="8"/>
        <v>1.1456710000000001</v>
      </c>
      <c r="F67" s="1193">
        <f t="shared" si="8"/>
        <v>0.93065799999999999</v>
      </c>
      <c r="H67" s="1322">
        <f>H132</f>
        <v>1145671</v>
      </c>
      <c r="I67" s="1322">
        <f>H102</f>
        <v>930658</v>
      </c>
      <c r="J67" s="323">
        <f t="shared" si="9"/>
        <v>11.456709999999999</v>
      </c>
      <c r="K67" s="323">
        <f t="shared" si="9"/>
        <v>9.3065800000000003</v>
      </c>
      <c r="L67" s="491">
        <f>K67/100000</f>
        <v>9.3065800000000006E-5</v>
      </c>
      <c r="U67" s="1261" t="s">
        <v>789</v>
      </c>
      <c r="V67" s="6">
        <v>53742</v>
      </c>
      <c r="W67" s="6">
        <v>1266705</v>
      </c>
      <c r="Y67" s="6">
        <v>552593</v>
      </c>
      <c r="Z67" s="1297">
        <v>55522320</v>
      </c>
      <c r="AB67" s="6"/>
      <c r="AC67" s="6"/>
      <c r="AD67" s="1239"/>
      <c r="AE67" s="41">
        <v>44590</v>
      </c>
      <c r="AF67" s="172"/>
    </row>
    <row r="68" spans="3:32" x14ac:dyDescent="0.4">
      <c r="E68" s="428"/>
      <c r="F68" s="323"/>
      <c r="H68" s="1224"/>
      <c r="I68" s="1225"/>
      <c r="K68" s="212"/>
      <c r="L68" s="1217"/>
      <c r="U68" s="1273">
        <v>44947</v>
      </c>
      <c r="V68" s="6">
        <v>49346</v>
      </c>
      <c r="W68" s="6">
        <v>1081490</v>
      </c>
      <c r="Y68" s="6">
        <v>281573</v>
      </c>
      <c r="Z68" s="1297">
        <v>29067783</v>
      </c>
      <c r="AB68" s="6"/>
      <c r="AC68" s="6"/>
      <c r="AD68" s="1239"/>
      <c r="AE68" s="5">
        <v>45433</v>
      </c>
      <c r="AF68" s="172"/>
    </row>
    <row r="69" spans="3:32" x14ac:dyDescent="0.4">
      <c r="E69" s="428"/>
      <c r="F69" s="323"/>
      <c r="H69" s="1224"/>
      <c r="I69" s="1225"/>
      <c r="K69" s="212"/>
      <c r="L69" s="1217"/>
      <c r="U69" s="1273">
        <v>44948</v>
      </c>
      <c r="V69" s="6"/>
      <c r="W69" s="6"/>
      <c r="Y69" s="6"/>
      <c r="Z69" s="1297"/>
      <c r="AB69" s="6"/>
      <c r="AC69" s="6"/>
      <c r="AD69" s="1239"/>
      <c r="AE69" s="5">
        <v>46734</v>
      </c>
      <c r="AF69" s="172"/>
    </row>
    <row r="70" spans="3:32" ht="15.4" x14ac:dyDescent="0.45">
      <c r="D70" s="1195" t="s">
        <v>436</v>
      </c>
      <c r="E70" s="134">
        <f>H70</f>
        <v>1.5882814000000001</v>
      </c>
      <c r="F70" s="134">
        <f>I70</f>
        <v>1.7078644000000001</v>
      </c>
      <c r="H70" s="1263">
        <f>J70/10000000</f>
        <v>1.5882814000000001</v>
      </c>
      <c r="I70" s="1263">
        <f>K70/10000000</f>
        <v>1.7078644000000001</v>
      </c>
      <c r="J70" s="212">
        <v>15882814</v>
      </c>
      <c r="K70" s="212">
        <v>17078644</v>
      </c>
      <c r="L70" s="1217"/>
      <c r="N70" s="755">
        <v>6531262</v>
      </c>
      <c r="O70" s="755"/>
      <c r="P70" s="755"/>
      <c r="U70" s="1261"/>
      <c r="V70" s="6"/>
      <c r="W70" s="6"/>
      <c r="Y70" s="6"/>
      <c r="Z70" s="1297"/>
      <c r="AB70" s="6"/>
      <c r="AC70" s="6"/>
      <c r="AD70" s="1239"/>
      <c r="AE70" s="5">
        <v>48251</v>
      </c>
    </row>
    <row r="71" spans="3:32" x14ac:dyDescent="0.4">
      <c r="C71" s="5">
        <f>66.07-3.11</f>
        <v>62.959999999999994</v>
      </c>
      <c r="D71" s="1195" t="s">
        <v>769</v>
      </c>
      <c r="E71" s="134">
        <f>J78/100</f>
        <v>1.3237000000000001</v>
      </c>
      <c r="F71" s="134">
        <f>K78/100</f>
        <v>1.6048000000000002</v>
      </c>
      <c r="H71" s="1263">
        <f t="shared" ref="H71:I75" si="10">J71/10000000</f>
        <v>0</v>
      </c>
      <c r="I71" s="1263">
        <f t="shared" si="10"/>
        <v>0</v>
      </c>
      <c r="K71" s="323"/>
      <c r="L71" s="1217"/>
      <c r="U71" s="9" t="s">
        <v>784</v>
      </c>
      <c r="V71" s="9">
        <f>SUM(V66:V70)</f>
        <v>161415</v>
      </c>
      <c r="W71" s="9">
        <f>SUM(W66:W70)</f>
        <v>3466395</v>
      </c>
      <c r="X71" s="26"/>
      <c r="Y71" s="9">
        <f>SUM(Y66:Y70)</f>
        <v>1092166</v>
      </c>
      <c r="Z71" s="9">
        <f>SUM(Z66:Z70)</f>
        <v>109271263</v>
      </c>
      <c r="AA71" s="26"/>
      <c r="AB71" s="9">
        <f>SUM(AB66:AB70)</f>
        <v>0</v>
      </c>
      <c r="AC71" s="9">
        <f>SUM(AC66:AC70)</f>
        <v>0</v>
      </c>
      <c r="AD71" s="1262"/>
      <c r="AE71" s="41">
        <f>SUM(AE65:AE70)</f>
        <v>281573</v>
      </c>
    </row>
    <row r="72" spans="3:32" x14ac:dyDescent="0.4">
      <c r="D72" s="1195" t="s">
        <v>125</v>
      </c>
      <c r="E72" s="283">
        <f>J76/100</f>
        <v>5.9800000000000006E-2</v>
      </c>
      <c r="F72" s="283">
        <f>K76/100</f>
        <v>5.7300000000000004E-2</v>
      </c>
      <c r="H72" s="1263">
        <f t="shared" si="10"/>
        <v>0</v>
      </c>
      <c r="I72" s="1263">
        <f t="shared" si="10"/>
        <v>0</v>
      </c>
      <c r="J72" s="1128"/>
      <c r="K72" s="1128"/>
      <c r="L72" s="1217"/>
      <c r="W72" s="1239"/>
      <c r="AD72" s="1239"/>
    </row>
    <row r="73" spans="3:32" x14ac:dyDescent="0.4">
      <c r="D73" s="1195" t="s">
        <v>196</v>
      </c>
      <c r="E73" s="134">
        <f t="shared" ref="E73:F75" si="11">H73</f>
        <v>3.2198999999999998E-2</v>
      </c>
      <c r="F73" s="134">
        <f t="shared" si="11"/>
        <v>0.201262</v>
      </c>
      <c r="H73" s="1263">
        <f t="shared" si="10"/>
        <v>3.2198999999999998E-2</v>
      </c>
      <c r="I73" s="1263">
        <f>K73/10000000</f>
        <v>0.201262</v>
      </c>
      <c r="J73" s="212">
        <f>J132</f>
        <v>321990</v>
      </c>
      <c r="K73" s="212">
        <f>J102</f>
        <v>2012620</v>
      </c>
      <c r="M73" s="1210"/>
      <c r="N73" s="12"/>
      <c r="O73" s="12"/>
      <c r="P73" s="12"/>
      <c r="Z73" s="5"/>
    </row>
    <row r="74" spans="3:32" ht="15.4" x14ac:dyDescent="0.45">
      <c r="D74" s="1195" t="s">
        <v>123</v>
      </c>
      <c r="E74" s="134">
        <f t="shared" si="11"/>
        <v>0</v>
      </c>
      <c r="F74" s="134">
        <f t="shared" si="11"/>
        <v>0.51693069999999997</v>
      </c>
      <c r="H74" s="1263">
        <f t="shared" si="10"/>
        <v>0</v>
      </c>
      <c r="I74" s="1263">
        <f>K74/10000000</f>
        <v>0.51693069999999997</v>
      </c>
      <c r="K74" s="755">
        <f>1078005+4091302</f>
        <v>5169307</v>
      </c>
    </row>
    <row r="75" spans="3:32" ht="15.4" x14ac:dyDescent="0.45">
      <c r="D75" s="1195" t="s">
        <v>435</v>
      </c>
      <c r="E75" s="134">
        <f t="shared" si="11"/>
        <v>2.4348222000000002</v>
      </c>
      <c r="F75" s="134">
        <f t="shared" si="11"/>
        <v>3.0399305999999999</v>
      </c>
      <c r="H75" s="1263">
        <f t="shared" si="10"/>
        <v>2.4348222000000002</v>
      </c>
      <c r="I75" s="1263">
        <f>K75/10000000</f>
        <v>3.0399305999999999</v>
      </c>
      <c r="J75" s="755">
        <v>24348222</v>
      </c>
      <c r="K75" s="755">
        <v>30399306</v>
      </c>
      <c r="N75" s="755"/>
      <c r="O75" s="755"/>
      <c r="P75" s="755"/>
    </row>
    <row r="76" spans="3:32" x14ac:dyDescent="0.4">
      <c r="H76" s="1224"/>
      <c r="I76" s="1225"/>
      <c r="J76" s="84">
        <v>5.98</v>
      </c>
      <c r="K76" s="323">
        <v>5.73</v>
      </c>
      <c r="L76" s="172">
        <f>J76/100</f>
        <v>5.9800000000000006E-2</v>
      </c>
    </row>
    <row r="77" spans="3:32" x14ac:dyDescent="0.4">
      <c r="E77" s="428"/>
      <c r="F77" s="428"/>
      <c r="J77" s="84">
        <v>138.35</v>
      </c>
      <c r="K77" s="84">
        <v>166.21</v>
      </c>
    </row>
    <row r="78" spans="3:32" x14ac:dyDescent="0.4">
      <c r="E78" s="428"/>
      <c r="F78" s="428"/>
      <c r="J78" s="84">
        <f>J77-J76</f>
        <v>132.37</v>
      </c>
      <c r="K78" s="323">
        <f>K77-K76</f>
        <v>160.48000000000002</v>
      </c>
      <c r="L78" s="172">
        <f>J78/100</f>
        <v>1.3237000000000001</v>
      </c>
    </row>
    <row r="79" spans="3:32" x14ac:dyDescent="0.4">
      <c r="E79" s="428"/>
      <c r="F79" s="428"/>
    </row>
    <row r="80" spans="3:32" x14ac:dyDescent="0.4">
      <c r="D80" s="84" t="s">
        <v>164</v>
      </c>
      <c r="E80" s="428" t="s">
        <v>710</v>
      </c>
      <c r="F80" s="84" t="s">
        <v>164</v>
      </c>
      <c r="G80" s="428" t="s">
        <v>710</v>
      </c>
      <c r="H80" s="84" t="s">
        <v>164</v>
      </c>
      <c r="I80" s="428" t="s">
        <v>710</v>
      </c>
      <c r="J80" s="84" t="s">
        <v>196</v>
      </c>
    </row>
    <row r="81" spans="3:11" x14ac:dyDescent="0.4">
      <c r="D81" s="84">
        <v>23</v>
      </c>
      <c r="E81" s="84">
        <v>23</v>
      </c>
      <c r="F81" s="84">
        <v>23</v>
      </c>
      <c r="G81" s="84">
        <v>23</v>
      </c>
      <c r="H81" s="84">
        <v>23</v>
      </c>
      <c r="I81" s="84">
        <v>23</v>
      </c>
      <c r="J81" s="84">
        <v>23</v>
      </c>
      <c r="K81" s="1292">
        <v>23</v>
      </c>
    </row>
    <row r="82" spans="3:11" x14ac:dyDescent="0.4">
      <c r="D82" s="2437" t="s">
        <v>795</v>
      </c>
      <c r="E82" s="2437"/>
      <c r="F82" s="2437" t="s">
        <v>796</v>
      </c>
      <c r="G82" s="2437"/>
      <c r="H82" s="2437" t="s">
        <v>797</v>
      </c>
      <c r="I82" s="2437"/>
      <c r="J82" s="2437" t="s">
        <v>196</v>
      </c>
      <c r="K82" s="2437"/>
    </row>
    <row r="83" spans="3:11" x14ac:dyDescent="0.4">
      <c r="C83" s="632">
        <v>36951</v>
      </c>
      <c r="D83" s="41"/>
      <c r="E83" s="1292"/>
      <c r="F83" s="41"/>
      <c r="G83" s="41"/>
      <c r="H83" s="41"/>
      <c r="I83" s="1318"/>
      <c r="J83" s="212"/>
    </row>
    <row r="84" spans="3:11" x14ac:dyDescent="0.4">
      <c r="C84" s="632">
        <v>37316</v>
      </c>
      <c r="D84" s="212"/>
      <c r="E84" s="1292"/>
      <c r="F84" s="41"/>
      <c r="G84" s="41"/>
      <c r="H84" s="41"/>
      <c r="I84" s="212"/>
      <c r="J84" s="212"/>
    </row>
    <row r="85" spans="3:11" x14ac:dyDescent="0.4">
      <c r="C85" s="632">
        <v>37681</v>
      </c>
      <c r="D85" s="212"/>
      <c r="E85" s="1292"/>
      <c r="F85" s="41"/>
      <c r="G85" s="41"/>
      <c r="H85" s="41"/>
      <c r="I85" s="212"/>
      <c r="J85" s="212"/>
    </row>
    <row r="86" spans="3:11" x14ac:dyDescent="0.4">
      <c r="C86" s="632">
        <v>38047</v>
      </c>
      <c r="D86" s="212"/>
      <c r="E86" s="1292"/>
      <c r="F86" s="41"/>
      <c r="G86" s="41"/>
      <c r="H86" s="41"/>
      <c r="I86" s="212"/>
      <c r="J86" s="212"/>
    </row>
    <row r="87" spans="3:11" x14ac:dyDescent="0.4">
      <c r="C87" s="632">
        <v>38412</v>
      </c>
      <c r="D87" s="212"/>
      <c r="E87" s="1292"/>
      <c r="F87" s="41"/>
      <c r="G87" s="41"/>
      <c r="H87" s="41"/>
      <c r="I87" s="212"/>
      <c r="J87" s="212"/>
    </row>
    <row r="88" spans="3:11" x14ac:dyDescent="0.4">
      <c r="C88" s="632">
        <v>38777</v>
      </c>
      <c r="D88" s="323"/>
      <c r="E88" s="428"/>
    </row>
    <row r="89" spans="3:11" x14ac:dyDescent="0.4">
      <c r="C89" s="632">
        <v>39142</v>
      </c>
      <c r="D89" s="323"/>
      <c r="E89" s="428"/>
    </row>
    <row r="90" spans="3:11" x14ac:dyDescent="0.4">
      <c r="C90" s="632">
        <v>39508</v>
      </c>
      <c r="D90" s="323"/>
      <c r="E90" s="428"/>
    </row>
    <row r="91" spans="3:11" x14ac:dyDescent="0.4">
      <c r="C91" s="632">
        <v>39873</v>
      </c>
      <c r="D91" s="323"/>
      <c r="E91" s="428"/>
    </row>
    <row r="92" spans="3:11" x14ac:dyDescent="0.4">
      <c r="C92" s="632">
        <v>40238</v>
      </c>
      <c r="D92" s="212">
        <v>620394</v>
      </c>
      <c r="E92" s="1292">
        <v>3477837</v>
      </c>
      <c r="F92" s="5">
        <v>593814</v>
      </c>
      <c r="G92" s="5">
        <v>52739710</v>
      </c>
      <c r="J92" s="84">
        <v>802270</v>
      </c>
    </row>
    <row r="93" spans="3:11" x14ac:dyDescent="0.4">
      <c r="C93" s="632">
        <v>40603</v>
      </c>
      <c r="D93" s="212">
        <v>521353</v>
      </c>
      <c r="E93" s="1292">
        <v>3158283</v>
      </c>
      <c r="F93" s="5">
        <v>462072</v>
      </c>
      <c r="G93" s="5">
        <v>42597705</v>
      </c>
      <c r="J93" s="84">
        <v>745790</v>
      </c>
    </row>
    <row r="94" spans="3:11" ht="15.4" thickBot="1" x14ac:dyDescent="0.45">
      <c r="C94" s="632">
        <v>40969</v>
      </c>
      <c r="D94" s="212">
        <v>286435</v>
      </c>
      <c r="E94" s="1292">
        <v>1851496</v>
      </c>
      <c r="F94" s="5">
        <v>275715</v>
      </c>
      <c r="G94" s="5">
        <v>26251827</v>
      </c>
      <c r="H94" s="824">
        <v>930658</v>
      </c>
      <c r="I94" s="910">
        <v>668855168</v>
      </c>
      <c r="J94" s="84">
        <v>464560</v>
      </c>
    </row>
    <row r="95" spans="3:11" x14ac:dyDescent="0.4">
      <c r="C95" s="632">
        <v>41334</v>
      </c>
      <c r="D95" s="323"/>
      <c r="E95" s="428"/>
    </row>
    <row r="96" spans="3:11" x14ac:dyDescent="0.4">
      <c r="C96" s="632">
        <v>41699</v>
      </c>
      <c r="D96" s="323"/>
      <c r="E96" s="428"/>
    </row>
    <row r="97" spans="3:11" x14ac:dyDescent="0.4">
      <c r="C97" s="632">
        <v>42064</v>
      </c>
      <c r="D97" s="323"/>
      <c r="E97" s="428"/>
    </row>
    <row r="98" spans="3:11" x14ac:dyDescent="0.4">
      <c r="C98" s="632">
        <v>42430</v>
      </c>
      <c r="D98" s="323"/>
      <c r="E98" s="428"/>
    </row>
    <row r="99" spans="3:11" x14ac:dyDescent="0.4">
      <c r="C99" s="632">
        <v>42795</v>
      </c>
      <c r="D99" s="323"/>
      <c r="E99" s="428"/>
    </row>
    <row r="100" spans="3:11" x14ac:dyDescent="0.4">
      <c r="C100" s="632">
        <v>43160</v>
      </c>
      <c r="D100" s="323"/>
      <c r="E100" s="428"/>
    </row>
    <row r="101" spans="3:11" x14ac:dyDescent="0.4">
      <c r="C101" s="632">
        <v>43525</v>
      </c>
      <c r="D101" s="323"/>
      <c r="E101" s="428"/>
    </row>
    <row r="102" spans="3:11" x14ac:dyDescent="0.4">
      <c r="D102" s="212">
        <f t="shared" ref="D102:J102" si="12">SUM(D83:D101)</f>
        <v>1428182</v>
      </c>
      <c r="E102" s="212">
        <f t="shared" si="12"/>
        <v>8487616</v>
      </c>
      <c r="F102" s="212">
        <f t="shared" si="12"/>
        <v>1331601</v>
      </c>
      <c r="G102" s="212">
        <f t="shared" si="12"/>
        <v>121589242</v>
      </c>
      <c r="H102" s="212">
        <f t="shared" si="12"/>
        <v>930658</v>
      </c>
      <c r="I102" s="1228">
        <f t="shared" si="12"/>
        <v>668855168</v>
      </c>
      <c r="J102" s="212">
        <f t="shared" si="12"/>
        <v>2012620</v>
      </c>
    </row>
    <row r="110" spans="3:11" x14ac:dyDescent="0.4">
      <c r="D110" s="84" t="s">
        <v>164</v>
      </c>
      <c r="E110" s="428" t="s">
        <v>710</v>
      </c>
      <c r="F110" s="84" t="s">
        <v>164</v>
      </c>
      <c r="G110" s="428" t="s">
        <v>710</v>
      </c>
      <c r="H110" s="84" t="s">
        <v>164</v>
      </c>
      <c r="I110" s="428" t="s">
        <v>710</v>
      </c>
      <c r="J110" s="84" t="s">
        <v>196</v>
      </c>
    </row>
    <row r="111" spans="3:11" x14ac:dyDescent="0.4">
      <c r="D111" s="84">
        <v>22</v>
      </c>
      <c r="E111" s="84">
        <v>22</v>
      </c>
      <c r="F111" s="84">
        <v>22</v>
      </c>
      <c r="G111" s="84">
        <v>22</v>
      </c>
      <c r="H111" s="84">
        <v>22</v>
      </c>
      <c r="I111" s="84">
        <v>22</v>
      </c>
      <c r="J111" s="84">
        <v>22</v>
      </c>
      <c r="K111" s="1292">
        <v>22</v>
      </c>
    </row>
    <row r="112" spans="3:11" x14ac:dyDescent="0.4">
      <c r="D112" s="2437" t="s">
        <v>795</v>
      </c>
      <c r="E112" s="2437"/>
      <c r="F112" s="2437" t="s">
        <v>796</v>
      </c>
      <c r="G112" s="2437"/>
      <c r="H112" s="2437" t="s">
        <v>797</v>
      </c>
      <c r="I112" s="2437"/>
      <c r="J112" s="2437" t="s">
        <v>196</v>
      </c>
      <c r="K112" s="2437"/>
    </row>
    <row r="113" spans="3:10" ht="15.4" x14ac:dyDescent="0.45">
      <c r="C113" s="632">
        <v>36951</v>
      </c>
      <c r="D113" s="41"/>
      <c r="E113" s="1292"/>
      <c r="H113" s="755"/>
      <c r="I113" s="1319"/>
    </row>
    <row r="114" spans="3:10" x14ac:dyDescent="0.4">
      <c r="C114" s="632">
        <v>37316</v>
      </c>
      <c r="D114" s="212"/>
      <c r="E114" s="428"/>
    </row>
    <row r="115" spans="3:10" x14ac:dyDescent="0.4">
      <c r="C115" s="632">
        <v>37681</v>
      </c>
      <c r="D115" s="323"/>
      <c r="E115" s="428"/>
    </row>
    <row r="116" spans="3:10" x14ac:dyDescent="0.4">
      <c r="C116" s="632">
        <v>38047</v>
      </c>
      <c r="D116" s="323"/>
      <c r="E116" s="428"/>
    </row>
    <row r="117" spans="3:10" x14ac:dyDescent="0.4">
      <c r="C117" s="632">
        <v>38412</v>
      </c>
      <c r="D117" s="323"/>
      <c r="E117" s="428"/>
    </row>
    <row r="118" spans="3:10" x14ac:dyDescent="0.4">
      <c r="C118" s="632">
        <v>38777</v>
      </c>
      <c r="D118" s="323"/>
      <c r="E118" s="428"/>
    </row>
    <row r="119" spans="3:10" x14ac:dyDescent="0.4">
      <c r="C119" s="632">
        <v>39142</v>
      </c>
      <c r="D119" s="323"/>
      <c r="E119" s="428"/>
    </row>
    <row r="120" spans="3:10" x14ac:dyDescent="0.4">
      <c r="C120" s="632">
        <v>39508</v>
      </c>
      <c r="D120" s="323"/>
      <c r="E120" s="428"/>
    </row>
    <row r="121" spans="3:10" x14ac:dyDescent="0.4">
      <c r="C121" s="632">
        <v>39873</v>
      </c>
      <c r="D121" s="323"/>
      <c r="E121" s="428"/>
    </row>
    <row r="122" spans="3:10" x14ac:dyDescent="0.4">
      <c r="C122" s="632">
        <v>40238</v>
      </c>
      <c r="D122" s="212">
        <v>363029</v>
      </c>
      <c r="E122" s="1292">
        <v>1750205</v>
      </c>
      <c r="F122" s="5">
        <v>110568</v>
      </c>
      <c r="G122" s="5">
        <v>1500523</v>
      </c>
      <c r="J122" s="84">
        <v>157670</v>
      </c>
    </row>
    <row r="123" spans="3:10" x14ac:dyDescent="0.4">
      <c r="C123" s="632">
        <v>40603</v>
      </c>
      <c r="D123" s="212">
        <v>269652</v>
      </c>
      <c r="E123" s="1292">
        <v>1501052</v>
      </c>
      <c r="F123" s="5">
        <v>72474</v>
      </c>
      <c r="G123" s="5">
        <v>1394852</v>
      </c>
      <c r="J123" s="84">
        <v>164320</v>
      </c>
    </row>
    <row r="124" spans="3:10" ht="15.4" x14ac:dyDescent="0.45">
      <c r="C124" s="632">
        <v>40969</v>
      </c>
      <c r="D124" s="323">
        <v>317190</v>
      </c>
      <c r="E124" s="428">
        <v>1768986</v>
      </c>
      <c r="F124" s="5">
        <v>138663</v>
      </c>
      <c r="G124" s="5">
        <v>3949762</v>
      </c>
      <c r="H124" s="755">
        <v>1145671</v>
      </c>
      <c r="I124" s="755">
        <v>645560911</v>
      </c>
    </row>
    <row r="125" spans="3:10" x14ac:dyDescent="0.4">
      <c r="C125" s="632">
        <v>41334</v>
      </c>
      <c r="D125" s="323"/>
      <c r="E125" s="428"/>
    </row>
    <row r="126" spans="3:10" x14ac:dyDescent="0.4">
      <c r="C126" s="632">
        <v>41699</v>
      </c>
      <c r="D126" s="323"/>
      <c r="E126" s="428"/>
    </row>
    <row r="127" spans="3:10" x14ac:dyDescent="0.4">
      <c r="C127" s="632">
        <v>42064</v>
      </c>
      <c r="D127" s="323"/>
      <c r="E127" s="428"/>
    </row>
    <row r="128" spans="3:10" x14ac:dyDescent="0.4">
      <c r="C128" s="632">
        <v>42430</v>
      </c>
      <c r="D128" s="323"/>
      <c r="E128" s="428"/>
    </row>
    <row r="129" spans="3:10" x14ac:dyDescent="0.4">
      <c r="C129" s="632">
        <v>42795</v>
      </c>
      <c r="D129" s="323"/>
      <c r="E129" s="428"/>
    </row>
    <row r="130" spans="3:10" x14ac:dyDescent="0.4">
      <c r="C130" s="632">
        <v>43160</v>
      </c>
      <c r="D130" s="323"/>
      <c r="E130" s="428"/>
    </row>
    <row r="131" spans="3:10" x14ac:dyDescent="0.4">
      <c r="C131" s="632">
        <v>43525</v>
      </c>
      <c r="D131" s="323"/>
      <c r="E131" s="428"/>
    </row>
    <row r="132" spans="3:10" x14ac:dyDescent="0.4">
      <c r="D132" s="212">
        <f t="shared" ref="D132:J132" si="13">SUM(D113:D131)</f>
        <v>949871</v>
      </c>
      <c r="E132" s="212">
        <f t="shared" si="13"/>
        <v>5020243</v>
      </c>
      <c r="F132" s="212">
        <f t="shared" si="13"/>
        <v>321705</v>
      </c>
      <c r="G132" s="212">
        <f t="shared" si="13"/>
        <v>6845137</v>
      </c>
      <c r="H132" s="212">
        <f t="shared" si="13"/>
        <v>1145671</v>
      </c>
      <c r="I132" s="1228">
        <f t="shared" si="13"/>
        <v>645560911</v>
      </c>
      <c r="J132" s="212">
        <f t="shared" si="13"/>
        <v>321990</v>
      </c>
    </row>
  </sheetData>
  <mergeCells count="115">
    <mergeCell ref="AE3:AJ3"/>
    <mergeCell ref="A1:I1"/>
    <mergeCell ref="M1:W1"/>
    <mergeCell ref="A2:I2"/>
    <mergeCell ref="M2:W2"/>
    <mergeCell ref="AE2:AJ2"/>
    <mergeCell ref="A3:A5"/>
    <mergeCell ref="B3:B5"/>
    <mergeCell ref="D3:E3"/>
    <mergeCell ref="F3:G3"/>
    <mergeCell ref="H3:I3"/>
    <mergeCell ref="N6:P6"/>
    <mergeCell ref="N7:P7"/>
    <mergeCell ref="N8:P8"/>
    <mergeCell ref="N9:P9"/>
    <mergeCell ref="N10:P10"/>
    <mergeCell ref="A11:I11"/>
    <mergeCell ref="M11:W11"/>
    <mergeCell ref="H4:H5"/>
    <mergeCell ref="I4:I5"/>
    <mergeCell ref="V4:V5"/>
    <mergeCell ref="W4:W5"/>
    <mergeCell ref="D5:E5"/>
    <mergeCell ref="R5:S5"/>
    <mergeCell ref="M3:M5"/>
    <mergeCell ref="N3:P5"/>
    <mergeCell ref="R3:S3"/>
    <mergeCell ref="T3:U3"/>
    <mergeCell ref="V3:W3"/>
    <mergeCell ref="V16:V17"/>
    <mergeCell ref="N17:O17"/>
    <mergeCell ref="N12:P12"/>
    <mergeCell ref="B13:I13"/>
    <mergeCell ref="N13:W13"/>
    <mergeCell ref="A14:A17"/>
    <mergeCell ref="B14:I14"/>
    <mergeCell ref="M14:M17"/>
    <mergeCell ref="N14:W14"/>
    <mergeCell ref="N15:O15"/>
    <mergeCell ref="D16:D17"/>
    <mergeCell ref="E16:E17"/>
    <mergeCell ref="A18:A26"/>
    <mergeCell ref="C18:E18"/>
    <mergeCell ref="F18:I18"/>
    <mergeCell ref="M18:M26"/>
    <mergeCell ref="O18:P18"/>
    <mergeCell ref="Q18:S18"/>
    <mergeCell ref="H16:H17"/>
    <mergeCell ref="N16:O16"/>
    <mergeCell ref="R16:R17"/>
    <mergeCell ref="S16:S17"/>
    <mergeCell ref="T18:W18"/>
    <mergeCell ref="B28:C29"/>
    <mergeCell ref="D28:E28"/>
    <mergeCell ref="F28:G28"/>
    <mergeCell ref="H28:I28"/>
    <mergeCell ref="N28:Q29"/>
    <mergeCell ref="R28:S28"/>
    <mergeCell ref="T28:U28"/>
    <mergeCell ref="V28:W28"/>
    <mergeCell ref="N37:P37"/>
    <mergeCell ref="A38:A43"/>
    <mergeCell ref="B38:I38"/>
    <mergeCell ref="N38:W38"/>
    <mergeCell ref="N39:P39"/>
    <mergeCell ref="N40:P40"/>
    <mergeCell ref="N41:P41"/>
    <mergeCell ref="N43:P43"/>
    <mergeCell ref="A30:A36"/>
    <mergeCell ref="B30:I30"/>
    <mergeCell ref="N30:W30"/>
    <mergeCell ref="N31:P31"/>
    <mergeCell ref="N32:P32"/>
    <mergeCell ref="N33:P33"/>
    <mergeCell ref="N34:P34"/>
    <mergeCell ref="N35:P35"/>
    <mergeCell ref="N36:P36"/>
    <mergeCell ref="N44:P44"/>
    <mergeCell ref="A45:A48"/>
    <mergeCell ref="B45:I45"/>
    <mergeCell ref="M45:M48"/>
    <mergeCell ref="N45:W45"/>
    <mergeCell ref="N46:O46"/>
    <mergeCell ref="D47:D48"/>
    <mergeCell ref="E47:E48"/>
    <mergeCell ref="H47:H48"/>
    <mergeCell ref="N47:O47"/>
    <mergeCell ref="R50:R52"/>
    <mergeCell ref="S50:S52"/>
    <mergeCell ref="V50:V52"/>
    <mergeCell ref="R47:R48"/>
    <mergeCell ref="S47:S48"/>
    <mergeCell ref="V47:V48"/>
    <mergeCell ref="N48:O48"/>
    <mergeCell ref="A49:A52"/>
    <mergeCell ref="B49:I49"/>
    <mergeCell ref="M49:M52"/>
    <mergeCell ref="N49:W49"/>
    <mergeCell ref="B50:C50"/>
    <mergeCell ref="D50:D52"/>
    <mergeCell ref="D112:E112"/>
    <mergeCell ref="F112:G112"/>
    <mergeCell ref="H112:I112"/>
    <mergeCell ref="J112:K112"/>
    <mergeCell ref="B51:C51"/>
    <mergeCell ref="N51:Q51"/>
    <mergeCell ref="B52:C52"/>
    <mergeCell ref="N52:Q52"/>
    <mergeCell ref="D82:E82"/>
    <mergeCell ref="F82:G82"/>
    <mergeCell ref="H82:I82"/>
    <mergeCell ref="J82:K82"/>
    <mergeCell ref="E50:E52"/>
    <mergeCell ref="H50:H52"/>
    <mergeCell ref="N50:Q50"/>
  </mergeCells>
  <pageMargins left="0.21" right="0.2" top="0.75" bottom="0.74" header="0.3" footer="0.3"/>
  <pageSetup paperSize="9" scale="20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EAEDA-0F2D-499D-BAE3-875CF2C13746}">
  <sheetPr>
    <pageSetUpPr fitToPage="1"/>
  </sheetPr>
  <dimension ref="A1:AK132"/>
  <sheetViews>
    <sheetView zoomScale="80" zoomScaleNormal="80" workbookViewId="0">
      <selection activeCell="U15" sqref="U15"/>
    </sheetView>
  </sheetViews>
  <sheetFormatPr defaultColWidth="9.1328125" defaultRowHeight="15" x14ac:dyDescent="0.4"/>
  <cols>
    <col min="1" max="1" width="3.73046875" style="1235" customWidth="1"/>
    <col min="2" max="2" width="36.1328125" style="300" customWidth="1"/>
    <col min="3" max="3" width="12" style="5" bestFit="1" customWidth="1"/>
    <col min="4" max="4" width="14.26562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265625" style="11" customWidth="1"/>
    <col min="9" max="9" width="12" style="82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59765625" style="1209" customWidth="1"/>
    <col min="14" max="14" width="35.265625" style="5" customWidth="1"/>
    <col min="15" max="15" width="10.265625" style="5" hidden="1" customWidth="1"/>
    <col min="16" max="16" width="7.86328125" style="5" customWidth="1"/>
    <col min="17" max="17" width="12.1328125" style="5" customWidth="1"/>
    <col min="18" max="18" width="16.86328125" style="5" bestFit="1" customWidth="1"/>
    <col min="19" max="19" width="11.265625" style="5" customWidth="1"/>
    <col min="20" max="21" width="14" style="5" customWidth="1"/>
    <col min="22" max="23" width="11.1328125" style="5" customWidth="1"/>
    <col min="24" max="24" width="9.1328125" style="5"/>
    <col min="25" max="25" width="15.1328125" style="5" bestFit="1" customWidth="1"/>
    <col min="26" max="26" width="15.86328125" style="172" bestFit="1" customWidth="1"/>
    <col min="27" max="27" width="11.265625" style="5" bestFit="1" customWidth="1"/>
    <col min="28" max="28" width="10.265625" style="5" bestFit="1" customWidth="1"/>
    <col min="29" max="29" width="10.59765625" style="5" bestFit="1" customWidth="1"/>
    <col min="30" max="30" width="9.1328125" style="5"/>
    <col min="31" max="31" width="37.3984375" style="5" customWidth="1"/>
    <col min="32" max="32" width="16.59765625" style="5" customWidth="1"/>
    <col min="33" max="33" width="16.86328125" style="5" customWidth="1"/>
    <col min="34" max="34" width="17.59765625" style="5" customWidth="1"/>
    <col min="35" max="35" width="16.3984375" style="5" customWidth="1"/>
    <col min="36" max="36" width="15.1328125" style="5" customWidth="1"/>
    <col min="37" max="16384" width="9.1328125" style="5"/>
  </cols>
  <sheetData>
    <row r="1" spans="1:37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156" t="s">
        <v>781</v>
      </c>
      <c r="N1" s="2156"/>
      <c r="O1" s="2156"/>
      <c r="P1" s="2156"/>
      <c r="Q1" s="2156"/>
      <c r="R1" s="2156"/>
      <c r="S1" s="2156"/>
      <c r="T1" s="2156"/>
      <c r="U1" s="2156"/>
      <c r="V1" s="2156"/>
      <c r="W1" s="2156"/>
    </row>
    <row r="2" spans="1:37" s="301" customFormat="1" ht="18" thickBot="1" x14ac:dyDescent="0.4">
      <c r="A2" s="2346" t="s">
        <v>820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851</v>
      </c>
      <c r="N2" s="2446"/>
      <c r="O2" s="2446"/>
      <c r="P2" s="2446"/>
      <c r="Q2" s="2446"/>
      <c r="R2" s="2093"/>
      <c r="S2" s="2093"/>
      <c r="T2" s="2093"/>
      <c r="U2" s="2093"/>
      <c r="V2" s="2093"/>
      <c r="W2" s="2094"/>
      <c r="Z2" s="1149"/>
      <c r="AE2" s="2326" t="s">
        <v>781</v>
      </c>
      <c r="AF2" s="2326"/>
      <c r="AG2" s="2326"/>
      <c r="AH2" s="2326"/>
      <c r="AI2" s="2326"/>
      <c r="AJ2" s="2326"/>
    </row>
    <row r="3" spans="1:37" ht="17.25" customHeight="1" thickTop="1" x14ac:dyDescent="0.5">
      <c r="A3" s="2360" t="s">
        <v>144</v>
      </c>
      <c r="B3" s="2342" t="s">
        <v>353</v>
      </c>
      <c r="C3" s="1190" t="s">
        <v>10</v>
      </c>
      <c r="D3" s="2107" t="s">
        <v>8</v>
      </c>
      <c r="E3" s="2108"/>
      <c r="F3" s="2447" t="s">
        <v>10</v>
      </c>
      <c r="G3" s="2448"/>
      <c r="H3" s="2109" t="s">
        <v>813</v>
      </c>
      <c r="I3" s="2110"/>
      <c r="M3" s="2358" t="s">
        <v>757</v>
      </c>
      <c r="N3" s="2436" t="s">
        <v>353</v>
      </c>
      <c r="O3" s="2436"/>
      <c r="P3" s="2436"/>
      <c r="Q3" s="1190" t="s">
        <v>10</v>
      </c>
      <c r="R3" s="2107" t="s">
        <v>8</v>
      </c>
      <c r="S3" s="2108"/>
      <c r="T3" s="2107" t="s">
        <v>10</v>
      </c>
      <c r="U3" s="2108"/>
      <c r="V3" s="2109" t="s">
        <v>813</v>
      </c>
      <c r="W3" s="2110"/>
      <c r="AE3" s="2341" t="s">
        <v>854</v>
      </c>
      <c r="AF3" s="2341"/>
      <c r="AG3" s="2341"/>
      <c r="AH3" s="2341"/>
      <c r="AI3" s="2341"/>
      <c r="AJ3" s="2449"/>
    </row>
    <row r="4" spans="1:37" s="35" customFormat="1" ht="25.5" customHeight="1" x14ac:dyDescent="0.35">
      <c r="A4" s="2360"/>
      <c r="B4" s="2343"/>
      <c r="C4" s="1183" t="s">
        <v>764</v>
      </c>
      <c r="D4" s="1064" t="s">
        <v>9</v>
      </c>
      <c r="E4" s="422">
        <f>G4</f>
        <v>44986</v>
      </c>
      <c r="F4" s="422">
        <v>44641</v>
      </c>
      <c r="G4" s="422">
        <v>44986</v>
      </c>
      <c r="H4" s="2444" t="s">
        <v>12</v>
      </c>
      <c r="I4" s="2444" t="s">
        <v>13</v>
      </c>
      <c r="J4" s="323"/>
      <c r="K4" s="84"/>
      <c r="L4" s="1150"/>
      <c r="M4" s="2358"/>
      <c r="N4" s="2436"/>
      <c r="O4" s="2436"/>
      <c r="P4" s="2436"/>
      <c r="Q4" s="1183" t="s">
        <v>764</v>
      </c>
      <c r="R4" s="421" t="s">
        <v>9</v>
      </c>
      <c r="S4" s="422">
        <f>E4</f>
        <v>44986</v>
      </c>
      <c r="T4" s="422">
        <f>F4</f>
        <v>44641</v>
      </c>
      <c r="U4" s="422">
        <f>G4</f>
        <v>44986</v>
      </c>
      <c r="V4" s="2331" t="s">
        <v>12</v>
      </c>
      <c r="W4" s="2331" t="s">
        <v>13</v>
      </c>
      <c r="Z4" s="1150"/>
      <c r="AE4" s="1294" t="s">
        <v>353</v>
      </c>
      <c r="AF4" s="1294" t="s">
        <v>77</v>
      </c>
      <c r="AG4" s="1294" t="s">
        <v>249</v>
      </c>
      <c r="AH4" s="1365" t="s">
        <v>853</v>
      </c>
      <c r="AI4" s="1294" t="s">
        <v>438</v>
      </c>
      <c r="AJ4" s="1294" t="s">
        <v>701</v>
      </c>
      <c r="AK4" s="33" t="s">
        <v>353</v>
      </c>
    </row>
    <row r="5" spans="1:37" ht="18.75" hidden="1" customHeight="1" x14ac:dyDescent="0.5">
      <c r="A5" s="2361"/>
      <c r="B5" s="2344"/>
      <c r="C5" s="1184"/>
      <c r="D5" s="2157" t="s">
        <v>249</v>
      </c>
      <c r="E5" s="2158"/>
      <c r="F5" s="1134" t="s">
        <v>249</v>
      </c>
      <c r="G5" s="1134" t="s">
        <v>438</v>
      </c>
      <c r="H5" s="2445"/>
      <c r="I5" s="2445"/>
      <c r="M5" s="2359"/>
      <c r="N5" s="2436"/>
      <c r="O5" s="2436"/>
      <c r="P5" s="2436"/>
      <c r="Q5" s="1184"/>
      <c r="R5" s="2157" t="s">
        <v>249</v>
      </c>
      <c r="S5" s="2158"/>
      <c r="T5" s="602" t="s">
        <v>249</v>
      </c>
      <c r="U5" s="602" t="s">
        <v>438</v>
      </c>
      <c r="V5" s="2332"/>
      <c r="W5" s="2332"/>
      <c r="AE5" s="6"/>
      <c r="AF5" s="6"/>
      <c r="AG5" s="1363"/>
      <c r="AH5" s="1366"/>
      <c r="AI5" s="602" t="s">
        <v>249</v>
      </c>
      <c r="AJ5" s="602" t="s">
        <v>438</v>
      </c>
      <c r="AK5" s="6"/>
    </row>
    <row r="6" spans="1:37" ht="30" customHeight="1" x14ac:dyDescent="0.35">
      <c r="A6" s="1229">
        <v>1</v>
      </c>
      <c r="B6" s="1191" t="s">
        <v>290</v>
      </c>
      <c r="C6" s="1185">
        <v>615.09889696200003</v>
      </c>
      <c r="D6" s="1312">
        <f>'target FY 22-23'!D56</f>
        <v>950.59</v>
      </c>
      <c r="E6" s="1315">
        <f>E15+E16</f>
        <v>37.24</v>
      </c>
      <c r="F6" s="434">
        <f>F15+F16+F17</f>
        <v>77.116538100000014</v>
      </c>
      <c r="G6" s="434">
        <f>G15+G16+G17</f>
        <v>93.303059199999993</v>
      </c>
      <c r="H6" s="517">
        <f>(G6-E6)/E6*100</f>
        <v>150.54527175080554</v>
      </c>
      <c r="I6" s="517">
        <f>(G6-F6)/F6*100</f>
        <v>20.989688462169148</v>
      </c>
      <c r="J6" s="323">
        <f>E6+'FEB -23'!E6+'JAN-23'!E6+'DEC-22'!E6+'NOV -22'!E6</f>
        <v>380.83</v>
      </c>
      <c r="K6" s="323">
        <f>F6+'FEB -23'!F6+'JAN-23'!F6+'DEC-22'!F6+'NOV -22'!F6</f>
        <v>314.95863107900004</v>
      </c>
      <c r="L6" s="323">
        <f>G6+'FEB -23'!G6+'JAN-23'!G6+'DEC-22'!G6+'NOV -22'!G6</f>
        <v>457.83901779999997</v>
      </c>
      <c r="M6" s="1203">
        <v>1</v>
      </c>
      <c r="N6" s="2049" t="s">
        <v>290</v>
      </c>
      <c r="O6" s="2049"/>
      <c r="P6" s="2049"/>
      <c r="Q6" s="1185">
        <v>615.09889696200003</v>
      </c>
      <c r="R6" s="1312">
        <v>950.59</v>
      </c>
      <c r="S6" s="434">
        <v>950.59</v>
      </c>
      <c r="T6" s="434">
        <f>T15+T16+T17</f>
        <v>615.095131262</v>
      </c>
      <c r="U6" s="434">
        <f>U15+U16+U17</f>
        <v>1024.2159494</v>
      </c>
      <c r="V6" s="1313">
        <f>(U6-S6)/S6*100</f>
        <v>7.7452897042889113</v>
      </c>
      <c r="W6" s="1313">
        <f>(U6-T6)/T6*100</f>
        <v>66.513421639121191</v>
      </c>
      <c r="X6" s="12">
        <f>(U6-R6)/R6*100</f>
        <v>7.7452897042889113</v>
      </c>
      <c r="Y6" s="5">
        <f>(U6-R6)/R6*100</f>
        <v>7.7452897042889113</v>
      </c>
      <c r="Z6" s="491">
        <f>'APRIL-22'!F6+'MAY-22'!F6+'JUNE-22'!F6+'JULY 22'!F6+'AUG-22'!F6+'SEP-2022'!F6</f>
        <v>234.29859418299998</v>
      </c>
      <c r="AA6" s="491">
        <f>'APRIL-22'!G6+'MAY-22'!G6+'JUNE-22'!G6+'JULY 22'!G6+'AUG-22'!G6+'SEP-2022'!G6</f>
        <v>486.57014339999995</v>
      </c>
      <c r="AE6" s="1191" t="s">
        <v>855</v>
      </c>
      <c r="AF6" s="434">
        <v>873.14</v>
      </c>
      <c r="AG6" s="434">
        <v>615.09889696200003</v>
      </c>
      <c r="AH6" s="1315">
        <v>950.59</v>
      </c>
      <c r="AI6" s="434">
        <v>950.59</v>
      </c>
      <c r="AJ6" s="434">
        <v>1024.2159494</v>
      </c>
      <c r="AK6" s="6" t="s">
        <v>237</v>
      </c>
    </row>
    <row r="7" spans="1:37" ht="26.25" customHeight="1" x14ac:dyDescent="0.35">
      <c r="A7" s="1230">
        <v>2</v>
      </c>
      <c r="B7" s="1154" t="s">
        <v>291</v>
      </c>
      <c r="C7" s="1186">
        <v>275.33999999999997</v>
      </c>
      <c r="D7" s="434">
        <f>'target FY 22-23'!E56</f>
        <v>341.23</v>
      </c>
      <c r="E7" s="1315">
        <v>18.940000000000001</v>
      </c>
      <c r="F7" s="434">
        <f>F20+F21+F22+F23+F24+F25+F26</f>
        <v>15.450000000000001</v>
      </c>
      <c r="G7" s="434">
        <f>G20+G21+G22+G23+G24+G25+G26</f>
        <v>32.89</v>
      </c>
      <c r="H7" s="517">
        <f>(G7-E7)/E7*100</f>
        <v>73.653643083421315</v>
      </c>
      <c r="I7" s="517">
        <f>(G7-F7)/F7*100</f>
        <v>112.88025889967635</v>
      </c>
      <c r="J7" s="323">
        <f>E7+'FEB -23'!E7+'JAN-23'!E7+'DEC-22'!E7+'NOV -22'!E7</f>
        <v>140.29</v>
      </c>
      <c r="K7" s="323">
        <f>F7+'FEB -23'!F7+'JAN-23'!F7+'DEC-22'!F7</f>
        <v>90.345326499999999</v>
      </c>
      <c r="L7" s="323">
        <f>G7+'FEB -23'!G7+'JAN-23'!G7+'DEC-22'!G7+'NOV -22'!G7</f>
        <v>170.114</v>
      </c>
      <c r="M7" s="1204">
        <v>2</v>
      </c>
      <c r="N7" s="2428" t="s">
        <v>291</v>
      </c>
      <c r="O7" s="2428"/>
      <c r="P7" s="2428"/>
      <c r="Q7" s="1186">
        <v>275.33999999999997</v>
      </c>
      <c r="R7" s="434">
        <v>341.23</v>
      </c>
      <c r="S7" s="434">
        <v>341.23</v>
      </c>
      <c r="T7" s="434">
        <v>275.33999999999997</v>
      </c>
      <c r="U7" s="434">
        <f>U20+U21+U22+U23+U24+U25+U26</f>
        <v>403.10200000000003</v>
      </c>
      <c r="V7" s="1313">
        <f>(U7-S7)/S7*100</f>
        <v>18.132051695337459</v>
      </c>
      <c r="W7" s="1313">
        <f>(U7-T7)/T7*100</f>
        <v>46.401539914287817</v>
      </c>
      <c r="Z7" s="491">
        <f>'APRIL-22'!F7+'MAY-22'!F7+'JUNE-22'!F7+'JULY 22'!F7+'AUG-22'!F7+'SEP-2022'!F7</f>
        <v>124.89550630000001</v>
      </c>
      <c r="AA7" s="491">
        <f>'APRIL-22'!G7+'MAY-22'!G7+'JUNE-22'!G7+'JULY 22'!G7+'AUG-22'!G7+'SEP-2022'!G7</f>
        <v>203.11230660000001</v>
      </c>
      <c r="AE7" s="606" t="s">
        <v>856</v>
      </c>
      <c r="AF7" s="434">
        <v>194.94915280000004</v>
      </c>
      <c r="AG7" s="434">
        <v>275.33999999999997</v>
      </c>
      <c r="AH7" s="1315">
        <v>341.23</v>
      </c>
      <c r="AI7" s="434">
        <v>341.23</v>
      </c>
      <c r="AJ7" s="434">
        <v>403.10200000000003</v>
      </c>
      <c r="AK7" s="6" t="s">
        <v>177</v>
      </c>
    </row>
    <row r="8" spans="1:37" ht="32.25" customHeight="1" x14ac:dyDescent="0.35">
      <c r="A8" s="1231">
        <v>3</v>
      </c>
      <c r="B8" s="1155" t="s">
        <v>292</v>
      </c>
      <c r="C8" s="1187">
        <v>71.674099700000014</v>
      </c>
      <c r="D8" s="1314">
        <f>'target FY 22-23'!F56</f>
        <v>102.46000000000001</v>
      </c>
      <c r="E8" s="1315">
        <v>13.51</v>
      </c>
      <c r="F8" s="1314">
        <f>F31+F32+F33+F34+F35+F36+F37</f>
        <v>7.9044305999999995</v>
      </c>
      <c r="G8" s="1314">
        <f>G31+G32+G33+G34+G35+G36+G37</f>
        <v>8.7627875999999993</v>
      </c>
      <c r="H8" s="517">
        <f>(G8-E8)/E8*100</f>
        <v>-35.138507772020731</v>
      </c>
      <c r="I8" s="517">
        <f>(G8-F8)/F8*100</f>
        <v>10.859188263351948</v>
      </c>
      <c r="J8" s="323">
        <f>E8+'FEB -23'!E8+'JAN-23'!E8+'DEC-22'!E8+'NOV -22'!E8</f>
        <v>53.75</v>
      </c>
      <c r="K8" s="323">
        <f>F8+'FEB -23'!F8+'JAN-23'!F8+'DEC-22'!F8</f>
        <v>28.731469400000002</v>
      </c>
      <c r="L8" s="323">
        <f>G8+'FEB -23'!G8+'JAN-23'!G8+'DEC-22'!G8+'NOV -22'!G8</f>
        <v>41.998976899999995</v>
      </c>
      <c r="M8" s="1205">
        <v>3</v>
      </c>
      <c r="N8" s="2427" t="s">
        <v>292</v>
      </c>
      <c r="O8" s="2427"/>
      <c r="P8" s="2427"/>
      <c r="Q8" s="1187">
        <v>71.674099700000014</v>
      </c>
      <c r="R8" s="1314">
        <v>102.46000000000001</v>
      </c>
      <c r="S8" s="434">
        <f>R8</f>
        <v>102.46000000000001</v>
      </c>
      <c r="T8" s="1314">
        <f>T31+T32+T33+T34+T35+T36+T37</f>
        <v>71.674099699999985</v>
      </c>
      <c r="U8" s="434">
        <f>U31+U32+U33+U34+U35+U36+U37</f>
        <v>106.68749520000001</v>
      </c>
      <c r="V8" s="1313">
        <f>(U8-S8)/S8*100</f>
        <v>4.1259957056412322</v>
      </c>
      <c r="W8" s="1313">
        <f>(U8-T8)/T8*100</f>
        <v>48.850834048216221</v>
      </c>
      <c r="Z8" s="491">
        <f>'APRIL-22'!F8+'MAY-22'!F8+'JUNE-22'!F8+'JULY 22'!F8+'AUG-22'!F8+'SEP-2022'!F8</f>
        <v>27.944966799999996</v>
      </c>
      <c r="AA8" s="491">
        <f>'APRIL-22'!G8+'MAY-22'!G8+'JUNE-22'!G8+'JULY 22'!G8+'AUG-22'!G8+'SEP-2022'!G8</f>
        <v>55.066350600000007</v>
      </c>
      <c r="AE8" s="1361" t="s">
        <v>857</v>
      </c>
      <c r="AF8" s="434">
        <v>85.182228199999997</v>
      </c>
      <c r="AG8" s="434">
        <v>71.674099700000014</v>
      </c>
      <c r="AH8" s="1315">
        <v>102.46000000000001</v>
      </c>
      <c r="AI8" s="434">
        <v>102.46000000000001</v>
      </c>
      <c r="AJ8" s="434">
        <v>106.68749520000001</v>
      </c>
      <c r="AK8" s="6" t="s">
        <v>371</v>
      </c>
    </row>
    <row r="9" spans="1:37" ht="34.5" customHeight="1" x14ac:dyDescent="0.35">
      <c r="A9" s="1230">
        <v>4</v>
      </c>
      <c r="B9" s="1156" t="s">
        <v>293</v>
      </c>
      <c r="C9" s="1185">
        <v>5.1459812999999999</v>
      </c>
      <c r="D9" s="434">
        <f>D39+D40+D41</f>
        <v>16.79</v>
      </c>
      <c r="E9" s="1315">
        <f>E39+E40+E41</f>
        <v>1.3991666666666667</v>
      </c>
      <c r="F9" s="434">
        <f>F39+F40+F41+F42+F43+F44</f>
        <v>0.76891249999999989</v>
      </c>
      <c r="G9" s="434">
        <f>G39+G40+G41+G42+G43+G44</f>
        <v>2.1396953999999999</v>
      </c>
      <c r="H9" s="517">
        <f>(G9-E9)/E9*100</f>
        <v>52.926413341274561</v>
      </c>
      <c r="I9" s="517">
        <f>(G9-F9)/F9*100</f>
        <v>178.27553850405607</v>
      </c>
      <c r="J9" s="323">
        <f>E9+'FEB -23'!E9+'JAN-23'!E9+'DEC-22'!E9+'NOV -22'!E9</f>
        <v>7.1788333333333334</v>
      </c>
      <c r="K9" s="323">
        <f>F9+'FEB -23'!F9+'JAN-23'!F9+'DEC-22'!F9</f>
        <v>2.6753699000000002</v>
      </c>
      <c r="L9" s="323">
        <f>G9+'FEB -23'!G9+'JAN-23'!G9+'DEC-22'!G9+'NOV -22'!G9</f>
        <v>9.309801499999999</v>
      </c>
      <c r="M9" s="1204">
        <v>4</v>
      </c>
      <c r="N9" s="2428" t="s">
        <v>293</v>
      </c>
      <c r="O9" s="2428"/>
      <c r="P9" s="2428"/>
      <c r="Q9" s="1185">
        <v>5.1459812999999999</v>
      </c>
      <c r="R9" s="434">
        <f>R39+R40+R41</f>
        <v>16.79</v>
      </c>
      <c r="S9" s="434">
        <f>R9</f>
        <v>16.79</v>
      </c>
      <c r="T9" s="434">
        <f>T39+T40+T41+T42+T43+T44</f>
        <v>5.1524325000000006</v>
      </c>
      <c r="U9" s="434">
        <f>U39+U40+U41+U42+U43+U44</f>
        <v>17.618554699999997</v>
      </c>
      <c r="V9" s="1313">
        <f>(U9-S9)/S9*100</f>
        <v>4.9348106015485289</v>
      </c>
      <c r="W9" s="1313">
        <f>(U9-T9)/T9*100</f>
        <v>241.94634670129099</v>
      </c>
      <c r="Z9" s="491">
        <f>'APRIL-22'!F9+'MAY-22'!F9+'JUNE-22'!F9+'JULY 22'!F9+'AUG-22'!F9+'SEP-2022'!F9</f>
        <v>2.8027249000000003</v>
      </c>
      <c r="AA9" s="491">
        <f>'APRIL-22'!G9+'MAY-22'!G9+'JUNE-22'!G9+'JULY 22'!G9+'AUG-22'!G9+'SEP-2022'!G9</f>
        <v>7.3723258000000005</v>
      </c>
      <c r="AE9" s="606" t="s">
        <v>858</v>
      </c>
      <c r="AF9" s="434">
        <v>9.3101146999999997</v>
      </c>
      <c r="AG9" s="434">
        <v>5.1459812999999999</v>
      </c>
      <c r="AH9" s="1315">
        <v>16.79</v>
      </c>
      <c r="AI9" s="434">
        <v>16.79</v>
      </c>
      <c r="AJ9" s="434">
        <v>17.701250099999996</v>
      </c>
      <c r="AK9" s="6" t="s">
        <v>203</v>
      </c>
    </row>
    <row r="10" spans="1:37" ht="28.5" customHeight="1" x14ac:dyDescent="0.35">
      <c r="A10" s="1231">
        <v>5</v>
      </c>
      <c r="B10" s="1157" t="s">
        <v>294</v>
      </c>
      <c r="C10" s="1188">
        <f>SUM(C6:C9)</f>
        <v>967.25897796200002</v>
      </c>
      <c r="D10" s="321">
        <f>SUM(D6:D9)</f>
        <v>1411.0700000000002</v>
      </c>
      <c r="E10" s="321">
        <f>SUM(E6:E9)</f>
        <v>71.089166666666685</v>
      </c>
      <c r="F10" s="321">
        <f>SUM(F6:F9)</f>
        <v>101.23988120000001</v>
      </c>
      <c r="G10" s="321">
        <f>SUM(G6:G9)</f>
        <v>137.09554219999998</v>
      </c>
      <c r="H10" s="322">
        <f>(G10-E10)/E10*100</f>
        <v>92.850118560024313</v>
      </c>
      <c r="I10" s="322">
        <f>(G10-F10)/F10*100</f>
        <v>35.41653800360244</v>
      </c>
      <c r="J10" s="323">
        <f>SUM(J6:J9)</f>
        <v>582.04883333333339</v>
      </c>
      <c r="K10" s="323">
        <f>SUM(K6:K9)</f>
        <v>436.71079687900004</v>
      </c>
      <c r="L10" s="323">
        <f>SUM(L6:L9)</f>
        <v>679.26179620000005</v>
      </c>
      <c r="M10" s="1205">
        <v>5</v>
      </c>
      <c r="N10" s="2429" t="s">
        <v>294</v>
      </c>
      <c r="O10" s="2429"/>
      <c r="P10" s="2429"/>
      <c r="Q10" s="1188">
        <f>SUM(Q6:Q9)</f>
        <v>967.25897796200002</v>
      </c>
      <c r="R10" s="321">
        <f>SUM(R6:R9)</f>
        <v>1411.0700000000002</v>
      </c>
      <c r="S10" s="321">
        <f>SUM(S6:S9)</f>
        <v>1411.0700000000002</v>
      </c>
      <c r="T10" s="321">
        <f>SUM(T6:T9)</f>
        <v>967.26166346199989</v>
      </c>
      <c r="U10" s="321">
        <f>SUM(U6:U9)</f>
        <v>1551.6239993000002</v>
      </c>
      <c r="V10" s="1162">
        <f>(U10-S10)/S10*100</f>
        <v>9.9608098322549541</v>
      </c>
      <c r="W10" s="1162">
        <f>(U10-T10)/T10*100</f>
        <v>60.4140904071877</v>
      </c>
      <c r="Y10" s="5">
        <f>T10*10000000</f>
        <v>9672616634.6199989</v>
      </c>
      <c r="Z10" s="5">
        <f>U10*10000000</f>
        <v>15516239993.000002</v>
      </c>
      <c r="AA10" s="12">
        <f>SUM(AA6:AA9)</f>
        <v>752.12112639999998</v>
      </c>
      <c r="AB10" s="12">
        <f>U10-AA10</f>
        <v>799.50287290000017</v>
      </c>
      <c r="AE10" s="1362" t="s">
        <v>859</v>
      </c>
      <c r="AF10" s="1364">
        <f>SUM(AF6:AF9)</f>
        <v>1162.5814957</v>
      </c>
      <c r="AG10" s="1364">
        <f>SUM(AG6:AG9)</f>
        <v>967.25897796200002</v>
      </c>
      <c r="AH10" s="445">
        <f>SUM(AH6:AH9)</f>
        <v>1411.0700000000002</v>
      </c>
      <c r="AI10" s="321">
        <f>SUM(AI6:AI9)</f>
        <v>1411.0700000000002</v>
      </c>
      <c r="AJ10" s="1405">
        <f>SUM(AJ6:AJ9)</f>
        <v>1551.7066947000001</v>
      </c>
    </row>
    <row r="11" spans="1:37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2"/>
      <c r="V11" s="2062"/>
      <c r="W11" s="2063"/>
      <c r="AE11" s="6"/>
      <c r="AF11" s="6"/>
      <c r="AG11" s="234"/>
      <c r="AH11" s="1297"/>
      <c r="AI11" s="6"/>
      <c r="AJ11" s="6"/>
    </row>
    <row r="12" spans="1:37" ht="31.5" customHeight="1" x14ac:dyDescent="0.35">
      <c r="A12" s="1230">
        <v>6.3</v>
      </c>
      <c r="B12" s="1293" t="s">
        <v>778</v>
      </c>
      <c r="C12" s="1307">
        <v>16.11</v>
      </c>
      <c r="D12" s="332">
        <v>62.53</v>
      </c>
      <c r="E12" s="307">
        <f>E46+E47</f>
        <v>2.94</v>
      </c>
      <c r="F12" s="1294">
        <f>F46+F47+F48</f>
        <v>2.614271</v>
      </c>
      <c r="G12" s="1294">
        <f>G46+G47+G48</f>
        <v>4.4247230000000002</v>
      </c>
      <c r="H12" s="308">
        <f>(G12-E12)/E12*100</f>
        <v>50.500782312925175</v>
      </c>
      <c r="I12" s="316">
        <f>(G12-F12)/F12*100</f>
        <v>69.252652077768531</v>
      </c>
      <c r="M12" s="1204">
        <v>6.3</v>
      </c>
      <c r="N12" s="2430" t="s">
        <v>250</v>
      </c>
      <c r="O12" s="2431"/>
      <c r="P12" s="2432"/>
      <c r="Q12" s="1307">
        <v>16.61</v>
      </c>
      <c r="R12" s="332">
        <v>62.53</v>
      </c>
      <c r="S12" s="307">
        <f>S46+S47</f>
        <v>62.53</v>
      </c>
      <c r="T12" s="1294">
        <f>T46+T47+T48</f>
        <v>16.611401999999998</v>
      </c>
      <c r="U12" s="1294">
        <f>U46+U47+U48</f>
        <v>47.027382000000003</v>
      </c>
      <c r="V12" s="1161">
        <f>(U12-S12)/S12*100</f>
        <v>-24.792288501519266</v>
      </c>
      <c r="W12" s="1060">
        <f>(U12-T12)/T12*100</f>
        <v>183.10302766738175</v>
      </c>
      <c r="Y12" s="41">
        <f>Y10/1000</f>
        <v>9672616.6346199997</v>
      </c>
      <c r="Z12" s="41">
        <f>Z10/1000</f>
        <v>15516239.993000003</v>
      </c>
      <c r="AE12" s="1316" t="s">
        <v>814</v>
      </c>
      <c r="AF12" s="1294">
        <v>77.260000000000005</v>
      </c>
      <c r="AG12" s="1294">
        <v>16.61</v>
      </c>
      <c r="AH12" s="1367">
        <v>62.53</v>
      </c>
      <c r="AI12" s="1294">
        <v>16.611401999999998</v>
      </c>
      <c r="AJ12" s="1294">
        <v>47.027382000000003</v>
      </c>
    </row>
    <row r="13" spans="1:37" s="1310" customFormat="1" ht="13.5" customHeight="1" x14ac:dyDescent="0.35">
      <c r="A13" s="1309"/>
      <c r="B13" s="2438" t="s">
        <v>229</v>
      </c>
      <c r="C13" s="2439"/>
      <c r="D13" s="2439"/>
      <c r="E13" s="2439"/>
      <c r="F13" s="2439"/>
      <c r="G13" s="2439"/>
      <c r="H13" s="2439"/>
      <c r="I13" s="2440"/>
      <c r="L13" s="1311"/>
      <c r="M13" s="1309"/>
      <c r="N13" s="2433" t="s">
        <v>229</v>
      </c>
      <c r="O13" s="2434"/>
      <c r="P13" s="2434"/>
      <c r="Q13" s="2434"/>
      <c r="R13" s="2434"/>
      <c r="S13" s="2434"/>
      <c r="T13" s="2434"/>
      <c r="U13" s="2434"/>
      <c r="V13" s="2434"/>
      <c r="W13" s="2435"/>
      <c r="Z13" s="1311"/>
    </row>
    <row r="14" spans="1:37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0"/>
      <c r="V14" s="2310"/>
      <c r="W14" s="2311"/>
    </row>
    <row r="15" spans="1:37" ht="15.4" x14ac:dyDescent="0.4">
      <c r="A15" s="2374"/>
      <c r="B15" s="378" t="s">
        <v>802</v>
      </c>
      <c r="C15" s="1282">
        <v>2.0896889139999999</v>
      </c>
      <c r="D15" s="333">
        <v>22.16</v>
      </c>
      <c r="E15" s="1249">
        <v>1.1000000000000001</v>
      </c>
      <c r="F15" s="315">
        <v>0.50202440000000004</v>
      </c>
      <c r="G15" s="315">
        <v>1.0327909</v>
      </c>
      <c r="H15" s="316">
        <f>(G15-E15)/E15*100</f>
        <v>-6.1099181818181938</v>
      </c>
      <c r="I15" s="314">
        <f>(G15-F15)/F15*100</f>
        <v>105.72523964970624</v>
      </c>
      <c r="J15" s="1128">
        <f>373857/10000000</f>
        <v>3.7385700000000001E-2</v>
      </c>
      <c r="M15" s="2369"/>
      <c r="N15" s="2422" t="s">
        <v>863</v>
      </c>
      <c r="O15" s="2422"/>
      <c r="P15" s="6" t="s">
        <v>166</v>
      </c>
      <c r="Q15" s="1282">
        <v>2.0896889139999999</v>
      </c>
      <c r="R15" s="333">
        <v>22.16</v>
      </c>
      <c r="S15" s="315">
        <v>22.16</v>
      </c>
      <c r="T15" s="315">
        <v>2.0896889139999999</v>
      </c>
      <c r="U15" s="315">
        <f>G15+'FEB -23'!S15</f>
        <v>11.460276500000001</v>
      </c>
      <c r="V15" s="316">
        <f>(U15-S15)/S15*100</f>
        <v>-48.283950812274362</v>
      </c>
      <c r="W15" s="314">
        <f>(U15-T15)/T15*100</f>
        <v>448.42021811099107</v>
      </c>
      <c r="AA15" s="12">
        <f>T16+T17</f>
        <v>613.00544234799997</v>
      </c>
      <c r="AB15" s="12">
        <f>U16+U17</f>
        <v>1012.7556729</v>
      </c>
      <c r="AC15" s="5">
        <f>(AB15-AA15)/AA15*100</f>
        <v>65.211530426358593</v>
      </c>
    </row>
    <row r="16" spans="1:37" ht="15.4" x14ac:dyDescent="0.4">
      <c r="A16" s="2374"/>
      <c r="B16" s="1281" t="s">
        <v>801</v>
      </c>
      <c r="C16" s="1282">
        <v>2.1157408480000002</v>
      </c>
      <c r="D16" s="2166">
        <v>928.43</v>
      </c>
      <c r="E16" s="2065">
        <v>36.14</v>
      </c>
      <c r="F16" s="315">
        <v>0.6845137</v>
      </c>
      <c r="G16" s="315">
        <v>14.6200163</v>
      </c>
      <c r="H16" s="2154">
        <f>L16</f>
        <v>155.31341532927502</v>
      </c>
      <c r="I16" s="314">
        <f>(G16-F16)/F16*100</f>
        <v>2035.8252289179895</v>
      </c>
      <c r="J16" s="12">
        <f>F16+F17</f>
        <v>76.614513700000003</v>
      </c>
      <c r="K16" s="12">
        <f>G16+G17</f>
        <v>92.270268299999998</v>
      </c>
      <c r="L16" s="172">
        <f>(K16-E16)/E16*100</f>
        <v>155.31341532927502</v>
      </c>
      <c r="M16" s="2369"/>
      <c r="N16" s="2423" t="s">
        <v>864</v>
      </c>
      <c r="O16" s="2423"/>
      <c r="P16" s="1201" t="s">
        <v>166</v>
      </c>
      <c r="Q16" s="1282">
        <v>2.1157408480000002</v>
      </c>
      <c r="R16" s="2166">
        <v>928.43</v>
      </c>
      <c r="S16" s="2065">
        <v>928.43</v>
      </c>
      <c r="T16" s="315">
        <v>2.1157408480000002</v>
      </c>
      <c r="U16" s="315">
        <f>G16+'FEB -23'!S16</f>
        <v>126.72018780000001</v>
      </c>
      <c r="V16" s="2154">
        <f>Z16</f>
        <v>9.0826096636256999</v>
      </c>
      <c r="W16" s="314">
        <f>(U16-T16)/T16*100</f>
        <v>5889.4002575876912</v>
      </c>
      <c r="X16" s="12">
        <f>T16+T17</f>
        <v>613.00544234799997</v>
      </c>
      <c r="Y16" s="12">
        <f>U16+U17</f>
        <v>1012.7556729</v>
      </c>
      <c r="Z16" s="172">
        <f>(Y16-S16)/S16*100</f>
        <v>9.0826096636256999</v>
      </c>
    </row>
    <row r="17" spans="1:37" ht="15.4" x14ac:dyDescent="0.4">
      <c r="A17" s="2375"/>
      <c r="B17" s="320" t="s">
        <v>803</v>
      </c>
      <c r="C17" s="1282">
        <v>610.89346720000003</v>
      </c>
      <c r="D17" s="2064"/>
      <c r="E17" s="2066"/>
      <c r="F17" s="315">
        <v>75.930000000000007</v>
      </c>
      <c r="G17" s="315">
        <v>77.650251999999995</v>
      </c>
      <c r="H17" s="2155"/>
      <c r="I17" s="314">
        <f>(G17-F17)/F17*100</f>
        <v>2.2655761885947423</v>
      </c>
      <c r="J17" s="323">
        <f>114680295/10000000</f>
        <v>11.4680295</v>
      </c>
      <c r="M17" s="2245"/>
      <c r="N17" s="2422" t="s">
        <v>472</v>
      </c>
      <c r="O17" s="2422"/>
      <c r="P17" s="1201" t="s">
        <v>228</v>
      </c>
      <c r="Q17" s="1282">
        <v>610.89346720000003</v>
      </c>
      <c r="R17" s="2064"/>
      <c r="S17" s="2066"/>
      <c r="T17" s="315">
        <v>610.8897015</v>
      </c>
      <c r="U17" s="315">
        <f>G17+'FEB -23'!S17</f>
        <v>886.03548510000007</v>
      </c>
      <c r="V17" s="2155"/>
      <c r="W17" s="314">
        <f>(U17-T17)/T17*100</f>
        <v>45.040173852071405</v>
      </c>
      <c r="AJ17" s="6" t="s">
        <v>237</v>
      </c>
      <c r="AK17" s="434">
        <v>1024.2159494</v>
      </c>
    </row>
    <row r="18" spans="1:37" ht="21" customHeight="1" x14ac:dyDescent="0.35">
      <c r="A18" s="1982">
        <v>2</v>
      </c>
      <c r="B18" s="1067" t="s">
        <v>678</v>
      </c>
      <c r="C18" s="2312" t="s">
        <v>680</v>
      </c>
      <c r="D18" s="2312"/>
      <c r="E18" s="2312"/>
      <c r="F18" s="2321" t="s">
        <v>684</v>
      </c>
      <c r="G18" s="2322"/>
      <c r="H18" s="2322"/>
      <c r="I18" s="2323"/>
      <c r="M18" s="2368">
        <v>2</v>
      </c>
      <c r="N18" s="1067" t="s">
        <v>678</v>
      </c>
      <c r="O18" s="2321" t="s">
        <v>862</v>
      </c>
      <c r="P18" s="2323"/>
      <c r="Q18" s="2312" t="s">
        <v>680</v>
      </c>
      <c r="R18" s="2312"/>
      <c r="S18" s="2312"/>
      <c r="T18" s="2321" t="s">
        <v>684</v>
      </c>
      <c r="U18" s="2322"/>
      <c r="V18" s="2322"/>
      <c r="W18" s="2323"/>
      <c r="AJ18" s="6" t="s">
        <v>177</v>
      </c>
      <c r="AK18" s="434">
        <v>403.10200000000003</v>
      </c>
    </row>
    <row r="19" spans="1:37" ht="19.5" customHeight="1" x14ac:dyDescent="0.35">
      <c r="A19" s="1983"/>
      <c r="B19" s="1069" t="s">
        <v>230</v>
      </c>
      <c r="C19" s="1098">
        <f>F4</f>
        <v>44641</v>
      </c>
      <c r="D19" s="1098">
        <f>G4</f>
        <v>44986</v>
      </c>
      <c r="E19" s="1069" t="s">
        <v>681</v>
      </c>
      <c r="F19" s="1098">
        <f>F4</f>
        <v>44641</v>
      </c>
      <c r="G19" s="1098">
        <f>G4</f>
        <v>44986</v>
      </c>
      <c r="H19" s="1071" t="s">
        <v>682</v>
      </c>
      <c r="I19" s="1072" t="s">
        <v>681</v>
      </c>
      <c r="M19" s="2369"/>
      <c r="N19" s="1069" t="s">
        <v>230</v>
      </c>
      <c r="O19" s="1098" t="s">
        <v>323</v>
      </c>
      <c r="P19" s="1098">
        <v>44986</v>
      </c>
      <c r="Q19" s="1098">
        <f>T4</f>
        <v>44641</v>
      </c>
      <c r="R19" s="1098">
        <f>U4</f>
        <v>44986</v>
      </c>
      <c r="S19" s="1069" t="s">
        <v>681</v>
      </c>
      <c r="T19" s="1098">
        <f>T4</f>
        <v>44641</v>
      </c>
      <c r="U19" s="1098">
        <f>U4</f>
        <v>44986</v>
      </c>
      <c r="V19" s="1071" t="s">
        <v>682</v>
      </c>
      <c r="W19" s="1072" t="s">
        <v>681</v>
      </c>
      <c r="AJ19" s="6" t="s">
        <v>371</v>
      </c>
      <c r="AK19" s="434">
        <v>106.68749520000001</v>
      </c>
    </row>
    <row r="20" spans="1:37" ht="18.75" customHeight="1" x14ac:dyDescent="0.4">
      <c r="A20" s="1983"/>
      <c r="B20" s="1055" t="s">
        <v>231</v>
      </c>
      <c r="C20" s="85">
        <v>53181</v>
      </c>
      <c r="D20" s="303">
        <v>49520</v>
      </c>
      <c r="E20" s="314">
        <f>(D20-C20)/C20*100</f>
        <v>-6.8840375322013498</v>
      </c>
      <c r="F20" s="315">
        <v>6.36</v>
      </c>
      <c r="G20" s="315">
        <v>13.6</v>
      </c>
      <c r="H20" s="1060">
        <f>G20/G7*100</f>
        <v>41.349954393432654</v>
      </c>
      <c r="I20" s="314">
        <f>(G20-F20)/F20*100</f>
        <v>113.83647798742136</v>
      </c>
      <c r="M20" s="2369"/>
      <c r="N20" s="1055" t="s">
        <v>231</v>
      </c>
      <c r="O20" s="1055"/>
      <c r="P20" s="1055"/>
      <c r="Q20" s="833">
        <v>1160782</v>
      </c>
      <c r="R20" s="833">
        <v>950064</v>
      </c>
      <c r="S20" s="314">
        <f>(R20-Q20)/Q20*100</f>
        <v>-18.153107129504075</v>
      </c>
      <c r="T20" s="316">
        <v>207.34293589999999</v>
      </c>
      <c r="U20" s="315">
        <v>182.9</v>
      </c>
      <c r="V20" s="1060">
        <f>U20/U7*100</f>
        <v>45.373131366254697</v>
      </c>
      <c r="W20" s="314">
        <f>(U20-T20)/T20*100</f>
        <v>-11.788651392391122</v>
      </c>
      <c r="AJ20" s="6" t="s">
        <v>203</v>
      </c>
      <c r="AK20" s="434">
        <v>17.701250099999996</v>
      </c>
    </row>
    <row r="21" spans="1:37" ht="18.75" customHeight="1" x14ac:dyDescent="0.4">
      <c r="A21" s="1983"/>
      <c r="B21" s="1055" t="s">
        <v>232</v>
      </c>
      <c r="C21" s="1214">
        <v>41529</v>
      </c>
      <c r="D21" s="1214">
        <v>75096</v>
      </c>
      <c r="E21" s="314">
        <f>(D21-C21)/C21*100</f>
        <v>80.827855233692119</v>
      </c>
      <c r="F21" s="315">
        <v>1.46</v>
      </c>
      <c r="G21" s="315">
        <v>7.73</v>
      </c>
      <c r="H21" s="1060">
        <f>G21/G7*100</f>
        <v>23.502584372149592</v>
      </c>
      <c r="I21" s="314">
        <f>(G21-F21)/F21*100</f>
        <v>429.45205479452062</v>
      </c>
      <c r="M21" s="2369"/>
      <c r="N21" s="1055" t="s">
        <v>232</v>
      </c>
      <c r="O21" s="1055"/>
      <c r="P21" s="1055"/>
      <c r="Q21" s="833">
        <v>239253</v>
      </c>
      <c r="R21" s="833">
        <v>990683</v>
      </c>
      <c r="S21" s="314">
        <f>(R21-Q21)/Q21*100</f>
        <v>314.07338674959141</v>
      </c>
      <c r="T21" s="315">
        <v>12.3503062</v>
      </c>
      <c r="U21" s="315">
        <v>99.97</v>
      </c>
      <c r="V21" s="1060">
        <f>U21/U7*100</f>
        <v>24.800174645623191</v>
      </c>
      <c r="W21" s="314">
        <f>(U21-T21)/T21*100</f>
        <v>709.4536150042984</v>
      </c>
      <c r="Y21" s="5">
        <v>2.17</v>
      </c>
      <c r="Z21" s="172">
        <v>2.95</v>
      </c>
      <c r="AA21" s="5">
        <f>(Z21-Y21)/Y21*100</f>
        <v>35.944700460829502</v>
      </c>
    </row>
    <row r="22" spans="1:37" ht="18.75" customHeight="1" x14ac:dyDescent="0.4">
      <c r="A22" s="1983"/>
      <c r="B22" s="1055" t="s">
        <v>239</v>
      </c>
      <c r="C22" s="303">
        <v>60242</v>
      </c>
      <c r="D22" s="1214">
        <v>74894</v>
      </c>
      <c r="E22" s="314">
        <f>(D22-C22)/C22*100</f>
        <v>24.321901663291392</v>
      </c>
      <c r="F22" s="315">
        <v>6.28</v>
      </c>
      <c r="G22" s="315">
        <v>10.98</v>
      </c>
      <c r="H22" s="1060">
        <f>G22/G7*100</f>
        <v>33.384007297050779</v>
      </c>
      <c r="I22" s="314">
        <f>(G22-F22)/F22*100</f>
        <v>74.840764331210181</v>
      </c>
      <c r="M22" s="2369"/>
      <c r="N22" s="1055" t="s">
        <v>239</v>
      </c>
      <c r="O22" s="1055"/>
      <c r="P22" s="1055"/>
      <c r="Q22" s="833">
        <v>436521</v>
      </c>
      <c r="R22" s="833">
        <v>860111</v>
      </c>
      <c r="S22" s="314">
        <f>(R22-Q22)/Q22*100</f>
        <v>97.037714107683243</v>
      </c>
      <c r="T22" s="315">
        <v>45.52</v>
      </c>
      <c r="U22" s="315">
        <v>109.5</v>
      </c>
      <c r="V22" s="1060">
        <f>U22/U7*100</f>
        <v>27.164340539119131</v>
      </c>
      <c r="W22" s="314">
        <f>(U22-T22)/T22*100</f>
        <v>140.55360281195078</v>
      </c>
    </row>
    <row r="23" spans="1:37" ht="18.75" customHeight="1" x14ac:dyDescent="0.4">
      <c r="A23" s="1983"/>
      <c r="B23" s="1055" t="s">
        <v>233</v>
      </c>
      <c r="C23" s="303">
        <v>32815</v>
      </c>
      <c r="D23" s="1214">
        <v>15686</v>
      </c>
      <c r="E23" s="314">
        <f>(D23-C23)/C23*100</f>
        <v>-52.198689623647724</v>
      </c>
      <c r="F23" s="315">
        <v>1.32</v>
      </c>
      <c r="G23" s="315">
        <v>0.57999999999999996</v>
      </c>
      <c r="H23" s="1060">
        <f>G23/G7*100</f>
        <v>1.7634539373669809</v>
      </c>
      <c r="I23" s="314">
        <f>(G23-F23)/F23*100</f>
        <v>-56.060606060606069</v>
      </c>
      <c r="M23" s="2369"/>
      <c r="N23" s="1055" t="s">
        <v>233</v>
      </c>
      <c r="O23" s="1055"/>
      <c r="P23" s="1055"/>
      <c r="Q23" s="833">
        <v>292316</v>
      </c>
      <c r="R23" s="833">
        <v>277144</v>
      </c>
      <c r="S23" s="314">
        <f>(R23-Q23)/Q23*100</f>
        <v>-5.1902735395941377</v>
      </c>
      <c r="T23" s="315">
        <v>9.7899999999999991</v>
      </c>
      <c r="U23" s="315">
        <v>10.262</v>
      </c>
      <c r="V23" s="1060">
        <f>U23/U7*100</f>
        <v>2.5457576494286807</v>
      </c>
      <c r="W23" s="314">
        <f>(U23-T23)/T23*100</f>
        <v>4.8212461695607907</v>
      </c>
      <c r="AB23" s="5">
        <f>25.63+0.96</f>
        <v>26.59</v>
      </c>
    </row>
    <row r="24" spans="1:37" ht="18.75" customHeight="1" x14ac:dyDescent="0.4">
      <c r="A24" s="1983"/>
      <c r="B24" s="1055" t="s">
        <v>739</v>
      </c>
      <c r="C24" s="303">
        <v>0</v>
      </c>
      <c r="D24" s="303">
        <v>0</v>
      </c>
      <c r="E24" s="836">
        <v>0</v>
      </c>
      <c r="F24" s="833">
        <v>0</v>
      </c>
      <c r="G24" s="315">
        <v>0</v>
      </c>
      <c r="H24" s="1060">
        <f>G24/G7*100</f>
        <v>0</v>
      </c>
      <c r="I24" s="314">
        <v>0</v>
      </c>
      <c r="M24" s="2369"/>
      <c r="N24" s="1055" t="s">
        <v>739</v>
      </c>
      <c r="O24" s="1055"/>
      <c r="P24" s="1055"/>
      <c r="Q24" s="833">
        <v>0</v>
      </c>
      <c r="R24" s="833">
        <v>2661</v>
      </c>
      <c r="S24" s="836">
        <v>0</v>
      </c>
      <c r="T24" s="315">
        <v>0</v>
      </c>
      <c r="U24" s="315">
        <v>0.04</v>
      </c>
      <c r="V24" s="1060">
        <f>U24/U7*100</f>
        <v>9.923046772280961E-3</v>
      </c>
      <c r="W24" s="314">
        <v>0</v>
      </c>
    </row>
    <row r="25" spans="1:37" ht="18.75" customHeight="1" x14ac:dyDescent="0.4">
      <c r="A25" s="1983"/>
      <c r="B25" s="1055" t="s">
        <v>235</v>
      </c>
      <c r="C25" s="303">
        <v>0</v>
      </c>
      <c r="D25" s="303">
        <v>0</v>
      </c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M25" s="2369"/>
      <c r="N25" s="1055" t="s">
        <v>235</v>
      </c>
      <c r="O25" s="1055"/>
      <c r="P25" s="1055"/>
      <c r="Q25" s="833">
        <v>1377</v>
      </c>
      <c r="R25" s="833">
        <v>2748</v>
      </c>
      <c r="S25" s="836">
        <v>0</v>
      </c>
      <c r="T25" s="315">
        <v>3.8016399999999999E-2</v>
      </c>
      <c r="U25" s="315">
        <v>0.11</v>
      </c>
      <c r="V25" s="1060">
        <f>U25/U7*100</f>
        <v>2.7288378623772643E-2</v>
      </c>
      <c r="W25" s="314">
        <v>0</v>
      </c>
    </row>
    <row r="26" spans="1:37" ht="27" customHeight="1" x14ac:dyDescent="0.4">
      <c r="A26" s="1984"/>
      <c r="B26" s="1056" t="s">
        <v>693</v>
      </c>
      <c r="C26" s="1059">
        <v>0</v>
      </c>
      <c r="D26" s="1059">
        <v>0</v>
      </c>
      <c r="E26" s="836">
        <v>0</v>
      </c>
      <c r="F26" s="315">
        <v>0.03</v>
      </c>
      <c r="G26" s="833">
        <v>0</v>
      </c>
      <c r="H26" s="1060">
        <f>G26/G7*100</f>
        <v>0</v>
      </c>
      <c r="I26" s="314">
        <f>(G26-F26)/F26*100</f>
        <v>-100</v>
      </c>
      <c r="M26" s="2245"/>
      <c r="N26" s="1056" t="s">
        <v>693</v>
      </c>
      <c r="O26" s="1056"/>
      <c r="P26" s="1056"/>
      <c r="Q26" s="833">
        <f>1329+121</f>
        <v>1450</v>
      </c>
      <c r="R26" s="833">
        <f>4060</f>
        <v>4060</v>
      </c>
      <c r="S26" s="836">
        <v>0</v>
      </c>
      <c r="T26" s="315">
        <v>0.29395139999999997</v>
      </c>
      <c r="U26" s="315">
        <v>0.32</v>
      </c>
      <c r="V26" s="1060">
        <f>U26/U7*100</f>
        <v>7.9384374178247688E-2</v>
      </c>
      <c r="W26" s="314">
        <f>(U26-T26)/T26*100</f>
        <v>8.8615328928523684</v>
      </c>
    </row>
    <row r="27" spans="1:37" s="26" customFormat="1" ht="19.5" customHeight="1" x14ac:dyDescent="0.4">
      <c r="A27" s="1216"/>
      <c r="B27" s="1063" t="s">
        <v>683</v>
      </c>
      <c r="C27" s="1063">
        <f>SUM(C20:C26)</f>
        <v>187767</v>
      </c>
      <c r="D27" s="1063">
        <f>SUM(D20:D26)</f>
        <v>215196</v>
      </c>
      <c r="E27" s="394">
        <f>(D27-C27)/C27*100</f>
        <v>14.607998210548178</v>
      </c>
      <c r="F27" s="1054">
        <f>SUM(F20:F26)</f>
        <v>15.450000000000001</v>
      </c>
      <c r="G27" s="1054">
        <f>G20+G21+G22+G23+G24+G25+G26</f>
        <v>32.89</v>
      </c>
      <c r="H27" s="1066">
        <f>SUM(H20:H26)</f>
        <v>99.999999999999986</v>
      </c>
      <c r="I27" s="394">
        <f>(G27-F27)/F27*100</f>
        <v>112.88025889967635</v>
      </c>
      <c r="J27" s="762"/>
      <c r="K27" s="762"/>
      <c r="L27" s="432"/>
      <c r="M27" s="1202"/>
      <c r="N27" s="1063" t="s">
        <v>683</v>
      </c>
      <c r="O27" s="1063"/>
      <c r="P27" s="1063"/>
      <c r="Q27" s="1259">
        <f>SUM(Q20:Q26)</f>
        <v>2131699</v>
      </c>
      <c r="R27" s="1259">
        <f>SUM(R20:R26)</f>
        <v>3087471</v>
      </c>
      <c r="S27" s="394">
        <f>(R27-Q27)/Q27*100</f>
        <v>44.836161202871509</v>
      </c>
      <c r="T27" s="1054">
        <f>SUM(T20:T26)</f>
        <v>275.33520990000005</v>
      </c>
      <c r="U27" s="1054">
        <f>SUM(U20:U26)</f>
        <v>403.10200000000003</v>
      </c>
      <c r="V27" s="1066">
        <f>SUM(V20:V26)</f>
        <v>100</v>
      </c>
      <c r="W27" s="394">
        <f>(U27-T27)/T27*100</f>
        <v>46.40408691151562</v>
      </c>
      <c r="X27" s="26">
        <f>76.54+0.12</f>
        <v>76.660000000000011</v>
      </c>
      <c r="Y27" s="26">
        <f>R27/1000000</f>
        <v>3.0874709999999999</v>
      </c>
      <c r="Z27" s="432"/>
    </row>
    <row r="28" spans="1:37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1201"/>
      <c r="N28" s="2313" t="s">
        <v>7</v>
      </c>
      <c r="O28" s="2313"/>
      <c r="P28" s="2313"/>
      <c r="Q28" s="2313"/>
      <c r="R28" s="2314" t="s">
        <v>8</v>
      </c>
      <c r="S28" s="2314"/>
      <c r="T28" s="2314" t="s">
        <v>10</v>
      </c>
      <c r="U28" s="2314"/>
      <c r="V28" s="2315" t="s">
        <v>11</v>
      </c>
      <c r="W28" s="2315"/>
    </row>
    <row r="29" spans="1:37" ht="24" hidden="1" customHeight="1" x14ac:dyDescent="0.35">
      <c r="A29" s="135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606"/>
      <c r="N29" s="2313"/>
      <c r="O29" s="2313"/>
      <c r="P29" s="2313"/>
      <c r="Q29" s="2313"/>
      <c r="R29" s="272" t="s">
        <v>9</v>
      </c>
      <c r="S29" s="1057">
        <f>U29</f>
        <v>44652</v>
      </c>
      <c r="T29" s="1057">
        <v>44287</v>
      </c>
      <c r="U29" s="1057">
        <v>44652</v>
      </c>
      <c r="V29" s="1065" t="s">
        <v>12</v>
      </c>
      <c r="W29" s="1065" t="s">
        <v>13</v>
      </c>
    </row>
    <row r="30" spans="1:37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1287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0"/>
      <c r="V30" s="2310"/>
      <c r="W30" s="2311"/>
    </row>
    <row r="31" spans="1:37" ht="15.4" x14ac:dyDescent="0.4">
      <c r="A31" s="2382"/>
      <c r="B31" s="378" t="s">
        <v>2</v>
      </c>
      <c r="C31" s="1283">
        <v>10.977297400000001</v>
      </c>
      <c r="D31" s="331">
        <v>12.05</v>
      </c>
      <c r="E31" s="315">
        <v>0.9</v>
      </c>
      <c r="F31" s="313">
        <v>2.0012975000000002</v>
      </c>
      <c r="G31" s="313">
        <v>2.1327530000000001</v>
      </c>
      <c r="H31" s="314">
        <f>(G31-E31)/E31*100</f>
        <v>136.97255555555557</v>
      </c>
      <c r="I31" s="314">
        <f t="shared" ref="I31:I36" si="0">(G31-F31)/F31*100</f>
        <v>6.5685136767522039</v>
      </c>
      <c r="J31" s="84">
        <f>2661720/10000000</f>
        <v>0.26617200000000002</v>
      </c>
      <c r="K31" s="84">
        <f>11596205/10000000</f>
        <v>1.1596204999999999</v>
      </c>
      <c r="M31" s="1288"/>
      <c r="N31" s="2006" t="s">
        <v>2</v>
      </c>
      <c r="O31" s="2019"/>
      <c r="P31" s="2007"/>
      <c r="Q31" s="1283">
        <v>10.977297400000001</v>
      </c>
      <c r="R31" s="331">
        <v>12.05</v>
      </c>
      <c r="S31" s="307">
        <v>12.05</v>
      </c>
      <c r="T31" s="315">
        <v>10.977297400000001</v>
      </c>
      <c r="U31" s="315">
        <v>24.66</v>
      </c>
      <c r="V31" s="314">
        <f>(U31-S31)/S31*100</f>
        <v>104.6473029045643</v>
      </c>
      <c r="W31" s="314">
        <f t="shared" ref="W31:W37" si="1">(U31-T31)/T31*100</f>
        <v>124.64545781550929</v>
      </c>
      <c r="Y31" s="5">
        <f>(S31*10000000)/100000</f>
        <v>1205</v>
      </c>
    </row>
    <row r="32" spans="1:37" ht="15.4" x14ac:dyDescent="0.4">
      <c r="A32" s="2382"/>
      <c r="B32" s="378" t="s">
        <v>23</v>
      </c>
      <c r="C32" s="1283">
        <v>25.645024399999997</v>
      </c>
      <c r="D32" s="331">
        <v>27.75</v>
      </c>
      <c r="E32" s="315">
        <v>2.61</v>
      </c>
      <c r="F32" s="313">
        <v>2.4199715999999998</v>
      </c>
      <c r="G32" s="313">
        <v>2.0591189000000001</v>
      </c>
      <c r="H32" s="314">
        <f>(G32-E32)/E32*100</f>
        <v>-21.106555555555548</v>
      </c>
      <c r="I32" s="314">
        <f>(G32-F32)/F32*100</f>
        <v>-14.911443588842104</v>
      </c>
      <c r="J32" s="1128">
        <f>0.42-0.02</f>
        <v>0.39999999999999997</v>
      </c>
      <c r="K32" s="84">
        <f>0.58-0.12</f>
        <v>0.45999999999999996</v>
      </c>
      <c r="M32" s="1288"/>
      <c r="N32" s="2006" t="s">
        <v>23</v>
      </c>
      <c r="O32" s="2019"/>
      <c r="P32" s="2007"/>
      <c r="Q32" s="1283">
        <v>25.645024399999997</v>
      </c>
      <c r="R32" s="331">
        <v>27.75</v>
      </c>
      <c r="S32" s="307">
        <v>27.75</v>
      </c>
      <c r="T32" s="315">
        <v>25.645024399999997</v>
      </c>
      <c r="U32" s="315">
        <v>27.693304099999999</v>
      </c>
      <c r="V32" s="314">
        <f>(U32-S32)/S32*100</f>
        <v>-0.2043095495495536</v>
      </c>
      <c r="W32" s="314">
        <f t="shared" si="1"/>
        <v>7.9870452375159458</v>
      </c>
      <c r="Y32" s="5">
        <f>(S32*10000000)/100000</f>
        <v>2775</v>
      </c>
    </row>
    <row r="33" spans="1:29" ht="15.4" x14ac:dyDescent="0.4">
      <c r="A33" s="2382"/>
      <c r="B33" s="378" t="s">
        <v>1</v>
      </c>
      <c r="C33" s="1283">
        <v>1.1151324</v>
      </c>
      <c r="D33" s="331">
        <v>5.77</v>
      </c>
      <c r="E33" s="315">
        <v>0.46</v>
      </c>
      <c r="F33" s="313">
        <v>7.7782400000000002E-2</v>
      </c>
      <c r="G33" s="313">
        <v>8.3219899999999999E-2</v>
      </c>
      <c r="H33" s="314">
        <f>(G33-E33)/E33*100</f>
        <v>-81.908717391304336</v>
      </c>
      <c r="I33" s="314">
        <f t="shared" si="0"/>
        <v>6.9906559838729549</v>
      </c>
      <c r="M33" s="1288"/>
      <c r="N33" s="2006" t="s">
        <v>1</v>
      </c>
      <c r="O33" s="2019"/>
      <c r="P33" s="2007"/>
      <c r="Q33" s="1283">
        <v>1.1151324</v>
      </c>
      <c r="R33" s="331">
        <v>5.77</v>
      </c>
      <c r="S33" s="307">
        <v>5.77</v>
      </c>
      <c r="T33" s="315">
        <v>1.1151324</v>
      </c>
      <c r="U33" s="315">
        <v>1.0446717999999999</v>
      </c>
      <c r="V33" s="314">
        <f>(U33-S33)/S33*100</f>
        <v>-81.894769497400361</v>
      </c>
      <c r="W33" s="314">
        <f t="shared" si="1"/>
        <v>-6.3185860261974351</v>
      </c>
      <c r="X33" s="12">
        <f>S32+S33</f>
        <v>33.519999999999996</v>
      </c>
      <c r="Y33" s="12">
        <f>T32+T33</f>
        <v>26.760156799999997</v>
      </c>
      <c r="Z33" s="12">
        <f>U32+U33</f>
        <v>28.737975899999999</v>
      </c>
      <c r="AA33" s="5">
        <f>(Z33-Y33)/Y33*100</f>
        <v>7.3909099815140156</v>
      </c>
      <c r="AB33" s="5">
        <f>(Z33-X33)/X33*100</f>
        <v>-14.266181682577558</v>
      </c>
    </row>
    <row r="34" spans="1:29" ht="15.4" x14ac:dyDescent="0.4">
      <c r="A34" s="2382"/>
      <c r="B34" s="378" t="s">
        <v>24</v>
      </c>
      <c r="C34" s="1283">
        <v>0.36572300000000002</v>
      </c>
      <c r="D34" s="603" t="s">
        <v>221</v>
      </c>
      <c r="E34" s="315"/>
      <c r="F34" s="313">
        <v>4.9202000000000003E-2</v>
      </c>
      <c r="G34" s="313">
        <v>0.243704</v>
      </c>
      <c r="H34" s="316" t="s">
        <v>221</v>
      </c>
      <c r="I34" s="314">
        <f t="shared" si="0"/>
        <v>395.31319865046135</v>
      </c>
      <c r="J34" s="84">
        <f>62410/10000000</f>
        <v>6.241E-3</v>
      </c>
      <c r="M34" s="1288"/>
      <c r="N34" s="2006" t="s">
        <v>24</v>
      </c>
      <c r="O34" s="2019"/>
      <c r="P34" s="2007"/>
      <c r="Q34" s="1283">
        <v>0.36572300000000002</v>
      </c>
      <c r="R34" s="603" t="s">
        <v>221</v>
      </c>
      <c r="S34" s="315" t="s">
        <v>221</v>
      </c>
      <c r="T34" s="315">
        <v>0.36572300000000002</v>
      </c>
      <c r="U34" s="315">
        <v>3.1600820000000001</v>
      </c>
      <c r="V34" s="316" t="s">
        <v>221</v>
      </c>
      <c r="W34" s="314">
        <f t="shared" si="1"/>
        <v>764.06433284206901</v>
      </c>
      <c r="Y34" s="5" t="e">
        <f>(S34*10000000)/100000</f>
        <v>#VALUE!</v>
      </c>
    </row>
    <row r="35" spans="1:29" ht="15.4" x14ac:dyDescent="0.4">
      <c r="A35" s="2382"/>
      <c r="B35" s="1278" t="s">
        <v>25</v>
      </c>
      <c r="C35" s="1284">
        <v>2.9771365000000003</v>
      </c>
      <c r="D35" s="603" t="s">
        <v>221</v>
      </c>
      <c r="E35" s="315"/>
      <c r="F35" s="313">
        <v>0.39</v>
      </c>
      <c r="G35" s="313">
        <v>0.53867149999999997</v>
      </c>
      <c r="H35" s="316" t="s">
        <v>221</v>
      </c>
      <c r="I35" s="314">
        <v>0</v>
      </c>
      <c r="M35" s="1288"/>
      <c r="N35" s="2017" t="s">
        <v>25</v>
      </c>
      <c r="O35" s="2018"/>
      <c r="P35" s="2030"/>
      <c r="Q35" s="1284">
        <v>2.9771365000000003</v>
      </c>
      <c r="R35" s="603" t="s">
        <v>221</v>
      </c>
      <c r="S35" s="315" t="s">
        <v>221</v>
      </c>
      <c r="T35" s="315">
        <v>2.9771365000000003</v>
      </c>
      <c r="U35" s="315">
        <v>6.2230024999999998</v>
      </c>
      <c r="V35" s="316" t="s">
        <v>221</v>
      </c>
      <c r="W35" s="314">
        <f t="shared" si="1"/>
        <v>109.02644201903404</v>
      </c>
    </row>
    <row r="36" spans="1:29" ht="17.25" customHeight="1" x14ac:dyDescent="0.4">
      <c r="A36" s="2383"/>
      <c r="B36" s="1278" t="s">
        <v>241</v>
      </c>
      <c r="C36" s="1284">
        <v>30.062250799999997</v>
      </c>
      <c r="D36" s="540" t="s">
        <v>221</v>
      </c>
      <c r="E36" s="316"/>
      <c r="F36" s="313">
        <v>2.9019903999999999</v>
      </c>
      <c r="G36" s="313">
        <v>3.5754269999999999</v>
      </c>
      <c r="H36" s="316" t="s">
        <v>221</v>
      </c>
      <c r="I36" s="314">
        <f t="shared" si="0"/>
        <v>23.206024389329478</v>
      </c>
      <c r="J36" s="323">
        <f>(3613355)/10000000</f>
        <v>0.36133549999999998</v>
      </c>
      <c r="K36" s="323">
        <f>(20880+ 10612529)/10000000</f>
        <v>1.0633409</v>
      </c>
      <c r="M36" s="1289"/>
      <c r="N36" s="2424" t="s">
        <v>241</v>
      </c>
      <c r="O36" s="2425"/>
      <c r="P36" s="2426"/>
      <c r="Q36" s="1284">
        <v>30.062250799999997</v>
      </c>
      <c r="R36" s="540" t="s">
        <v>221</v>
      </c>
      <c r="S36" s="315" t="s">
        <v>221</v>
      </c>
      <c r="T36" s="315">
        <v>30.062250799999997</v>
      </c>
      <c r="U36" s="315">
        <v>43.050880200000002</v>
      </c>
      <c r="V36" s="316" t="s">
        <v>221</v>
      </c>
      <c r="W36" s="314">
        <f t="shared" si="1"/>
        <v>43.205778191432046</v>
      </c>
    </row>
    <row r="37" spans="1:29" ht="15.4" x14ac:dyDescent="0.4">
      <c r="A37" s="1234"/>
      <c r="B37" s="378" t="s">
        <v>260</v>
      </c>
      <c r="C37" s="1283">
        <v>0.53153519999999999</v>
      </c>
      <c r="D37" s="540" t="s">
        <v>221</v>
      </c>
      <c r="E37" s="316"/>
      <c r="F37" s="313">
        <v>6.4186699999999999E-2</v>
      </c>
      <c r="G37" s="313">
        <v>0.12989329999999999</v>
      </c>
      <c r="H37" s="413"/>
      <c r="I37" s="314">
        <v>0</v>
      </c>
      <c r="M37" s="1208"/>
      <c r="N37" s="2006" t="s">
        <v>260</v>
      </c>
      <c r="O37" s="2019"/>
      <c r="P37" s="2007"/>
      <c r="Q37" s="1283">
        <v>0.53153519999999999</v>
      </c>
      <c r="R37" s="540" t="s">
        <v>221</v>
      </c>
      <c r="S37" s="315" t="s">
        <v>221</v>
      </c>
      <c r="T37" s="315">
        <v>0.53153519999999999</v>
      </c>
      <c r="U37" s="315">
        <v>0.85555460000000005</v>
      </c>
      <c r="V37" s="413"/>
      <c r="W37" s="314">
        <f t="shared" si="1"/>
        <v>60.95916131236465</v>
      </c>
    </row>
    <row r="38" spans="1:29" x14ac:dyDescent="0.35">
      <c r="A38" s="2387">
        <v>4</v>
      </c>
      <c r="B38" s="2309" t="s">
        <v>785</v>
      </c>
      <c r="C38" s="2310"/>
      <c r="D38" s="2310"/>
      <c r="E38" s="2310"/>
      <c r="F38" s="2310"/>
      <c r="G38" s="2310"/>
      <c r="H38" s="2310"/>
      <c r="I38" s="2311"/>
      <c r="M38" s="1286">
        <v>4</v>
      </c>
      <c r="N38" s="2309" t="s">
        <v>786</v>
      </c>
      <c r="O38" s="2310"/>
      <c r="P38" s="2310"/>
      <c r="Q38" s="2310"/>
      <c r="R38" s="2310"/>
      <c r="S38" s="2310"/>
      <c r="T38" s="2310"/>
      <c r="U38" s="2310"/>
      <c r="V38" s="2310"/>
      <c r="W38" s="2311"/>
    </row>
    <row r="39" spans="1:29" ht="15.4" x14ac:dyDescent="0.4">
      <c r="A39" s="2387"/>
      <c r="B39" s="378" t="s">
        <v>27</v>
      </c>
      <c r="C39" s="1283">
        <v>4.1788628000000001</v>
      </c>
      <c r="D39" s="331">
        <v>12.24</v>
      </c>
      <c r="E39" s="315">
        <v>1.02</v>
      </c>
      <c r="F39" s="381">
        <v>0.70177780000000001</v>
      </c>
      <c r="G39" s="313">
        <v>1.41</v>
      </c>
      <c r="H39" s="314">
        <f>(G40-E40)/E40*100</f>
        <v>157.14285714285717</v>
      </c>
      <c r="I39" s="314">
        <f>(G39-F39)/F39*100</f>
        <v>100.91829636104191</v>
      </c>
      <c r="J39" s="84">
        <f t="shared" ref="J39:J44" si="2">E39*8</f>
        <v>8.16</v>
      </c>
      <c r="L39" s="172">
        <v>2.1361249999999998</v>
      </c>
      <c r="M39" s="1286"/>
      <c r="N39" s="2006" t="s">
        <v>27</v>
      </c>
      <c r="O39" s="2019"/>
      <c r="P39" s="2007"/>
      <c r="Q39" s="1283">
        <v>4.1788628000000001</v>
      </c>
      <c r="R39" s="331">
        <v>12.24</v>
      </c>
      <c r="S39" s="331">
        <v>12.24</v>
      </c>
      <c r="T39" s="315">
        <v>4.1788628000000001</v>
      </c>
      <c r="U39" s="315">
        <v>12.02</v>
      </c>
      <c r="V39" s="314">
        <f>(U39-S39)/S39*100</f>
        <v>-1.7973856209150378</v>
      </c>
      <c r="W39" s="314">
        <f>(U39-T39)/T39*100</f>
        <v>187.63806268059338</v>
      </c>
      <c r="Y39" s="5">
        <f>(E39*10000000)/100000</f>
        <v>102</v>
      </c>
      <c r="Z39" s="172">
        <v>141.05000000000001</v>
      </c>
      <c r="AA39" s="5">
        <v>70.17</v>
      </c>
      <c r="AB39" s="11">
        <f t="shared" ref="AB39:AB44" si="3">(Z39-Y39)/Y39*100</f>
        <v>38.284313725490208</v>
      </c>
      <c r="AC39" s="11">
        <f t="shared" ref="AC39:AC44" si="4">(Z39-AA39)/AA39*100</f>
        <v>101.01182841670231</v>
      </c>
    </row>
    <row r="40" spans="1:29" ht="15.4" x14ac:dyDescent="0.4">
      <c r="A40" s="2387"/>
      <c r="B40" s="378" t="s">
        <v>28</v>
      </c>
      <c r="C40" s="1283">
        <v>0.17199999999999999</v>
      </c>
      <c r="D40" s="333">
        <v>2.1</v>
      </c>
      <c r="E40" s="315">
        <v>0.17499999999999999</v>
      </c>
      <c r="F40" s="381">
        <v>0</v>
      </c>
      <c r="G40" s="381">
        <v>0.45</v>
      </c>
      <c r="I40" s="314">
        <v>0</v>
      </c>
      <c r="J40" s="84">
        <f t="shared" si="2"/>
        <v>1.4</v>
      </c>
      <c r="L40" s="172">
        <v>0.11442669999999999</v>
      </c>
      <c r="M40" s="1286"/>
      <c r="N40" s="2006" t="s">
        <v>28</v>
      </c>
      <c r="O40" s="2019"/>
      <c r="P40" s="2007"/>
      <c r="Q40" s="1283">
        <v>0.17199999999999999</v>
      </c>
      <c r="R40" s="333">
        <v>2.1</v>
      </c>
      <c r="S40" s="333">
        <v>2.1</v>
      </c>
      <c r="T40" s="315">
        <v>0.17199999999999999</v>
      </c>
      <c r="U40" s="315">
        <v>1.94</v>
      </c>
      <c r="V40" s="314">
        <f>(U40-S40)/S40*100</f>
        <v>-7.6190476190476257</v>
      </c>
      <c r="W40" s="314">
        <f>(U40-T40)/T40*100</f>
        <v>1027.9069767441861</v>
      </c>
      <c r="Y40" s="5">
        <f>(E40*10000000)/100000</f>
        <v>17.5</v>
      </c>
      <c r="Z40" s="172">
        <v>19.73</v>
      </c>
      <c r="AA40" s="5">
        <v>3.12</v>
      </c>
      <c r="AB40" s="11">
        <f t="shared" si="3"/>
        <v>12.742857142857144</v>
      </c>
      <c r="AC40" s="11">
        <f t="shared" si="4"/>
        <v>532.3717948717948</v>
      </c>
    </row>
    <row r="41" spans="1:29" ht="15.4" x14ac:dyDescent="0.4">
      <c r="A41" s="2387"/>
      <c r="B41" s="378" t="s">
        <v>224</v>
      </c>
      <c r="C41" s="1283">
        <v>0.23092159999999998</v>
      </c>
      <c r="D41" s="331">
        <v>2.4500000000000002</v>
      </c>
      <c r="E41" s="323">
        <v>0.20416666666666669</v>
      </c>
      <c r="F41" s="381">
        <v>9.5620000000000004E-4</v>
      </c>
      <c r="G41" s="313">
        <v>0.19700000000000001</v>
      </c>
      <c r="H41" s="314">
        <f>(G41-E41)/E41*100</f>
        <v>-3.5102040816326605</v>
      </c>
      <c r="I41" s="314">
        <v>0</v>
      </c>
      <c r="J41" s="323">
        <f t="shared" si="2"/>
        <v>1.6333333333333335</v>
      </c>
      <c r="L41" s="172">
        <v>0.1548958</v>
      </c>
      <c r="M41" s="1286"/>
      <c r="N41" s="2006" t="s">
        <v>224</v>
      </c>
      <c r="O41" s="2019"/>
      <c r="P41" s="2007"/>
      <c r="Q41" s="1283">
        <v>0.23092159999999998</v>
      </c>
      <c r="R41" s="331">
        <v>2.4500000000000002</v>
      </c>
      <c r="S41" s="331">
        <v>2.4500000000000002</v>
      </c>
      <c r="T41" s="315">
        <v>0.23092159999999998</v>
      </c>
      <c r="U41" s="315">
        <v>1.96</v>
      </c>
      <c r="V41" s="314">
        <f>(U41-S41)/S41*100</f>
        <v>-20.000000000000007</v>
      </c>
      <c r="W41" s="314">
        <f>(U41-T41)/T41*100</f>
        <v>748.77291686875549</v>
      </c>
      <c r="Y41" s="11">
        <f>(E41*10000000)/100000</f>
        <v>20.416666666666671</v>
      </c>
      <c r="Z41" s="172">
        <v>45.45</v>
      </c>
      <c r="AA41" s="5">
        <v>0</v>
      </c>
      <c r="AB41" s="11">
        <f t="shared" si="3"/>
        <v>122.61224489795914</v>
      </c>
      <c r="AC41" s="11" t="e">
        <f t="shared" si="4"/>
        <v>#DIV/0!</v>
      </c>
    </row>
    <row r="42" spans="1:29" ht="15.4" hidden="1" x14ac:dyDescent="0.4">
      <c r="A42" s="2387"/>
      <c r="B42" s="378" t="s">
        <v>64</v>
      </c>
      <c r="C42" s="1283">
        <v>0</v>
      </c>
      <c r="D42" s="540" t="s">
        <v>221</v>
      </c>
      <c r="E42" s="315"/>
      <c r="F42" s="381">
        <v>0</v>
      </c>
      <c r="G42" s="313">
        <v>0</v>
      </c>
      <c r="H42" s="314" t="s">
        <v>221</v>
      </c>
      <c r="I42" s="314">
        <v>0</v>
      </c>
      <c r="J42" s="84">
        <f t="shared" si="2"/>
        <v>0</v>
      </c>
      <c r="L42" s="172">
        <v>0</v>
      </c>
      <c r="M42" s="1286"/>
      <c r="N42" s="1368" t="s">
        <v>30</v>
      </c>
      <c r="O42" s="1368"/>
      <c r="P42" s="1368"/>
      <c r="Q42" s="1283">
        <v>0</v>
      </c>
      <c r="R42" s="540" t="s">
        <v>221</v>
      </c>
      <c r="S42" s="315"/>
      <c r="T42" s="315">
        <v>0</v>
      </c>
      <c r="U42" s="315">
        <f>G42+'DEC-22'!S42</f>
        <v>0</v>
      </c>
      <c r="V42" s="314" t="s">
        <v>221</v>
      </c>
      <c r="W42" s="314">
        <v>0</v>
      </c>
      <c r="Y42" s="5">
        <f>(E42*10000000)/100000</f>
        <v>0</v>
      </c>
      <c r="AB42" s="11" t="e">
        <f t="shared" si="3"/>
        <v>#DIV/0!</v>
      </c>
      <c r="AC42" s="11" t="e">
        <f t="shared" si="4"/>
        <v>#DIV/0!</v>
      </c>
    </row>
    <row r="43" spans="1:29" ht="15.4" x14ac:dyDescent="0.4">
      <c r="A43" s="2387"/>
      <c r="B43" s="378" t="s">
        <v>4</v>
      </c>
      <c r="C43" s="1283">
        <v>4.06481E-2</v>
      </c>
      <c r="D43" s="540" t="s">
        <v>221</v>
      </c>
      <c r="E43" s="315"/>
      <c r="F43" s="381">
        <v>6.2969999999999996E-4</v>
      </c>
      <c r="G43" s="313">
        <v>0</v>
      </c>
      <c r="H43" s="314" t="s">
        <v>221</v>
      </c>
      <c r="I43" s="314">
        <v>0</v>
      </c>
      <c r="J43" s="84">
        <f t="shared" si="2"/>
        <v>0</v>
      </c>
      <c r="L43" s="172">
        <v>4.0018400000000003E-2</v>
      </c>
      <c r="M43" s="1286"/>
      <c r="N43" s="2006" t="s">
        <v>4</v>
      </c>
      <c r="O43" s="2019"/>
      <c r="P43" s="2007"/>
      <c r="Q43" s="1283">
        <v>4.06481E-2</v>
      </c>
      <c r="R43" s="540" t="s">
        <v>221</v>
      </c>
      <c r="S43" s="315"/>
      <c r="T43" s="315">
        <v>4.06481E-2</v>
      </c>
      <c r="U43" s="315">
        <f>'actual fig'!W32/10000000</f>
        <v>0.211532</v>
      </c>
      <c r="V43" s="314" t="s">
        <v>221</v>
      </c>
      <c r="W43" s="314">
        <f>(U43-T43)/T43*100</f>
        <v>420.39824739655734</v>
      </c>
      <c r="Z43" s="172">
        <v>0</v>
      </c>
      <c r="AA43" s="5">
        <v>0.06</v>
      </c>
      <c r="AB43" s="11" t="e">
        <f t="shared" si="3"/>
        <v>#DIV/0!</v>
      </c>
      <c r="AC43" s="11">
        <f t="shared" si="4"/>
        <v>-100</v>
      </c>
    </row>
    <row r="44" spans="1:29" ht="15.4" x14ac:dyDescent="0.4">
      <c r="A44" s="780"/>
      <c r="B44" s="378" t="s">
        <v>259</v>
      </c>
      <c r="C44" s="1283">
        <v>0.53</v>
      </c>
      <c r="D44" s="540" t="s">
        <v>221</v>
      </c>
      <c r="E44" s="315"/>
      <c r="F44" s="1039">
        <v>6.5548800000000004E-2</v>
      </c>
      <c r="G44" s="313">
        <v>8.2695400000000002E-2</v>
      </c>
      <c r="H44" s="407" t="s">
        <v>221</v>
      </c>
      <c r="I44" s="314">
        <f>(G44-F44)/F44*100</f>
        <v>26.1585261667643</v>
      </c>
      <c r="J44" s="84">
        <f t="shared" si="2"/>
        <v>0</v>
      </c>
      <c r="L44" s="172">
        <v>0.93056630000000007</v>
      </c>
      <c r="M44" s="1204"/>
      <c r="N44" s="2006" t="s">
        <v>259</v>
      </c>
      <c r="O44" s="2019"/>
      <c r="P44" s="2007"/>
      <c r="Q44" s="1283">
        <v>0.53</v>
      </c>
      <c r="R44" s="540" t="s">
        <v>221</v>
      </c>
      <c r="S44" s="315"/>
      <c r="T44" s="315">
        <v>0.53</v>
      </c>
      <c r="U44" s="315">
        <f>'actual fig'!X32/10000000</f>
        <v>1.4870227</v>
      </c>
      <c r="V44" s="407" t="s">
        <v>221</v>
      </c>
      <c r="W44" s="314">
        <f>(U44-T44)/T44*100</f>
        <v>180.57032075471696</v>
      </c>
      <c r="Y44" s="595">
        <f>Y39+Y40+Y41+Y43</f>
        <v>139.91666666666669</v>
      </c>
      <c r="Z44" s="172">
        <f>Z39+Z40+Z41+Z43</f>
        <v>206.23000000000002</v>
      </c>
      <c r="AA44" s="172">
        <f>AA39+AA40+AA41+AA43</f>
        <v>73.350000000000009</v>
      </c>
      <c r="AB44" s="11">
        <f t="shared" si="3"/>
        <v>47.394877903513986</v>
      </c>
      <c r="AC44" s="11">
        <f t="shared" si="4"/>
        <v>181.15882753919561</v>
      </c>
    </row>
    <row r="45" spans="1:29" x14ac:dyDescent="0.35">
      <c r="A45" s="2387"/>
      <c r="B45" s="2309" t="s">
        <v>419</v>
      </c>
      <c r="C45" s="2310"/>
      <c r="D45" s="2310"/>
      <c r="E45" s="2310"/>
      <c r="F45" s="2310"/>
      <c r="G45" s="2310"/>
      <c r="H45" s="2310"/>
      <c r="I45" s="2311"/>
      <c r="M45" s="2388">
        <v>5</v>
      </c>
      <c r="N45" s="2309" t="s">
        <v>419</v>
      </c>
      <c r="O45" s="2310"/>
      <c r="P45" s="2310"/>
      <c r="Q45" s="2310"/>
      <c r="R45" s="2310"/>
      <c r="S45" s="2310"/>
      <c r="T45" s="2310"/>
      <c r="U45" s="2310"/>
      <c r="V45" s="2310"/>
      <c r="W45" s="2311"/>
    </row>
    <row r="46" spans="1:29" ht="15.4" x14ac:dyDescent="0.4">
      <c r="A46" s="2387"/>
      <c r="B46" s="378" t="s">
        <v>798</v>
      </c>
      <c r="C46" s="1283">
        <v>4.4567049999999995</v>
      </c>
      <c r="D46" s="331">
        <v>28.87</v>
      </c>
      <c r="E46" s="315">
        <v>1.41</v>
      </c>
      <c r="F46" s="315">
        <v>0.94987100000000002</v>
      </c>
      <c r="G46" s="315">
        <v>1.732637</v>
      </c>
      <c r="H46" s="316">
        <f>(G46-E46)/E46*100</f>
        <v>22.882056737588659</v>
      </c>
      <c r="I46" s="314">
        <f>(G46-F46)/F46*100</f>
        <v>82.407611138775678</v>
      </c>
      <c r="J46" s="84">
        <f>94132</f>
        <v>94132</v>
      </c>
      <c r="L46" s="172">
        <f>K46/100000</f>
        <v>0</v>
      </c>
      <c r="M46" s="2388"/>
      <c r="N46" s="2422" t="s">
        <v>863</v>
      </c>
      <c r="O46" s="2422"/>
      <c r="P46" s="6" t="s">
        <v>166</v>
      </c>
      <c r="Q46" s="1283">
        <v>4.4567049999999995</v>
      </c>
      <c r="R46" s="331">
        <v>28.87</v>
      </c>
      <c r="S46" s="315">
        <v>28.87</v>
      </c>
      <c r="T46" s="315">
        <v>4.4567049999999995</v>
      </c>
      <c r="U46" s="315">
        <f>G46+'FEB -23'!S46</f>
        <v>18.824966</v>
      </c>
      <c r="V46" s="316">
        <f>(U46-S46)/S46*100</f>
        <v>-34.794021475580188</v>
      </c>
      <c r="W46" s="314">
        <f>(U46-T46)/T46*100</f>
        <v>322.39650145118424</v>
      </c>
    </row>
    <row r="47" spans="1:29" ht="15.4" x14ac:dyDescent="0.4">
      <c r="A47" s="2387"/>
      <c r="B47" s="1280" t="s">
        <v>799</v>
      </c>
      <c r="C47" s="1285">
        <v>1.1915969999999998</v>
      </c>
      <c r="D47" s="2067">
        <v>33.659999999999997</v>
      </c>
      <c r="E47" s="2154">
        <v>1.53</v>
      </c>
      <c r="F47" s="315">
        <v>0.32170500000000002</v>
      </c>
      <c r="G47" s="315">
        <v>1.602762</v>
      </c>
      <c r="H47" s="2027">
        <f>L47</f>
        <v>75.953333333333319</v>
      </c>
      <c r="I47" s="314">
        <f>(G47-F47)/F47*100</f>
        <v>398.20860726441924</v>
      </c>
      <c r="J47" s="84">
        <v>31105</v>
      </c>
      <c r="K47" s="323">
        <f>G47+G48</f>
        <v>2.6920859999999998</v>
      </c>
      <c r="L47" s="1151">
        <f>(K47-E47)/E47*100</f>
        <v>75.953333333333319</v>
      </c>
      <c r="M47" s="2388"/>
      <c r="N47" s="2423" t="s">
        <v>864</v>
      </c>
      <c r="O47" s="2423"/>
      <c r="P47" s="1201" t="s">
        <v>166</v>
      </c>
      <c r="Q47" s="1285">
        <v>1.1915969999999998</v>
      </c>
      <c r="R47" s="2067">
        <v>33.659999999999997</v>
      </c>
      <c r="S47" s="2154">
        <v>33.659999999999997</v>
      </c>
      <c r="T47" s="315">
        <v>1.1915969999999998</v>
      </c>
      <c r="U47" s="315">
        <f>G47+'FEB -23'!S47</f>
        <v>15.344440000000001</v>
      </c>
      <c r="V47" s="2027">
        <f>Z47</f>
        <v>-16.213856209150322</v>
      </c>
      <c r="W47" s="314">
        <f>(U47-T47)/T47*100</f>
        <v>1187.7205968125131</v>
      </c>
      <c r="Y47" s="12">
        <f>U47+U48</f>
        <v>28.202415999999999</v>
      </c>
      <c r="Z47" s="172">
        <f>(Y47-S47)/S47*100</f>
        <v>-16.213856209150322</v>
      </c>
    </row>
    <row r="48" spans="1:29" ht="15.75" x14ac:dyDescent="0.45">
      <c r="A48" s="2387"/>
      <c r="B48" s="320" t="s">
        <v>800</v>
      </c>
      <c r="C48" s="1285">
        <v>10.963100000000001</v>
      </c>
      <c r="D48" s="2068"/>
      <c r="E48" s="2155"/>
      <c r="F48" s="315">
        <v>1.342695</v>
      </c>
      <c r="G48" s="315">
        <v>1.089324</v>
      </c>
      <c r="H48" s="2029"/>
      <c r="I48" s="314">
        <f>(G48-F48)/F48*100</f>
        <v>-18.870331683666063</v>
      </c>
      <c r="J48" s="755">
        <v>205039</v>
      </c>
      <c r="K48" s="755"/>
      <c r="M48" s="2388"/>
      <c r="N48" s="2422" t="s">
        <v>472</v>
      </c>
      <c r="O48" s="2422"/>
      <c r="P48" s="1201" t="s">
        <v>228</v>
      </c>
      <c r="Q48" s="1285">
        <v>10.963100000000001</v>
      </c>
      <c r="R48" s="2068"/>
      <c r="S48" s="2155"/>
      <c r="T48" s="315">
        <v>10.963100000000001</v>
      </c>
      <c r="U48" s="315">
        <f>G48+'FEB -23'!S48</f>
        <v>12.857975999999999</v>
      </c>
      <c r="V48" s="2029"/>
      <c r="W48" s="314">
        <f>(U48-T48)/T48*100</f>
        <v>17.284125840318872</v>
      </c>
    </row>
    <row r="49" spans="1:35" ht="15.75" customHeight="1" x14ac:dyDescent="0.35">
      <c r="A49" s="2387">
        <v>6</v>
      </c>
      <c r="B49" s="2309" t="s">
        <v>842</v>
      </c>
      <c r="C49" s="2310"/>
      <c r="D49" s="2310"/>
      <c r="E49" s="2310"/>
      <c r="F49" s="2310"/>
      <c r="G49" s="2310"/>
      <c r="H49" s="2310"/>
      <c r="I49" s="2311"/>
      <c r="M49" s="2388">
        <v>6</v>
      </c>
      <c r="N49" s="2309" t="s">
        <v>874</v>
      </c>
      <c r="O49" s="2310"/>
      <c r="P49" s="2310"/>
      <c r="Q49" s="2310"/>
      <c r="R49" s="2310"/>
      <c r="S49" s="2310"/>
      <c r="T49" s="2310"/>
      <c r="U49" s="2310"/>
      <c r="V49" s="2310"/>
      <c r="W49" s="2311"/>
    </row>
    <row r="50" spans="1:35" ht="15.4" x14ac:dyDescent="0.4">
      <c r="A50" s="2387"/>
      <c r="B50" s="2006" t="s">
        <v>36</v>
      </c>
      <c r="C50" s="2007"/>
      <c r="D50" s="2368">
        <v>293</v>
      </c>
      <c r="E50" s="2024" t="s">
        <v>221</v>
      </c>
      <c r="F50" s="313">
        <v>182.27</v>
      </c>
      <c r="G50" s="313">
        <v>119.73</v>
      </c>
      <c r="H50" s="2027">
        <f>(G52-D50)/D50*100</f>
        <v>-46.395904436860071</v>
      </c>
      <c r="I50" s="314">
        <f>(G50-F50)/F50*100</f>
        <v>-34.311735337685853</v>
      </c>
      <c r="M50" s="2388"/>
      <c r="N50" s="2006" t="s">
        <v>36</v>
      </c>
      <c r="O50" s="2019"/>
      <c r="P50" s="2019"/>
      <c r="Q50" s="2007"/>
      <c r="R50" s="2368">
        <v>293</v>
      </c>
      <c r="S50" s="2024" t="s">
        <v>221</v>
      </c>
      <c r="T50" s="313">
        <v>74.19</v>
      </c>
      <c r="U50" s="313">
        <v>58.36</v>
      </c>
      <c r="V50" s="2027">
        <f>(U52-R50)/R50*100</f>
        <v>-76.996587030716725</v>
      </c>
      <c r="W50" s="314">
        <f>(U50-T50)/T50*100</f>
        <v>-21.337107426876937</v>
      </c>
    </row>
    <row r="51" spans="1:35" ht="15.4" x14ac:dyDescent="0.4">
      <c r="A51" s="2387"/>
      <c r="B51" s="2006" t="s">
        <v>37</v>
      </c>
      <c r="C51" s="2007"/>
      <c r="D51" s="2369"/>
      <c r="E51" s="2025"/>
      <c r="F51" s="313">
        <v>44.91</v>
      </c>
      <c r="G51" s="313">
        <v>37.33</v>
      </c>
      <c r="H51" s="2028"/>
      <c r="I51" s="314">
        <f>(G51-F51)/F51*100</f>
        <v>-16.878200846136714</v>
      </c>
      <c r="M51" s="2388"/>
      <c r="N51" s="2006" t="s">
        <v>37</v>
      </c>
      <c r="O51" s="2019"/>
      <c r="P51" s="2019"/>
      <c r="Q51" s="2007"/>
      <c r="R51" s="2369"/>
      <c r="S51" s="2025"/>
      <c r="T51" s="313">
        <v>39.380000000000003</v>
      </c>
      <c r="U51" s="313">
        <v>9.0399999999999991</v>
      </c>
      <c r="V51" s="2028"/>
      <c r="W51" s="314">
        <f>(U51-T51)/T51*100</f>
        <v>-77.044184865413925</v>
      </c>
    </row>
    <row r="52" spans="1:35" ht="15.4" x14ac:dyDescent="0.4">
      <c r="A52" s="2387"/>
      <c r="B52" s="2006" t="s">
        <v>38</v>
      </c>
      <c r="C52" s="2007"/>
      <c r="D52" s="2245"/>
      <c r="E52" s="2026"/>
      <c r="F52" s="313">
        <f>SUM(F50:F51)</f>
        <v>227.18</v>
      </c>
      <c r="G52" s="313">
        <f>SUM(G50:G51)</f>
        <v>157.06</v>
      </c>
      <c r="H52" s="2029"/>
      <c r="I52" s="314">
        <f>(G52-F52)/F52*100</f>
        <v>-30.865393080376798</v>
      </c>
      <c r="M52" s="2388"/>
      <c r="N52" s="2006" t="s">
        <v>38</v>
      </c>
      <c r="O52" s="2019"/>
      <c r="P52" s="2019"/>
      <c r="Q52" s="2007"/>
      <c r="R52" s="2245"/>
      <c r="S52" s="2026"/>
      <c r="T52" s="313">
        <f>T50+T51</f>
        <v>113.57</v>
      </c>
      <c r="U52" s="313">
        <f>U50+U51</f>
        <v>67.400000000000006</v>
      </c>
      <c r="V52" s="2029"/>
      <c r="W52" s="314">
        <f>(U52-T52)/T52*100</f>
        <v>-40.653341551466049</v>
      </c>
    </row>
    <row r="53" spans="1:35" x14ac:dyDescent="0.4">
      <c r="H53" s="41"/>
      <c r="I53" s="41"/>
    </row>
    <row r="54" spans="1:35" ht="15.4" x14ac:dyDescent="0.4">
      <c r="E54" s="12"/>
      <c r="F54" s="12"/>
      <c r="G54" s="12"/>
      <c r="H54" s="314"/>
      <c r="I54" s="314"/>
      <c r="J54" s="314"/>
      <c r="S54" s="12"/>
      <c r="T54" s="12">
        <f>(T46*1000000)/100000</f>
        <v>44.567049999999988</v>
      </c>
      <c r="U54" s="12">
        <f t="shared" ref="T54:U56" si="5">(U46*1000000)/100000</f>
        <v>188.24966000000001</v>
      </c>
      <c r="V54" s="314"/>
      <c r="W54" s="314">
        <f>(U54-T54)/T54*100</f>
        <v>322.39650145118435</v>
      </c>
      <c r="Y54" s="12">
        <f>T55+T56</f>
        <v>121.54697</v>
      </c>
      <c r="Z54" s="12">
        <f>U55+U56</f>
        <v>282.02415999999999</v>
      </c>
      <c r="AB54" s="314">
        <f>(Z54-Y54)/Y54*100</f>
        <v>132.02895144157029</v>
      </c>
    </row>
    <row r="55" spans="1:35" ht="15.4" x14ac:dyDescent="0.4">
      <c r="H55" s="35"/>
      <c r="I55" s="5"/>
      <c r="J55" s="35"/>
      <c r="K55" s="5"/>
      <c r="L55" s="35"/>
      <c r="R55" s="12"/>
      <c r="S55" s="12"/>
      <c r="T55" s="12">
        <f t="shared" si="5"/>
        <v>11.915969999999998</v>
      </c>
      <c r="U55" s="12">
        <f t="shared" si="5"/>
        <v>153.4444</v>
      </c>
      <c r="W55" s="314">
        <f>(U55-T55)/T55*100</f>
        <v>1187.7205968125131</v>
      </c>
    </row>
    <row r="56" spans="1:35" ht="15.4" x14ac:dyDescent="0.4">
      <c r="T56" s="12">
        <f t="shared" si="5"/>
        <v>109.631</v>
      </c>
      <c r="U56" s="12">
        <f t="shared" si="5"/>
        <v>128.57975999999999</v>
      </c>
      <c r="W56" s="314">
        <f>(U56-T56)/T56*100</f>
        <v>17.284125840318882</v>
      </c>
    </row>
    <row r="57" spans="1:35" x14ac:dyDescent="0.4">
      <c r="D57" s="85"/>
      <c r="E57" s="1192">
        <v>44614</v>
      </c>
      <c r="F57" s="1192">
        <v>44980</v>
      </c>
      <c r="H57" s="1192">
        <f>E57</f>
        <v>44614</v>
      </c>
      <c r="I57" s="1192">
        <f>F57</f>
        <v>44980</v>
      </c>
      <c r="T57" s="12">
        <f>SUM(T54:T56)</f>
        <v>166.11401999999998</v>
      </c>
      <c r="U57" s="12">
        <f>SUM(U54:U56)</f>
        <v>470.27382</v>
      </c>
      <c r="V57" s="26" t="s">
        <v>156</v>
      </c>
      <c r="W57" s="26" t="s">
        <v>777</v>
      </c>
      <c r="Y57" s="26" t="s">
        <v>156</v>
      </c>
      <c r="Z57" s="26" t="s">
        <v>777</v>
      </c>
      <c r="AB57" s="26" t="s">
        <v>181</v>
      </c>
    </row>
    <row r="58" spans="1:35" x14ac:dyDescent="0.4">
      <c r="D58" s="1195" t="s">
        <v>766</v>
      </c>
      <c r="E58" s="33"/>
      <c r="F58" s="33"/>
      <c r="H58" s="1244"/>
      <c r="I58" s="1245"/>
      <c r="U58" s="9" t="s">
        <v>152</v>
      </c>
      <c r="V58" s="1291">
        <f>E57</f>
        <v>44614</v>
      </c>
      <c r="W58" s="1291">
        <f>F57</f>
        <v>44980</v>
      </c>
      <c r="X58" s="26"/>
      <c r="Y58" s="1291">
        <v>44958</v>
      </c>
      <c r="Z58" s="1291">
        <v>44958</v>
      </c>
      <c r="AA58" s="26"/>
      <c r="AB58" s="1291">
        <f>V58</f>
        <v>44614</v>
      </c>
      <c r="AC58" s="1291">
        <f>Z58</f>
        <v>44958</v>
      </c>
      <c r="AE58" s="5">
        <v>57578</v>
      </c>
      <c r="AF58" s="5">
        <v>76550</v>
      </c>
    </row>
    <row r="59" spans="1:35" ht="15.4" x14ac:dyDescent="0.45">
      <c r="D59" s="85" t="s">
        <v>94</v>
      </c>
      <c r="E59" s="1193">
        <f t="shared" ref="E59:F61" si="6">H59/10000000</f>
        <v>0.50202429999999998</v>
      </c>
      <c r="F59" s="1193">
        <f t="shared" si="6"/>
        <v>0.8487616</v>
      </c>
      <c r="H59" s="1246">
        <f>E132</f>
        <v>5020243</v>
      </c>
      <c r="I59" s="1246">
        <f>E102</f>
        <v>8487616</v>
      </c>
      <c r="J59" s="1320"/>
      <c r="K59" s="1320"/>
      <c r="U59" s="6" t="s">
        <v>782</v>
      </c>
      <c r="V59" s="6">
        <v>253264</v>
      </c>
      <c r="W59" s="6">
        <v>1192326</v>
      </c>
      <c r="Y59" s="6">
        <v>289113</v>
      </c>
      <c r="Z59" s="1297">
        <v>1741576</v>
      </c>
      <c r="AB59" s="6">
        <v>125940</v>
      </c>
      <c r="AC59" s="6">
        <v>420680</v>
      </c>
      <c r="AE59" s="5">
        <v>53354</v>
      </c>
      <c r="AF59" s="5">
        <v>79370</v>
      </c>
    </row>
    <row r="60" spans="1:35" ht="15.4" x14ac:dyDescent="0.45">
      <c r="D60" s="85" t="s">
        <v>502</v>
      </c>
      <c r="E60" s="1193">
        <f t="shared" si="6"/>
        <v>0.6845137</v>
      </c>
      <c r="F60" s="1193">
        <f t="shared" si="6"/>
        <v>12.1589242</v>
      </c>
      <c r="H60" s="1246">
        <f>G132</f>
        <v>6845137</v>
      </c>
      <c r="I60" s="1246">
        <f>G102</f>
        <v>121589242</v>
      </c>
      <c r="J60" s="1320"/>
      <c r="K60" s="1320"/>
      <c r="L60" s="1217"/>
      <c r="U60" s="1261" t="s">
        <v>789</v>
      </c>
      <c r="V60" s="6">
        <v>216619</v>
      </c>
      <c r="W60" s="6">
        <v>1148002</v>
      </c>
      <c r="X60" s="632"/>
      <c r="Y60" s="6">
        <v>597322</v>
      </c>
      <c r="Z60" s="6">
        <v>3581375</v>
      </c>
      <c r="AA60" s="632"/>
      <c r="AB60" s="6">
        <v>149880</v>
      </c>
      <c r="AC60" s="6">
        <v>782160</v>
      </c>
      <c r="AE60" s="41">
        <v>50439</v>
      </c>
      <c r="AF60" s="5">
        <v>78160</v>
      </c>
      <c r="AG60" s="632"/>
      <c r="AH60" s="632"/>
      <c r="AI60" s="632"/>
    </row>
    <row r="61" spans="1:35" ht="16.149999999999999" thickBot="1" x14ac:dyDescent="0.5">
      <c r="D61" s="85" t="s">
        <v>767</v>
      </c>
      <c r="E61" s="1193">
        <f t="shared" si="6"/>
        <v>64.556091100000003</v>
      </c>
      <c r="F61" s="1193">
        <f t="shared" si="6"/>
        <v>66.885516800000005</v>
      </c>
      <c r="H61" s="1321">
        <f>I132</f>
        <v>645560911</v>
      </c>
      <c r="I61" s="1321">
        <f>I102</f>
        <v>668855168</v>
      </c>
      <c r="J61" s="1215"/>
      <c r="K61" s="824"/>
      <c r="L61" s="1217"/>
      <c r="U61" s="1273">
        <v>44947</v>
      </c>
      <c r="V61" s="1274">
        <v>195242</v>
      </c>
      <c r="W61" s="6">
        <v>1023506</v>
      </c>
      <c r="Y61" s="6">
        <v>288290</v>
      </c>
      <c r="Z61" s="1297">
        <v>1853697</v>
      </c>
      <c r="AB61" s="6">
        <v>127880</v>
      </c>
      <c r="AC61" s="6">
        <v>482050</v>
      </c>
      <c r="AD61" s="1239"/>
      <c r="AE61" s="41">
        <v>45071</v>
      </c>
      <c r="AF61" s="172">
        <v>70290</v>
      </c>
    </row>
    <row r="62" spans="1:35" ht="15.4" x14ac:dyDescent="0.4">
      <c r="E62" s="428"/>
      <c r="F62" s="428"/>
      <c r="K62" s="212"/>
      <c r="L62" s="1217"/>
      <c r="U62" s="1273">
        <v>44948</v>
      </c>
      <c r="V62" s="1274"/>
      <c r="W62" s="6"/>
      <c r="Y62" s="6"/>
      <c r="Z62" s="1297"/>
      <c r="AB62" s="6"/>
      <c r="AC62" s="6"/>
      <c r="AD62" s="1239"/>
      <c r="AE62" s="41">
        <v>41360</v>
      </c>
      <c r="AF62" s="172">
        <v>83580</v>
      </c>
    </row>
    <row r="63" spans="1:35" ht="15.4" x14ac:dyDescent="0.4">
      <c r="E63" s="428"/>
      <c r="F63" s="428"/>
      <c r="I63" s="82">
        <f>J63/1000000</f>
        <v>0.23699999999999999</v>
      </c>
      <c r="J63" s="84">
        <f>2.37*100000</f>
        <v>237000</v>
      </c>
      <c r="K63" s="212"/>
      <c r="L63" s="1217"/>
      <c r="U63" s="1261"/>
      <c r="V63" s="331"/>
      <c r="W63" s="6"/>
      <c r="Y63" s="6"/>
      <c r="Z63" s="1297"/>
      <c r="AB63" s="6"/>
      <c r="AC63" s="6"/>
      <c r="AD63" s="1239"/>
      <c r="AE63" s="41">
        <v>40488</v>
      </c>
      <c r="AF63" s="172">
        <v>94100</v>
      </c>
    </row>
    <row r="64" spans="1:35" ht="15.4" x14ac:dyDescent="0.45">
      <c r="D64" s="1195" t="s">
        <v>768</v>
      </c>
      <c r="E64" s="1193"/>
      <c r="F64" s="1193"/>
      <c r="J64" s="755"/>
      <c r="K64" s="259"/>
      <c r="L64" s="1217"/>
      <c r="U64" s="26" t="s">
        <v>187</v>
      </c>
      <c r="V64" s="26">
        <f>SUM(V59:V63)</f>
        <v>665125</v>
      </c>
      <c r="W64" s="26">
        <f t="shared" ref="W64:AC64" si="7">SUM(W59:W63)</f>
        <v>3363834</v>
      </c>
      <c r="X64" s="26"/>
      <c r="Y64" s="9">
        <f>SUM(Y59:Y63)</f>
        <v>1174725</v>
      </c>
      <c r="Z64" s="9">
        <f t="shared" si="7"/>
        <v>7176648</v>
      </c>
      <c r="AA64" s="26"/>
      <c r="AB64" s="9">
        <f t="shared" si="7"/>
        <v>403700</v>
      </c>
      <c r="AC64" s="9">
        <f t="shared" si="7"/>
        <v>1684890</v>
      </c>
      <c r="AD64" s="1262"/>
      <c r="AE64" s="41">
        <f>SUM(AE58:AE63)</f>
        <v>288290</v>
      </c>
      <c r="AF64" s="41">
        <f>SUM(AF58:AF63)</f>
        <v>482050</v>
      </c>
    </row>
    <row r="65" spans="3:32" ht="15.4" x14ac:dyDescent="0.45">
      <c r="D65" s="85" t="s">
        <v>94</v>
      </c>
      <c r="E65" s="1193">
        <f t="shared" ref="E65:F67" si="8">H65/1000000</f>
        <v>0.94987100000000002</v>
      </c>
      <c r="F65" s="1193">
        <f t="shared" si="8"/>
        <v>1.4281820000000001</v>
      </c>
      <c r="H65" s="1243">
        <f>D132</f>
        <v>949871</v>
      </c>
      <c r="I65" s="1243">
        <f>D102</f>
        <v>1428182</v>
      </c>
      <c r="J65" s="323">
        <f t="shared" ref="J65:K67" si="9">H65/100000</f>
        <v>9.4987100000000009</v>
      </c>
      <c r="K65" s="323">
        <f t="shared" si="9"/>
        <v>14.28182</v>
      </c>
      <c r="L65" s="491">
        <f>K65/100000</f>
        <v>1.428182E-4</v>
      </c>
      <c r="U65" s="9" t="s">
        <v>783</v>
      </c>
      <c r="V65" s="6"/>
      <c r="W65" s="1261"/>
      <c r="Y65" s="6"/>
      <c r="Z65" s="1297"/>
      <c r="AB65" s="6"/>
      <c r="AC65" s="6"/>
      <c r="AD65" s="1239"/>
      <c r="AE65" s="41">
        <v>50768</v>
      </c>
      <c r="AF65" s="172"/>
    </row>
    <row r="66" spans="3:32" ht="15.4" x14ac:dyDescent="0.45">
      <c r="D66" s="85" t="s">
        <v>502</v>
      </c>
      <c r="E66" s="1193">
        <f t="shared" si="8"/>
        <v>0.32170500000000002</v>
      </c>
      <c r="F66" s="1193">
        <f t="shared" si="8"/>
        <v>1.331601</v>
      </c>
      <c r="H66" s="1243">
        <f>F132</f>
        <v>321705</v>
      </c>
      <c r="I66" s="1243">
        <f>F102</f>
        <v>1331601</v>
      </c>
      <c r="J66" s="323">
        <f t="shared" si="9"/>
        <v>3.21705</v>
      </c>
      <c r="K66" s="323">
        <f t="shared" si="9"/>
        <v>13.31601</v>
      </c>
      <c r="L66" s="491">
        <f>K66/100000</f>
        <v>1.3316010000000001E-4</v>
      </c>
      <c r="U66" s="6" t="s">
        <v>782</v>
      </c>
      <c r="V66" s="6">
        <v>58327</v>
      </c>
      <c r="W66" s="6">
        <v>1118200</v>
      </c>
      <c r="Y66" s="6">
        <v>258000</v>
      </c>
      <c r="Z66" s="1297">
        <v>24681160</v>
      </c>
      <c r="AB66" s="6"/>
      <c r="AC66" s="6"/>
      <c r="AD66" s="1239"/>
      <c r="AE66" s="41">
        <v>45797</v>
      </c>
      <c r="AF66" s="172"/>
    </row>
    <row r="67" spans="3:32" ht="15.75" thickBot="1" x14ac:dyDescent="0.5">
      <c r="D67" s="85" t="s">
        <v>767</v>
      </c>
      <c r="E67" s="1193">
        <f t="shared" si="8"/>
        <v>1.1456710000000001</v>
      </c>
      <c r="F67" s="1193">
        <f t="shared" si="8"/>
        <v>0.93065799999999999</v>
      </c>
      <c r="H67" s="1322">
        <f>H132</f>
        <v>1145671</v>
      </c>
      <c r="I67" s="1322">
        <f>H102</f>
        <v>930658</v>
      </c>
      <c r="J67" s="323">
        <f t="shared" si="9"/>
        <v>11.456709999999999</v>
      </c>
      <c r="K67" s="323">
        <f t="shared" si="9"/>
        <v>9.3065800000000003</v>
      </c>
      <c r="L67" s="491">
        <f>K67/100000</f>
        <v>9.3065800000000006E-5</v>
      </c>
      <c r="U67" s="1261" t="s">
        <v>789</v>
      </c>
      <c r="V67" s="6">
        <v>53742</v>
      </c>
      <c r="W67" s="6">
        <v>1266705</v>
      </c>
      <c r="Y67" s="6">
        <v>552593</v>
      </c>
      <c r="Z67" s="1297">
        <v>55522320</v>
      </c>
      <c r="AB67" s="6"/>
      <c r="AC67" s="6"/>
      <c r="AD67" s="1239"/>
      <c r="AE67" s="41">
        <v>44590</v>
      </c>
      <c r="AF67" s="172"/>
    </row>
    <row r="68" spans="3:32" x14ac:dyDescent="0.4">
      <c r="E68" s="428"/>
      <c r="F68" s="323"/>
      <c r="H68" s="1224"/>
      <c r="I68" s="1225"/>
      <c r="K68" s="212"/>
      <c r="L68" s="1217"/>
      <c r="U68" s="1273">
        <v>44947</v>
      </c>
      <c r="V68" s="6">
        <v>49346</v>
      </c>
      <c r="W68" s="6">
        <v>1081490</v>
      </c>
      <c r="Y68" s="6">
        <v>281573</v>
      </c>
      <c r="Z68" s="1297">
        <v>29067783</v>
      </c>
      <c r="AB68" s="6"/>
      <c r="AC68" s="6"/>
      <c r="AD68" s="1239"/>
      <c r="AE68" s="5">
        <v>45433</v>
      </c>
      <c r="AF68" s="172"/>
    </row>
    <row r="69" spans="3:32" x14ac:dyDescent="0.4">
      <c r="E69" s="428"/>
      <c r="F69" s="323"/>
      <c r="H69" s="1224"/>
      <c r="I69" s="1225"/>
      <c r="K69" s="212"/>
      <c r="L69" s="1217"/>
      <c r="U69" s="1273">
        <v>44948</v>
      </c>
      <c r="V69" s="6"/>
      <c r="W69" s="6"/>
      <c r="Y69" s="6"/>
      <c r="Z69" s="1297"/>
      <c r="AB69" s="6"/>
      <c r="AC69" s="6"/>
      <c r="AD69" s="1239"/>
      <c r="AE69" s="5">
        <v>46734</v>
      </c>
      <c r="AF69" s="172"/>
    </row>
    <row r="70" spans="3:32" ht="15.4" x14ac:dyDescent="0.45">
      <c r="D70" s="1195" t="s">
        <v>436</v>
      </c>
      <c r="E70" s="134">
        <f>H70</f>
        <v>1.5882814000000001</v>
      </c>
      <c r="F70" s="134">
        <f>I70</f>
        <v>1.7078644000000001</v>
      </c>
      <c r="H70" s="1263">
        <f>J70/10000000</f>
        <v>1.5882814000000001</v>
      </c>
      <c r="I70" s="1263">
        <f>K70/10000000</f>
        <v>1.7078644000000001</v>
      </c>
      <c r="J70" s="212">
        <v>15882814</v>
      </c>
      <c r="K70" s="212">
        <v>17078644</v>
      </c>
      <c r="L70" s="1217"/>
      <c r="N70" s="755">
        <v>6531262</v>
      </c>
      <c r="O70" s="755"/>
      <c r="P70" s="755"/>
      <c r="U70" s="1261"/>
      <c r="V70" s="6"/>
      <c r="W70" s="6"/>
      <c r="Y70" s="6"/>
      <c r="Z70" s="1297"/>
      <c r="AB70" s="6"/>
      <c r="AC70" s="6"/>
      <c r="AD70" s="1239"/>
      <c r="AE70" s="5">
        <v>48251</v>
      </c>
    </row>
    <row r="71" spans="3:32" x14ac:dyDescent="0.4">
      <c r="C71" s="5">
        <f>66.07-3.11</f>
        <v>62.959999999999994</v>
      </c>
      <c r="D71" s="1195" t="s">
        <v>769</v>
      </c>
      <c r="E71" s="134">
        <f>J78/100</f>
        <v>1.3237000000000001</v>
      </c>
      <c r="F71" s="134">
        <f>K78/100</f>
        <v>1.6048000000000002</v>
      </c>
      <c r="H71" s="1263">
        <f t="shared" ref="H71:I75" si="10">J71/10000000</f>
        <v>0</v>
      </c>
      <c r="I71" s="1263">
        <f t="shared" si="10"/>
        <v>0</v>
      </c>
      <c r="K71" s="323"/>
      <c r="L71" s="1217"/>
      <c r="U71" s="9" t="s">
        <v>784</v>
      </c>
      <c r="V71" s="9">
        <f>SUM(V66:V70)</f>
        <v>161415</v>
      </c>
      <c r="W71" s="9">
        <f>SUM(W66:W70)</f>
        <v>3466395</v>
      </c>
      <c r="X71" s="26"/>
      <c r="Y71" s="9">
        <f>SUM(Y66:Y70)</f>
        <v>1092166</v>
      </c>
      <c r="Z71" s="9">
        <f>SUM(Z66:Z70)</f>
        <v>109271263</v>
      </c>
      <c r="AA71" s="26"/>
      <c r="AB71" s="9">
        <f>SUM(AB66:AB70)</f>
        <v>0</v>
      </c>
      <c r="AC71" s="9">
        <f>SUM(AC66:AC70)</f>
        <v>0</v>
      </c>
      <c r="AD71" s="1262"/>
      <c r="AE71" s="41">
        <f>SUM(AE65:AE70)</f>
        <v>281573</v>
      </c>
    </row>
    <row r="72" spans="3:32" x14ac:dyDescent="0.4">
      <c r="D72" s="1195" t="s">
        <v>125</v>
      </c>
      <c r="E72" s="283">
        <f>J76/100</f>
        <v>5.9800000000000006E-2</v>
      </c>
      <c r="F72" s="283">
        <f>K76/100</f>
        <v>5.7300000000000004E-2</v>
      </c>
      <c r="H72" s="1263">
        <f t="shared" si="10"/>
        <v>0</v>
      </c>
      <c r="I72" s="1263">
        <f t="shared" si="10"/>
        <v>0</v>
      </c>
      <c r="J72" s="1128"/>
      <c r="K72" s="1128"/>
      <c r="L72" s="1217"/>
      <c r="W72" s="1239"/>
      <c r="AD72" s="1239"/>
    </row>
    <row r="73" spans="3:32" x14ac:dyDescent="0.4">
      <c r="D73" s="1195" t="s">
        <v>196</v>
      </c>
      <c r="E73" s="134">
        <f t="shared" ref="E73:F75" si="11">H73</f>
        <v>3.2198999999999998E-2</v>
      </c>
      <c r="F73" s="134">
        <f t="shared" si="11"/>
        <v>0.201262</v>
      </c>
      <c r="H73" s="1263">
        <f t="shared" si="10"/>
        <v>3.2198999999999998E-2</v>
      </c>
      <c r="I73" s="1263">
        <f>K73/10000000</f>
        <v>0.201262</v>
      </c>
      <c r="J73" s="212">
        <f>J132</f>
        <v>321990</v>
      </c>
      <c r="K73" s="212">
        <f>J102</f>
        <v>2012620</v>
      </c>
      <c r="M73" s="1210"/>
      <c r="N73" s="12"/>
      <c r="O73" s="12"/>
      <c r="P73" s="12"/>
      <c r="Z73" s="5"/>
    </row>
    <row r="74" spans="3:32" ht="15.4" x14ac:dyDescent="0.45">
      <c r="D74" s="1195" t="s">
        <v>123</v>
      </c>
      <c r="E74" s="134">
        <f t="shared" si="11"/>
        <v>0</v>
      </c>
      <c r="F74" s="134">
        <f t="shared" si="11"/>
        <v>0.51693069999999997</v>
      </c>
      <c r="H74" s="1263">
        <f t="shared" si="10"/>
        <v>0</v>
      </c>
      <c r="I74" s="1263">
        <f>K74/10000000</f>
        <v>0.51693069999999997</v>
      </c>
      <c r="K74" s="755">
        <f>1078005+4091302</f>
        <v>5169307</v>
      </c>
    </row>
    <row r="75" spans="3:32" ht="15.4" x14ac:dyDescent="0.45">
      <c r="D75" s="1195" t="s">
        <v>435</v>
      </c>
      <c r="E75" s="134">
        <f t="shared" si="11"/>
        <v>2.4348222000000002</v>
      </c>
      <c r="F75" s="134">
        <f t="shared" si="11"/>
        <v>3.0399305999999999</v>
      </c>
      <c r="H75" s="1263">
        <f t="shared" si="10"/>
        <v>2.4348222000000002</v>
      </c>
      <c r="I75" s="1263">
        <f>K75/10000000</f>
        <v>3.0399305999999999</v>
      </c>
      <c r="J75" s="755">
        <v>24348222</v>
      </c>
      <c r="K75" s="755">
        <v>30399306</v>
      </c>
      <c r="N75" s="755"/>
      <c r="O75" s="755"/>
      <c r="P75" s="755"/>
    </row>
    <row r="76" spans="3:32" x14ac:dyDescent="0.4">
      <c r="H76" s="1224"/>
      <c r="I76" s="1225"/>
      <c r="J76" s="84">
        <v>5.98</v>
      </c>
      <c r="K76" s="323">
        <v>5.73</v>
      </c>
      <c r="L76" s="172">
        <f>J76/100</f>
        <v>5.9800000000000006E-2</v>
      </c>
    </row>
    <row r="77" spans="3:32" x14ac:dyDescent="0.4">
      <c r="E77" s="428"/>
      <c r="F77" s="428"/>
      <c r="J77" s="84">
        <v>138.35</v>
      </c>
      <c r="K77" s="84">
        <v>166.21</v>
      </c>
    </row>
    <row r="78" spans="3:32" x14ac:dyDescent="0.4">
      <c r="E78" s="428"/>
      <c r="F78" s="428"/>
      <c r="J78" s="84">
        <f>J77-J76</f>
        <v>132.37</v>
      </c>
      <c r="K78" s="323">
        <f>K77-K76</f>
        <v>160.48000000000002</v>
      </c>
      <c r="L78" s="172">
        <f>J78/100</f>
        <v>1.3237000000000001</v>
      </c>
    </row>
    <row r="79" spans="3:32" x14ac:dyDescent="0.4">
      <c r="E79" s="428"/>
      <c r="F79" s="428"/>
    </row>
    <row r="80" spans="3:32" x14ac:dyDescent="0.4">
      <c r="D80" s="84" t="s">
        <v>164</v>
      </c>
      <c r="E80" s="428" t="s">
        <v>710</v>
      </c>
      <c r="F80" s="84" t="s">
        <v>164</v>
      </c>
      <c r="G80" s="428" t="s">
        <v>710</v>
      </c>
      <c r="H80" s="84" t="s">
        <v>164</v>
      </c>
      <c r="I80" s="428" t="s">
        <v>710</v>
      </c>
      <c r="J80" s="84" t="s">
        <v>196</v>
      </c>
    </row>
    <row r="81" spans="3:11" x14ac:dyDescent="0.4">
      <c r="D81" s="84">
        <v>23</v>
      </c>
      <c r="E81" s="84">
        <v>23</v>
      </c>
      <c r="F81" s="84">
        <v>23</v>
      </c>
      <c r="G81" s="84">
        <v>23</v>
      </c>
      <c r="H81" s="84">
        <v>23</v>
      </c>
      <c r="I81" s="84">
        <v>23</v>
      </c>
      <c r="J81" s="84">
        <v>23</v>
      </c>
      <c r="K81" s="1292">
        <v>23</v>
      </c>
    </row>
    <row r="82" spans="3:11" x14ac:dyDescent="0.4">
      <c r="D82" s="2437" t="s">
        <v>795</v>
      </c>
      <c r="E82" s="2437"/>
      <c r="F82" s="2437" t="s">
        <v>796</v>
      </c>
      <c r="G82" s="2437"/>
      <c r="H82" s="2437" t="s">
        <v>797</v>
      </c>
      <c r="I82" s="2437"/>
      <c r="J82" s="2437" t="s">
        <v>196</v>
      </c>
      <c r="K82" s="2437"/>
    </row>
    <row r="83" spans="3:11" x14ac:dyDescent="0.4">
      <c r="C83" s="632">
        <v>36951</v>
      </c>
      <c r="D83" s="41"/>
      <c r="E83" s="1292"/>
      <c r="F83" s="41"/>
      <c r="G83" s="41"/>
      <c r="H83" s="41"/>
      <c r="I83" s="1318"/>
      <c r="J83" s="212"/>
    </row>
    <row r="84" spans="3:11" x14ac:dyDescent="0.4">
      <c r="C84" s="632">
        <v>37316</v>
      </c>
      <c r="D84" s="212"/>
      <c r="E84" s="1292"/>
      <c r="F84" s="41"/>
      <c r="G84" s="41"/>
      <c r="H84" s="41"/>
      <c r="I84" s="212"/>
      <c r="J84" s="212"/>
    </row>
    <row r="85" spans="3:11" x14ac:dyDescent="0.4">
      <c r="C85" s="632">
        <v>37681</v>
      </c>
      <c r="D85" s="212"/>
      <c r="E85" s="1292"/>
      <c r="F85" s="41"/>
      <c r="G85" s="41"/>
      <c r="H85" s="41"/>
      <c r="I85" s="212"/>
      <c r="J85" s="212"/>
    </row>
    <row r="86" spans="3:11" x14ac:dyDescent="0.4">
      <c r="C86" s="632">
        <v>38047</v>
      </c>
      <c r="D86" s="212"/>
      <c r="E86" s="1292"/>
      <c r="F86" s="41"/>
      <c r="G86" s="41"/>
      <c r="H86" s="41"/>
      <c r="I86" s="212"/>
      <c r="J86" s="212"/>
    </row>
    <row r="87" spans="3:11" x14ac:dyDescent="0.4">
      <c r="C87" s="632">
        <v>38412</v>
      </c>
      <c r="D87" s="212"/>
      <c r="E87" s="1292"/>
      <c r="F87" s="41"/>
      <c r="G87" s="41"/>
      <c r="H87" s="41"/>
      <c r="I87" s="212"/>
      <c r="J87" s="212"/>
    </row>
    <row r="88" spans="3:11" x14ac:dyDescent="0.4">
      <c r="C88" s="632">
        <v>38777</v>
      </c>
      <c r="D88" s="323"/>
      <c r="E88" s="428"/>
    </row>
    <row r="89" spans="3:11" x14ac:dyDescent="0.4">
      <c r="C89" s="632">
        <v>39142</v>
      </c>
      <c r="D89" s="323"/>
      <c r="E89" s="428"/>
    </row>
    <row r="90" spans="3:11" x14ac:dyDescent="0.4">
      <c r="C90" s="632">
        <v>39508</v>
      </c>
      <c r="D90" s="323"/>
      <c r="E90" s="428"/>
    </row>
    <row r="91" spans="3:11" x14ac:dyDescent="0.4">
      <c r="C91" s="632">
        <v>39873</v>
      </c>
      <c r="D91" s="323"/>
      <c r="E91" s="428"/>
    </row>
    <row r="92" spans="3:11" x14ac:dyDescent="0.4">
      <c r="C92" s="632">
        <v>40238</v>
      </c>
      <c r="D92" s="212">
        <v>620394</v>
      </c>
      <c r="E92" s="1292">
        <v>3477837</v>
      </c>
      <c r="F92" s="5">
        <v>593814</v>
      </c>
      <c r="G92" s="5">
        <v>52739710</v>
      </c>
      <c r="J92" s="84">
        <v>802270</v>
      </c>
    </row>
    <row r="93" spans="3:11" x14ac:dyDescent="0.4">
      <c r="C93" s="632">
        <v>40603</v>
      </c>
      <c r="D93" s="212">
        <v>521353</v>
      </c>
      <c r="E93" s="1292">
        <v>3158283</v>
      </c>
      <c r="F93" s="5">
        <v>462072</v>
      </c>
      <c r="G93" s="5">
        <v>42597705</v>
      </c>
      <c r="J93" s="84">
        <v>745790</v>
      </c>
    </row>
    <row r="94" spans="3:11" ht="15.4" thickBot="1" x14ac:dyDescent="0.45">
      <c r="C94" s="632">
        <v>40969</v>
      </c>
      <c r="D94" s="212">
        <v>286435</v>
      </c>
      <c r="E94" s="1292">
        <v>1851496</v>
      </c>
      <c r="F94" s="5">
        <v>275715</v>
      </c>
      <c r="G94" s="5">
        <v>26251827</v>
      </c>
      <c r="H94" s="824">
        <v>930658</v>
      </c>
      <c r="I94" s="910">
        <v>668855168</v>
      </c>
      <c r="J94" s="84">
        <v>464560</v>
      </c>
    </row>
    <row r="95" spans="3:11" x14ac:dyDescent="0.4">
      <c r="C95" s="632">
        <v>41334</v>
      </c>
      <c r="D95" s="323"/>
      <c r="E95" s="428"/>
    </row>
    <row r="96" spans="3:11" x14ac:dyDescent="0.4">
      <c r="C96" s="632">
        <v>41699</v>
      </c>
      <c r="D96" s="323"/>
      <c r="E96" s="428"/>
    </row>
    <row r="97" spans="3:11" x14ac:dyDescent="0.4">
      <c r="C97" s="632">
        <v>42064</v>
      </c>
      <c r="D97" s="323"/>
      <c r="E97" s="428"/>
    </row>
    <row r="98" spans="3:11" x14ac:dyDescent="0.4">
      <c r="C98" s="632">
        <v>42430</v>
      </c>
      <c r="D98" s="323"/>
      <c r="E98" s="428"/>
    </row>
    <row r="99" spans="3:11" x14ac:dyDescent="0.4">
      <c r="C99" s="632">
        <v>42795</v>
      </c>
      <c r="D99" s="323"/>
      <c r="E99" s="428"/>
    </row>
    <row r="100" spans="3:11" x14ac:dyDescent="0.4">
      <c r="C100" s="632">
        <v>43160</v>
      </c>
      <c r="D100" s="323"/>
      <c r="E100" s="428"/>
    </row>
    <row r="101" spans="3:11" x14ac:dyDescent="0.4">
      <c r="C101" s="632">
        <v>43525</v>
      </c>
      <c r="D101" s="323"/>
      <c r="E101" s="428"/>
    </row>
    <row r="102" spans="3:11" x14ac:dyDescent="0.4">
      <c r="D102" s="212">
        <f t="shared" ref="D102:J102" si="12">SUM(D83:D101)</f>
        <v>1428182</v>
      </c>
      <c r="E102" s="212">
        <f t="shared" si="12"/>
        <v>8487616</v>
      </c>
      <c r="F102" s="212">
        <f t="shared" si="12"/>
        <v>1331601</v>
      </c>
      <c r="G102" s="212">
        <f t="shared" si="12"/>
        <v>121589242</v>
      </c>
      <c r="H102" s="212">
        <f t="shared" si="12"/>
        <v>930658</v>
      </c>
      <c r="I102" s="1228">
        <f t="shared" si="12"/>
        <v>668855168</v>
      </c>
      <c r="J102" s="212">
        <f t="shared" si="12"/>
        <v>2012620</v>
      </c>
    </row>
    <row r="110" spans="3:11" x14ac:dyDescent="0.4">
      <c r="D110" s="84" t="s">
        <v>164</v>
      </c>
      <c r="E110" s="428" t="s">
        <v>710</v>
      </c>
      <c r="F110" s="84" t="s">
        <v>164</v>
      </c>
      <c r="G110" s="428" t="s">
        <v>710</v>
      </c>
      <c r="H110" s="84" t="s">
        <v>164</v>
      </c>
      <c r="I110" s="428" t="s">
        <v>710</v>
      </c>
      <c r="J110" s="84" t="s">
        <v>196</v>
      </c>
    </row>
    <row r="111" spans="3:11" x14ac:dyDescent="0.4">
      <c r="D111" s="84">
        <v>22</v>
      </c>
      <c r="E111" s="84">
        <v>22</v>
      </c>
      <c r="F111" s="84">
        <v>22</v>
      </c>
      <c r="G111" s="84">
        <v>22</v>
      </c>
      <c r="H111" s="84">
        <v>22</v>
      </c>
      <c r="I111" s="84">
        <v>22</v>
      </c>
      <c r="J111" s="84">
        <v>22</v>
      </c>
      <c r="K111" s="1292">
        <v>22</v>
      </c>
    </row>
    <row r="112" spans="3:11" x14ac:dyDescent="0.4">
      <c r="D112" s="2437" t="s">
        <v>795</v>
      </c>
      <c r="E112" s="2437"/>
      <c r="F112" s="2437" t="s">
        <v>796</v>
      </c>
      <c r="G112" s="2437"/>
      <c r="H112" s="2437" t="s">
        <v>797</v>
      </c>
      <c r="I112" s="2437"/>
      <c r="J112" s="2437" t="s">
        <v>196</v>
      </c>
      <c r="K112" s="2437"/>
    </row>
    <row r="113" spans="3:10" ht="15.4" x14ac:dyDescent="0.45">
      <c r="C113" s="632">
        <v>36951</v>
      </c>
      <c r="D113" s="41"/>
      <c r="E113" s="1292"/>
      <c r="H113" s="755"/>
      <c r="I113" s="1319"/>
    </row>
    <row r="114" spans="3:10" x14ac:dyDescent="0.4">
      <c r="C114" s="632">
        <v>37316</v>
      </c>
      <c r="D114" s="212"/>
      <c r="E114" s="428"/>
    </row>
    <row r="115" spans="3:10" x14ac:dyDescent="0.4">
      <c r="C115" s="632">
        <v>37681</v>
      </c>
      <c r="D115" s="323"/>
      <c r="E115" s="428"/>
    </row>
    <row r="116" spans="3:10" x14ac:dyDescent="0.4">
      <c r="C116" s="632">
        <v>38047</v>
      </c>
      <c r="D116" s="323"/>
      <c r="E116" s="428"/>
    </row>
    <row r="117" spans="3:10" x14ac:dyDescent="0.4">
      <c r="C117" s="632">
        <v>38412</v>
      </c>
      <c r="D117" s="323"/>
      <c r="E117" s="428"/>
    </row>
    <row r="118" spans="3:10" x14ac:dyDescent="0.4">
      <c r="C118" s="632">
        <v>38777</v>
      </c>
      <c r="D118" s="323"/>
      <c r="E118" s="428"/>
    </row>
    <row r="119" spans="3:10" x14ac:dyDescent="0.4">
      <c r="C119" s="632">
        <v>39142</v>
      </c>
      <c r="D119" s="323"/>
      <c r="E119" s="428"/>
    </row>
    <row r="120" spans="3:10" x14ac:dyDescent="0.4">
      <c r="C120" s="632">
        <v>39508</v>
      </c>
      <c r="D120" s="323"/>
      <c r="E120" s="428"/>
    </row>
    <row r="121" spans="3:10" x14ac:dyDescent="0.4">
      <c r="C121" s="632">
        <v>39873</v>
      </c>
      <c r="D121" s="323"/>
      <c r="E121" s="428"/>
    </row>
    <row r="122" spans="3:10" x14ac:dyDescent="0.4">
      <c r="C122" s="632">
        <v>40238</v>
      </c>
      <c r="D122" s="212">
        <v>363029</v>
      </c>
      <c r="E122" s="1292">
        <v>1750205</v>
      </c>
      <c r="F122" s="5">
        <v>110568</v>
      </c>
      <c r="G122" s="5">
        <v>1500523</v>
      </c>
      <c r="J122" s="84">
        <v>157670</v>
      </c>
    </row>
    <row r="123" spans="3:10" x14ac:dyDescent="0.4">
      <c r="C123" s="632">
        <v>40603</v>
      </c>
      <c r="D123" s="212">
        <v>269652</v>
      </c>
      <c r="E123" s="1292">
        <v>1501052</v>
      </c>
      <c r="F123" s="5">
        <v>72474</v>
      </c>
      <c r="G123" s="5">
        <v>1394852</v>
      </c>
      <c r="J123" s="84">
        <v>164320</v>
      </c>
    </row>
    <row r="124" spans="3:10" ht="15.4" x14ac:dyDescent="0.45">
      <c r="C124" s="632">
        <v>40969</v>
      </c>
      <c r="D124" s="323">
        <v>317190</v>
      </c>
      <c r="E124" s="428">
        <v>1768986</v>
      </c>
      <c r="F124" s="5">
        <v>138663</v>
      </c>
      <c r="G124" s="5">
        <v>3949762</v>
      </c>
      <c r="H124" s="755">
        <v>1145671</v>
      </c>
      <c r="I124" s="755">
        <v>645560911</v>
      </c>
    </row>
    <row r="125" spans="3:10" x14ac:dyDescent="0.4">
      <c r="C125" s="632">
        <v>41334</v>
      </c>
      <c r="D125" s="323"/>
      <c r="E125" s="428"/>
    </row>
    <row r="126" spans="3:10" x14ac:dyDescent="0.4">
      <c r="C126" s="632">
        <v>41699</v>
      </c>
      <c r="D126" s="323"/>
      <c r="E126" s="428"/>
    </row>
    <row r="127" spans="3:10" x14ac:dyDescent="0.4">
      <c r="C127" s="632">
        <v>42064</v>
      </c>
      <c r="D127" s="323"/>
      <c r="E127" s="428"/>
    </row>
    <row r="128" spans="3:10" x14ac:dyDescent="0.4">
      <c r="C128" s="632">
        <v>42430</v>
      </c>
      <c r="D128" s="323"/>
      <c r="E128" s="428"/>
    </row>
    <row r="129" spans="3:10" x14ac:dyDescent="0.4">
      <c r="C129" s="632">
        <v>42795</v>
      </c>
      <c r="D129" s="323"/>
      <c r="E129" s="428"/>
    </row>
    <row r="130" spans="3:10" x14ac:dyDescent="0.4">
      <c r="C130" s="632">
        <v>43160</v>
      </c>
      <c r="D130" s="323"/>
      <c r="E130" s="428"/>
    </row>
    <row r="131" spans="3:10" x14ac:dyDescent="0.4">
      <c r="C131" s="632">
        <v>43525</v>
      </c>
      <c r="D131" s="323"/>
      <c r="E131" s="428"/>
    </row>
    <row r="132" spans="3:10" x14ac:dyDescent="0.4">
      <c r="D132" s="212">
        <f t="shared" ref="D132:J132" si="13">SUM(D113:D131)</f>
        <v>949871</v>
      </c>
      <c r="E132" s="212">
        <f t="shared" si="13"/>
        <v>5020243</v>
      </c>
      <c r="F132" s="212">
        <f t="shared" si="13"/>
        <v>321705</v>
      </c>
      <c r="G132" s="212">
        <f t="shared" si="13"/>
        <v>6845137</v>
      </c>
      <c r="H132" s="212">
        <f t="shared" si="13"/>
        <v>1145671</v>
      </c>
      <c r="I132" s="1228">
        <f t="shared" si="13"/>
        <v>645560911</v>
      </c>
      <c r="J132" s="212">
        <f t="shared" si="13"/>
        <v>321990</v>
      </c>
    </row>
  </sheetData>
  <mergeCells count="115">
    <mergeCell ref="D82:E82"/>
    <mergeCell ref="F82:G82"/>
    <mergeCell ref="H82:I82"/>
    <mergeCell ref="J82:K82"/>
    <mergeCell ref="D112:E112"/>
    <mergeCell ref="F112:G112"/>
    <mergeCell ref="H112:I112"/>
    <mergeCell ref="J112:K112"/>
    <mergeCell ref="A49:A52"/>
    <mergeCell ref="B49:I49"/>
    <mergeCell ref="M49:M52"/>
    <mergeCell ref="N49:W49"/>
    <mergeCell ref="B50:C50"/>
    <mergeCell ref="D50:D52"/>
    <mergeCell ref="E50:E52"/>
    <mergeCell ref="H50:H52"/>
    <mergeCell ref="N50:Q50"/>
    <mergeCell ref="R50:R52"/>
    <mergeCell ref="S50:S52"/>
    <mergeCell ref="V50:V52"/>
    <mergeCell ref="B51:C51"/>
    <mergeCell ref="N51:Q51"/>
    <mergeCell ref="B52:C52"/>
    <mergeCell ref="N52:Q52"/>
    <mergeCell ref="A45:A48"/>
    <mergeCell ref="B45:I45"/>
    <mergeCell ref="M45:M48"/>
    <mergeCell ref="N45:W45"/>
    <mergeCell ref="D47:D48"/>
    <mergeCell ref="E47:E48"/>
    <mergeCell ref="H47:H48"/>
    <mergeCell ref="R47:R48"/>
    <mergeCell ref="S47:S48"/>
    <mergeCell ref="V47:V48"/>
    <mergeCell ref="N46:O46"/>
    <mergeCell ref="N47:O47"/>
    <mergeCell ref="N48:O48"/>
    <mergeCell ref="M11:W11"/>
    <mergeCell ref="B13:I13"/>
    <mergeCell ref="A38:A43"/>
    <mergeCell ref="B38:I38"/>
    <mergeCell ref="N38:W38"/>
    <mergeCell ref="B28:C29"/>
    <mergeCell ref="D28:E28"/>
    <mergeCell ref="F28:G28"/>
    <mergeCell ref="H28:I28"/>
    <mergeCell ref="N28:Q29"/>
    <mergeCell ref="R28:S28"/>
    <mergeCell ref="T28:U28"/>
    <mergeCell ref="V28:W28"/>
    <mergeCell ref="A30:A36"/>
    <mergeCell ref="B30:I30"/>
    <mergeCell ref="N30:W30"/>
    <mergeCell ref="N33:P33"/>
    <mergeCell ref="N34:P34"/>
    <mergeCell ref="N31:P31"/>
    <mergeCell ref="N32:P32"/>
    <mergeCell ref="N13:W13"/>
    <mergeCell ref="N43:P43"/>
    <mergeCell ref="N41:P41"/>
    <mergeCell ref="N6:P6"/>
    <mergeCell ref="N7:P7"/>
    <mergeCell ref="N8:P8"/>
    <mergeCell ref="N9:P9"/>
    <mergeCell ref="T18:W18"/>
    <mergeCell ref="A14:A17"/>
    <mergeCell ref="B14:I14"/>
    <mergeCell ref="M14:M17"/>
    <mergeCell ref="N14:W14"/>
    <mergeCell ref="D16:D17"/>
    <mergeCell ref="E16:E17"/>
    <mergeCell ref="H16:H17"/>
    <mergeCell ref="R16:R17"/>
    <mergeCell ref="S16:S17"/>
    <mergeCell ref="V16:V17"/>
    <mergeCell ref="A18:A26"/>
    <mergeCell ref="C18:E18"/>
    <mergeCell ref="F18:I18"/>
    <mergeCell ref="M18:M26"/>
    <mergeCell ref="Q18:S18"/>
    <mergeCell ref="N10:P10"/>
    <mergeCell ref="N12:P12"/>
    <mergeCell ref="O18:P18"/>
    <mergeCell ref="A11:I11"/>
    <mergeCell ref="AE2:AJ2"/>
    <mergeCell ref="AE3:AJ3"/>
    <mergeCell ref="A1:I1"/>
    <mergeCell ref="M1:W1"/>
    <mergeCell ref="A2:I2"/>
    <mergeCell ref="M2:W2"/>
    <mergeCell ref="A3:A5"/>
    <mergeCell ref="B3:B5"/>
    <mergeCell ref="D3:E3"/>
    <mergeCell ref="F3:G3"/>
    <mergeCell ref="H3:I3"/>
    <mergeCell ref="M3:M5"/>
    <mergeCell ref="D5:E5"/>
    <mergeCell ref="R5:S5"/>
    <mergeCell ref="N3:P5"/>
    <mergeCell ref="R3:S3"/>
    <mergeCell ref="T3:U3"/>
    <mergeCell ref="V3:W3"/>
    <mergeCell ref="H4:H5"/>
    <mergeCell ref="I4:I5"/>
    <mergeCell ref="V4:V5"/>
    <mergeCell ref="W4:W5"/>
    <mergeCell ref="N44:P44"/>
    <mergeCell ref="N15:O15"/>
    <mergeCell ref="N16:O16"/>
    <mergeCell ref="N17:O17"/>
    <mergeCell ref="N35:P35"/>
    <mergeCell ref="N36:P36"/>
    <mergeCell ref="N37:P37"/>
    <mergeCell ref="N39:P39"/>
    <mergeCell ref="N40:P40"/>
  </mergeCells>
  <printOptions horizontalCentered="1"/>
  <pageMargins left="0.2" right="0.2" top="0.69" bottom="0.24" header="0.3" footer="0.3"/>
  <pageSetup paperSize="9" scale="18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F3CE8-381F-419E-90AF-E1DB8046877F}">
  <sheetPr>
    <pageSetUpPr fitToPage="1"/>
  </sheetPr>
  <dimension ref="A1:AH142"/>
  <sheetViews>
    <sheetView topLeftCell="B1" workbookViewId="0">
      <selection activeCell="F8" sqref="F8"/>
    </sheetView>
  </sheetViews>
  <sheetFormatPr defaultColWidth="9.1328125" defaultRowHeight="15" x14ac:dyDescent="0.4"/>
  <cols>
    <col min="1" max="1" width="3.73046875" style="1235" customWidth="1"/>
    <col min="2" max="2" width="42" style="300" customWidth="1"/>
    <col min="3" max="3" width="10.73046875" style="5" hidden="1" customWidth="1"/>
    <col min="4" max="4" width="10.86328125" style="84" customWidth="1"/>
    <col min="5" max="5" width="10.59765625" style="35" customWidth="1"/>
    <col min="6" max="6" width="12.73046875" style="5" customWidth="1"/>
    <col min="7" max="7" width="12.59765625" style="5" customWidth="1"/>
    <col min="8" max="8" width="10.3984375" style="11" customWidth="1"/>
    <col min="9" max="9" width="10.1328125" style="82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59765625" style="1209" customWidth="1"/>
    <col min="14" max="14" width="43.73046875" style="5" customWidth="1"/>
    <col min="15" max="15" width="12.1328125" style="5" customWidth="1"/>
    <col min="16" max="16" width="16.86328125" style="5" bestFit="1" customWidth="1"/>
    <col min="17" max="17" width="11.265625" style="5" bestFit="1" customWidth="1"/>
    <col min="18" max="19" width="14" style="5" customWidth="1"/>
    <col min="20" max="21" width="11.1328125" style="5" customWidth="1"/>
    <col min="22" max="22" width="9.1328125" style="5"/>
    <col min="23" max="23" width="12.3984375" style="5" bestFit="1" customWidth="1"/>
    <col min="24" max="24" width="13.3984375" style="172" customWidth="1"/>
    <col min="25" max="25" width="11.265625" style="5" bestFit="1" customWidth="1"/>
    <col min="26" max="26" width="10.265625" style="5" bestFit="1" customWidth="1"/>
    <col min="27" max="27" width="10.59765625" style="5" bestFit="1" customWidth="1"/>
    <col min="28" max="28" width="9.1328125" style="5"/>
    <col min="29" max="29" width="37.3984375" style="5" customWidth="1"/>
    <col min="30" max="30" width="16.59765625" style="5" customWidth="1"/>
    <col min="31" max="31" width="16.86328125" style="5" customWidth="1"/>
    <col min="32" max="32" width="17.59765625" style="5" customWidth="1"/>
    <col min="33" max="33" width="16.3984375" style="5" bestFit="1" customWidth="1"/>
    <col min="34" max="34" width="15.1328125" style="5" customWidth="1"/>
    <col min="35" max="16384" width="9.1328125" style="5"/>
  </cols>
  <sheetData>
    <row r="1" spans="1:34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156" t="s">
        <v>781</v>
      </c>
      <c r="N1" s="2156"/>
      <c r="O1" s="2156"/>
      <c r="P1" s="2156"/>
      <c r="Q1" s="2156"/>
      <c r="R1" s="2156"/>
      <c r="S1" s="2156"/>
      <c r="T1" s="2156"/>
      <c r="U1" s="2156"/>
    </row>
    <row r="2" spans="1:34" s="301" customFormat="1" ht="18" thickBot="1" x14ac:dyDescent="0.4">
      <c r="A2" s="2346" t="s">
        <v>877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851</v>
      </c>
      <c r="N2" s="2093"/>
      <c r="O2" s="2446"/>
      <c r="P2" s="2093"/>
      <c r="Q2" s="2093"/>
      <c r="R2" s="2093"/>
      <c r="S2" s="2093"/>
      <c r="T2" s="2093"/>
      <c r="U2" s="2094"/>
      <c r="X2" s="1149"/>
      <c r="AC2" s="2326" t="s">
        <v>781</v>
      </c>
      <c r="AD2" s="2326"/>
      <c r="AE2" s="2326"/>
      <c r="AF2" s="2326"/>
      <c r="AG2" s="2326"/>
      <c r="AH2" s="2326"/>
    </row>
    <row r="3" spans="1:34" ht="17.25" customHeight="1" thickTop="1" x14ac:dyDescent="0.5">
      <c r="A3" s="2360" t="s">
        <v>144</v>
      </c>
      <c r="B3" s="2342" t="s">
        <v>353</v>
      </c>
      <c r="C3" s="2450" t="s">
        <v>10</v>
      </c>
      <c r="D3" s="2451"/>
      <c r="E3" s="1369" t="s">
        <v>8</v>
      </c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</row>
    <row r="4" spans="1:34" s="35" customFormat="1" ht="25.5" customHeight="1" x14ac:dyDescent="0.35">
      <c r="A4" s="2360"/>
      <c r="B4" s="2343"/>
      <c r="C4" s="1183" t="s">
        <v>764</v>
      </c>
      <c r="D4" s="1183" t="s">
        <v>666</v>
      </c>
      <c r="E4" s="422">
        <f>G4</f>
        <v>45017</v>
      </c>
      <c r="F4" s="422">
        <v>44672</v>
      </c>
      <c r="G4" s="422">
        <v>45017</v>
      </c>
      <c r="H4" s="2444" t="s">
        <v>12</v>
      </c>
      <c r="I4" s="2444" t="s">
        <v>13</v>
      </c>
      <c r="J4" s="84"/>
      <c r="K4" s="84"/>
      <c r="L4" s="1150"/>
      <c r="M4" s="2358"/>
      <c r="N4" s="2343"/>
      <c r="O4" s="1183" t="s">
        <v>764</v>
      </c>
      <c r="P4" s="421" t="s">
        <v>9</v>
      </c>
      <c r="Q4" s="422">
        <f>E4</f>
        <v>45017</v>
      </c>
      <c r="R4" s="422">
        <f>F4</f>
        <v>44672</v>
      </c>
      <c r="S4" s="422">
        <f>G4</f>
        <v>45017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</row>
    <row r="5" spans="1:34" ht="18.75" hidden="1" customHeight="1" x14ac:dyDescent="0.5">
      <c r="A5" s="2361"/>
      <c r="B5" s="2344"/>
      <c r="C5" s="1184"/>
      <c r="D5" s="2157" t="s">
        <v>249</v>
      </c>
      <c r="E5" s="2158"/>
      <c r="F5" s="1134" t="s">
        <v>249</v>
      </c>
      <c r="G5" s="1134" t="s">
        <v>438</v>
      </c>
      <c r="H5" s="2445"/>
      <c r="I5" s="2445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</row>
    <row r="6" spans="1:34" ht="30" customHeight="1" x14ac:dyDescent="0.35">
      <c r="A6" s="1229">
        <v>1</v>
      </c>
      <c r="B6" s="1191" t="s">
        <v>290</v>
      </c>
      <c r="C6" s="1185">
        <v>615.09889696200003</v>
      </c>
      <c r="D6" s="1185">
        <v>1024.2159494</v>
      </c>
      <c r="E6" s="1312">
        <f>E15+E16</f>
        <v>0</v>
      </c>
      <c r="F6" s="434">
        <f>F15+F16+F17</f>
        <v>63.312238253333334</v>
      </c>
      <c r="G6" s="434">
        <f>G15+G16+G17</f>
        <v>74.599999999999994</v>
      </c>
      <c r="H6" s="1313" t="e">
        <f>(G6-E6)/E6*100</f>
        <v>#DIV/0!</v>
      </c>
      <c r="I6" s="517">
        <f>(G6-F6)/F6*100</f>
        <v>17.828720099107173</v>
      </c>
      <c r="M6" s="1203">
        <v>1</v>
      </c>
      <c r="N6" s="1179" t="s">
        <v>290</v>
      </c>
      <c r="O6" s="1185">
        <v>615.09889696200003</v>
      </c>
      <c r="P6" s="1312">
        <v>950.59</v>
      </c>
      <c r="Q6" s="434">
        <v>950.59</v>
      </c>
      <c r="R6" s="434">
        <f>R15+R16+R17</f>
        <v>615.095131262</v>
      </c>
      <c r="S6" s="434">
        <f>S15+S16+S17</f>
        <v>1005.5128902</v>
      </c>
      <c r="T6" s="1313">
        <f>(S6-Q6)/Q6*100</f>
        <v>5.7777685647860784</v>
      </c>
      <c r="U6" s="1313">
        <f>(S6-R6)/R6*100</f>
        <v>63.47274414885613</v>
      </c>
      <c r="V6" s="12">
        <f>(S6-P6)/P6*100</f>
        <v>5.7777685647860784</v>
      </c>
      <c r="W6" s="5">
        <f>(S6-P6)/P6*100</f>
        <v>5.7777685647860784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</row>
    <row r="7" spans="1:34" ht="26.25" customHeight="1" x14ac:dyDescent="0.35">
      <c r="A7" s="1230">
        <v>2</v>
      </c>
      <c r="B7" s="1154" t="s">
        <v>291</v>
      </c>
      <c r="C7" s="1186">
        <v>275.33999999999997</v>
      </c>
      <c r="D7" s="1185">
        <v>403.10200000000003</v>
      </c>
      <c r="E7" s="1312">
        <f>'TARGET 23-24'!T8</f>
        <v>0</v>
      </c>
      <c r="F7" s="434">
        <v>25.84</v>
      </c>
      <c r="G7" s="434">
        <v>25.99</v>
      </c>
      <c r="H7" s="1313" t="e">
        <f>(G7-E7)/E7*100</f>
        <v>#DIV/0!</v>
      </c>
      <c r="I7" s="517">
        <f>(G7-F7)/F7*100</f>
        <v>0.58049535603714619</v>
      </c>
      <c r="M7" s="1204">
        <v>2</v>
      </c>
      <c r="N7" s="1154" t="s">
        <v>291</v>
      </c>
      <c r="O7" s="1186">
        <v>275.33999999999997</v>
      </c>
      <c r="P7" s="434">
        <v>341.23</v>
      </c>
      <c r="Q7" s="434">
        <v>341.23</v>
      </c>
      <c r="R7" s="434">
        <v>275.33999999999997</v>
      </c>
      <c r="S7" s="434">
        <f>S20+S21+S22+S23+S24+S25+S26</f>
        <v>403.10200000000003</v>
      </c>
      <c r="T7" s="1313">
        <f>(S7-Q7)/Q7*100</f>
        <v>18.132051695337459</v>
      </c>
      <c r="U7" s="1313">
        <f>(S7-R7)/R7*100</f>
        <v>46.401539914287817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</row>
    <row r="8" spans="1:34" ht="32.25" customHeight="1" x14ac:dyDescent="0.35">
      <c r="A8" s="1231">
        <v>3</v>
      </c>
      <c r="B8" s="1155" t="s">
        <v>292</v>
      </c>
      <c r="C8" s="1187">
        <v>71.674099700000014</v>
      </c>
      <c r="D8" s="1185">
        <v>106.68749520000001</v>
      </c>
      <c r="E8" s="1312" t="str">
        <f>'TARGET 23-24'!U8</f>
        <v>t</v>
      </c>
      <c r="F8" s="1314">
        <f>F31+F32+F33+F34+F35+F36+F37</f>
        <v>6.6613703999999991</v>
      </c>
      <c r="G8" s="1314">
        <f>G31+G32+G33+G34+G35+G36+G37</f>
        <v>7.8547887000000003</v>
      </c>
      <c r="H8" s="1313" t="e">
        <f>(G8-E8)/E8*100</f>
        <v>#VALUE!</v>
      </c>
      <c r="I8" s="517">
        <f>(G8-F8)/F8*100</f>
        <v>17.915507295615949</v>
      </c>
      <c r="M8" s="1205">
        <v>3</v>
      </c>
      <c r="N8" s="1155" t="s">
        <v>292</v>
      </c>
      <c r="O8" s="1187">
        <v>71.674099700000014</v>
      </c>
      <c r="P8" s="1314">
        <v>102.46000000000001</v>
      </c>
      <c r="Q8" s="434">
        <f>P8</f>
        <v>102.46000000000001</v>
      </c>
      <c r="R8" s="1314">
        <f>R31+R32+R33+R34+R35+R36+R37</f>
        <v>71.674099699999985</v>
      </c>
      <c r="S8" s="434">
        <f>S31+S32+S33+S34+S35+S36+S37</f>
        <v>106.68749520000001</v>
      </c>
      <c r="T8" s="1313">
        <f>(S8-Q8)/Q8*100</f>
        <v>4.1259957056412322</v>
      </c>
      <c r="U8" s="1313">
        <f>(S8-R8)/R8*100</f>
        <v>48.850834048216221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</row>
    <row r="9" spans="1:34" ht="34.5" customHeight="1" x14ac:dyDescent="0.35">
      <c r="A9" s="1230">
        <v>4</v>
      </c>
      <c r="B9" s="1156" t="s">
        <v>293</v>
      </c>
      <c r="C9" s="1185">
        <v>5.1459812999999999</v>
      </c>
      <c r="D9" s="1185">
        <v>17.701250099999996</v>
      </c>
      <c r="E9" s="1389">
        <v>0</v>
      </c>
      <c r="F9" s="434">
        <f>F39+F40+F41+F43+F44</f>
        <v>0</v>
      </c>
      <c r="G9" s="434">
        <f>G39+G40+G41+G43+G44</f>
        <v>0</v>
      </c>
      <c r="H9" s="1313" t="s">
        <v>221</v>
      </c>
      <c r="I9" s="517" t="s">
        <v>221</v>
      </c>
      <c r="M9" s="1204">
        <v>4</v>
      </c>
      <c r="N9" s="1156" t="s">
        <v>293</v>
      </c>
      <c r="O9" s="1185">
        <v>5.1459812999999999</v>
      </c>
      <c r="P9" s="434">
        <f>P39+P40+P41</f>
        <v>16.79</v>
      </c>
      <c r="Q9" s="434">
        <f>P9</f>
        <v>16.79</v>
      </c>
      <c r="R9" s="434">
        <f>R39+R40+R41+R42+R43+R44</f>
        <v>5.1524325000000006</v>
      </c>
      <c r="S9" s="434">
        <f>S39+S40+S41+S42+S43+S44</f>
        <v>17.618554699999997</v>
      </c>
      <c r="T9" s="1313">
        <f>(S9-Q9)/Q9*100</f>
        <v>4.9348106015485289</v>
      </c>
      <c r="U9" s="1313">
        <f>(S9-R9)/R9*100</f>
        <v>241.94634670129099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</row>
    <row r="10" spans="1:34" ht="28.5" customHeight="1" x14ac:dyDescent="0.35">
      <c r="A10" s="1231">
        <v>5</v>
      </c>
      <c r="B10" s="1157" t="s">
        <v>294</v>
      </c>
      <c r="C10" s="1188">
        <f>SUM(C6:C9)</f>
        <v>967.25897796200002</v>
      </c>
      <c r="D10" s="1185">
        <v>1551.7066947000001</v>
      </c>
      <c r="E10" s="321" t="e">
        <f>E6+E7+E8+E9</f>
        <v>#VALUE!</v>
      </c>
      <c r="F10" s="321">
        <f>SUM(F6:F9)</f>
        <v>95.813608653333333</v>
      </c>
      <c r="G10" s="321">
        <f>SUM(G6:G9)</f>
        <v>108.44478869999999</v>
      </c>
      <c r="H10" s="1162" t="e">
        <f>(G10-E10)/E10*100</f>
        <v>#VALUE!</v>
      </c>
      <c r="I10" s="322">
        <f>(G10-F10)/F10*100</f>
        <v>13.183075164581249</v>
      </c>
      <c r="M10" s="1205">
        <v>5</v>
      </c>
      <c r="N10" s="1157" t="s">
        <v>294</v>
      </c>
      <c r="O10" s="1188">
        <f>SUM(O6:O9)</f>
        <v>967.25897796200002</v>
      </c>
      <c r="P10" s="321">
        <f>SUM(P6:P9)</f>
        <v>1411.0700000000002</v>
      </c>
      <c r="Q10" s="321">
        <f>SUM(Q6:Q9)</f>
        <v>1411.0700000000002</v>
      </c>
      <c r="R10" s="321">
        <f>SUM(R6:R9)</f>
        <v>967.26166346199989</v>
      </c>
      <c r="S10" s="321">
        <f>SUM(S6:S9)</f>
        <v>1532.9209401000001</v>
      </c>
      <c r="T10" s="1162">
        <f>(S10-Q10)/Q10*100</f>
        <v>8.635357572622187</v>
      </c>
      <c r="U10" s="1162">
        <f>(S10-R10)/R10*100</f>
        <v>58.480481342908384</v>
      </c>
      <c r="X10" s="12">
        <f>SUM(X6:X9)</f>
        <v>389.94179218299996</v>
      </c>
      <c r="Y10" s="12">
        <f>SUM(Y6:Y9)</f>
        <v>752.12112639999998</v>
      </c>
      <c r="Z10" s="12">
        <f>S10-Y10</f>
        <v>780.79981370000007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</row>
    <row r="11" spans="1:34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</row>
    <row r="12" spans="1:34" ht="31.5" customHeight="1" x14ac:dyDescent="0.35">
      <c r="A12" s="1230">
        <v>6.3</v>
      </c>
      <c r="B12" s="1293" t="s">
        <v>778</v>
      </c>
      <c r="C12" s="1307">
        <v>16.11</v>
      </c>
      <c r="D12" s="1185">
        <v>47.027382000000003</v>
      </c>
      <c r="E12" s="1312" t="s">
        <v>221</v>
      </c>
      <c r="F12" s="1294">
        <f>F46+F47+F48</f>
        <v>2.2807310000000003</v>
      </c>
      <c r="G12" s="1294">
        <f>G46+G47+G48</f>
        <v>3.8200000000000003</v>
      </c>
      <c r="H12" s="517"/>
      <c r="I12" s="316">
        <f>(G12-F12)/F12*100</f>
        <v>67.490159953102747</v>
      </c>
      <c r="M12" s="1204">
        <v>6.3</v>
      </c>
      <c r="N12" s="1316" t="s">
        <v>814</v>
      </c>
      <c r="O12" s="1307">
        <v>16.61</v>
      </c>
      <c r="P12" s="332">
        <v>62.53</v>
      </c>
      <c r="Q12" s="307">
        <f>Q46+Q47</f>
        <v>62.53</v>
      </c>
      <c r="R12" s="1294">
        <f>R46+R47+R48</f>
        <v>16.611401999999998</v>
      </c>
      <c r="S12" s="1294">
        <f>S46+S47+S48</f>
        <v>46.422659000000003</v>
      </c>
      <c r="T12" s="1161">
        <f>(S12-Q12)/Q12*100</f>
        <v>-25.759381097073401</v>
      </c>
      <c r="U12" s="1060">
        <f>(S12-R12)/R12*100</f>
        <v>179.46261850745654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</row>
    <row r="13" spans="1:34" s="1310" customFormat="1" ht="13.5" customHeight="1" x14ac:dyDescent="0.35">
      <c r="A13" s="1309"/>
      <c r="B13" s="2438" t="s">
        <v>229</v>
      </c>
      <c r="C13" s="2439"/>
      <c r="D13" s="2439"/>
      <c r="E13" s="2439"/>
      <c r="F13" s="2439"/>
      <c r="G13" s="2439"/>
      <c r="H13" s="2439"/>
      <c r="I13" s="2440"/>
      <c r="L13" s="1311"/>
      <c r="M13" s="1309"/>
      <c r="N13" s="2438" t="s">
        <v>229</v>
      </c>
      <c r="O13" s="2439"/>
      <c r="P13" s="2439"/>
      <c r="Q13" s="2439"/>
      <c r="R13" s="2439"/>
      <c r="S13" s="2439"/>
      <c r="T13" s="2439"/>
      <c r="U13" s="2440"/>
      <c r="X13" s="1311"/>
    </row>
    <row r="14" spans="1:34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34" ht="15.4" x14ac:dyDescent="0.4">
      <c r="A15" s="2374"/>
      <c r="B15" s="378" t="s">
        <v>802</v>
      </c>
      <c r="C15" s="1282">
        <v>2.0896889139999999</v>
      </c>
      <c r="D15" s="1185">
        <v>11.460276500000001</v>
      </c>
      <c r="E15" s="1249">
        <f>'TARGET 23-24'!Q8</f>
        <v>0</v>
      </c>
      <c r="F15" s="315">
        <f>'actual fig'!F26</f>
        <v>0.56668161333333333</v>
      </c>
      <c r="G15" s="315">
        <v>0.9</v>
      </c>
      <c r="H15" s="316" t="e">
        <f>(G15-E15)/E15*100</f>
        <v>#DIV/0!</v>
      </c>
      <c r="I15" s="314">
        <f>(G15-F15)/F15*100</f>
        <v>58.819340318105958</v>
      </c>
      <c r="J15" s="1128">
        <f>373857/10000000</f>
        <v>3.7385700000000001E-2</v>
      </c>
      <c r="M15" s="2369"/>
      <c r="N15" s="378" t="s">
        <v>816</v>
      </c>
      <c r="O15" s="1282">
        <v>2.0896889139999999</v>
      </c>
      <c r="P15" s="333">
        <v>22.16</v>
      </c>
      <c r="Q15" s="315">
        <v>22.16</v>
      </c>
      <c r="R15" s="315">
        <v>2.0896889139999999</v>
      </c>
      <c r="S15" s="315">
        <f>G15+'FEB -23'!S15</f>
        <v>11.327485600000001</v>
      </c>
      <c r="T15" s="316">
        <f>(S15-Q15)/Q15*100</f>
        <v>-48.883187725631764</v>
      </c>
      <c r="U15" s="314">
        <f>(S15-R15)/R15*100</f>
        <v>442.06564068511886</v>
      </c>
      <c r="Y15" s="12">
        <f>R16+R17</f>
        <v>613.00544234799997</v>
      </c>
      <c r="Z15" s="12">
        <f>S16+S17</f>
        <v>994.18540460000008</v>
      </c>
      <c r="AA15" s="5">
        <f>(Z15-Y15)/Y15*100</f>
        <v>62.18214976884434</v>
      </c>
    </row>
    <row r="16" spans="1:34" ht="15.4" x14ac:dyDescent="0.4">
      <c r="A16" s="2374"/>
      <c r="B16" s="1281" t="s">
        <v>801</v>
      </c>
      <c r="C16" s="1282">
        <v>2.1157408480000002</v>
      </c>
      <c r="D16" s="1185">
        <v>126.72018780000001</v>
      </c>
      <c r="E16" s="2065">
        <f>'TARGET 23-24'!R8</f>
        <v>0</v>
      </c>
      <c r="F16" s="315">
        <f>'actual fig'!G26</f>
        <v>1.55266046</v>
      </c>
      <c r="G16" s="315">
        <v>14.2</v>
      </c>
      <c r="H16" s="2154" t="e">
        <f>L16</f>
        <v>#DIV/0!</v>
      </c>
      <c r="I16" s="314">
        <f>(G16-F16)/F16*100</f>
        <v>814.55925914414013</v>
      </c>
      <c r="J16" s="12">
        <f>F16+F17</f>
        <v>62.745556639999997</v>
      </c>
      <c r="K16" s="12">
        <f>G16+G17</f>
        <v>73.7</v>
      </c>
      <c r="L16" s="172" t="e">
        <f>(K16-E16)/E16*100</f>
        <v>#DIV/0!</v>
      </c>
      <c r="M16" s="2369"/>
      <c r="N16" s="1281" t="s">
        <v>817</v>
      </c>
      <c r="O16" s="1282">
        <v>2.1157408480000002</v>
      </c>
      <c r="P16" s="2166">
        <v>928.43</v>
      </c>
      <c r="Q16" s="2065">
        <v>928.43</v>
      </c>
      <c r="R16" s="315">
        <v>2.1157408480000002</v>
      </c>
      <c r="S16" s="315">
        <f>G16+'FEB -23'!S16</f>
        <v>126.3001715</v>
      </c>
      <c r="T16" s="2154">
        <f>X16</f>
        <v>7.0824299731805453</v>
      </c>
      <c r="U16" s="314">
        <f>(S16-R16)/R16*100</f>
        <v>5869.5482846772538</v>
      </c>
      <c r="W16" s="12">
        <f>S16+S17</f>
        <v>994.18540460000008</v>
      </c>
      <c r="X16" s="172">
        <f>(W16-Q16)/Q16*100</f>
        <v>7.0824299731805453</v>
      </c>
    </row>
    <row r="17" spans="1:26" ht="15.4" x14ac:dyDescent="0.4">
      <c r="A17" s="2375"/>
      <c r="B17" s="320" t="s">
        <v>803</v>
      </c>
      <c r="C17" s="1282">
        <v>610.89346720000003</v>
      </c>
      <c r="D17" s="1185">
        <v>886.03548510000007</v>
      </c>
      <c r="E17" s="2066"/>
      <c r="F17" s="315">
        <f>'actual fig'!H26</f>
        <v>61.192896179999998</v>
      </c>
      <c r="G17" s="315">
        <v>59.5</v>
      </c>
      <c r="H17" s="2155"/>
      <c r="I17" s="314">
        <f>(G17-F17)/F17*100</f>
        <v>-2.766491350597811</v>
      </c>
      <c r="J17" s="323">
        <f>114680295/10000000</f>
        <v>11.4680295</v>
      </c>
      <c r="M17" s="2245"/>
      <c r="N17" s="320" t="s">
        <v>818</v>
      </c>
      <c r="O17" s="1282">
        <v>610.89346720000003</v>
      </c>
      <c r="P17" s="2064"/>
      <c r="Q17" s="2066"/>
      <c r="R17" s="315">
        <v>610.8897015</v>
      </c>
      <c r="S17" s="315">
        <f>G17+'FEB -23'!S17</f>
        <v>867.88523310000005</v>
      </c>
      <c r="T17" s="2155"/>
      <c r="U17" s="314">
        <f>(S17-R17)/R17*100</f>
        <v>42.069056160050536</v>
      </c>
    </row>
    <row r="18" spans="1:26" ht="21" customHeight="1" x14ac:dyDescent="0.35">
      <c r="A18" s="1982">
        <v>2</v>
      </c>
      <c r="B18" s="1067" t="s">
        <v>678</v>
      </c>
      <c r="C18" s="2312" t="s">
        <v>680</v>
      </c>
      <c r="D18" s="2312"/>
      <c r="E18" s="2312"/>
      <c r="F18" s="2321" t="s">
        <v>684</v>
      </c>
      <c r="G18" s="2322"/>
      <c r="H18" s="2322"/>
      <c r="I18" s="2323"/>
      <c r="K18" s="84">
        <f>G15/23</f>
        <v>3.9130434782608699E-2</v>
      </c>
      <c r="L18" s="172">
        <f>K18*26</f>
        <v>1.0173913043478262</v>
      </c>
      <c r="M18" s="2368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6" ht="19.5" customHeight="1" x14ac:dyDescent="0.35">
      <c r="A19" s="1983"/>
      <c r="B19" s="1069" t="s">
        <v>230</v>
      </c>
      <c r="C19" s="1098">
        <f>F4</f>
        <v>44672</v>
      </c>
      <c r="D19" s="1098">
        <f>G4</f>
        <v>45017</v>
      </c>
      <c r="E19" s="1069" t="s">
        <v>681</v>
      </c>
      <c r="F19" s="1098">
        <f>F4</f>
        <v>44672</v>
      </c>
      <c r="G19" s="1098">
        <f>G4</f>
        <v>45017</v>
      </c>
      <c r="H19" s="1071" t="s">
        <v>682</v>
      </c>
      <c r="I19" s="1072" t="s">
        <v>681</v>
      </c>
      <c r="K19" s="84">
        <f>G16/23</f>
        <v>0.61739130434782608</v>
      </c>
      <c r="L19" s="172">
        <f>K19*26</f>
        <v>16.052173913043479</v>
      </c>
      <c r="M19" s="2369"/>
      <c r="N19" s="1069" t="s">
        <v>230</v>
      </c>
      <c r="O19" s="1098">
        <f>R4</f>
        <v>44672</v>
      </c>
      <c r="P19" s="1098">
        <f>S4</f>
        <v>45017</v>
      </c>
      <c r="Q19" s="1069" t="s">
        <v>681</v>
      </c>
      <c r="R19" s="1098">
        <f>R4</f>
        <v>44672</v>
      </c>
      <c r="S19" s="1098">
        <f>S4</f>
        <v>45017</v>
      </c>
      <c r="T19" s="1071" t="s">
        <v>682</v>
      </c>
      <c r="U19" s="1072" t="s">
        <v>681</v>
      </c>
    </row>
    <row r="20" spans="1:26" ht="18.75" customHeight="1" x14ac:dyDescent="0.4">
      <c r="A20" s="1983"/>
      <c r="B20" s="1055" t="s">
        <v>231</v>
      </c>
      <c r="C20" s="85">
        <v>79812</v>
      </c>
      <c r="D20" s="303">
        <v>32032</v>
      </c>
      <c r="E20" s="314">
        <f>(D20-C20)/C20*100</f>
        <v>-59.865684358241865</v>
      </c>
      <c r="F20" s="315">
        <v>12.74</v>
      </c>
      <c r="G20" s="315">
        <v>9.11</v>
      </c>
      <c r="H20" s="1060">
        <f>G20/G7*100</f>
        <v>35.051943055021162</v>
      </c>
      <c r="I20" s="314">
        <f>(G20-F20)/F20*100</f>
        <v>-28.492935635792783</v>
      </c>
      <c r="K20" s="84">
        <f>G17/23</f>
        <v>2.5869565217391304</v>
      </c>
      <c r="L20" s="172">
        <f>K20*26</f>
        <v>67.260869565217391</v>
      </c>
      <c r="M20" s="2369"/>
      <c r="N20" s="1055" t="s">
        <v>231</v>
      </c>
      <c r="O20" s="833">
        <v>1160782</v>
      </c>
      <c r="P20" s="833">
        <v>950064</v>
      </c>
      <c r="Q20" s="314">
        <f>(P20-O20)/O20*100</f>
        <v>-18.153107129504075</v>
      </c>
      <c r="R20" s="316">
        <v>207.34293589999999</v>
      </c>
      <c r="S20" s="315">
        <v>182.9</v>
      </c>
      <c r="T20" s="1060">
        <f>S20/S7*100</f>
        <v>45.373131366254697</v>
      </c>
      <c r="U20" s="314">
        <f>(S20-R20)/R20*100</f>
        <v>-11.788651392391122</v>
      </c>
    </row>
    <row r="21" spans="1:26" ht="18.75" customHeight="1" x14ac:dyDescent="0.4">
      <c r="A21" s="1983"/>
      <c r="B21" s="1055" t="s">
        <v>232</v>
      </c>
      <c r="C21" s="1214">
        <v>69981</v>
      </c>
      <c r="D21" s="1214">
        <v>45641</v>
      </c>
      <c r="E21" s="314">
        <f>(D21-C21)/C21*100</f>
        <v>-34.780869093039541</v>
      </c>
      <c r="F21" s="315">
        <v>4.1399999999999997</v>
      </c>
      <c r="G21" s="315">
        <v>2.5099999999999998</v>
      </c>
      <c r="H21" s="1060">
        <f>G21/G7*100</f>
        <v>9.6575606002308572</v>
      </c>
      <c r="I21" s="314">
        <f>(G21-F21)/F21*100</f>
        <v>-39.371980676328505</v>
      </c>
      <c r="M21" s="2369"/>
      <c r="N21" s="1055" t="s">
        <v>232</v>
      </c>
      <c r="O21" s="833">
        <v>239253</v>
      </c>
      <c r="P21" s="833">
        <v>990683</v>
      </c>
      <c r="Q21" s="314">
        <f>(P21-O21)/O21*100</f>
        <v>314.07338674959141</v>
      </c>
      <c r="R21" s="315">
        <v>12.3503062</v>
      </c>
      <c r="S21" s="315">
        <v>99.97</v>
      </c>
      <c r="T21" s="1060">
        <f>S21/S7*100</f>
        <v>24.800174645623191</v>
      </c>
      <c r="U21" s="314">
        <f>(S21-R21)/R21*100</f>
        <v>709.4536150042984</v>
      </c>
      <c r="W21" s="5">
        <v>2.17</v>
      </c>
      <c r="X21" s="172">
        <v>2.95</v>
      </c>
      <c r="Y21" s="5">
        <f>(X21-W21)/W21*100</f>
        <v>35.944700460829502</v>
      </c>
    </row>
    <row r="22" spans="1:26" ht="18.75" customHeight="1" x14ac:dyDescent="0.4">
      <c r="A22" s="1983"/>
      <c r="B22" s="1055" t="s">
        <v>239</v>
      </c>
      <c r="C22" s="303">
        <v>43788</v>
      </c>
      <c r="D22" s="1214">
        <v>84418</v>
      </c>
      <c r="E22" s="314">
        <f>(D22-C22)/C22*100</f>
        <v>92.787978441582169</v>
      </c>
      <c r="F22" s="315">
        <v>5.54</v>
      </c>
      <c r="G22" s="315">
        <v>10.98</v>
      </c>
      <c r="H22" s="1060">
        <f>G22/G7*100</f>
        <v>42.247018083878416</v>
      </c>
      <c r="I22" s="314">
        <f>(G22-F22)/F22*100</f>
        <v>98.194945848375454</v>
      </c>
      <c r="M22" s="2369"/>
      <c r="N22" s="1055" t="s">
        <v>239</v>
      </c>
      <c r="O22" s="833">
        <v>436521</v>
      </c>
      <c r="P22" s="833">
        <v>860111</v>
      </c>
      <c r="Q22" s="314">
        <f>(P22-O22)/O22*100</f>
        <v>97.037714107683243</v>
      </c>
      <c r="R22" s="315">
        <v>45.52</v>
      </c>
      <c r="S22" s="315">
        <v>109.5</v>
      </c>
      <c r="T22" s="1060">
        <f>S22/S7*100</f>
        <v>27.164340539119131</v>
      </c>
      <c r="U22" s="314">
        <f>(S22-R22)/R22*100</f>
        <v>140.55360281195078</v>
      </c>
    </row>
    <row r="23" spans="1:26" ht="18.75" customHeight="1" x14ac:dyDescent="0.4">
      <c r="A23" s="1983"/>
      <c r="B23" s="1055" t="s">
        <v>233</v>
      </c>
      <c r="C23" s="303">
        <v>22198</v>
      </c>
      <c r="D23" s="1214">
        <v>10256</v>
      </c>
      <c r="E23" s="314">
        <f>(D23-C23)/C23*100</f>
        <v>-53.797639426975408</v>
      </c>
      <c r="F23" s="315">
        <v>0.72</v>
      </c>
      <c r="G23" s="315">
        <v>0.47</v>
      </c>
      <c r="H23" s="1060">
        <f>G23/G7*100</f>
        <v>1.8083878414774914</v>
      </c>
      <c r="I23" s="314">
        <f>(G23-F23)/F23*100</f>
        <v>-34.722222222222221</v>
      </c>
      <c r="M23" s="2369"/>
      <c r="N23" s="1055" t="s">
        <v>233</v>
      </c>
      <c r="O23" s="833">
        <v>292316</v>
      </c>
      <c r="P23" s="833">
        <v>277144</v>
      </c>
      <c r="Q23" s="314">
        <f>(P23-O23)/O23*100</f>
        <v>-5.1902735395941377</v>
      </c>
      <c r="R23" s="315">
        <v>9.7899999999999991</v>
      </c>
      <c r="S23" s="315">
        <v>10.262</v>
      </c>
      <c r="T23" s="1060">
        <f>S23/S7*100</f>
        <v>2.5457576494286807</v>
      </c>
      <c r="U23" s="314">
        <f>(S23-R23)/R23*100</f>
        <v>4.8212461695607907</v>
      </c>
      <c r="Z23" s="5">
        <f>25.63+0.96</f>
        <v>26.59</v>
      </c>
    </row>
    <row r="24" spans="1:26" ht="18.75" customHeight="1" x14ac:dyDescent="0.4">
      <c r="A24" s="1983"/>
      <c r="B24" s="1055" t="s">
        <v>739</v>
      </c>
      <c r="C24" s="303">
        <v>0</v>
      </c>
      <c r="D24" s="303">
        <v>0</v>
      </c>
      <c r="E24" s="836">
        <v>0</v>
      </c>
      <c r="F24" s="833">
        <v>0</v>
      </c>
      <c r="G24" s="833">
        <v>0</v>
      </c>
      <c r="H24" s="1060">
        <f>G24/G7*100</f>
        <v>0</v>
      </c>
      <c r="I24" s="314">
        <v>0</v>
      </c>
      <c r="M24" s="2369"/>
      <c r="N24" s="1055" t="s">
        <v>739</v>
      </c>
      <c r="O24" s="833">
        <v>0</v>
      </c>
      <c r="P24" s="833">
        <v>2661</v>
      </c>
      <c r="Q24" s="836">
        <v>0</v>
      </c>
      <c r="R24" s="315">
        <v>0</v>
      </c>
      <c r="S24" s="315">
        <v>0.04</v>
      </c>
      <c r="T24" s="1060">
        <f>S24/S7*100</f>
        <v>9.923046772280961E-3</v>
      </c>
      <c r="U24" s="314">
        <v>0</v>
      </c>
    </row>
    <row r="25" spans="1:26" ht="18.75" customHeight="1" x14ac:dyDescent="0.4">
      <c r="A25" s="1983"/>
      <c r="B25" s="1055" t="s">
        <v>235</v>
      </c>
      <c r="C25" s="303">
        <v>0</v>
      </c>
      <c r="D25" s="303">
        <v>0</v>
      </c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M25" s="2369"/>
      <c r="N25" s="1055" t="s">
        <v>235</v>
      </c>
      <c r="O25" s="833">
        <v>1377</v>
      </c>
      <c r="P25" s="833">
        <v>2748</v>
      </c>
      <c r="Q25" s="836">
        <v>0</v>
      </c>
      <c r="R25" s="315">
        <v>3.8016399999999999E-2</v>
      </c>
      <c r="S25" s="315">
        <v>0.11</v>
      </c>
      <c r="T25" s="1060">
        <f>S25/S7*100</f>
        <v>2.7288378623772643E-2</v>
      </c>
      <c r="U25" s="314">
        <v>0</v>
      </c>
    </row>
    <row r="26" spans="1:26" ht="27" customHeight="1" x14ac:dyDescent="0.4">
      <c r="A26" s="1984"/>
      <c r="B26" s="1056" t="s">
        <v>693</v>
      </c>
      <c r="C26" s="1059">
        <v>0</v>
      </c>
      <c r="D26" s="1059">
        <v>0</v>
      </c>
      <c r="E26" s="836">
        <v>0</v>
      </c>
      <c r="F26" s="315">
        <v>0</v>
      </c>
      <c r="G26" s="833">
        <v>0</v>
      </c>
      <c r="H26" s="1060">
        <f>G26/G7*100</f>
        <v>0</v>
      </c>
      <c r="I26" s="314" t="s">
        <v>221</v>
      </c>
      <c r="M26" s="2245"/>
      <c r="N26" s="1056" t="s">
        <v>693</v>
      </c>
      <c r="O26" s="833">
        <f>1329+121</f>
        <v>1450</v>
      </c>
      <c r="P26" s="833">
        <f>4060</f>
        <v>4060</v>
      </c>
      <c r="Q26" s="836">
        <v>0</v>
      </c>
      <c r="R26" s="315">
        <v>0.29395139999999997</v>
      </c>
      <c r="S26" s="315">
        <v>0.32</v>
      </c>
      <c r="T26" s="1060">
        <f>S26/S7*100</f>
        <v>7.9384374178247688E-2</v>
      </c>
      <c r="U26" s="314">
        <f>(S26-R26)/R26*100</f>
        <v>8.8615328928523684</v>
      </c>
    </row>
    <row r="27" spans="1:26" s="26" customFormat="1" ht="19.5" customHeight="1" x14ac:dyDescent="0.4">
      <c r="A27" s="1216"/>
      <c r="B27" s="1063" t="s">
        <v>683</v>
      </c>
      <c r="C27" s="1063">
        <f>SUM(C20:C26)</f>
        <v>215779</v>
      </c>
      <c r="D27" s="1063">
        <f>SUM(D20:D26)</f>
        <v>172347</v>
      </c>
      <c r="E27" s="394">
        <f>(D27-C27)/C27*100</f>
        <v>-20.128001334698929</v>
      </c>
      <c r="F27" s="1054">
        <f>SUM(F20:F26)</f>
        <v>23.139999999999997</v>
      </c>
      <c r="G27" s="1054">
        <f>G20+G21+G22+G23+G24+G25+G26</f>
        <v>23.07</v>
      </c>
      <c r="H27" s="1066">
        <f>SUM(H20:H26)</f>
        <v>88.764909580607934</v>
      </c>
      <c r="I27" s="394">
        <f>(G27-F27)/F27*100</f>
        <v>-0.30250648228174909</v>
      </c>
      <c r="J27" s="762"/>
      <c r="K27" s="762"/>
      <c r="L27" s="432"/>
      <c r="M27" s="1202"/>
      <c r="N27" s="1063" t="s">
        <v>683</v>
      </c>
      <c r="O27" s="1259">
        <f>SUM(O20:O26)</f>
        <v>2131699</v>
      </c>
      <c r="P27" s="1259">
        <f>SUM(P20:P26)</f>
        <v>3087471</v>
      </c>
      <c r="Q27" s="394">
        <f>(P27-O27)/O27*100</f>
        <v>44.836161202871509</v>
      </c>
      <c r="R27" s="1054">
        <f>SUM(R20:R26)</f>
        <v>275.33520990000005</v>
      </c>
      <c r="S27" s="1054">
        <f>SUM(S20:S26)</f>
        <v>403.10200000000003</v>
      </c>
      <c r="T27" s="1066">
        <f>SUM(T20:T26)</f>
        <v>100</v>
      </c>
      <c r="U27" s="394">
        <f>(S27-R27)/R27*100</f>
        <v>46.40408691151562</v>
      </c>
      <c r="V27" s="26">
        <f>76.54+0.12</f>
        <v>76.660000000000011</v>
      </c>
      <c r="W27" s="26">
        <f>P27/1000000</f>
        <v>3.0874709999999999</v>
      </c>
      <c r="X27" s="432"/>
    </row>
    <row r="28" spans="1:26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hidden="1" customHeight="1" x14ac:dyDescent="0.35">
      <c r="A29" s="135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1287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6" ht="15.4" x14ac:dyDescent="0.4">
      <c r="A31" s="2382"/>
      <c r="B31" s="378" t="s">
        <v>2</v>
      </c>
      <c r="C31" s="1283">
        <v>10.977297400000001</v>
      </c>
      <c r="D31" s="1283">
        <v>24.66</v>
      </c>
      <c r="E31" s="315" t="s">
        <v>221</v>
      </c>
      <c r="F31" s="313">
        <v>1.88</v>
      </c>
      <c r="G31" s="313">
        <v>2.25</v>
      </c>
      <c r="H31" s="517" t="s">
        <v>221</v>
      </c>
      <c r="I31" s="314">
        <f t="shared" ref="I31:I36" si="0">(G31-F31)/F31*100</f>
        <v>19.680851063829792</v>
      </c>
      <c r="J31" s="84">
        <f>2661720/10000000</f>
        <v>0.26617200000000002</v>
      </c>
      <c r="K31" s="84">
        <v>6.84</v>
      </c>
      <c r="M31" s="1288"/>
      <c r="N31" s="378" t="s">
        <v>2</v>
      </c>
      <c r="O31" s="1283">
        <v>10.977297400000001</v>
      </c>
      <c r="P31" s="331">
        <v>12.05</v>
      </c>
      <c r="Q31" s="307">
        <v>12.05</v>
      </c>
      <c r="R31" s="315">
        <v>10.977297400000001</v>
      </c>
      <c r="S31" s="315">
        <v>24.66</v>
      </c>
      <c r="T31" s="314">
        <f>(S31-Q31)/Q31*100</f>
        <v>104.6473029045643</v>
      </c>
      <c r="U31" s="314">
        <f t="shared" ref="U31:U37" si="1">(S31-R31)/R31*100</f>
        <v>124.64545781550929</v>
      </c>
      <c r="W31" s="5">
        <f>(Q31*10000000)/100000</f>
        <v>1205</v>
      </c>
    </row>
    <row r="32" spans="1:26" ht="15.4" x14ac:dyDescent="0.4">
      <c r="A32" s="2382"/>
      <c r="B32" s="378" t="s">
        <v>23</v>
      </c>
      <c r="C32" s="1283">
        <v>25.645024399999997</v>
      </c>
      <c r="D32" s="1283">
        <v>27.693304099999999</v>
      </c>
      <c r="E32" s="315">
        <f>'TARGET 23-24'!W5</f>
        <v>0.2661290322580645</v>
      </c>
      <c r="F32" s="313">
        <v>1.8</v>
      </c>
      <c r="G32" s="313">
        <f>1.41+0.21</f>
        <v>1.6199999999999999</v>
      </c>
      <c r="H32" s="314">
        <f>(G32-E32)/E32*100</f>
        <v>508.72727272727269</v>
      </c>
      <c r="I32" s="314">
        <f>(G32-F32)/F32*100</f>
        <v>-10.000000000000009</v>
      </c>
      <c r="J32" s="1128">
        <f>0.42-0.02</f>
        <v>0.39999999999999997</v>
      </c>
      <c r="K32" s="84">
        <v>8.3000000000000007</v>
      </c>
      <c r="M32" s="1288"/>
      <c r="N32" s="378" t="s">
        <v>23</v>
      </c>
      <c r="O32" s="1283">
        <v>25.645024399999997</v>
      </c>
      <c r="P32" s="331">
        <v>27.75</v>
      </c>
      <c r="Q32" s="307">
        <v>27.75</v>
      </c>
      <c r="R32" s="315">
        <v>25.645024399999997</v>
      </c>
      <c r="S32" s="315">
        <v>27.693304099999999</v>
      </c>
      <c r="T32" s="314">
        <f>(S32-Q32)/Q32*100</f>
        <v>-0.2043095495495536</v>
      </c>
      <c r="U32" s="314">
        <f t="shared" si="1"/>
        <v>7.9870452375159458</v>
      </c>
      <c r="W32" s="5">
        <f>(Q32*10000000)/100000</f>
        <v>2775</v>
      </c>
    </row>
    <row r="33" spans="1:27" ht="15.4" x14ac:dyDescent="0.4">
      <c r="A33" s="2382"/>
      <c r="B33" s="378" t="s">
        <v>1</v>
      </c>
      <c r="C33" s="1283">
        <v>1.1151324</v>
      </c>
      <c r="D33" s="1283">
        <v>1.0446717999999999</v>
      </c>
      <c r="E33" s="315">
        <f>'TARGET 23-24'!X5</f>
        <v>2.6129032258064518E-2</v>
      </c>
      <c r="F33" s="313">
        <v>0.09</v>
      </c>
      <c r="G33" s="313">
        <v>7.0000000000000007E-2</v>
      </c>
      <c r="H33" s="314">
        <f>(G33-E33)/E33*100</f>
        <v>167.90123456790124</v>
      </c>
      <c r="I33" s="314">
        <f t="shared" si="0"/>
        <v>-22.222222222222214</v>
      </c>
      <c r="K33" s="84">
        <v>6.75</v>
      </c>
      <c r="M33" s="1288"/>
      <c r="N33" s="378" t="s">
        <v>1</v>
      </c>
      <c r="O33" s="1283">
        <v>1.1151324</v>
      </c>
      <c r="P33" s="331">
        <v>5.77</v>
      </c>
      <c r="Q33" s="307">
        <v>5.77</v>
      </c>
      <c r="R33" s="315">
        <v>1.1151324</v>
      </c>
      <c r="S33" s="315">
        <v>1.0446717999999999</v>
      </c>
      <c r="T33" s="314">
        <f>(S33-Q33)/Q33*100</f>
        <v>-81.894769497400361</v>
      </c>
      <c r="U33" s="314">
        <f t="shared" si="1"/>
        <v>-6.3185860261974351</v>
      </c>
      <c r="W33" s="5">
        <f>(Q33*10000000)/100000</f>
        <v>576.99999999999989</v>
      </c>
    </row>
    <row r="34" spans="1:27" ht="15.4" x14ac:dyDescent="0.4">
      <c r="A34" s="2382"/>
      <c r="B34" s="378" t="s">
        <v>24</v>
      </c>
      <c r="C34" s="1283">
        <v>0.36572300000000002</v>
      </c>
      <c r="D34" s="1283">
        <v>3.1600820000000001</v>
      </c>
      <c r="E34" s="315" t="s">
        <v>221</v>
      </c>
      <c r="F34" s="313">
        <v>0.24</v>
      </c>
      <c r="G34" s="313">
        <v>0.25</v>
      </c>
      <c r="H34" s="517" t="s">
        <v>221</v>
      </c>
      <c r="I34" s="314">
        <f t="shared" si="0"/>
        <v>4.1666666666666705</v>
      </c>
      <c r="J34" s="84">
        <f>62410/10000000</f>
        <v>6.241E-3</v>
      </c>
      <c r="M34" s="1288"/>
      <c r="N34" s="378" t="s">
        <v>24</v>
      </c>
      <c r="O34" s="1283">
        <v>0.36572300000000002</v>
      </c>
      <c r="P34" s="603" t="s">
        <v>221</v>
      </c>
      <c r="Q34" s="315" t="s">
        <v>221</v>
      </c>
      <c r="R34" s="315">
        <v>0.36572300000000002</v>
      </c>
      <c r="S34" s="315">
        <v>3.1600820000000001</v>
      </c>
      <c r="T34" s="316" t="s">
        <v>221</v>
      </c>
      <c r="U34" s="314">
        <f t="shared" si="1"/>
        <v>764.06433284206901</v>
      </c>
      <c r="W34" s="5" t="e">
        <f>(Q34*10000000)/100000</f>
        <v>#VALUE!</v>
      </c>
    </row>
    <row r="35" spans="1:27" ht="15.4" x14ac:dyDescent="0.4">
      <c r="A35" s="2382"/>
      <c r="B35" s="1278" t="s">
        <v>25</v>
      </c>
      <c r="C35" s="1284">
        <v>2.9771365000000003</v>
      </c>
      <c r="D35" s="1283">
        <v>6.2230024999999998</v>
      </c>
      <c r="E35" s="315" t="s">
        <v>221</v>
      </c>
      <c r="F35" s="313">
        <f t="shared" ref="F35:G37" si="2">E74</f>
        <v>5.1370399999999997E-2</v>
      </c>
      <c r="G35" s="313">
        <f t="shared" si="2"/>
        <v>0.76478869999999999</v>
      </c>
      <c r="H35" s="517" t="s">
        <v>221</v>
      </c>
      <c r="I35" s="314">
        <v>0</v>
      </c>
      <c r="M35" s="1288"/>
      <c r="N35" s="1278" t="s">
        <v>25</v>
      </c>
      <c r="O35" s="1284">
        <v>2.9771365000000003</v>
      </c>
      <c r="P35" s="603" t="s">
        <v>221</v>
      </c>
      <c r="Q35" s="315" t="s">
        <v>221</v>
      </c>
      <c r="R35" s="315">
        <v>2.9771365000000003</v>
      </c>
      <c r="S35" s="315">
        <v>6.2230024999999998</v>
      </c>
      <c r="T35" s="316" t="s">
        <v>221</v>
      </c>
      <c r="U35" s="314">
        <f t="shared" si="1"/>
        <v>109.02644201903404</v>
      </c>
    </row>
    <row r="36" spans="1:27" ht="24" customHeight="1" x14ac:dyDescent="0.4">
      <c r="A36" s="2383"/>
      <c r="B36" s="1406" t="s">
        <v>241</v>
      </c>
      <c r="C36" s="1284">
        <v>30.062250799999997</v>
      </c>
      <c r="D36" s="1283">
        <v>43.050880200000002</v>
      </c>
      <c r="E36" s="315" t="s">
        <v>221</v>
      </c>
      <c r="F36" s="313">
        <v>2.6</v>
      </c>
      <c r="G36" s="313">
        <v>2.9</v>
      </c>
      <c r="H36" s="517" t="s">
        <v>221</v>
      </c>
      <c r="I36" s="314">
        <f t="shared" si="0"/>
        <v>11.538461538461531</v>
      </c>
      <c r="J36" s="323">
        <f>(3613355)/10000000</f>
        <v>0.36133549999999998</v>
      </c>
      <c r="K36" s="323">
        <f>(20880+ 10612529)/10000000</f>
        <v>1.0633409</v>
      </c>
      <c r="M36" s="1289"/>
      <c r="N36" s="1279" t="s">
        <v>241</v>
      </c>
      <c r="O36" s="1284">
        <v>30.062250799999997</v>
      </c>
      <c r="P36" s="540" t="s">
        <v>221</v>
      </c>
      <c r="Q36" s="315" t="s">
        <v>221</v>
      </c>
      <c r="R36" s="315">
        <v>30.062250799999997</v>
      </c>
      <c r="S36" s="315">
        <v>43.050880200000002</v>
      </c>
      <c r="T36" s="316" t="s">
        <v>221</v>
      </c>
      <c r="U36" s="314">
        <f t="shared" si="1"/>
        <v>43.205778191432046</v>
      </c>
    </row>
    <row r="37" spans="1:27" ht="15.4" x14ac:dyDescent="0.4">
      <c r="A37" s="1234"/>
      <c r="B37" s="378" t="s">
        <v>260</v>
      </c>
      <c r="C37" s="1283">
        <v>0.53153519999999999</v>
      </c>
      <c r="D37" s="1283">
        <v>0.85555460000000005</v>
      </c>
      <c r="E37" s="315" t="s">
        <v>221</v>
      </c>
      <c r="F37" s="313">
        <f t="shared" si="2"/>
        <v>0</v>
      </c>
      <c r="G37" s="313">
        <f t="shared" si="2"/>
        <v>0</v>
      </c>
      <c r="H37" s="413"/>
      <c r="I37" s="314">
        <v>0</v>
      </c>
      <c r="M37" s="1208"/>
      <c r="N37" s="378" t="s">
        <v>260</v>
      </c>
      <c r="O37" s="1283">
        <v>0.53153519999999999</v>
      </c>
      <c r="P37" s="540" t="s">
        <v>221</v>
      </c>
      <c r="Q37" s="315" t="s">
        <v>221</v>
      </c>
      <c r="R37" s="315">
        <v>0.53153519999999999</v>
      </c>
      <c r="S37" s="315">
        <v>0.85555460000000005</v>
      </c>
      <c r="T37" s="413"/>
      <c r="U37" s="314">
        <f t="shared" si="1"/>
        <v>60.95916131236465</v>
      </c>
    </row>
    <row r="38" spans="1:27" x14ac:dyDescent="0.35">
      <c r="A38" s="2387">
        <v>4</v>
      </c>
      <c r="B38" s="2309" t="s">
        <v>861</v>
      </c>
      <c r="C38" s="2310"/>
      <c r="D38" s="2310"/>
      <c r="E38" s="2310"/>
      <c r="F38" s="2310"/>
      <c r="G38" s="2310"/>
      <c r="H38" s="2310"/>
      <c r="I38" s="2311"/>
      <c r="M38" s="1286">
        <v>4</v>
      </c>
      <c r="N38" s="2309" t="s">
        <v>622</v>
      </c>
      <c r="O38" s="2310"/>
      <c r="P38" s="2310"/>
      <c r="Q38" s="2310"/>
      <c r="R38" s="2310"/>
      <c r="S38" s="2310"/>
      <c r="T38" s="2310"/>
      <c r="U38" s="2311"/>
    </row>
    <row r="39" spans="1:27" ht="15.4" x14ac:dyDescent="0.4">
      <c r="A39" s="2387"/>
      <c r="B39" s="378" t="s">
        <v>27</v>
      </c>
      <c r="C39" s="1283">
        <v>4.1788628000000001</v>
      </c>
      <c r="D39" s="1283">
        <v>12.02</v>
      </c>
      <c r="E39" s="315" t="s">
        <v>221</v>
      </c>
      <c r="F39" s="836">
        <v>0</v>
      </c>
      <c r="G39" s="836">
        <v>0</v>
      </c>
      <c r="H39" s="517" t="s">
        <v>323</v>
      </c>
      <c r="I39" s="314" t="s">
        <v>221</v>
      </c>
      <c r="J39" s="84" t="e">
        <f t="shared" ref="J39:J44" si="3">E39*8</f>
        <v>#VALUE!</v>
      </c>
      <c r="L39" s="172">
        <v>2.1361249999999998</v>
      </c>
      <c r="M39" s="1286"/>
      <c r="N39" s="378" t="s">
        <v>27</v>
      </c>
      <c r="O39" s="1283">
        <v>4.1788628000000001</v>
      </c>
      <c r="P39" s="331">
        <v>12.24</v>
      </c>
      <c r="Q39" s="331">
        <v>12.24</v>
      </c>
      <c r="R39" s="315">
        <v>4.1788628000000001</v>
      </c>
      <c r="S39" s="315">
        <v>12.02</v>
      </c>
      <c r="T39" s="314">
        <f>(S39-Q39)/Q39*100</f>
        <v>-1.7973856209150378</v>
      </c>
      <c r="U39" s="314">
        <f>(S39-R39)/R39*100</f>
        <v>187.63806268059338</v>
      </c>
      <c r="W39" s="5" t="e">
        <f>(E39*10000000)/100000</f>
        <v>#VALUE!</v>
      </c>
      <c r="X39" s="172">
        <v>141.05000000000001</v>
      </c>
      <c r="Y39" s="5">
        <v>70.17</v>
      </c>
      <c r="Z39" s="11" t="e">
        <f t="shared" ref="Z39:Z44" si="4">(X39-W39)/W39*100</f>
        <v>#VALUE!</v>
      </c>
      <c r="AA39" s="11">
        <f t="shared" ref="AA39:AA44" si="5">(X39-Y39)/Y39*100</f>
        <v>101.01182841670231</v>
      </c>
    </row>
    <row r="40" spans="1:27" ht="15.4" x14ac:dyDescent="0.4">
      <c r="A40" s="2387"/>
      <c r="B40" s="378" t="s">
        <v>28</v>
      </c>
      <c r="C40" s="1283">
        <v>0.17199999999999999</v>
      </c>
      <c r="D40" s="1283">
        <v>1.94</v>
      </c>
      <c r="E40" s="315" t="s">
        <v>221</v>
      </c>
      <c r="F40" s="836">
        <v>0</v>
      </c>
      <c r="G40" s="836">
        <v>0</v>
      </c>
      <c r="H40" s="517" t="s">
        <v>221</v>
      </c>
      <c r="I40" s="314" t="s">
        <v>221</v>
      </c>
      <c r="J40" s="84" t="e">
        <f t="shared" si="3"/>
        <v>#VALUE!</v>
      </c>
      <c r="L40" s="172">
        <v>0.11442669999999999</v>
      </c>
      <c r="M40" s="1286"/>
      <c r="N40" s="378" t="s">
        <v>28</v>
      </c>
      <c r="O40" s="1283">
        <v>0.17199999999999999</v>
      </c>
      <c r="P40" s="333">
        <v>2.1</v>
      </c>
      <c r="Q40" s="333">
        <v>2.1</v>
      </c>
      <c r="R40" s="315">
        <v>0.17199999999999999</v>
      </c>
      <c r="S40" s="315">
        <v>1.94</v>
      </c>
      <c r="T40" s="314">
        <f>(S40-Q40)/Q40*100</f>
        <v>-7.6190476190476257</v>
      </c>
      <c r="U40" s="314">
        <f>(S40-R40)/R40*100</f>
        <v>1027.9069767441861</v>
      </c>
      <c r="W40" s="5" t="e">
        <f>(E40*10000000)/100000</f>
        <v>#VALUE!</v>
      </c>
      <c r="X40" s="172">
        <v>19.73</v>
      </c>
      <c r="Y40" s="5">
        <v>3.12</v>
      </c>
      <c r="Z40" s="11" t="e">
        <f t="shared" si="4"/>
        <v>#VALUE!</v>
      </c>
      <c r="AA40" s="11">
        <f t="shared" si="5"/>
        <v>532.3717948717948</v>
      </c>
    </row>
    <row r="41" spans="1:27" ht="15.4" x14ac:dyDescent="0.4">
      <c r="A41" s="2387"/>
      <c r="B41" s="378" t="s">
        <v>224</v>
      </c>
      <c r="C41" s="1283">
        <v>0.23092159999999998</v>
      </c>
      <c r="D41" s="1283">
        <v>1.96</v>
      </c>
      <c r="E41" s="315" t="s">
        <v>221</v>
      </c>
      <c r="F41" s="836">
        <v>0</v>
      </c>
      <c r="G41" s="836">
        <v>0</v>
      </c>
      <c r="H41" s="517" t="s">
        <v>221</v>
      </c>
      <c r="I41" s="314" t="s">
        <v>221</v>
      </c>
      <c r="J41" s="323" t="e">
        <f t="shared" si="3"/>
        <v>#VALUE!</v>
      </c>
      <c r="L41" s="172">
        <v>0.1548958</v>
      </c>
      <c r="M41" s="1286"/>
      <c r="N41" s="378" t="s">
        <v>224</v>
      </c>
      <c r="O41" s="1283">
        <v>0.23092159999999998</v>
      </c>
      <c r="P41" s="331">
        <v>2.4500000000000002</v>
      </c>
      <c r="Q41" s="331">
        <v>2.4500000000000002</v>
      </c>
      <c r="R41" s="315">
        <v>0.23092159999999998</v>
      </c>
      <c r="S41" s="315">
        <v>1.96</v>
      </c>
      <c r="T41" s="314">
        <f>(S41-Q41)/Q41*100</f>
        <v>-20.000000000000007</v>
      </c>
      <c r="U41" s="314">
        <f>(S41-R41)/R41*100</f>
        <v>748.77291686875549</v>
      </c>
      <c r="W41" s="11" t="e">
        <f>(E41*10000000)/100000</f>
        <v>#VALUE!</v>
      </c>
      <c r="X41" s="172">
        <v>45.45</v>
      </c>
      <c r="Y41" s="5">
        <v>0</v>
      </c>
      <c r="Z41" s="11" t="e">
        <f t="shared" si="4"/>
        <v>#VALUE!</v>
      </c>
      <c r="AA41" s="11" t="e">
        <f t="shared" si="5"/>
        <v>#DIV/0!</v>
      </c>
    </row>
    <row r="42" spans="1:27" ht="15.4" hidden="1" x14ac:dyDescent="0.4">
      <c r="A42" s="2387"/>
      <c r="B42" s="378" t="s">
        <v>64</v>
      </c>
      <c r="C42" s="1283">
        <v>0</v>
      </c>
      <c r="D42" s="1283">
        <v>0</v>
      </c>
      <c r="E42" s="315" t="s">
        <v>221</v>
      </c>
      <c r="F42" s="836">
        <v>0</v>
      </c>
      <c r="G42" s="313"/>
      <c r="H42" s="517" t="s">
        <v>221</v>
      </c>
      <c r="I42" s="314" t="s">
        <v>221</v>
      </c>
      <c r="J42" s="84" t="e">
        <f t="shared" si="3"/>
        <v>#VALUE!</v>
      </c>
      <c r="L42" s="172">
        <v>0</v>
      </c>
      <c r="M42" s="1286"/>
      <c r="N42" s="378" t="s">
        <v>30</v>
      </c>
      <c r="O42" s="1283">
        <v>0</v>
      </c>
      <c r="P42" s="540" t="s">
        <v>221</v>
      </c>
      <c r="Q42" s="315"/>
      <c r="R42" s="315">
        <v>0</v>
      </c>
      <c r="S42" s="315">
        <f>G42+'DEC-22'!S42</f>
        <v>0</v>
      </c>
      <c r="T42" s="314" t="s">
        <v>221</v>
      </c>
      <c r="U42" s="314">
        <v>0</v>
      </c>
      <c r="W42" s="5" t="e">
        <f>(E42*10000000)/100000</f>
        <v>#VALUE!</v>
      </c>
      <c r="Z42" s="11" t="e">
        <f t="shared" si="4"/>
        <v>#VALUE!</v>
      </c>
      <c r="AA42" s="11" t="e">
        <f t="shared" si="5"/>
        <v>#DIV/0!</v>
      </c>
    </row>
    <row r="43" spans="1:27" ht="15.4" x14ac:dyDescent="0.4">
      <c r="A43" s="2387"/>
      <c r="B43" s="378" t="s">
        <v>4</v>
      </c>
      <c r="C43" s="1283">
        <v>4.06481E-2</v>
      </c>
      <c r="D43" s="1283">
        <v>0.211532</v>
      </c>
      <c r="E43" s="315" t="s">
        <v>221</v>
      </c>
      <c r="F43" s="836">
        <v>0</v>
      </c>
      <c r="G43" s="836">
        <v>0</v>
      </c>
      <c r="H43" s="517" t="s">
        <v>221</v>
      </c>
      <c r="I43" s="314" t="s">
        <v>221</v>
      </c>
      <c r="J43" s="84" t="e">
        <f t="shared" si="3"/>
        <v>#VALUE!</v>
      </c>
      <c r="L43" s="172">
        <v>4.0018400000000003E-2</v>
      </c>
      <c r="M43" s="1286"/>
      <c r="N43" s="378" t="s">
        <v>4</v>
      </c>
      <c r="O43" s="1283">
        <v>4.06481E-2</v>
      </c>
      <c r="P43" s="540" t="s">
        <v>221</v>
      </c>
      <c r="Q43" s="315"/>
      <c r="R43" s="315">
        <v>4.06481E-2</v>
      </c>
      <c r="S43" s="315">
        <f>'actual fig'!W32/10000000</f>
        <v>0.211532</v>
      </c>
      <c r="T43" s="314" t="s">
        <v>221</v>
      </c>
      <c r="U43" s="314">
        <f>(S43-R43)/R43*100</f>
        <v>420.39824739655734</v>
      </c>
      <c r="X43" s="172">
        <v>0</v>
      </c>
      <c r="Y43" s="5">
        <v>0.06</v>
      </c>
      <c r="Z43" s="11" t="e">
        <f t="shared" si="4"/>
        <v>#DIV/0!</v>
      </c>
      <c r="AA43" s="11">
        <f t="shared" si="5"/>
        <v>-100</v>
      </c>
    </row>
    <row r="44" spans="1:27" ht="15.4" x14ac:dyDescent="0.4">
      <c r="A44" s="780"/>
      <c r="B44" s="378" t="s">
        <v>259</v>
      </c>
      <c r="C44" s="1283">
        <v>0.53</v>
      </c>
      <c r="D44" s="1283">
        <v>1.5697181</v>
      </c>
      <c r="E44" s="315" t="s">
        <v>221</v>
      </c>
      <c r="F44" s="836">
        <v>0</v>
      </c>
      <c r="G44" s="836">
        <v>0</v>
      </c>
      <c r="H44" s="517" t="s">
        <v>221</v>
      </c>
      <c r="I44" s="314" t="s">
        <v>221</v>
      </c>
      <c r="J44" s="84" t="e">
        <f t="shared" si="3"/>
        <v>#VALUE!</v>
      </c>
      <c r="L44" s="172">
        <v>0.93056630000000007</v>
      </c>
      <c r="M44" s="1204"/>
      <c r="N44" s="378" t="s">
        <v>259</v>
      </c>
      <c r="O44" s="1283">
        <v>0.53</v>
      </c>
      <c r="P44" s="540" t="s">
        <v>221</v>
      </c>
      <c r="Q44" s="315"/>
      <c r="R44" s="315">
        <v>0.53</v>
      </c>
      <c r="S44" s="315">
        <f>'actual fig'!X32/10000000</f>
        <v>1.4870227</v>
      </c>
      <c r="T44" s="407" t="s">
        <v>221</v>
      </c>
      <c r="U44" s="314">
        <f>(S44-R44)/R44*100</f>
        <v>180.57032075471696</v>
      </c>
      <c r="W44" s="595" t="e">
        <f>W39+W40+W41+W43</f>
        <v>#VALUE!</v>
      </c>
      <c r="X44" s="172">
        <f>X39+X40+X41+X43</f>
        <v>206.23000000000002</v>
      </c>
      <c r="Y44" s="172">
        <f>Y39+Y40+Y41+Y43</f>
        <v>73.350000000000009</v>
      </c>
      <c r="Z44" s="11" t="e">
        <f t="shared" si="4"/>
        <v>#VALUE!</v>
      </c>
      <c r="AA44" s="11">
        <f t="shared" si="5"/>
        <v>181.15882753919561</v>
      </c>
    </row>
    <row r="45" spans="1:27" x14ac:dyDescent="0.35">
      <c r="A45" s="2387"/>
      <c r="B45" s="2309" t="s">
        <v>419</v>
      </c>
      <c r="C45" s="2310"/>
      <c r="D45" s="2310"/>
      <c r="E45" s="2310"/>
      <c r="F45" s="2310"/>
      <c r="G45" s="2310"/>
      <c r="H45" s="2310"/>
      <c r="I45" s="2311"/>
      <c r="M45" s="2388"/>
      <c r="N45" s="2309" t="s">
        <v>419</v>
      </c>
      <c r="O45" s="2310"/>
      <c r="P45" s="2310"/>
      <c r="Q45" s="2310"/>
      <c r="R45" s="2310"/>
      <c r="S45" s="2310"/>
      <c r="T45" s="2310"/>
      <c r="U45" s="2311"/>
    </row>
    <row r="46" spans="1:27" ht="15.4" x14ac:dyDescent="0.4">
      <c r="A46" s="2387"/>
      <c r="B46" s="378" t="s">
        <v>798</v>
      </c>
      <c r="C46" s="1283">
        <v>4.4567049999999995</v>
      </c>
      <c r="D46" s="1283">
        <v>18.824966</v>
      </c>
      <c r="E46" s="315" t="s">
        <v>221</v>
      </c>
      <c r="F46" s="315">
        <v>0.9</v>
      </c>
      <c r="G46" s="315">
        <v>1.5</v>
      </c>
      <c r="H46" s="517" t="s">
        <v>221</v>
      </c>
      <c r="I46" s="314">
        <f>(G46-F46)/F46*100</f>
        <v>66.666666666666657</v>
      </c>
      <c r="J46" s="84">
        <f>94132</f>
        <v>94132</v>
      </c>
      <c r="L46" s="172">
        <f>K46/100000</f>
        <v>0</v>
      </c>
      <c r="M46" s="2388"/>
      <c r="N46" s="378" t="s">
        <v>794</v>
      </c>
      <c r="O46" s="1283">
        <v>4.4567049999999995</v>
      </c>
      <c r="P46" s="331">
        <v>28.87</v>
      </c>
      <c r="Q46" s="315">
        <v>28.87</v>
      </c>
      <c r="R46" s="315">
        <v>4.4567049999999995</v>
      </c>
      <c r="S46" s="315">
        <f>G46+'FEB -23'!S46</f>
        <v>18.592328999999999</v>
      </c>
      <c r="T46" s="316">
        <f>(S46-Q46)/Q46*100</f>
        <v>-35.599830273640457</v>
      </c>
      <c r="U46" s="314">
        <f>(S46-R46)/R46*100</f>
        <v>317.17656878792747</v>
      </c>
    </row>
    <row r="47" spans="1:27" ht="15.4" x14ac:dyDescent="0.4">
      <c r="A47" s="2387"/>
      <c r="B47" s="1280" t="s">
        <v>799</v>
      </c>
      <c r="C47" s="1285">
        <v>1.1915969999999998</v>
      </c>
      <c r="D47" s="1283">
        <v>15.344440000000001</v>
      </c>
      <c r="E47" s="2154" t="s">
        <v>221</v>
      </c>
      <c r="F47" s="315">
        <v>0.45</v>
      </c>
      <c r="G47" s="315">
        <v>1.45</v>
      </c>
      <c r="H47" s="517" t="s">
        <v>221</v>
      </c>
      <c r="I47" s="314">
        <f>(G47-F47)/F47*100</f>
        <v>222.22222222222223</v>
      </c>
      <c r="J47" s="84">
        <v>31105</v>
      </c>
      <c r="K47" s="323">
        <f>G47+G48</f>
        <v>2.3199999999999998</v>
      </c>
      <c r="L47" s="1151" t="e">
        <f>(K47-E47)/E47*100</f>
        <v>#VALUE!</v>
      </c>
      <c r="M47" s="2388"/>
      <c r="N47" s="1280" t="s">
        <v>792</v>
      </c>
      <c r="O47" s="1285">
        <v>1.1915969999999998</v>
      </c>
      <c r="P47" s="2067">
        <v>33.659999999999997</v>
      </c>
      <c r="Q47" s="2154">
        <v>33.659999999999997</v>
      </c>
      <c r="R47" s="315">
        <v>1.1915969999999998</v>
      </c>
      <c r="S47" s="315">
        <f>G47+'FEB -23'!S47</f>
        <v>15.191678</v>
      </c>
      <c r="T47" s="2027">
        <f>X47</f>
        <v>-17.319281045751637</v>
      </c>
      <c r="U47" s="314">
        <f>(S47-R47)/R47*100</f>
        <v>1174.9006585280092</v>
      </c>
      <c r="W47" s="12">
        <f>S47+S48</f>
        <v>27.830329999999996</v>
      </c>
      <c r="X47" s="172">
        <f>(W47-Q47)/Q47*100</f>
        <v>-17.319281045751637</v>
      </c>
    </row>
    <row r="48" spans="1:27" ht="16.5" x14ac:dyDescent="0.55000000000000004">
      <c r="A48" s="2387"/>
      <c r="B48" s="320" t="s">
        <v>800</v>
      </c>
      <c r="C48" s="1285">
        <v>10.963100000000001</v>
      </c>
      <c r="D48" s="1283">
        <v>12.857975999999999</v>
      </c>
      <c r="E48" s="2155"/>
      <c r="F48" s="315">
        <f>E67</f>
        <v>0.93073099999999998</v>
      </c>
      <c r="G48" s="315">
        <v>0.87</v>
      </c>
      <c r="H48" s="517" t="s">
        <v>221</v>
      </c>
      <c r="I48" s="314">
        <f>(G48-F48)/F48*100</f>
        <v>-6.5250861956891937</v>
      </c>
      <c r="J48" s="755">
        <v>205039</v>
      </c>
      <c r="K48" s="755"/>
      <c r="M48" s="2388"/>
      <c r="N48" s="320" t="s">
        <v>793</v>
      </c>
      <c r="O48" s="1285">
        <v>10.963100000000001</v>
      </c>
      <c r="P48" s="2068"/>
      <c r="Q48" s="2155"/>
      <c r="R48" s="315">
        <v>10.963100000000001</v>
      </c>
      <c r="S48" s="315">
        <f>G48+'FEB -23'!S48</f>
        <v>12.638651999999999</v>
      </c>
      <c r="T48" s="2029"/>
      <c r="U48" s="314">
        <f>(S48-R48)/R48*100</f>
        <v>15.283560306847496</v>
      </c>
    </row>
    <row r="49" spans="1:33" ht="15.75" customHeight="1" x14ac:dyDescent="0.35">
      <c r="A49" s="2387">
        <v>6</v>
      </c>
      <c r="B49" s="2309" t="s">
        <v>860</v>
      </c>
      <c r="C49" s="2310"/>
      <c r="D49" s="2310"/>
      <c r="E49" s="2310"/>
      <c r="F49" s="2310"/>
      <c r="G49" s="2310"/>
      <c r="H49" s="2310"/>
      <c r="I49" s="2311"/>
      <c r="M49" s="2388">
        <v>6</v>
      </c>
      <c r="N49" s="2309" t="s">
        <v>860</v>
      </c>
      <c r="O49" s="2310"/>
      <c r="P49" s="2310"/>
      <c r="Q49" s="2310"/>
      <c r="R49" s="2310"/>
      <c r="S49" s="2310"/>
      <c r="T49" s="2310"/>
      <c r="U49" s="2311"/>
    </row>
    <row r="50" spans="1:33" ht="15.4" x14ac:dyDescent="0.4">
      <c r="A50" s="2387"/>
      <c r="B50" s="2006" t="s">
        <v>36</v>
      </c>
      <c r="C50" s="2007"/>
      <c r="D50" s="1180"/>
      <c r="E50" s="2024" t="s">
        <v>221</v>
      </c>
      <c r="F50" s="313">
        <v>74.19</v>
      </c>
      <c r="G50" s="313">
        <v>58.04</v>
      </c>
      <c r="H50" s="2027" t="s">
        <v>221</v>
      </c>
      <c r="I50" s="314">
        <f>(G50-F50)/F50*100</f>
        <v>-21.768432403288852</v>
      </c>
      <c r="M50" s="2388"/>
      <c r="N50" s="2006" t="s">
        <v>36</v>
      </c>
      <c r="O50" s="2007"/>
      <c r="P50" s="2368">
        <v>293</v>
      </c>
      <c r="Q50" s="2024" t="s">
        <v>221</v>
      </c>
      <c r="R50" s="313">
        <v>74.19</v>
      </c>
      <c r="S50" s="313">
        <v>58.36</v>
      </c>
      <c r="T50" s="2027">
        <f>(S52-P50)/P50*100</f>
        <v>-76.996587030716725</v>
      </c>
      <c r="U50" s="314">
        <f>(S50-R50)/R50*100</f>
        <v>-21.337107426876937</v>
      </c>
    </row>
    <row r="51" spans="1:33" ht="15.4" x14ac:dyDescent="0.4">
      <c r="A51" s="2387"/>
      <c r="B51" s="2006" t="s">
        <v>37</v>
      </c>
      <c r="C51" s="2007"/>
      <c r="D51" s="1370"/>
      <c r="E51" s="2025"/>
      <c r="F51" s="313">
        <v>39.380000000000003</v>
      </c>
      <c r="G51" s="313">
        <v>9.0500000000000007</v>
      </c>
      <c r="H51" s="2028"/>
      <c r="I51" s="314">
        <f>(G51-F51)/F51*100</f>
        <v>-77.018791264601319</v>
      </c>
      <c r="K51" s="84">
        <f>G46/23</f>
        <v>6.5217391304347824E-2</v>
      </c>
      <c r="L51" s="491">
        <f>K51*26</f>
        <v>1.6956521739130435</v>
      </c>
      <c r="M51" s="2388"/>
      <c r="N51" s="2006" t="s">
        <v>37</v>
      </c>
      <c r="O51" s="2007"/>
      <c r="P51" s="2369"/>
      <c r="Q51" s="2025"/>
      <c r="R51" s="313">
        <v>39.380000000000003</v>
      </c>
      <c r="S51" s="313">
        <v>9.0399999999999991</v>
      </c>
      <c r="T51" s="2028"/>
      <c r="U51" s="314">
        <f>(S51-R51)/R51*100</f>
        <v>-77.044184865413925</v>
      </c>
    </row>
    <row r="52" spans="1:33" ht="15.4" x14ac:dyDescent="0.4">
      <c r="A52" s="2387"/>
      <c r="B52" s="2006" t="s">
        <v>38</v>
      </c>
      <c r="C52" s="2007"/>
      <c r="D52" s="1371"/>
      <c r="E52" s="2026"/>
      <c r="F52" s="313">
        <f>SUM(F50:F51)</f>
        <v>113.57</v>
      </c>
      <c r="G52" s="313">
        <f>SUM(G50:G51)</f>
        <v>67.09</v>
      </c>
      <c r="H52" s="2029"/>
      <c r="I52" s="314">
        <f>(G52-F52)/F52*100</f>
        <v>-40.926300959760489</v>
      </c>
      <c r="K52" s="84">
        <f>G47/23</f>
        <v>6.3043478260869562E-2</v>
      </c>
      <c r="L52" s="491">
        <f>K52*26</f>
        <v>1.6391304347826086</v>
      </c>
      <c r="M52" s="2388"/>
      <c r="N52" s="2006" t="s">
        <v>38</v>
      </c>
      <c r="O52" s="2007"/>
      <c r="P52" s="2245"/>
      <c r="Q52" s="2026"/>
      <c r="R52" s="313">
        <f>R50+R51</f>
        <v>113.57</v>
      </c>
      <c r="S52" s="313">
        <f>S50+S51</f>
        <v>67.400000000000006</v>
      </c>
      <c r="T52" s="2029"/>
      <c r="U52" s="314">
        <f>(S52-R52)/R52*100</f>
        <v>-40.653341551466049</v>
      </c>
    </row>
    <row r="53" spans="1:33" x14ac:dyDescent="0.4">
      <c r="H53" s="41"/>
      <c r="I53" s="41"/>
      <c r="K53" s="84">
        <f>G48/23</f>
        <v>3.7826086956521739E-2</v>
      </c>
      <c r="L53" s="491">
        <f>K53*26</f>
        <v>0.98347826086956525</v>
      </c>
    </row>
    <row r="54" spans="1:33" ht="15.4" x14ac:dyDescent="0.4">
      <c r="E54" s="12"/>
      <c r="F54" s="12"/>
      <c r="G54" s="12"/>
      <c r="H54" s="314"/>
      <c r="I54" s="314"/>
      <c r="J54" s="314">
        <f>210288-1860</f>
        <v>208428</v>
      </c>
      <c r="Q54" s="12"/>
      <c r="R54" s="12">
        <f t="shared" ref="R54:S56" si="6">(R46*1000000)/100000</f>
        <v>44.567049999999988</v>
      </c>
      <c r="S54" s="12">
        <f t="shared" si="6"/>
        <v>185.92329000000001</v>
      </c>
      <c r="T54" s="314"/>
      <c r="U54" s="314">
        <f>(S54-R54)/R54*100</f>
        <v>317.17656878792752</v>
      </c>
      <c r="W54" s="12">
        <f>R55+R56</f>
        <v>121.54697</v>
      </c>
      <c r="X54" s="12">
        <f>S55+S56</f>
        <v>278.30329999999998</v>
      </c>
      <c r="Z54" s="314">
        <f>(X54-W54)/W54*100</f>
        <v>128.96769866003243</v>
      </c>
    </row>
    <row r="55" spans="1:33" ht="15.4" x14ac:dyDescent="0.4">
      <c r="H55" s="35"/>
      <c r="I55" s="5"/>
      <c r="J55" s="35"/>
      <c r="K55" s="5"/>
      <c r="L55" s="35"/>
      <c r="P55" s="12"/>
      <c r="Q55" s="12"/>
      <c r="R55" s="12">
        <f t="shared" si="6"/>
        <v>11.915969999999998</v>
      </c>
      <c r="S55" s="12">
        <f t="shared" si="6"/>
        <v>151.91677999999999</v>
      </c>
      <c r="U55" s="314">
        <f>(S55-R55)/R55*100</f>
        <v>1174.9006585280092</v>
      </c>
    </row>
    <row r="56" spans="1:33" ht="15.4" x14ac:dyDescent="0.4">
      <c r="R56" s="12">
        <f t="shared" si="6"/>
        <v>109.631</v>
      </c>
      <c r="S56" s="12">
        <f t="shared" si="6"/>
        <v>126.38651999999998</v>
      </c>
      <c r="U56" s="314">
        <f>(S56-R56)/R56*100</f>
        <v>15.283560306847493</v>
      </c>
    </row>
    <row r="57" spans="1:33" x14ac:dyDescent="0.4">
      <c r="D57" s="85"/>
      <c r="E57" s="1192">
        <v>44673</v>
      </c>
      <c r="F57" s="1192">
        <v>45039</v>
      </c>
      <c r="H57" s="1192">
        <f>E57</f>
        <v>44673</v>
      </c>
      <c r="I57" s="1192">
        <f>F57</f>
        <v>45039</v>
      </c>
      <c r="K57" s="84">
        <v>2.94</v>
      </c>
      <c r="L57" s="172">
        <f>K57/30</f>
        <v>9.8000000000000004E-2</v>
      </c>
      <c r="R57" s="12">
        <f>SUM(R54:R56)</f>
        <v>166.11401999999998</v>
      </c>
      <c r="S57" s="12">
        <f>SUM(S54:S56)</f>
        <v>464.22658999999993</v>
      </c>
      <c r="T57" s="26" t="s">
        <v>156</v>
      </c>
      <c r="U57" s="26" t="s">
        <v>777</v>
      </c>
      <c r="W57" s="26" t="s">
        <v>156</v>
      </c>
      <c r="X57" s="26" t="s">
        <v>777</v>
      </c>
      <c r="Z57" s="26" t="s">
        <v>181</v>
      </c>
    </row>
    <row r="58" spans="1:33" ht="15.75" x14ac:dyDescent="0.4">
      <c r="D58" s="1195" t="s">
        <v>766</v>
      </c>
      <c r="E58" s="33"/>
      <c r="F58" s="33"/>
      <c r="H58" s="1244"/>
      <c r="I58" s="1245"/>
      <c r="L58" s="172">
        <f>L57*16</f>
        <v>1.5680000000000001</v>
      </c>
      <c r="S58" s="9" t="s">
        <v>152</v>
      </c>
      <c r="T58" s="1291">
        <f>E57</f>
        <v>44673</v>
      </c>
      <c r="U58" s="1291">
        <f>F57</f>
        <v>45039</v>
      </c>
      <c r="V58" s="26"/>
      <c r="W58" s="1291">
        <v>44958</v>
      </c>
      <c r="X58" s="1291">
        <v>44958</v>
      </c>
      <c r="Y58" s="26"/>
      <c r="Z58" s="1291">
        <f>T58</f>
        <v>44673</v>
      </c>
      <c r="AA58" s="1291">
        <f>X58</f>
        <v>44958</v>
      </c>
      <c r="AC58" s="5">
        <v>57578</v>
      </c>
      <c r="AD58" s="5">
        <v>76550</v>
      </c>
    </row>
    <row r="59" spans="1:33" ht="16.149999999999999" x14ac:dyDescent="0.55000000000000004">
      <c r="D59" s="85" t="s">
        <v>94</v>
      </c>
      <c r="E59" s="1193">
        <f>H59/10000000</f>
        <v>0.49980540000000001</v>
      </c>
      <c r="F59" s="1193">
        <f t="shared" ref="E59:F61" si="7">I59/10000000</f>
        <v>0.83369139999999997</v>
      </c>
      <c r="H59" s="1246">
        <f>E141</f>
        <v>4998054</v>
      </c>
      <c r="I59" s="1246">
        <f>E107</f>
        <v>8336914</v>
      </c>
      <c r="J59" s="1320"/>
      <c r="K59" s="1380">
        <v>0.39</v>
      </c>
      <c r="L59" s="172">
        <f>K59/30</f>
        <v>1.3000000000000001E-2</v>
      </c>
      <c r="S59" s="6" t="s">
        <v>782</v>
      </c>
      <c r="T59" s="6">
        <v>253264</v>
      </c>
      <c r="U59" s="6">
        <v>1192326</v>
      </c>
      <c r="W59" s="6">
        <v>289113</v>
      </c>
      <c r="X59" s="1297">
        <v>1741576</v>
      </c>
      <c r="Z59" s="6">
        <v>125940</v>
      </c>
      <c r="AA59" s="6">
        <v>420680</v>
      </c>
      <c r="AC59" s="5">
        <v>53354</v>
      </c>
      <c r="AD59" s="5">
        <v>79370</v>
      </c>
    </row>
    <row r="60" spans="1:33" ht="16.149999999999999" x14ac:dyDescent="0.55000000000000004">
      <c r="D60" s="85" t="s">
        <v>502</v>
      </c>
      <c r="E60" s="1193">
        <f t="shared" si="7"/>
        <v>1.2875223</v>
      </c>
      <c r="F60" s="1193">
        <f t="shared" si="7"/>
        <v>12.6481251</v>
      </c>
      <c r="H60" s="1246">
        <f>G141</f>
        <v>12875223</v>
      </c>
      <c r="I60" s="1246">
        <f>G107</f>
        <v>126481251</v>
      </c>
      <c r="J60" s="1320"/>
      <c r="K60" s="1320"/>
      <c r="L60" s="172">
        <f>L59*16</f>
        <v>0.20800000000000002</v>
      </c>
      <c r="S60" s="1261" t="s">
        <v>789</v>
      </c>
      <c r="T60" s="6">
        <v>216619</v>
      </c>
      <c r="U60" s="6">
        <v>1148002</v>
      </c>
      <c r="V60" s="632"/>
      <c r="W60" s="6">
        <v>597322</v>
      </c>
      <c r="X60" s="6">
        <v>3581375</v>
      </c>
      <c r="Y60" s="632"/>
      <c r="Z60" s="6">
        <v>149880</v>
      </c>
      <c r="AA60" s="6">
        <v>782160</v>
      </c>
      <c r="AC60" s="41">
        <v>50439</v>
      </c>
      <c r="AD60" s="5">
        <v>78160</v>
      </c>
      <c r="AE60" s="632"/>
      <c r="AF60" s="632"/>
      <c r="AG60" s="632"/>
    </row>
    <row r="61" spans="1:33" ht="16.899999999999999" thickBot="1" x14ac:dyDescent="0.6">
      <c r="D61" s="85" t="s">
        <v>767</v>
      </c>
      <c r="E61" s="1193">
        <f t="shared" si="7"/>
        <v>55.353141600000001</v>
      </c>
      <c r="F61" s="1193">
        <f t="shared" si="7"/>
        <v>53.536427199999999</v>
      </c>
      <c r="H61" s="1321">
        <f>I141</f>
        <v>553531416</v>
      </c>
      <c r="I61" s="1321">
        <f>I107</f>
        <v>535364272</v>
      </c>
      <c r="J61" s="1215"/>
      <c r="K61" s="824"/>
      <c r="L61" s="1217"/>
      <c r="S61" s="1273">
        <v>44947</v>
      </c>
      <c r="T61" s="1274">
        <v>195242</v>
      </c>
      <c r="U61" s="6">
        <v>1023506</v>
      </c>
      <c r="W61" s="6">
        <v>288290</v>
      </c>
      <c r="X61" s="1297">
        <v>1853697</v>
      </c>
      <c r="Z61" s="6">
        <v>127880</v>
      </c>
      <c r="AA61" s="6">
        <v>482050</v>
      </c>
      <c r="AB61" s="1239"/>
      <c r="AC61" s="41">
        <v>45071</v>
      </c>
      <c r="AD61" s="172">
        <v>70290</v>
      </c>
    </row>
    <row r="62" spans="1:33" ht="15.4" x14ac:dyDescent="0.4">
      <c r="E62" s="428"/>
      <c r="F62" s="428"/>
      <c r="K62" s="212"/>
      <c r="L62" s="1217"/>
      <c r="S62" s="1273">
        <v>44948</v>
      </c>
      <c r="T62" s="1274"/>
      <c r="U62" s="6"/>
      <c r="W62" s="6"/>
      <c r="X62" s="1297"/>
      <c r="Z62" s="6"/>
      <c r="AA62" s="6"/>
      <c r="AB62" s="1239"/>
      <c r="AC62" s="41">
        <v>41360</v>
      </c>
      <c r="AD62" s="172">
        <v>83580</v>
      </c>
    </row>
    <row r="63" spans="1:33" ht="15.4" x14ac:dyDescent="0.4">
      <c r="E63" s="428"/>
      <c r="F63" s="428"/>
      <c r="I63" s="82">
        <f>J63/1000000</f>
        <v>0.23699999999999999</v>
      </c>
      <c r="J63" s="84">
        <f>2.37*100000</f>
        <v>237000</v>
      </c>
      <c r="K63" s="212"/>
      <c r="L63" s="1217"/>
      <c r="S63" s="1261"/>
      <c r="T63" s="331"/>
      <c r="U63" s="6"/>
      <c r="W63" s="6"/>
      <c r="X63" s="1297"/>
      <c r="Z63" s="6"/>
      <c r="AA63" s="6"/>
      <c r="AB63" s="1239"/>
      <c r="AC63" s="41">
        <v>40488</v>
      </c>
      <c r="AD63" s="172">
        <v>94100</v>
      </c>
    </row>
    <row r="64" spans="1:33" ht="16.149999999999999" x14ac:dyDescent="0.55000000000000004">
      <c r="D64" s="1195" t="s">
        <v>768</v>
      </c>
      <c r="E64" s="1193"/>
      <c r="F64" s="1193"/>
      <c r="J64" s="755"/>
      <c r="K64" s="259"/>
      <c r="L64" s="1217"/>
      <c r="S64" s="26" t="s">
        <v>187</v>
      </c>
      <c r="T64" s="26">
        <f>SUM(T59:T63)</f>
        <v>665125</v>
      </c>
      <c r="U64" s="26">
        <f t="shared" ref="U64:AA64" si="8">SUM(U59:U63)</f>
        <v>3363834</v>
      </c>
      <c r="V64" s="26"/>
      <c r="W64" s="9">
        <f>SUM(W59:W63)</f>
        <v>1174725</v>
      </c>
      <c r="X64" s="9">
        <f t="shared" si="8"/>
        <v>7176648</v>
      </c>
      <c r="Y64" s="26"/>
      <c r="Z64" s="9">
        <f t="shared" si="8"/>
        <v>403700</v>
      </c>
      <c r="AA64" s="9">
        <f t="shared" si="8"/>
        <v>1684890</v>
      </c>
      <c r="AB64" s="1262"/>
      <c r="AC64" s="41">
        <f>SUM(AC58:AC63)</f>
        <v>288290</v>
      </c>
      <c r="AD64" s="41">
        <f>SUM(AD58:AD63)</f>
        <v>482050</v>
      </c>
    </row>
    <row r="65" spans="3:30" ht="16.149999999999999" x14ac:dyDescent="0.55000000000000004">
      <c r="D65" s="85" t="s">
        <v>94</v>
      </c>
      <c r="E65" s="1193">
        <f>H65/1000000</f>
        <v>0.88700199999999996</v>
      </c>
      <c r="F65" s="1193">
        <f t="shared" ref="E65:F67" si="9">I65/1000000</f>
        <v>1.3442179999999999</v>
      </c>
      <c r="H65" s="1243">
        <f>D141</f>
        <v>887002</v>
      </c>
      <c r="I65" s="1243">
        <f>D107</f>
        <v>1344218</v>
      </c>
      <c r="J65" s="323">
        <f t="shared" ref="J65:K67" si="10">H65/100000</f>
        <v>8.8700200000000002</v>
      </c>
      <c r="K65" s="323">
        <f t="shared" si="10"/>
        <v>13.44218</v>
      </c>
      <c r="L65" s="491">
        <f>K65/100000</f>
        <v>1.3442179999999999E-4</v>
      </c>
      <c r="S65" s="9" t="s">
        <v>783</v>
      </c>
      <c r="T65" s="6"/>
      <c r="U65" s="1261"/>
      <c r="W65" s="6"/>
      <c r="X65" s="1297"/>
      <c r="Z65" s="6"/>
      <c r="AA65" s="6"/>
      <c r="AB65" s="1239"/>
      <c r="AC65" s="41">
        <v>50768</v>
      </c>
      <c r="AD65" s="172"/>
    </row>
    <row r="66" spans="3:30" ht="16.149999999999999" x14ac:dyDescent="0.55000000000000004">
      <c r="D66" s="85" t="s">
        <v>502</v>
      </c>
      <c r="E66" s="1193">
        <f t="shared" si="9"/>
        <v>0.43956099999999998</v>
      </c>
      <c r="F66" s="1193">
        <f t="shared" si="9"/>
        <v>1.2855669999999999</v>
      </c>
      <c r="H66" s="1243">
        <f>F141</f>
        <v>439561</v>
      </c>
      <c r="I66" s="1243">
        <f>F107</f>
        <v>1285567</v>
      </c>
      <c r="J66" s="323">
        <f t="shared" si="10"/>
        <v>4.3956099999999996</v>
      </c>
      <c r="K66" s="323">
        <f t="shared" si="10"/>
        <v>12.85567</v>
      </c>
      <c r="L66" s="491">
        <f>K66/100000</f>
        <v>1.2855669999999999E-4</v>
      </c>
      <c r="S66" s="6" t="s">
        <v>782</v>
      </c>
      <c r="T66" s="6">
        <v>58327</v>
      </c>
      <c r="U66" s="6">
        <v>1118200</v>
      </c>
      <c r="W66" s="6">
        <v>258000</v>
      </c>
      <c r="X66" s="1297">
        <v>24681160</v>
      </c>
      <c r="Z66" s="6"/>
      <c r="AA66" s="6"/>
      <c r="AB66" s="1239"/>
      <c r="AC66" s="41">
        <v>45797</v>
      </c>
      <c r="AD66" s="172"/>
    </row>
    <row r="67" spans="3:30" ht="16.5" thickBot="1" x14ac:dyDescent="0.6">
      <c r="D67" s="85" t="s">
        <v>767</v>
      </c>
      <c r="E67" s="1193">
        <f t="shared" si="9"/>
        <v>0.93073099999999998</v>
      </c>
      <c r="F67" s="1193">
        <f t="shared" si="9"/>
        <v>0.77022000000000002</v>
      </c>
      <c r="H67" s="1322">
        <f>H141</f>
        <v>930731</v>
      </c>
      <c r="I67" s="1322">
        <f>H107</f>
        <v>770220</v>
      </c>
      <c r="J67" s="323">
        <f t="shared" si="10"/>
        <v>9.3073099999999993</v>
      </c>
      <c r="K67" s="323">
        <f t="shared" si="10"/>
        <v>7.7022000000000004</v>
      </c>
      <c r="L67" s="491">
        <f>K67/100000</f>
        <v>7.7022000000000009E-5</v>
      </c>
      <c r="S67" s="1261" t="s">
        <v>789</v>
      </c>
      <c r="T67" s="6">
        <v>53742</v>
      </c>
      <c r="U67" s="6">
        <v>1266705</v>
      </c>
      <c r="W67" s="6">
        <v>552593</v>
      </c>
      <c r="X67" s="1297">
        <v>55522320</v>
      </c>
      <c r="Z67" s="6"/>
      <c r="AA67" s="6"/>
      <c r="AB67" s="1239"/>
      <c r="AC67" s="41">
        <v>44590</v>
      </c>
      <c r="AD67" s="172"/>
    </row>
    <row r="68" spans="3:30" x14ac:dyDescent="0.4">
      <c r="E68" s="428"/>
      <c r="F68" s="323"/>
      <c r="H68" s="1224"/>
      <c r="I68" s="1225"/>
      <c r="K68" s="212"/>
      <c r="L68" s="1217"/>
      <c r="S68" s="1273">
        <v>44947</v>
      </c>
      <c r="T68" s="6">
        <v>49346</v>
      </c>
      <c r="U68" s="6">
        <v>1081490</v>
      </c>
      <c r="W68" s="6">
        <v>281573</v>
      </c>
      <c r="X68" s="1297">
        <v>29067783</v>
      </c>
      <c r="Z68" s="6"/>
      <c r="AA68" s="6"/>
      <c r="AB68" s="1239"/>
      <c r="AC68" s="5">
        <v>45433</v>
      </c>
      <c r="AD68" s="172"/>
    </row>
    <row r="69" spans="3:30" x14ac:dyDescent="0.4">
      <c r="E69" s="428"/>
      <c r="F69" s="323"/>
      <c r="H69" s="1224"/>
      <c r="I69" s="1225"/>
      <c r="K69" s="212"/>
      <c r="L69" s="1217"/>
      <c r="S69" s="1273">
        <v>44948</v>
      </c>
      <c r="T69" s="6"/>
      <c r="U69" s="6"/>
      <c r="W69" s="6"/>
      <c r="X69" s="1297"/>
      <c r="Z69" s="6"/>
      <c r="AA69" s="6"/>
      <c r="AB69" s="1239"/>
      <c r="AC69" s="5">
        <v>46734</v>
      </c>
      <c r="AD69" s="172"/>
    </row>
    <row r="70" spans="3:30" ht="16.149999999999999" x14ac:dyDescent="0.55000000000000004">
      <c r="D70" s="1195" t="s">
        <v>436</v>
      </c>
      <c r="E70" s="134">
        <f>H70</f>
        <v>1.6442715000000001</v>
      </c>
      <c r="F70" s="134">
        <f>I70</f>
        <v>1.949022</v>
      </c>
      <c r="H70" s="1372">
        <f>J70/10000000</f>
        <v>1.6442715000000001</v>
      </c>
      <c r="I70" s="1372">
        <f>K70/10000000</f>
        <v>1.949022</v>
      </c>
      <c r="J70">
        <v>16442715</v>
      </c>
      <c r="K70">
        <v>19490220</v>
      </c>
      <c r="L70" s="1217"/>
      <c r="N70" s="755">
        <v>6531262</v>
      </c>
      <c r="S70" s="1261"/>
      <c r="T70" s="6"/>
      <c r="U70" s="6"/>
      <c r="W70" s="6"/>
      <c r="X70" s="1297"/>
      <c r="Z70" s="6"/>
      <c r="AA70" s="6"/>
      <c r="AB70" s="1239"/>
      <c r="AC70" s="5">
        <v>48251</v>
      </c>
    </row>
    <row r="71" spans="3:30" x14ac:dyDescent="0.4">
      <c r="C71" s="5">
        <f>66.07-3.11</f>
        <v>62.959999999999994</v>
      </c>
      <c r="D71" s="1195" t="s">
        <v>769</v>
      </c>
      <c r="E71" s="134">
        <f>J78/100</f>
        <v>1.5738999999999999</v>
      </c>
      <c r="F71" s="134">
        <f>K78/100</f>
        <v>1.4051999999999998</v>
      </c>
      <c r="H71" s="1263"/>
      <c r="I71" s="1263"/>
      <c r="K71" s="323"/>
      <c r="L71" s="1217"/>
      <c r="S71" s="9" t="s">
        <v>784</v>
      </c>
      <c r="T71" s="9">
        <f>SUM(T66:T70)</f>
        <v>161415</v>
      </c>
      <c r="U71" s="9">
        <f>SUM(U66:U70)</f>
        <v>3466395</v>
      </c>
      <c r="V71" s="26"/>
      <c r="W71" s="9">
        <f>SUM(W66:W70)</f>
        <v>1092166</v>
      </c>
      <c r="X71" s="9">
        <f>SUM(X66:X70)</f>
        <v>109271263</v>
      </c>
      <c r="Y71" s="26"/>
      <c r="Z71" s="9">
        <f>SUM(Z66:Z70)</f>
        <v>0</v>
      </c>
      <c r="AA71" s="9">
        <f>SUM(AA66:AA70)</f>
        <v>0</v>
      </c>
      <c r="AB71" s="1262"/>
      <c r="AC71" s="41">
        <f>SUM(AC65:AC70)</f>
        <v>281573</v>
      </c>
    </row>
    <row r="72" spans="3:30" x14ac:dyDescent="0.4">
      <c r="D72" s="1195" t="s">
        <v>125</v>
      </c>
      <c r="E72" s="283">
        <f>J76/100</f>
        <v>8.1199999999999994E-2</v>
      </c>
      <c r="F72" s="283">
        <f>K76/100</f>
        <v>6.2400000000000004E-2</v>
      </c>
      <c r="H72" s="1263"/>
      <c r="I72" s="1263"/>
      <c r="J72" s="1128"/>
      <c r="K72" s="1128"/>
      <c r="L72" s="1217"/>
      <c r="U72" s="1239"/>
      <c r="AB72" s="1239"/>
    </row>
    <row r="73" spans="3:30" x14ac:dyDescent="0.4">
      <c r="D73" s="1195" t="s">
        <v>196</v>
      </c>
      <c r="E73" s="134">
        <f>H73</f>
        <v>0.204095</v>
      </c>
      <c r="F73" s="134">
        <f t="shared" ref="E73:F75" si="11">I73</f>
        <v>0.200934</v>
      </c>
      <c r="H73" s="1372">
        <f t="shared" ref="H73:I75" si="12">J73/10000000</f>
        <v>0.204095</v>
      </c>
      <c r="I73" s="1372">
        <f t="shared" si="12"/>
        <v>0.200934</v>
      </c>
      <c r="J73" s="212">
        <f>J141</f>
        <v>2040950</v>
      </c>
      <c r="K73" s="212">
        <f>J107</f>
        <v>2009340</v>
      </c>
      <c r="M73" s="1210"/>
      <c r="N73" s="12"/>
      <c r="X73" s="5"/>
    </row>
    <row r="74" spans="3:30" ht="16.149999999999999" x14ac:dyDescent="0.55000000000000004">
      <c r="D74" s="1195" t="s">
        <v>123</v>
      </c>
      <c r="E74" s="134">
        <f>H74</f>
        <v>5.1370399999999997E-2</v>
      </c>
      <c r="F74" s="134">
        <f t="shared" si="11"/>
        <v>0.76478869999999999</v>
      </c>
      <c r="H74" s="1372">
        <f t="shared" si="12"/>
        <v>5.1370399999999997E-2</v>
      </c>
      <c r="I74" s="1372">
        <f t="shared" si="12"/>
        <v>0.76478869999999999</v>
      </c>
      <c r="J74" s="84">
        <f>200000+213704+100000</f>
        <v>513704</v>
      </c>
      <c r="K74" s="755">
        <f>173490+7474397</f>
        <v>7647887</v>
      </c>
    </row>
    <row r="75" spans="3:30" ht="16.5" thickBot="1" x14ac:dyDescent="0.6">
      <c r="D75" s="1195" t="s">
        <v>435</v>
      </c>
      <c r="E75" s="134">
        <f t="shared" si="11"/>
        <v>2.5670492999999999</v>
      </c>
      <c r="F75" s="134">
        <f>I75</f>
        <v>2.7854746000000001</v>
      </c>
      <c r="H75" s="1372">
        <f t="shared" si="12"/>
        <v>2.5670492999999999</v>
      </c>
      <c r="I75" s="1372">
        <f t="shared" si="12"/>
        <v>2.7854746000000001</v>
      </c>
      <c r="J75" s="1215">
        <f>K141</f>
        <v>25670493</v>
      </c>
      <c r="K75" s="1322">
        <f>K107</f>
        <v>27854746</v>
      </c>
      <c r="N75" s="755"/>
    </row>
    <row r="76" spans="3:30" x14ac:dyDescent="0.4">
      <c r="H76" s="1224"/>
      <c r="I76" s="1225"/>
      <c r="J76" s="84">
        <v>8.1199999999999992</v>
      </c>
      <c r="K76" s="323">
        <v>6.24</v>
      </c>
      <c r="L76" s="172">
        <f>J76/100</f>
        <v>8.1199999999999994E-2</v>
      </c>
    </row>
    <row r="77" spans="3:30" x14ac:dyDescent="0.4">
      <c r="E77" s="428"/>
      <c r="F77" s="428"/>
      <c r="J77" s="84">
        <v>165.51</v>
      </c>
      <c r="K77" s="84">
        <v>146.76</v>
      </c>
    </row>
    <row r="78" spans="3:30" x14ac:dyDescent="0.4">
      <c r="E78" s="428"/>
      <c r="F78" s="428"/>
      <c r="J78" s="84">
        <f>J77-J76</f>
        <v>157.38999999999999</v>
      </c>
      <c r="K78" s="323">
        <f>K77-K76</f>
        <v>140.51999999999998</v>
      </c>
      <c r="L78" s="172">
        <f>J78/100</f>
        <v>1.5738999999999999</v>
      </c>
    </row>
    <row r="79" spans="3:30" x14ac:dyDescent="0.4">
      <c r="E79" s="428"/>
      <c r="F79" s="428"/>
    </row>
    <row r="80" spans="3:30" x14ac:dyDescent="0.4">
      <c r="D80" s="84" t="s">
        <v>164</v>
      </c>
      <c r="E80" s="428" t="s">
        <v>710</v>
      </c>
      <c r="F80" s="84" t="s">
        <v>164</v>
      </c>
      <c r="G80" s="428" t="s">
        <v>710</v>
      </c>
      <c r="H80" s="84" t="s">
        <v>164</v>
      </c>
      <c r="I80" s="428" t="s">
        <v>710</v>
      </c>
      <c r="J80" s="84" t="s">
        <v>196</v>
      </c>
    </row>
    <row r="81" spans="3:11" x14ac:dyDescent="0.4">
      <c r="D81" s="84">
        <v>23</v>
      </c>
      <c r="E81" s="84">
        <v>23</v>
      </c>
      <c r="F81" s="84">
        <v>23</v>
      </c>
      <c r="G81" s="84">
        <v>23</v>
      </c>
      <c r="H81" s="84">
        <v>23</v>
      </c>
      <c r="I81" s="84">
        <v>23</v>
      </c>
      <c r="J81" s="84">
        <v>23</v>
      </c>
      <c r="K81" s="1292">
        <v>23</v>
      </c>
    </row>
    <row r="82" spans="3:11" x14ac:dyDescent="0.4">
      <c r="D82" s="2437" t="s">
        <v>795</v>
      </c>
      <c r="E82" s="2437"/>
      <c r="F82" s="2437" t="s">
        <v>796</v>
      </c>
      <c r="G82" s="2437"/>
      <c r="H82" s="2437" t="s">
        <v>797</v>
      </c>
      <c r="I82" s="2437"/>
      <c r="J82" s="2437" t="s">
        <v>196</v>
      </c>
      <c r="K82" s="2437"/>
    </row>
    <row r="83" spans="3:11" x14ac:dyDescent="0.4">
      <c r="C83" s="1239">
        <v>45017</v>
      </c>
      <c r="D83" s="41"/>
      <c r="E83" s="1292"/>
      <c r="F83" s="41"/>
      <c r="G83" s="41"/>
      <c r="H83" s="41"/>
      <c r="I83" s="1318"/>
      <c r="J83" s="212"/>
    </row>
    <row r="84" spans="3:11" x14ac:dyDescent="0.4">
      <c r="C84" s="1239">
        <v>45018</v>
      </c>
      <c r="D84" s="212"/>
      <c r="E84" s="1292"/>
      <c r="F84" s="41"/>
      <c r="G84" s="41"/>
      <c r="H84" s="41"/>
      <c r="I84" s="212"/>
      <c r="J84" s="212"/>
    </row>
    <row r="85" spans="3:11" x14ac:dyDescent="0.4">
      <c r="C85" s="1239">
        <v>45019</v>
      </c>
      <c r="D85" s="212"/>
      <c r="E85" s="1292"/>
      <c r="F85" s="41"/>
      <c r="G85" s="41"/>
      <c r="H85" s="41"/>
      <c r="I85" s="212"/>
      <c r="J85" s="212"/>
    </row>
    <row r="86" spans="3:11" x14ac:dyDescent="0.4">
      <c r="C86" s="1239">
        <v>45020</v>
      </c>
      <c r="D86" s="212"/>
      <c r="E86" s="1292"/>
      <c r="F86" s="41"/>
      <c r="G86" s="41"/>
      <c r="H86" s="41"/>
      <c r="I86" s="212"/>
      <c r="J86" s="212"/>
    </row>
    <row r="87" spans="3:11" x14ac:dyDescent="0.4">
      <c r="C87" s="1239">
        <v>45021</v>
      </c>
      <c r="D87" s="212"/>
      <c r="E87" s="1292"/>
      <c r="F87" s="41"/>
      <c r="G87" s="41"/>
      <c r="H87" s="41"/>
      <c r="I87" s="212"/>
      <c r="J87" s="212"/>
    </row>
    <row r="88" spans="3:11" x14ac:dyDescent="0.4">
      <c r="C88" s="1239">
        <v>45022</v>
      </c>
      <c r="D88" s="323"/>
      <c r="E88" s="428"/>
    </row>
    <row r="89" spans="3:11" x14ac:dyDescent="0.4">
      <c r="C89" s="1239">
        <v>45023</v>
      </c>
      <c r="D89" s="323"/>
      <c r="E89" s="428"/>
    </row>
    <row r="90" spans="3:11" x14ac:dyDescent="0.4">
      <c r="C90" s="1239">
        <v>45024</v>
      </c>
      <c r="D90" s="323"/>
      <c r="E90" s="428"/>
    </row>
    <row r="91" spans="3:11" x14ac:dyDescent="0.4">
      <c r="C91" s="1239">
        <v>45025</v>
      </c>
      <c r="D91" s="323"/>
      <c r="E91" s="428"/>
    </row>
    <row r="92" spans="3:11" ht="16.149999999999999" thickBot="1" x14ac:dyDescent="0.45">
      <c r="C92" s="1239">
        <v>45026</v>
      </c>
      <c r="D92" s="212">
        <v>576697</v>
      </c>
      <c r="E92" s="1292">
        <v>3559392</v>
      </c>
      <c r="F92" s="5">
        <v>542881</v>
      </c>
      <c r="G92" s="5">
        <v>47442931</v>
      </c>
      <c r="H92" s="910"/>
      <c r="I92" s="910"/>
      <c r="J92" s="84">
        <v>805910</v>
      </c>
      <c r="K92" s="910"/>
    </row>
    <row r="93" spans="3:11" x14ac:dyDescent="0.4">
      <c r="C93" s="1239">
        <v>45027</v>
      </c>
      <c r="D93" s="212"/>
      <c r="E93" s="1292"/>
    </row>
    <row r="94" spans="3:11" ht="16.149999999999999" thickBot="1" x14ac:dyDescent="0.45">
      <c r="C94" s="1239">
        <v>45028</v>
      </c>
      <c r="D94" s="212"/>
      <c r="E94" s="1292"/>
      <c r="H94" s="824"/>
      <c r="I94" s="910"/>
    </row>
    <row r="95" spans="3:11" x14ac:dyDescent="0.4">
      <c r="C95" s="1239">
        <v>45029</v>
      </c>
      <c r="D95" s="212"/>
      <c r="E95" s="1292"/>
    </row>
    <row r="96" spans="3:11" x14ac:dyDescent="0.4">
      <c r="C96" s="1239">
        <v>45030</v>
      </c>
      <c r="D96" s="212"/>
      <c r="E96" s="1292"/>
    </row>
    <row r="97" spans="3:11" x14ac:dyDescent="0.4">
      <c r="C97" s="1239">
        <v>45031</v>
      </c>
      <c r="D97" s="212"/>
      <c r="E97" s="1292"/>
    </row>
    <row r="98" spans="3:11" ht="16.5" thickBot="1" x14ac:dyDescent="0.6">
      <c r="C98" s="1239">
        <v>45032</v>
      </c>
      <c r="D98" s="212"/>
      <c r="E98" s="1292"/>
      <c r="H98" s="755"/>
      <c r="I98" s="910"/>
    </row>
    <row r="99" spans="3:11" x14ac:dyDescent="0.4">
      <c r="C99" s="1239">
        <v>45033</v>
      </c>
      <c r="D99" s="323"/>
      <c r="E99" s="428"/>
    </row>
    <row r="100" spans="3:11" x14ac:dyDescent="0.4">
      <c r="C100" s="1239">
        <v>45034</v>
      </c>
      <c r="D100" s="323"/>
      <c r="E100" s="428"/>
    </row>
    <row r="101" spans="3:11" x14ac:dyDescent="0.4">
      <c r="C101" s="1239">
        <v>45035</v>
      </c>
      <c r="D101" s="5"/>
      <c r="E101" s="428"/>
    </row>
    <row r="102" spans="3:11" ht="16.149999999999999" x14ac:dyDescent="0.55000000000000004">
      <c r="C102" s="1239">
        <v>45036</v>
      </c>
      <c r="D102" s="212">
        <v>632691</v>
      </c>
      <c r="E102" s="1292">
        <v>3775427</v>
      </c>
      <c r="F102" s="5">
        <v>575719</v>
      </c>
      <c r="G102" s="5">
        <v>60630377</v>
      </c>
      <c r="H102" s="755">
        <v>770220</v>
      </c>
      <c r="I102" s="755">
        <v>535364272</v>
      </c>
      <c r="J102" s="84">
        <v>922640</v>
      </c>
      <c r="K102" s="755">
        <v>27854746</v>
      </c>
    </row>
    <row r="103" spans="3:11" x14ac:dyDescent="0.4">
      <c r="C103" s="1239">
        <v>45037</v>
      </c>
      <c r="D103" s="212">
        <v>49909</v>
      </c>
      <c r="E103" s="1292">
        <v>328081</v>
      </c>
      <c r="F103" s="5">
        <v>56719</v>
      </c>
      <c r="G103" s="5">
        <v>6122105</v>
      </c>
      <c r="J103" s="84">
        <v>78520</v>
      </c>
    </row>
    <row r="104" spans="3:11" x14ac:dyDescent="0.4">
      <c r="C104" s="1239">
        <v>45038</v>
      </c>
      <c r="D104" s="212">
        <v>39996</v>
      </c>
      <c r="E104" s="1292">
        <v>310379</v>
      </c>
      <c r="F104" s="5">
        <v>49341</v>
      </c>
      <c r="G104" s="5">
        <v>5698403</v>
      </c>
      <c r="J104" s="84">
        <v>93580</v>
      </c>
    </row>
    <row r="105" spans="3:11" x14ac:dyDescent="0.4">
      <c r="C105" s="1239">
        <v>45039</v>
      </c>
      <c r="D105" s="212">
        <v>44925</v>
      </c>
      <c r="E105" s="1292">
        <v>363635</v>
      </c>
      <c r="F105" s="5">
        <v>60907</v>
      </c>
      <c r="G105" s="5">
        <v>6587435</v>
      </c>
      <c r="J105" s="84">
        <v>108690</v>
      </c>
    </row>
    <row r="106" spans="3:11" x14ac:dyDescent="0.4">
      <c r="C106" s="1239">
        <v>45040</v>
      </c>
      <c r="D106" s="323"/>
      <c r="E106" s="428"/>
    </row>
    <row r="107" spans="3:11" x14ac:dyDescent="0.4">
      <c r="D107" s="1228">
        <f t="shared" ref="D107:K107" si="13">SUM(D83:D106)</f>
        <v>1344218</v>
      </c>
      <c r="E107" s="1228">
        <f t="shared" si="13"/>
        <v>8336914</v>
      </c>
      <c r="F107" s="1228">
        <f t="shared" si="13"/>
        <v>1285567</v>
      </c>
      <c r="G107" s="1228">
        <f t="shared" si="13"/>
        <v>126481251</v>
      </c>
      <c r="H107" s="1228">
        <f t="shared" si="13"/>
        <v>770220</v>
      </c>
      <c r="I107" s="1228">
        <f t="shared" si="13"/>
        <v>535364272</v>
      </c>
      <c r="J107" s="1228">
        <f t="shared" si="13"/>
        <v>2009340</v>
      </c>
      <c r="K107" s="1228">
        <f t="shared" si="13"/>
        <v>27854746</v>
      </c>
    </row>
    <row r="115" spans="3:11" x14ac:dyDescent="0.4">
      <c r="D115" s="84" t="s">
        <v>164</v>
      </c>
      <c r="E115" s="428" t="s">
        <v>710</v>
      </c>
      <c r="F115" s="84" t="s">
        <v>164</v>
      </c>
      <c r="G115" s="428" t="s">
        <v>710</v>
      </c>
      <c r="H115" s="84" t="s">
        <v>164</v>
      </c>
      <c r="I115" s="428" t="s">
        <v>710</v>
      </c>
      <c r="J115" s="84" t="s">
        <v>196</v>
      </c>
    </row>
    <row r="116" spans="3:11" x14ac:dyDescent="0.4">
      <c r="D116" s="84">
        <v>22</v>
      </c>
      <c r="E116" s="84">
        <v>22</v>
      </c>
      <c r="F116" s="84">
        <v>22</v>
      </c>
      <c r="G116" s="84">
        <v>22</v>
      </c>
      <c r="H116" s="84">
        <v>22</v>
      </c>
      <c r="I116" s="84">
        <v>22</v>
      </c>
      <c r="J116" s="84">
        <v>22</v>
      </c>
      <c r="K116" s="1292">
        <v>22</v>
      </c>
    </row>
    <row r="117" spans="3:11" x14ac:dyDescent="0.4">
      <c r="D117" s="2437" t="s">
        <v>795</v>
      </c>
      <c r="E117" s="2437"/>
      <c r="F117" s="2437" t="s">
        <v>796</v>
      </c>
      <c r="G117" s="2437"/>
      <c r="H117" s="2437" t="s">
        <v>797</v>
      </c>
      <c r="I117" s="2437"/>
      <c r="J117" s="2437" t="s">
        <v>196</v>
      </c>
      <c r="K117" s="2437"/>
    </row>
    <row r="118" spans="3:11" ht="16.149999999999999" x14ac:dyDescent="0.55000000000000004">
      <c r="C118" s="1239">
        <v>44652</v>
      </c>
      <c r="D118" s="41"/>
      <c r="E118" s="1292"/>
      <c r="H118" s="755"/>
      <c r="I118" s="1319"/>
    </row>
    <row r="119" spans="3:11" x14ac:dyDescent="0.4">
      <c r="C119" s="1239">
        <v>44653</v>
      </c>
      <c r="D119" s="212"/>
      <c r="E119" s="428"/>
    </row>
    <row r="120" spans="3:11" x14ac:dyDescent="0.4">
      <c r="C120" s="1239">
        <v>44654</v>
      </c>
      <c r="D120" s="323"/>
      <c r="E120" s="428"/>
    </row>
    <row r="121" spans="3:11" x14ac:dyDescent="0.4">
      <c r="C121" s="1239">
        <v>44655</v>
      </c>
      <c r="D121" s="323"/>
      <c r="E121" s="428"/>
    </row>
    <row r="122" spans="3:11" x14ac:dyDescent="0.4">
      <c r="C122" s="1239">
        <v>44656</v>
      </c>
      <c r="D122" s="323"/>
      <c r="E122" s="428"/>
    </row>
    <row r="123" spans="3:11" x14ac:dyDescent="0.4">
      <c r="C123" s="1239">
        <v>44657</v>
      </c>
      <c r="D123" s="323"/>
      <c r="E123" s="428"/>
    </row>
    <row r="124" spans="3:11" x14ac:dyDescent="0.4">
      <c r="C124" s="1239">
        <v>44658</v>
      </c>
      <c r="D124" s="323"/>
      <c r="E124" s="428"/>
    </row>
    <row r="125" spans="3:11" x14ac:dyDescent="0.4">
      <c r="C125" s="1239">
        <v>44659</v>
      </c>
      <c r="D125" s="323"/>
      <c r="E125" s="428"/>
    </row>
    <row r="126" spans="3:11" x14ac:dyDescent="0.4">
      <c r="C126" s="1239">
        <v>44660</v>
      </c>
      <c r="D126" s="323"/>
      <c r="E126" s="428"/>
    </row>
    <row r="127" spans="3:11" ht="15.75" x14ac:dyDescent="0.5">
      <c r="C127" s="1239">
        <v>44661</v>
      </c>
      <c r="D127" s="212">
        <v>373170</v>
      </c>
      <c r="E127" s="1292">
        <v>2024945</v>
      </c>
      <c r="F127" s="5">
        <v>150135</v>
      </c>
      <c r="G127" s="5">
        <v>4120788</v>
      </c>
      <c r="I127" s="1319"/>
      <c r="J127" s="84">
        <v>820580</v>
      </c>
    </row>
    <row r="128" spans="3:11" x14ac:dyDescent="0.4">
      <c r="C128" s="1239">
        <v>44662</v>
      </c>
      <c r="D128" s="212"/>
      <c r="E128" s="1292"/>
    </row>
    <row r="129" spans="3:11" ht="16.149999999999999" x14ac:dyDescent="0.55000000000000004">
      <c r="C129" s="1239">
        <v>44663</v>
      </c>
      <c r="D129" s="323"/>
      <c r="E129" s="428"/>
      <c r="H129" s="755"/>
      <c r="I129" s="755"/>
    </row>
    <row r="130" spans="3:11" x14ac:dyDescent="0.4">
      <c r="C130" s="1239">
        <v>44664</v>
      </c>
      <c r="D130" s="323"/>
      <c r="E130" s="428"/>
    </row>
    <row r="131" spans="3:11" x14ac:dyDescent="0.4">
      <c r="C131" s="1239">
        <v>44665</v>
      </c>
      <c r="D131" s="323"/>
      <c r="E131" s="428"/>
    </row>
    <row r="132" spans="3:11" x14ac:dyDescent="0.4">
      <c r="C132" s="1239">
        <v>44666</v>
      </c>
      <c r="D132" s="323"/>
      <c r="E132" s="428"/>
    </row>
    <row r="133" spans="3:11" ht="16.149999999999999" x14ac:dyDescent="0.55000000000000004">
      <c r="C133" s="1239">
        <v>44667</v>
      </c>
      <c r="D133" s="323"/>
      <c r="E133" s="428"/>
      <c r="H133" s="755"/>
      <c r="I133" s="755"/>
    </row>
    <row r="134" spans="3:11" x14ac:dyDescent="0.4">
      <c r="C134" s="1239">
        <v>44668</v>
      </c>
      <c r="D134" s="323"/>
      <c r="E134" s="428"/>
    </row>
    <row r="135" spans="3:11" x14ac:dyDescent="0.4">
      <c r="C135" s="1239">
        <v>44669</v>
      </c>
      <c r="D135" s="323"/>
      <c r="E135" s="428"/>
    </row>
    <row r="136" spans="3:11" x14ac:dyDescent="0.4">
      <c r="C136" s="1239">
        <v>44670</v>
      </c>
      <c r="D136" s="323"/>
      <c r="E136" s="428"/>
    </row>
    <row r="137" spans="3:11" x14ac:dyDescent="0.4">
      <c r="C137" s="1239">
        <v>44671</v>
      </c>
      <c r="D137" s="212">
        <v>407433</v>
      </c>
      <c r="E137" s="212">
        <v>2327387</v>
      </c>
      <c r="F137" s="212">
        <v>225652</v>
      </c>
      <c r="G137" s="212">
        <v>6617539</v>
      </c>
      <c r="H137" s="212"/>
      <c r="I137" s="1228"/>
      <c r="J137" s="212">
        <v>955060</v>
      </c>
    </row>
    <row r="138" spans="3:11" x14ac:dyDescent="0.4">
      <c r="C138" s="1239">
        <v>44672</v>
      </c>
      <c r="D138" s="84">
        <v>39216</v>
      </c>
      <c r="E138" s="35">
        <v>222241</v>
      </c>
      <c r="F138" s="5">
        <v>22894</v>
      </c>
      <c r="G138" s="5">
        <v>671364</v>
      </c>
      <c r="J138" s="84">
        <v>87750</v>
      </c>
    </row>
    <row r="139" spans="3:11" ht="16.5" thickBot="1" x14ac:dyDescent="0.6">
      <c r="C139" s="1239">
        <v>44673</v>
      </c>
      <c r="D139" s="84">
        <v>37278</v>
      </c>
      <c r="E139" s="35">
        <v>212244</v>
      </c>
      <c r="F139" s="5">
        <v>21406</v>
      </c>
      <c r="G139" s="5">
        <v>684062</v>
      </c>
      <c r="H139" s="755">
        <v>930731</v>
      </c>
      <c r="I139" s="824">
        <v>553531416</v>
      </c>
      <c r="J139" s="84">
        <v>79660</v>
      </c>
      <c r="K139" s="910">
        <v>25670493</v>
      </c>
    </row>
    <row r="140" spans="3:11" x14ac:dyDescent="0.4">
      <c r="C140" s="1239">
        <v>44674</v>
      </c>
      <c r="D140" s="84">
        <v>29905</v>
      </c>
      <c r="E140" s="35">
        <v>211237</v>
      </c>
      <c r="F140" s="5">
        <v>19474</v>
      </c>
      <c r="G140" s="5">
        <v>781470</v>
      </c>
      <c r="J140" s="84">
        <v>97900</v>
      </c>
    </row>
    <row r="141" spans="3:11" x14ac:dyDescent="0.4">
      <c r="D141" s="1228">
        <f t="shared" ref="D141:K141" si="14">SUM(D118:D140)</f>
        <v>887002</v>
      </c>
      <c r="E141" s="1228">
        <f t="shared" si="14"/>
        <v>4998054</v>
      </c>
      <c r="F141" s="1228">
        <f t="shared" si="14"/>
        <v>439561</v>
      </c>
      <c r="G141" s="1228">
        <f t="shared" si="14"/>
        <v>12875223</v>
      </c>
      <c r="H141" s="1228">
        <f t="shared" si="14"/>
        <v>930731</v>
      </c>
      <c r="I141" s="1228">
        <f t="shared" si="14"/>
        <v>553531416</v>
      </c>
      <c r="J141" s="1228">
        <f t="shared" si="14"/>
        <v>2040950</v>
      </c>
      <c r="K141" s="1228">
        <f t="shared" si="14"/>
        <v>25670493</v>
      </c>
    </row>
    <row r="142" spans="3:11" x14ac:dyDescent="0.4">
      <c r="D142" s="84" t="s">
        <v>657</v>
      </c>
    </row>
  </sheetData>
  <mergeCells count="86">
    <mergeCell ref="D82:E82"/>
    <mergeCell ref="F82:G82"/>
    <mergeCell ref="H82:I82"/>
    <mergeCell ref="J82:K82"/>
    <mergeCell ref="D117:E117"/>
    <mergeCell ref="F117:G117"/>
    <mergeCell ref="H117:I117"/>
    <mergeCell ref="J117:K117"/>
    <mergeCell ref="A49:A52"/>
    <mergeCell ref="B49:I49"/>
    <mergeCell ref="M49:M52"/>
    <mergeCell ref="N49:U49"/>
    <mergeCell ref="B50:C50"/>
    <mergeCell ref="E50:E52"/>
    <mergeCell ref="H50:H52"/>
    <mergeCell ref="N50:O50"/>
    <mergeCell ref="P50:P52"/>
    <mergeCell ref="Q50:Q52"/>
    <mergeCell ref="B51:C51"/>
    <mergeCell ref="N51:O51"/>
    <mergeCell ref="B52:C52"/>
    <mergeCell ref="N52:O52"/>
    <mergeCell ref="T50:T52"/>
    <mergeCell ref="A45:A48"/>
    <mergeCell ref="B45:I45"/>
    <mergeCell ref="M45:M48"/>
    <mergeCell ref="N45:U45"/>
    <mergeCell ref="E47:E48"/>
    <mergeCell ref="P47:P48"/>
    <mergeCell ref="Q47:Q48"/>
    <mergeCell ref="T47:T48"/>
    <mergeCell ref="A38:A43"/>
    <mergeCell ref="B38:I38"/>
    <mergeCell ref="N38:U38"/>
    <mergeCell ref="B28:C29"/>
    <mergeCell ref="D28:E28"/>
    <mergeCell ref="F28:G28"/>
    <mergeCell ref="H28:I28"/>
    <mergeCell ref="N28:O29"/>
    <mergeCell ref="P28:Q28"/>
    <mergeCell ref="R28:S28"/>
    <mergeCell ref="T28:U28"/>
    <mergeCell ref="A30:A36"/>
    <mergeCell ref="B30:I30"/>
    <mergeCell ref="N30:U30"/>
    <mergeCell ref="C18:E18"/>
    <mergeCell ref="F18:I18"/>
    <mergeCell ref="M18:M26"/>
    <mergeCell ref="O18:Q18"/>
    <mergeCell ref="A14:A17"/>
    <mergeCell ref="B14:I14"/>
    <mergeCell ref="M14:M17"/>
    <mergeCell ref="N14:U14"/>
    <mergeCell ref="E16:E17"/>
    <mergeCell ref="H16:H17"/>
    <mergeCell ref="P16:P17"/>
    <mergeCell ref="Q16:Q17"/>
    <mergeCell ref="T16:T17"/>
    <mergeCell ref="R18:U18"/>
    <mergeCell ref="A18:A26"/>
    <mergeCell ref="T3:U3"/>
    <mergeCell ref="A11:I11"/>
    <mergeCell ref="M11:U11"/>
    <mergeCell ref="B13:I13"/>
    <mergeCell ref="N13:U13"/>
    <mergeCell ref="P5:Q5"/>
    <mergeCell ref="M3:M5"/>
    <mergeCell ref="N3:N5"/>
    <mergeCell ref="P3:Q3"/>
    <mergeCell ref="R3:S3"/>
    <mergeCell ref="AC3:AH3"/>
    <mergeCell ref="A1:I1"/>
    <mergeCell ref="M1:U1"/>
    <mergeCell ref="A2:I2"/>
    <mergeCell ref="M2:U2"/>
    <mergeCell ref="AC2:AH2"/>
    <mergeCell ref="A3:A5"/>
    <mergeCell ref="B3:B5"/>
    <mergeCell ref="C3:D3"/>
    <mergeCell ref="F3:G3"/>
    <mergeCell ref="H3:I3"/>
    <mergeCell ref="H4:H5"/>
    <mergeCell ref="I4:I5"/>
    <mergeCell ref="T4:T5"/>
    <mergeCell ref="U4:U5"/>
    <mergeCell ref="D5:E5"/>
  </mergeCells>
  <pageMargins left="0.2" right="0.2" top="0.75" bottom="0.75" header="0.3" footer="0.3"/>
  <pageSetup paperSize="9" scale="20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7030A0"/>
    <pageSetUpPr fitToPage="1"/>
  </sheetPr>
  <dimension ref="A1:P63"/>
  <sheetViews>
    <sheetView zoomScaleNormal="100" workbookViewId="0">
      <selection activeCell="E4" sqref="E4"/>
    </sheetView>
  </sheetViews>
  <sheetFormatPr defaultColWidth="9.1328125" defaultRowHeight="16.899999999999999" x14ac:dyDescent="0.35"/>
  <cols>
    <col min="1" max="1" width="5.86328125" style="376" customWidth="1"/>
    <col min="2" max="2" width="33.86328125" style="300" customWidth="1"/>
    <col min="3" max="3" width="8.73046875" style="5" customWidth="1"/>
    <col min="4" max="4" width="11.3984375" style="84" hidden="1" customWidth="1"/>
    <col min="5" max="5" width="15.86328125" style="35" customWidth="1"/>
    <col min="6" max="6" width="12.73046875" style="5" customWidth="1"/>
    <col min="7" max="7" width="11.86328125" style="5" customWidth="1"/>
    <col min="8" max="8" width="9.265625" style="11" bestFit="1" customWidth="1"/>
    <col min="9" max="9" width="11.86328125" style="82" customWidth="1"/>
    <col min="10" max="12" width="9.1328125" style="5"/>
    <col min="13" max="13" width="9.1328125" style="12"/>
    <col min="14" max="16384" width="9.1328125" style="5"/>
  </cols>
  <sheetData>
    <row r="1" spans="1:14" ht="19.5" customHeight="1" x14ac:dyDescent="0.35">
      <c r="A1" s="2200" t="s">
        <v>5</v>
      </c>
      <c r="B1" s="2200"/>
      <c r="C1" s="2200"/>
      <c r="D1" s="2200"/>
      <c r="E1" s="2200"/>
      <c r="F1" s="2200"/>
      <c r="G1" s="2200"/>
      <c r="H1" s="2200"/>
      <c r="I1" s="2200"/>
    </row>
    <row r="2" spans="1:14" s="301" customFormat="1" ht="15" customHeight="1" thickBot="1" x14ac:dyDescent="0.5">
      <c r="A2" s="2092" t="s">
        <v>660</v>
      </c>
      <c r="B2" s="2093"/>
      <c r="C2" s="2093"/>
      <c r="D2" s="2093"/>
      <c r="E2" s="2093"/>
      <c r="F2" s="2093"/>
      <c r="G2" s="2093"/>
      <c r="H2" s="2093"/>
      <c r="I2" s="2094"/>
      <c r="M2" s="522"/>
    </row>
    <row r="3" spans="1:14" ht="17.25" thickTop="1" x14ac:dyDescent="0.5">
      <c r="A3" s="2035" t="s">
        <v>144</v>
      </c>
      <c r="B3" s="2201" t="s">
        <v>7</v>
      </c>
      <c r="C3" s="2202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4" s="35" customFormat="1" ht="30" x14ac:dyDescent="0.45">
      <c r="A4" s="2035"/>
      <c r="B4" s="2203"/>
      <c r="C4" s="2204"/>
      <c r="D4" s="366" t="s">
        <v>9</v>
      </c>
      <c r="E4" s="383" t="str">
        <f>G4</f>
        <v>UpTo MAR-22</v>
      </c>
      <c r="F4" s="383" t="s">
        <v>654</v>
      </c>
      <c r="G4" s="383" t="s">
        <v>655</v>
      </c>
      <c r="H4" s="2111" t="s">
        <v>12</v>
      </c>
      <c r="I4" s="2111" t="s">
        <v>13</v>
      </c>
      <c r="M4" s="428"/>
    </row>
    <row r="5" spans="1:14" ht="20.25" hidden="1" customHeight="1" x14ac:dyDescent="0.5">
      <c r="A5" s="2036"/>
      <c r="B5" s="2203"/>
      <c r="C5" s="2204"/>
      <c r="D5" s="2157" t="s">
        <v>249</v>
      </c>
      <c r="E5" s="2158"/>
      <c r="F5" s="602" t="s">
        <v>249</v>
      </c>
      <c r="G5" s="602" t="s">
        <v>438</v>
      </c>
      <c r="H5" s="2112"/>
      <c r="I5" s="2112"/>
    </row>
    <row r="6" spans="1:14" ht="30" customHeight="1" x14ac:dyDescent="0.35">
      <c r="A6" s="372">
        <v>1</v>
      </c>
      <c r="B6" s="2049" t="s">
        <v>290</v>
      </c>
      <c r="C6" s="2049"/>
      <c r="D6" s="304"/>
      <c r="E6" s="304">
        <v>534.87</v>
      </c>
      <c r="F6" s="434">
        <v>202.54</v>
      </c>
      <c r="G6" s="434">
        <f>'UPTO FEB-22'!G6+'MARCH 2022'!G6</f>
        <v>615.09889696200003</v>
      </c>
      <c r="H6" s="517">
        <f>(G6-E6)/E6*100</f>
        <v>14.999700293903196</v>
      </c>
      <c r="I6" s="517">
        <f t="shared" ref="I6:I11" si="0">(G6-F6)/F6*100</f>
        <v>203.69255305717391</v>
      </c>
      <c r="K6" s="12"/>
    </row>
    <row r="7" spans="1:14" ht="26.25" customHeight="1" x14ac:dyDescent="0.35">
      <c r="A7" s="838">
        <v>2</v>
      </c>
      <c r="B7" s="2207" t="s">
        <v>291</v>
      </c>
      <c r="C7" s="2208"/>
      <c r="D7" s="434"/>
      <c r="E7" s="434">
        <v>168.22</v>
      </c>
      <c r="F7" s="434">
        <v>130.41999999999999</v>
      </c>
      <c r="G7" s="434">
        <v>275.33999999999997</v>
      </c>
      <c r="H7" s="517">
        <f>(G7-E7)/E7*100</f>
        <v>63.678516228748052</v>
      </c>
      <c r="I7" s="517">
        <f t="shared" si="0"/>
        <v>111.11792669835914</v>
      </c>
      <c r="K7" s="12"/>
      <c r="N7" s="12"/>
    </row>
    <row r="8" spans="1:14" ht="32.25" customHeight="1" x14ac:dyDescent="0.35">
      <c r="A8" s="374">
        <v>3</v>
      </c>
      <c r="B8" s="2021" t="s">
        <v>292</v>
      </c>
      <c r="C8" s="2023"/>
      <c r="D8" s="364"/>
      <c r="E8" s="364">
        <v>64.459999999999994</v>
      </c>
      <c r="F8" s="434">
        <f>'UPTO FEB-22'!F8+'MARCH 2022'!F8</f>
        <v>22.721217099999997</v>
      </c>
      <c r="G8" s="434">
        <f>'UPTO FEB-22'!G8+'MARCH 2022'!G8</f>
        <v>71.674099700000014</v>
      </c>
      <c r="H8" s="517">
        <f>(G8-E8)/E8*100</f>
        <v>11.191591219360877</v>
      </c>
      <c r="I8" s="517">
        <f t="shared" si="0"/>
        <v>215.45008959929365</v>
      </c>
      <c r="K8" s="12"/>
    </row>
    <row r="9" spans="1:14" ht="34.5" customHeight="1" x14ac:dyDescent="0.35">
      <c r="A9" s="838">
        <v>4</v>
      </c>
      <c r="B9" s="2209" t="s">
        <v>293</v>
      </c>
      <c r="C9" s="2210"/>
      <c r="D9" s="434"/>
      <c r="E9" s="434">
        <v>5.27</v>
      </c>
      <c r="F9" s="434">
        <v>1.59</v>
      </c>
      <c r="G9" s="434">
        <f>'UPTO FEB-22'!G9+'MARCH 2022'!G9</f>
        <v>5.1459812999999999</v>
      </c>
      <c r="H9" s="517">
        <f>(G9-E9)/E9*100</f>
        <v>-2.3532960151802604</v>
      </c>
      <c r="I9" s="517">
        <f t="shared" si="0"/>
        <v>223.64662264150942</v>
      </c>
      <c r="K9" s="522">
        <f>F10-F9</f>
        <v>355.68121709999997</v>
      </c>
      <c r="L9" s="522">
        <f>G10-G9</f>
        <v>962.112996662</v>
      </c>
    </row>
    <row r="10" spans="1:14" ht="48" customHeight="1" x14ac:dyDescent="0.35">
      <c r="A10" s="374">
        <v>5</v>
      </c>
      <c r="B10" s="2054" t="s">
        <v>294</v>
      </c>
      <c r="C10" s="2055"/>
      <c r="D10" s="305"/>
      <c r="E10" s="434">
        <f>SUM(E6:E9)</f>
        <v>772.82</v>
      </c>
      <c r="F10" s="434">
        <f>SUM(F6:F9)</f>
        <v>357.27121709999994</v>
      </c>
      <c r="G10" s="434">
        <f>SUM(G6:G9)</f>
        <v>967.25897796200002</v>
      </c>
      <c r="H10" s="517">
        <f>(G10-E10)/E10*100</f>
        <v>25.159672105017982</v>
      </c>
      <c r="I10" s="517">
        <f t="shared" si="0"/>
        <v>170.73520946168608</v>
      </c>
    </row>
    <row r="11" spans="1:14" ht="30.75" customHeight="1" x14ac:dyDescent="0.35">
      <c r="A11" s="373">
        <v>6.3</v>
      </c>
      <c r="B11" s="2211" t="s">
        <v>604</v>
      </c>
      <c r="C11" s="2212"/>
      <c r="D11" s="918" t="s">
        <v>221</v>
      </c>
      <c r="E11" s="920" t="s">
        <v>221</v>
      </c>
      <c r="F11" s="920">
        <f>F41+F42+F43</f>
        <v>3.8777069999999996</v>
      </c>
      <c r="G11" s="920">
        <f>G41+G42+G43</f>
        <v>16.611401999999998</v>
      </c>
      <c r="H11" s="919" t="s">
        <v>221</v>
      </c>
      <c r="I11" s="919">
        <f t="shared" si="0"/>
        <v>328.38208250391278</v>
      </c>
    </row>
    <row r="12" spans="1:14" ht="16.5" customHeight="1" x14ac:dyDescent="0.35">
      <c r="B12" s="2167" t="s">
        <v>229</v>
      </c>
      <c r="C12" s="2168"/>
      <c r="D12" s="2168"/>
      <c r="E12" s="2168"/>
      <c r="F12" s="2168"/>
      <c r="G12" s="2168"/>
      <c r="H12" s="2168"/>
      <c r="I12" s="2169"/>
    </row>
    <row r="13" spans="1:14" ht="14.25" customHeight="1" x14ac:dyDescent="0.35">
      <c r="A13" s="2003">
        <v>1</v>
      </c>
      <c r="B13" s="2021" t="s">
        <v>278</v>
      </c>
      <c r="C13" s="2022"/>
      <c r="D13" s="2022"/>
      <c r="E13" s="2022"/>
      <c r="F13" s="2022"/>
      <c r="G13" s="2022"/>
      <c r="H13" s="2022"/>
      <c r="I13" s="2023"/>
    </row>
    <row r="14" spans="1:14" ht="15.4" x14ac:dyDescent="0.4">
      <c r="A14" s="2004"/>
      <c r="B14" s="2006" t="s">
        <v>16</v>
      </c>
      <c r="C14" s="2007"/>
      <c r="D14" s="331"/>
      <c r="E14" s="307">
        <v>1.27</v>
      </c>
      <c r="F14" s="315">
        <f>'UPTO JULY 2021'!F15+'AUG-2021'!F15+'SEPTEMBER 2021'!F15+'OCTOBER-2021'!F15+'NOVEMBER-2021'!F15+'DEC 2021'!F15+'JANUARY-2022'!F15+'FEB -2022'!F15+'MARCH 2022'!F15</f>
        <v>0.21279431100000001</v>
      </c>
      <c r="G14" s="315">
        <f>'UPTO JULY 2021'!G15+'AUG-2021'!G15+'SEPTEMBER 2021'!G15+'OCTOBER-2021'!G15+'NOVEMBER-2021'!G15+'DEC 2021'!G15+'JANUARY-2022'!G15+'FEB -2022'!G15+'MARCH 2022'!G15</f>
        <v>2.0896889139999999</v>
      </c>
      <c r="H14" s="316">
        <f>(G14-E14)/E14*100</f>
        <v>64.54243417322833</v>
      </c>
      <c r="I14" s="316">
        <f>(G14-F14)/F14*100</f>
        <v>882.02292353577047</v>
      </c>
    </row>
    <row r="15" spans="1:14" ht="15.4" x14ac:dyDescent="0.4">
      <c r="A15" s="2004"/>
      <c r="B15" s="2071" t="s">
        <v>15</v>
      </c>
      <c r="C15" s="320" t="s">
        <v>166</v>
      </c>
      <c r="D15" s="2064"/>
      <c r="E15" s="2065">
        <v>533.6</v>
      </c>
      <c r="F15" s="315">
        <f>'UPTO JULY 2021'!F16+'AUG-2021'!F16+'SEPTEMBER 2021'!F16+'OCTOBER-2021'!F16+'NOVEMBER-2021'!F16+'DEC 2021'!F16+'JANUARY-2022'!F16+'FEB -2022'!F16+'MARCH 2022'!F16</f>
        <v>14.023786200000002</v>
      </c>
      <c r="G15" s="315">
        <f>'UPTO JULY 2021'!G16+'AUG-2021'!G16+'SEPTEMBER 2021'!G16+'OCTOBER-2021'!G16+'NOVEMBER-2021'!G16+'DEC 2021'!G16+'JANUARY-2022'!G16+'FEB -2022'!G16+'MARCH 2022'!G16</f>
        <v>2.1157408480000002</v>
      </c>
      <c r="H15" s="2154">
        <v>14.88</v>
      </c>
      <c r="I15" s="316">
        <f>(G15-F15)/F15*100</f>
        <v>-84.913198063444526</v>
      </c>
      <c r="J15" s="12"/>
      <c r="K15" s="12">
        <v>533.6</v>
      </c>
      <c r="L15" s="12">
        <f>G15+G16</f>
        <v>613.009208048</v>
      </c>
      <c r="N15" s="5">
        <f>(L15-K15)/K15*100</f>
        <v>14.8817856161919</v>
      </c>
    </row>
    <row r="16" spans="1:14" ht="15.4" x14ac:dyDescent="0.4">
      <c r="A16" s="2005"/>
      <c r="B16" s="2071"/>
      <c r="C16" s="320" t="s">
        <v>228</v>
      </c>
      <c r="D16" s="2064"/>
      <c r="E16" s="2066"/>
      <c r="F16" s="315">
        <f>'UPTO JULY 2021'!F17+'AUG-2021'!F17+'SEPTEMBER 2021'!F17+'OCTOBER-2021'!F17+'NOVEMBER-2021'!F17+'DEC 2021'!F17+'JANUARY-2022'!F17+'FEB -2022'!F17+'MARCH 2022'!F17</f>
        <v>190.2419161</v>
      </c>
      <c r="G16" s="315">
        <f>'UPTO JULY 2021'!G17+'AUG-2021'!G17+'SEPTEMBER 2021'!G17+'OCTOBER-2021'!G17+'NOVEMBER-2021'!G17+'DEC 2021'!G17+'JANUARY-2022'!G17+'FEB -2022'!G17+'MARCH 2022'!G17</f>
        <v>610.89346720000003</v>
      </c>
      <c r="H16" s="2155"/>
      <c r="I16" s="316">
        <f>(G16-F16)/F16*100</f>
        <v>221.11402141202467</v>
      </c>
    </row>
    <row r="17" spans="1:9" ht="15" x14ac:dyDescent="0.35">
      <c r="A17" s="2003">
        <v>2</v>
      </c>
      <c r="B17" s="2021" t="s">
        <v>467</v>
      </c>
      <c r="C17" s="2022"/>
      <c r="D17" s="2022"/>
      <c r="E17" s="2022"/>
      <c r="F17" s="2022"/>
      <c r="G17" s="2022"/>
      <c r="H17" s="2022"/>
      <c r="I17" s="2023"/>
    </row>
    <row r="18" spans="1:9" ht="15.4" x14ac:dyDescent="0.4">
      <c r="A18" s="2004"/>
      <c r="B18" s="2008" t="s">
        <v>230</v>
      </c>
      <c r="C18" s="2000" t="s">
        <v>231</v>
      </c>
      <c r="D18" s="2001"/>
      <c r="E18" s="2002"/>
      <c r="F18" s="315">
        <v>67.981553000000005</v>
      </c>
      <c r="G18" s="315">
        <f>2073429359/10000000</f>
        <v>207.34293589999999</v>
      </c>
      <c r="H18" s="316" t="s">
        <v>221</v>
      </c>
      <c r="I18" s="316">
        <f t="shared" ref="I18:I24" si="1">(G18-F18)/F18*100</f>
        <v>204.99882210693238</v>
      </c>
    </row>
    <row r="19" spans="1:9" ht="15.4" x14ac:dyDescent="0.4">
      <c r="A19" s="2004"/>
      <c r="B19" s="2009"/>
      <c r="C19" s="2000" t="s">
        <v>232</v>
      </c>
      <c r="D19" s="2001"/>
      <c r="E19" s="2002"/>
      <c r="F19" s="315">
        <v>32.743837499999998</v>
      </c>
      <c r="G19" s="315">
        <f>123503062/10000000</f>
        <v>12.3503062</v>
      </c>
      <c r="H19" s="316" t="s">
        <v>221</v>
      </c>
      <c r="I19" s="316">
        <f t="shared" si="1"/>
        <v>-62.282044064016631</v>
      </c>
    </row>
    <row r="20" spans="1:9" ht="15.4" x14ac:dyDescent="0.4">
      <c r="A20" s="2004"/>
      <c r="B20" s="2009"/>
      <c r="C20" s="2000" t="s">
        <v>239</v>
      </c>
      <c r="D20" s="2001"/>
      <c r="E20" s="2002"/>
      <c r="F20" s="315">
        <v>18.820517699999996</v>
      </c>
      <c r="G20" s="315">
        <f>455093684/10000000</f>
        <v>45.5093684</v>
      </c>
      <c r="H20" s="316" t="s">
        <v>221</v>
      </c>
      <c r="I20" s="316">
        <f t="shared" si="1"/>
        <v>141.80720809821298</v>
      </c>
    </row>
    <row r="21" spans="1:9" ht="15.4" x14ac:dyDescent="0.4">
      <c r="A21" s="2004"/>
      <c r="B21" s="2009"/>
      <c r="C21" s="2000" t="s">
        <v>233</v>
      </c>
      <c r="D21" s="2001"/>
      <c r="E21" s="2002"/>
      <c r="F21" s="315">
        <v>10.1843907</v>
      </c>
      <c r="G21" s="315">
        <f>97844333/10000000</f>
        <v>9.7844332999999999</v>
      </c>
      <c r="H21" s="316" t="s">
        <v>221</v>
      </c>
      <c r="I21" s="316">
        <f t="shared" si="1"/>
        <v>-3.9271608069788599</v>
      </c>
    </row>
    <row r="22" spans="1:9" ht="15.4" x14ac:dyDescent="0.4">
      <c r="A22" s="2004"/>
      <c r="B22" s="2009"/>
      <c r="C22" s="2000" t="s">
        <v>234</v>
      </c>
      <c r="D22" s="2001"/>
      <c r="E22" s="2002"/>
      <c r="F22" s="315">
        <v>0.08</v>
      </c>
      <c r="G22" s="315">
        <v>0</v>
      </c>
      <c r="H22" s="316" t="s">
        <v>221</v>
      </c>
      <c r="I22" s="316">
        <f t="shared" si="1"/>
        <v>-100</v>
      </c>
    </row>
    <row r="23" spans="1:9" ht="15.4" x14ac:dyDescent="0.4">
      <c r="A23" s="2004"/>
      <c r="B23" s="2009"/>
      <c r="C23" s="2000" t="s">
        <v>235</v>
      </c>
      <c r="D23" s="2001"/>
      <c r="E23" s="2002"/>
      <c r="F23" s="315">
        <v>0.49</v>
      </c>
      <c r="G23" s="315">
        <f>380164/10000000</f>
        <v>3.8016399999999999E-2</v>
      </c>
      <c r="H23" s="316"/>
      <c r="I23" s="316">
        <f t="shared" si="1"/>
        <v>-92.241551020408167</v>
      </c>
    </row>
    <row r="24" spans="1:9" ht="15.4" x14ac:dyDescent="0.35">
      <c r="A24" s="2005"/>
      <c r="B24" s="2010"/>
      <c r="C24" s="2159" t="s">
        <v>549</v>
      </c>
      <c r="D24" s="2160"/>
      <c r="E24" s="2161"/>
      <c r="F24" s="315">
        <v>0.12773110000000001</v>
      </c>
      <c r="G24" s="315">
        <f>(766386+1991029+182099)/10000000</f>
        <v>0.29395139999999997</v>
      </c>
      <c r="H24" s="316" t="s">
        <v>221</v>
      </c>
      <c r="I24" s="316">
        <f t="shared" si="1"/>
        <v>130.1329903210729</v>
      </c>
    </row>
    <row r="25" spans="1:9" ht="15" x14ac:dyDescent="0.35">
      <c r="A25" s="2014">
        <v>3</v>
      </c>
      <c r="B25" s="2021" t="s">
        <v>623</v>
      </c>
      <c r="C25" s="2022"/>
      <c r="D25" s="2022"/>
      <c r="E25" s="2022"/>
      <c r="F25" s="2022"/>
      <c r="G25" s="2022"/>
      <c r="H25" s="2022"/>
      <c r="I25" s="2023"/>
    </row>
    <row r="26" spans="1:9" ht="15.4" x14ac:dyDescent="0.4">
      <c r="A26" s="2015"/>
      <c r="B26" s="2006" t="s">
        <v>2</v>
      </c>
      <c r="C26" s="2007"/>
      <c r="D26" s="314"/>
      <c r="E26" s="315">
        <v>6</v>
      </c>
      <c r="F26" s="315">
        <v>0.79</v>
      </c>
      <c r="G26" s="315">
        <f>'UPTO JULY 2021'!G27+'AUG-2021'!G27+'SEPTEMBER 2021'!G27+'OCTOBER-2021'!G27+'NOVEMBER-2021'!G27+'DEC 2021'!G27+'JANUARY-2022'!G27+'FEB -2022'!G27+'MARCH 2022'!G27</f>
        <v>10.977297400000001</v>
      </c>
      <c r="H26" s="316">
        <f>(G26-E26)/E26*100</f>
        <v>82.954956666666689</v>
      </c>
      <c r="I26" s="316">
        <f>(G26-F26)/F26*100</f>
        <v>1289.5313164556962</v>
      </c>
    </row>
    <row r="27" spans="1:9" ht="15.4" x14ac:dyDescent="0.4">
      <c r="A27" s="2015"/>
      <c r="B27" s="2006" t="s">
        <v>23</v>
      </c>
      <c r="C27" s="2007"/>
      <c r="D27" s="603"/>
      <c r="E27" s="315">
        <v>28.5</v>
      </c>
      <c r="F27" s="315">
        <v>11.65</v>
      </c>
      <c r="G27" s="315">
        <f>'UPTO JULY 2021'!G28+'AUG-2021'!G28+'SEPTEMBER 2021'!G28+'OCTOBER-2021'!G28+'NOVEMBER-2021'!G28+'DEC 2021'!G28+'JANUARY-2022'!G28+'FEB -2022'!G28+'MARCH 2022'!G28</f>
        <v>25.645024399999997</v>
      </c>
      <c r="H27" s="316">
        <f>(G27-E27)/E27*100</f>
        <v>-10.017458245614046</v>
      </c>
      <c r="I27" s="316">
        <f>(G27-F27)/F27*100</f>
        <v>120.12896480686692</v>
      </c>
    </row>
    <row r="28" spans="1:9" ht="15.4" x14ac:dyDescent="0.4">
      <c r="A28" s="2015"/>
      <c r="B28" s="2006" t="s">
        <v>1</v>
      </c>
      <c r="C28" s="2007"/>
      <c r="D28" s="313"/>
      <c r="E28" s="315">
        <v>3.74</v>
      </c>
      <c r="F28" s="315">
        <v>0.3401749</v>
      </c>
      <c r="G28" s="315">
        <f>'UPTO JULY 2021'!G29+'AUG-2021'!G29+'SEPTEMBER 2021'!G29+'OCTOBER-2021'!G29+'NOVEMBER-2021'!G29+'DEC 2021'!G29+'JANUARY-2022'!G29+'FEB -2022'!G29+'MARCH 2022'!G29</f>
        <v>1.1151324</v>
      </c>
      <c r="H28" s="316">
        <f>(G28-E28)/E28*100</f>
        <v>-70.183625668449196</v>
      </c>
      <c r="I28" s="316">
        <f>(G28-F28)/F28*100</f>
        <v>227.81148756125157</v>
      </c>
    </row>
    <row r="29" spans="1:9" ht="15.4" x14ac:dyDescent="0.4">
      <c r="A29" s="2015"/>
      <c r="B29" s="2006" t="s">
        <v>24</v>
      </c>
      <c r="C29" s="2007"/>
      <c r="D29" s="603" t="s">
        <v>221</v>
      </c>
      <c r="E29" s="315" t="s">
        <v>221</v>
      </c>
      <c r="F29" s="315">
        <v>0</v>
      </c>
      <c r="G29" s="315">
        <f>'UPTO JULY 2021'!G30+'AUG-2021'!G30+'SEPTEMBER 2021'!G30+'OCTOBER-2021'!G30+'NOVEMBER-2021'!G30+'DEC 2021'!G30+'JANUARY-2022'!G30+'FEB -2022'!G30+'MARCH 2022'!G30</f>
        <v>0.36572300000000002</v>
      </c>
      <c r="H29" s="316" t="s">
        <v>221</v>
      </c>
      <c r="I29" s="316">
        <v>0</v>
      </c>
    </row>
    <row r="30" spans="1:9" ht="15.4" x14ac:dyDescent="0.4">
      <c r="A30" s="2015"/>
      <c r="B30" s="2017" t="s">
        <v>25</v>
      </c>
      <c r="C30" s="2030"/>
      <c r="D30" s="603" t="s">
        <v>221</v>
      </c>
      <c r="E30" s="315" t="s">
        <v>221</v>
      </c>
      <c r="F30" s="315">
        <v>0</v>
      </c>
      <c r="G30" s="315">
        <f>'UPTO JULY 2021'!G31+'AUG-2021'!G31+'SEPTEMBER 2021'!G31+'OCTOBER-2021'!G31+'NOVEMBER-2021'!G31+'DEC 2021'!G31+'JANUARY-2022'!G31+'FEB -2022'!G31+'MARCH 2022'!G31</f>
        <v>2.9771365000000003</v>
      </c>
      <c r="H30" s="316" t="s">
        <v>221</v>
      </c>
      <c r="I30" s="316">
        <v>0</v>
      </c>
    </row>
    <row r="31" spans="1:9" ht="31.5" customHeight="1" x14ac:dyDescent="0.4">
      <c r="A31" s="2015"/>
      <c r="B31" s="2017" t="s">
        <v>241</v>
      </c>
      <c r="C31" s="2030"/>
      <c r="D31" s="540" t="s">
        <v>221</v>
      </c>
      <c r="E31" s="316" t="s">
        <v>221</v>
      </c>
      <c r="F31" s="315">
        <v>9.91</v>
      </c>
      <c r="G31" s="315">
        <f>'UPTO JULY 2021'!G32+'AUG-2021'!G32+'SEPTEMBER 2021'!G32+'OCTOBER-2021'!G32+'NOVEMBER-2021'!G32+'DEC 2021'!G32+'JANUARY-2022'!G32+'FEB -2022'!G32+'MARCH 2022'!G32</f>
        <v>30.062250799999997</v>
      </c>
      <c r="H31" s="316" t="s">
        <v>221</v>
      </c>
      <c r="I31" s="316">
        <f>(G31-F31)/F31*100</f>
        <v>203.35268213925323</v>
      </c>
    </row>
    <row r="32" spans="1:9" ht="15.4" x14ac:dyDescent="0.4">
      <c r="A32" s="2016"/>
      <c r="B32" s="2006" t="s">
        <v>260</v>
      </c>
      <c r="C32" s="2019"/>
      <c r="D32" s="540" t="s">
        <v>221</v>
      </c>
      <c r="E32" s="316" t="s">
        <v>221</v>
      </c>
      <c r="F32" s="315">
        <v>2.7684300000000002E-2</v>
      </c>
      <c r="G32" s="315">
        <f>'UPTO JULY 2021'!G33+'AUG-2021'!G33+'SEPTEMBER 2021'!G33+'OCTOBER-2021'!G33+'NOVEMBER-2021'!G33+'DEC 2021'!G33+'JANUARY-2022'!G33+'FEB -2022'!G33+'MARCH 2022'!G33</f>
        <v>0.53153519999999999</v>
      </c>
      <c r="H32" s="413"/>
      <c r="I32" s="316">
        <f>(G32-F32)/F32*100</f>
        <v>1819.9878631570962</v>
      </c>
    </row>
    <row r="33" spans="1:9" ht="15" x14ac:dyDescent="0.35">
      <c r="A33" s="2014">
        <v>4</v>
      </c>
      <c r="B33" s="2021" t="s">
        <v>622</v>
      </c>
      <c r="C33" s="2022"/>
      <c r="D33" s="2022"/>
      <c r="E33" s="2022"/>
      <c r="F33" s="2022"/>
      <c r="G33" s="2022"/>
      <c r="H33" s="2022"/>
      <c r="I33" s="2023"/>
    </row>
    <row r="34" spans="1:9" ht="15.4" x14ac:dyDescent="0.4">
      <c r="A34" s="2015"/>
      <c r="B34" s="2006" t="s">
        <v>27</v>
      </c>
      <c r="C34" s="2007"/>
      <c r="D34" s="603"/>
      <c r="E34" s="315">
        <v>3.24</v>
      </c>
      <c r="F34" s="315">
        <v>1.0829323</v>
      </c>
      <c r="G34" s="315">
        <f>'UPTO JULY 2021'!G35+'AUG-2021'!G35+'SEPTEMBER 2021'!G35+'OCTOBER-2021'!G35+'NOVEMBER-2021'!G35+'DEC 2021'!G35+'JANUARY-2022'!G35+'FEB -2022'!G35+'MARCH 2022'!G35</f>
        <v>4.1788628000000001</v>
      </c>
      <c r="H34" s="314">
        <f>(G34-E34)/E34*100</f>
        <v>28.977246913580242</v>
      </c>
      <c r="I34" s="316">
        <f>(G34-F34)/F34*100</f>
        <v>285.88402986964195</v>
      </c>
    </row>
    <row r="35" spans="1:9" ht="15.4" x14ac:dyDescent="0.4">
      <c r="A35" s="2015"/>
      <c r="B35" s="2006" t="s">
        <v>28</v>
      </c>
      <c r="C35" s="2007"/>
      <c r="D35" s="313"/>
      <c r="E35" s="315">
        <v>1.1299999999999999</v>
      </c>
      <c r="F35" s="315">
        <v>0.1221</v>
      </c>
      <c r="G35" s="315">
        <v>0.17199999999999999</v>
      </c>
      <c r="H35" s="314">
        <f>(G35-E35)/E35*100</f>
        <v>-84.778761061946909</v>
      </c>
      <c r="I35" s="316">
        <f>(G35-F35)/F35*100</f>
        <v>40.868140868140856</v>
      </c>
    </row>
    <row r="36" spans="1:9" ht="15.4" x14ac:dyDescent="0.4">
      <c r="A36" s="2015"/>
      <c r="B36" s="378" t="s">
        <v>224</v>
      </c>
      <c r="C36" s="379"/>
      <c r="D36" s="603"/>
      <c r="E36" s="315">
        <v>0.9</v>
      </c>
      <c r="F36" s="315">
        <v>0.19</v>
      </c>
      <c r="G36" s="315">
        <f>'UPTO JULY 2021'!G37+'AUG-2021'!G37+'SEPTEMBER 2021'!G37+'OCTOBER-2021'!G37+'NOVEMBER-2021'!G37+'DEC 2021'!G37+'JANUARY-2022'!G37+'FEB -2022'!G37+'MARCH 2022'!G37</f>
        <v>0.23092159999999998</v>
      </c>
      <c r="H36" s="314">
        <f>(G36-E36)/E36*100</f>
        <v>-74.342044444444454</v>
      </c>
      <c r="I36" s="316">
        <f>(G36-F36)/F36*100</f>
        <v>21.537684210526304</v>
      </c>
    </row>
    <row r="37" spans="1:9" ht="15.4" x14ac:dyDescent="0.4">
      <c r="A37" s="2015"/>
      <c r="B37" s="2006" t="s">
        <v>64</v>
      </c>
      <c r="C37" s="2007"/>
      <c r="D37" s="540" t="s">
        <v>221</v>
      </c>
      <c r="E37" s="315" t="s">
        <v>221</v>
      </c>
      <c r="F37" s="315">
        <v>0</v>
      </c>
      <c r="G37" s="315">
        <f>'UPTO JULY 2021'!G38+'AUG-2021'!G38+'SEPTEMBER 2021'!G38+'OCTOBER-2021'!G38+'NOVEMBER-2021'!G38+'DEC 2021'!G38+'JANUARY-2022'!G38+'FEB -2022'!G38+'MARCH 2022'!G38</f>
        <v>0</v>
      </c>
      <c r="H37" s="314" t="s">
        <v>221</v>
      </c>
      <c r="I37" s="316">
        <v>0</v>
      </c>
    </row>
    <row r="38" spans="1:9" ht="15.4" x14ac:dyDescent="0.4">
      <c r="A38" s="2015"/>
      <c r="B38" s="2006" t="s">
        <v>4</v>
      </c>
      <c r="C38" s="2007"/>
      <c r="D38" s="540" t="s">
        <v>221</v>
      </c>
      <c r="E38" s="315" t="s">
        <v>221</v>
      </c>
      <c r="F38" s="315">
        <v>1.5826E-3</v>
      </c>
      <c r="G38" s="315">
        <f>'UPTO JULY 2021'!G39+'AUG-2021'!G39+'SEPTEMBER 2021'!G39+'OCTOBER-2021'!G39+'NOVEMBER-2021'!G39+'DEC 2021'!G39+'JANUARY-2022'!G39+'FEB -2022'!G39+'MARCH 2022'!G39</f>
        <v>4.06481E-2</v>
      </c>
      <c r="H38" s="314" t="s">
        <v>221</v>
      </c>
      <c r="I38" s="316">
        <v>0</v>
      </c>
    </row>
    <row r="39" spans="1:9" ht="15.4" x14ac:dyDescent="0.4">
      <c r="A39" s="2016"/>
      <c r="B39" s="2006" t="s">
        <v>259</v>
      </c>
      <c r="C39" s="2019"/>
      <c r="D39" s="540" t="s">
        <v>221</v>
      </c>
      <c r="E39" s="315" t="s">
        <v>221</v>
      </c>
      <c r="F39" s="315">
        <v>0.19900000000000001</v>
      </c>
      <c r="G39" s="315">
        <v>0.53</v>
      </c>
      <c r="H39" s="407" t="s">
        <v>221</v>
      </c>
      <c r="I39" s="316">
        <f>(G39-F39)/F39*100</f>
        <v>166.33165829145727</v>
      </c>
    </row>
    <row r="40" spans="1:9" ht="15" x14ac:dyDescent="0.35">
      <c r="A40" s="2020">
        <v>5</v>
      </c>
      <c r="B40" s="2213" t="s">
        <v>659</v>
      </c>
      <c r="C40" s="2214"/>
      <c r="D40" s="2214"/>
      <c r="E40" s="2214"/>
      <c r="F40" s="2214"/>
      <c r="G40" s="2214"/>
      <c r="H40" s="2214"/>
      <c r="I40" s="2215"/>
    </row>
    <row r="41" spans="1:9" ht="15.4" x14ac:dyDescent="0.4">
      <c r="A41" s="2020"/>
      <c r="B41" s="2006" t="s">
        <v>16</v>
      </c>
      <c r="C41" s="2007"/>
      <c r="D41" s="603" t="s">
        <v>221</v>
      </c>
      <c r="E41" s="315" t="s">
        <v>221</v>
      </c>
      <c r="F41" s="315">
        <f>'UPTO JULY 2021'!F42+'AUG-2021'!F42+'SEPTEMBER 2021'!F42+'OCTOBER-2021'!F42+'NOVEMBER-2021'!F42+'DEC 2021'!F42+'JANUARY-2022'!F42+'FEB -2022'!F42+'MARCH 2022'!F42</f>
        <v>0.46589800000000003</v>
      </c>
      <c r="G41" s="315">
        <f>'UPTO JULY 2021'!G42+'AUG-2021'!G42+'SEPTEMBER 2021'!G42+'OCTOBER-2021'!G42+'NOVEMBER-2021'!G42+'DEC 2021'!G42+'JANUARY-2022'!G42+'FEB -2022'!G42+'MARCH 2022'!G42</f>
        <v>4.4567049999999995</v>
      </c>
      <c r="H41" s="314" t="s">
        <v>221</v>
      </c>
      <c r="I41" s="316">
        <f>(G41-F41)/F41*100</f>
        <v>856.58384453249403</v>
      </c>
    </row>
    <row r="42" spans="1:9" ht="15.4" x14ac:dyDescent="0.4">
      <c r="A42" s="2020"/>
      <c r="B42" s="2069" t="s">
        <v>15</v>
      </c>
      <c r="C42" s="320" t="s">
        <v>166</v>
      </c>
      <c r="D42" s="2162" t="s">
        <v>221</v>
      </c>
      <c r="E42" s="2154" t="s">
        <v>221</v>
      </c>
      <c r="F42" s="315">
        <f>'UPTO JULY 2021'!F43+'AUG-2021'!F43+'SEPTEMBER 2021'!F43+'OCTOBER-2021'!F43+'NOVEMBER-2021'!F43+'DEC 2021'!F43+'JANUARY-2022'!F43+'FEB -2022'!F43+'MARCH 2022'!F43</f>
        <v>0.26151599999999997</v>
      </c>
      <c r="G42" s="315">
        <f>'UPTO JULY 2021'!G43+'AUG-2021'!G43+'SEPTEMBER 2021'!G43+'OCTOBER-2021'!G43+'NOVEMBER-2021'!G43+'DEC 2021'!G43+'JANUARY-2022'!G43+'FEB -2022'!G43+'MARCH 2022'!G43</f>
        <v>1.1915969999999998</v>
      </c>
      <c r="H42" s="2027" t="s">
        <v>221</v>
      </c>
      <c r="I42" s="316">
        <f>(G42-F42)/F42*100</f>
        <v>355.64974991969899</v>
      </c>
    </row>
    <row r="43" spans="1:9" ht="15.4" x14ac:dyDescent="0.4">
      <c r="A43" s="2020"/>
      <c r="B43" s="2070"/>
      <c r="C43" s="320" t="s">
        <v>228</v>
      </c>
      <c r="D43" s="2163"/>
      <c r="E43" s="2155"/>
      <c r="F43" s="315">
        <f>'UPTO JULY 2021'!F44+'AUG-2021'!F44+'SEPTEMBER 2021'!F44+'OCTOBER-2021'!F44+'NOVEMBER-2021'!F44+'DEC 2021'!F44+'JANUARY-2022'!F44+'FEB -2022'!F44+'MARCH 2022'!F44</f>
        <v>3.1502929999999996</v>
      </c>
      <c r="G43" s="315">
        <f>'UPTO JULY 2021'!G44+'AUG-2021'!G44+'SEPTEMBER 2021'!G44+'OCTOBER-2021'!G44+'NOVEMBER-2021'!G44+'DEC 2021'!G44+'JANUARY-2022'!G44+'FEB -2022'!G44+'MARCH 2022'!G44</f>
        <v>10.963100000000001</v>
      </c>
      <c r="H43" s="2029"/>
      <c r="I43" s="316">
        <f>(G43-F43)/F43*100</f>
        <v>248.00255087383945</v>
      </c>
    </row>
    <row r="44" spans="1:9" ht="15" x14ac:dyDescent="0.35">
      <c r="A44" s="2020">
        <v>6</v>
      </c>
      <c r="B44" s="2021" t="s">
        <v>658</v>
      </c>
      <c r="C44" s="2022"/>
      <c r="D44" s="2022"/>
      <c r="E44" s="2022"/>
      <c r="F44" s="2022"/>
      <c r="G44" s="2022"/>
      <c r="H44" s="2022"/>
      <c r="I44" s="2023"/>
    </row>
    <row r="45" spans="1:9" ht="15.4" x14ac:dyDescent="0.4">
      <c r="A45" s="2020"/>
      <c r="B45" s="2006" t="s">
        <v>36</v>
      </c>
      <c r="C45" s="2007"/>
      <c r="D45" s="303" t="s">
        <v>221</v>
      </c>
      <c r="E45" s="2024">
        <v>2.67</v>
      </c>
      <c r="F45" s="313">
        <v>149.62</v>
      </c>
      <c r="G45" s="313">
        <v>182.27</v>
      </c>
      <c r="H45" s="2027" t="s">
        <v>221</v>
      </c>
      <c r="I45" s="316">
        <f>(G45-F45)/F45*100</f>
        <v>21.821948937307852</v>
      </c>
    </row>
    <row r="46" spans="1:9" ht="15.4" x14ac:dyDescent="0.4">
      <c r="A46" s="2020"/>
      <c r="B46" s="2006" t="s">
        <v>37</v>
      </c>
      <c r="C46" s="2007"/>
      <c r="D46" s="303" t="s">
        <v>221</v>
      </c>
      <c r="E46" s="2025"/>
      <c r="F46" s="313">
        <v>32.36</v>
      </c>
      <c r="G46" s="313">
        <v>44.91</v>
      </c>
      <c r="H46" s="2028"/>
      <c r="I46" s="316">
        <f>(G46-F46)/F46*100</f>
        <v>38.782447466007412</v>
      </c>
    </row>
    <row r="47" spans="1:9" ht="15.4" x14ac:dyDescent="0.4">
      <c r="A47" s="2020"/>
      <c r="B47" s="2006" t="s">
        <v>38</v>
      </c>
      <c r="C47" s="2007"/>
      <c r="D47" s="303" t="s">
        <v>221</v>
      </c>
      <c r="E47" s="2026"/>
      <c r="F47" s="333">
        <f>SUM(F45:F46)</f>
        <v>181.98000000000002</v>
      </c>
      <c r="G47" s="333">
        <f>SUM(G45:G46)</f>
        <v>227.18</v>
      </c>
      <c r="H47" s="2029"/>
      <c r="I47" s="316">
        <f>(G47-F47)/F47*100</f>
        <v>24.837894274096044</v>
      </c>
    </row>
    <row r="49" spans="1:16" ht="15.75" thickBot="1" x14ac:dyDescent="0.45">
      <c r="A49" s="5"/>
      <c r="B49" s="5"/>
      <c r="D49" s="5"/>
      <c r="E49" s="824"/>
      <c r="F49" s="12"/>
      <c r="G49" s="12"/>
      <c r="H49" s="314"/>
      <c r="I49" s="316"/>
    </row>
    <row r="50" spans="1:16" ht="13.5" x14ac:dyDescent="0.35">
      <c r="A50" s="5"/>
      <c r="B50" s="5"/>
      <c r="D50" s="5"/>
      <c r="E50" s="5"/>
      <c r="F50" s="12"/>
      <c r="G50" s="12"/>
      <c r="I50" s="5"/>
      <c r="O50" s="5" t="s">
        <v>438</v>
      </c>
      <c r="P50" s="5" t="s">
        <v>746</v>
      </c>
    </row>
    <row r="51" spans="1:16" ht="13.5" x14ac:dyDescent="0.35">
      <c r="A51" s="5"/>
      <c r="B51" s="5"/>
      <c r="D51" s="5"/>
      <c r="E51" s="5"/>
      <c r="I51" s="5"/>
      <c r="O51" s="5">
        <v>1952</v>
      </c>
      <c r="P51" s="5">
        <v>1521</v>
      </c>
    </row>
    <row r="52" spans="1:16" ht="13.5" x14ac:dyDescent="0.35">
      <c r="A52" s="5"/>
      <c r="B52" s="5"/>
      <c r="D52" s="5"/>
      <c r="E52" s="5"/>
      <c r="I52" s="5"/>
      <c r="O52" s="5">
        <v>1485</v>
      </c>
      <c r="P52" s="5">
        <v>1135</v>
      </c>
    </row>
    <row r="53" spans="1:16" ht="13.5" x14ac:dyDescent="0.35">
      <c r="A53" s="5"/>
      <c r="B53" s="5"/>
      <c r="D53" s="5"/>
      <c r="E53" s="5"/>
      <c r="O53" s="5">
        <v>1269</v>
      </c>
      <c r="P53" s="5">
        <v>1035</v>
      </c>
    </row>
    <row r="56" spans="1:16" ht="13.5" x14ac:dyDescent="0.35">
      <c r="A56" s="5"/>
      <c r="B56" s="5"/>
      <c r="E56" s="5"/>
      <c r="F56" s="12"/>
      <c r="G56" s="12"/>
    </row>
    <row r="57" spans="1:16" ht="13.5" x14ac:dyDescent="0.35">
      <c r="A57" s="5"/>
      <c r="B57" s="5"/>
      <c r="D57" s="5"/>
      <c r="E57" s="5"/>
      <c r="F57" s="12"/>
      <c r="G57" s="12"/>
      <c r="H57" s="12"/>
      <c r="I57" s="11"/>
    </row>
    <row r="58" spans="1:16" ht="13.5" x14ac:dyDescent="0.35">
      <c r="A58" s="5"/>
      <c r="B58" s="5"/>
      <c r="D58" s="5"/>
      <c r="E58" s="5"/>
      <c r="F58" s="12"/>
      <c r="G58" s="12"/>
    </row>
    <row r="59" spans="1:16" x14ac:dyDescent="0.35">
      <c r="F59" s="12"/>
      <c r="G59" s="12"/>
    </row>
    <row r="62" spans="1:16" x14ac:dyDescent="0.35">
      <c r="E62" s="35">
        <f>25/7</f>
        <v>3.5714285714285716</v>
      </c>
      <c r="F62" s="5">
        <f>1281249436/7</f>
        <v>183035633.7142857</v>
      </c>
      <c r="G62" s="5">
        <f>F62/100000</f>
        <v>1830.356337142857</v>
      </c>
    </row>
    <row r="63" spans="1:16" x14ac:dyDescent="0.35">
      <c r="E63" s="35">
        <f>253.5/7</f>
        <v>36.214285714285715</v>
      </c>
      <c r="F63" s="5">
        <f>53100890/7</f>
        <v>7585841.4285714282</v>
      </c>
      <c r="G63" s="5">
        <f>F63/100000</f>
        <v>75.858414285714275</v>
      </c>
    </row>
  </sheetData>
  <mergeCells count="64">
    <mergeCell ref="B6:C6"/>
    <mergeCell ref="B7:C7"/>
    <mergeCell ref="B8:C8"/>
    <mergeCell ref="B9:C9"/>
    <mergeCell ref="B10:C10"/>
    <mergeCell ref="A1:I1"/>
    <mergeCell ref="A2:I2"/>
    <mergeCell ref="A3:A5"/>
    <mergeCell ref="B3:C5"/>
    <mergeCell ref="D3:E3"/>
    <mergeCell ref="F3:G3"/>
    <mergeCell ref="H3:I3"/>
    <mergeCell ref="H4:H5"/>
    <mergeCell ref="I4:I5"/>
    <mergeCell ref="D5:E5"/>
    <mergeCell ref="B11:C11"/>
    <mergeCell ref="B12:I12"/>
    <mergeCell ref="A13:A16"/>
    <mergeCell ref="B13:I13"/>
    <mergeCell ref="B14:C14"/>
    <mergeCell ref="B15:B16"/>
    <mergeCell ref="D15:D16"/>
    <mergeCell ref="E15:E16"/>
    <mergeCell ref="H15:H16"/>
    <mergeCell ref="A17:A24"/>
    <mergeCell ref="B17:I17"/>
    <mergeCell ref="B18:B24"/>
    <mergeCell ref="C18:E18"/>
    <mergeCell ref="C19:E19"/>
    <mergeCell ref="C20:E20"/>
    <mergeCell ref="C21:E21"/>
    <mergeCell ref="C22:E22"/>
    <mergeCell ref="C23:E23"/>
    <mergeCell ref="C24:E24"/>
    <mergeCell ref="A25:A32"/>
    <mergeCell ref="B25:I25"/>
    <mergeCell ref="B26:C26"/>
    <mergeCell ref="B27:C27"/>
    <mergeCell ref="B28:C28"/>
    <mergeCell ref="B29:C29"/>
    <mergeCell ref="B30:C30"/>
    <mergeCell ref="B31:C31"/>
    <mergeCell ref="B32:C32"/>
    <mergeCell ref="A33:A39"/>
    <mergeCell ref="B33:I33"/>
    <mergeCell ref="B34:C34"/>
    <mergeCell ref="B35:C35"/>
    <mergeCell ref="B37:C37"/>
    <mergeCell ref="B38:C38"/>
    <mergeCell ref="B39:C39"/>
    <mergeCell ref="A40:A43"/>
    <mergeCell ref="B40:I40"/>
    <mergeCell ref="B41:C41"/>
    <mergeCell ref="B42:B43"/>
    <mergeCell ref="D42:D43"/>
    <mergeCell ref="E42:E43"/>
    <mergeCell ref="H42:H43"/>
    <mergeCell ref="A44:A47"/>
    <mergeCell ref="B44:I44"/>
    <mergeCell ref="B45:C45"/>
    <mergeCell ref="E45:E47"/>
    <mergeCell ref="H45:H47"/>
    <mergeCell ref="B46:C46"/>
    <mergeCell ref="B47:C47"/>
  </mergeCells>
  <pageMargins left="0.2" right="0.2" top="0.25" bottom="0.24" header="0.3" footer="0.3"/>
  <pageSetup paperSize="9" scale="52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B4:AG112"/>
  <sheetViews>
    <sheetView topLeftCell="A21" zoomScale="80" zoomScaleNormal="80" workbookViewId="0">
      <selection activeCell="G9" sqref="G9"/>
    </sheetView>
  </sheetViews>
  <sheetFormatPr defaultRowHeight="14.25" x14ac:dyDescent="0.45"/>
  <cols>
    <col min="2" max="2" width="25.1328125" customWidth="1"/>
    <col min="3" max="3" width="16.59765625" customWidth="1"/>
    <col min="4" max="4" width="11.1328125" customWidth="1"/>
    <col min="5" max="5" width="12.59765625" customWidth="1"/>
    <col min="6" max="6" width="12.86328125" customWidth="1"/>
    <col min="7" max="7" width="15.73046875" customWidth="1"/>
    <col min="8" max="8" width="9.265625" customWidth="1"/>
    <col min="9" max="9" width="12.59765625" customWidth="1"/>
    <col min="11" max="11" width="18" customWidth="1"/>
    <col min="12" max="12" width="10.59765625" customWidth="1"/>
    <col min="13" max="13" width="9.86328125" customWidth="1"/>
    <col min="14" max="14" width="12.86328125" customWidth="1"/>
    <col min="15" max="15" width="14.59765625" customWidth="1"/>
    <col min="16" max="16" width="9.265625" customWidth="1"/>
    <col min="17" max="17" width="12.3984375" customWidth="1"/>
    <col min="19" max="19" width="11.1328125" customWidth="1"/>
  </cols>
  <sheetData>
    <row r="4" spans="3:17" ht="18" x14ac:dyDescent="0.55000000000000004">
      <c r="C4" s="2456" t="s">
        <v>127</v>
      </c>
      <c r="D4" s="2458" t="s">
        <v>128</v>
      </c>
      <c r="E4" s="2458"/>
      <c r="F4" s="2458"/>
      <c r="G4" s="2458"/>
      <c r="H4" s="2458"/>
      <c r="I4" s="2458"/>
      <c r="J4" s="140"/>
      <c r="K4" s="2456" t="s">
        <v>127</v>
      </c>
      <c r="L4" s="2458" t="s">
        <v>129</v>
      </c>
      <c r="M4" s="2458"/>
      <c r="N4" s="2458"/>
      <c r="O4" s="2458"/>
      <c r="P4" s="2458"/>
      <c r="Q4" s="2458"/>
    </row>
    <row r="5" spans="3:17" ht="18" x14ac:dyDescent="0.55000000000000004">
      <c r="C5" s="2457"/>
      <c r="D5" s="141" t="s">
        <v>94</v>
      </c>
      <c r="E5" s="142" t="s">
        <v>90</v>
      </c>
      <c r="F5" s="143" t="s">
        <v>130</v>
      </c>
      <c r="G5" s="144" t="s">
        <v>90</v>
      </c>
      <c r="H5" s="141" t="s">
        <v>63</v>
      </c>
      <c r="I5" s="144" t="s">
        <v>90</v>
      </c>
      <c r="J5" s="145"/>
      <c r="K5" s="2457"/>
      <c r="L5" s="141" t="s">
        <v>94</v>
      </c>
      <c r="M5" s="142" t="s">
        <v>90</v>
      </c>
      <c r="N5" s="141" t="s">
        <v>130</v>
      </c>
      <c r="O5" s="142" t="s">
        <v>90</v>
      </c>
      <c r="P5" s="141" t="s">
        <v>63</v>
      </c>
      <c r="Q5" s="142" t="s">
        <v>90</v>
      </c>
    </row>
    <row r="6" spans="3:17" ht="18" x14ac:dyDescent="0.55000000000000004">
      <c r="C6" s="146" t="s">
        <v>131</v>
      </c>
      <c r="D6" s="147">
        <v>26.07</v>
      </c>
      <c r="E6" s="148">
        <f>D6</f>
        <v>26.07</v>
      </c>
      <c r="F6" s="147">
        <v>37.69</v>
      </c>
      <c r="G6" s="149">
        <f>F6</f>
        <v>37.69</v>
      </c>
      <c r="H6" s="147">
        <f>D6+F6</f>
        <v>63.76</v>
      </c>
      <c r="I6" s="148">
        <f>H6</f>
        <v>63.76</v>
      </c>
      <c r="J6" s="145"/>
      <c r="K6" s="146" t="s">
        <v>131</v>
      </c>
      <c r="L6" s="147">
        <v>1.5</v>
      </c>
      <c r="M6" s="148">
        <f>L6</f>
        <v>1.5</v>
      </c>
      <c r="N6" s="147">
        <v>65.31</v>
      </c>
      <c r="O6" s="148">
        <f>N6</f>
        <v>65.31</v>
      </c>
      <c r="P6" s="147">
        <f>L6+N6</f>
        <v>66.81</v>
      </c>
      <c r="Q6" s="148">
        <f>P6</f>
        <v>66.81</v>
      </c>
    </row>
    <row r="7" spans="3:17" ht="18" x14ac:dyDescent="0.55000000000000004">
      <c r="C7" s="146" t="s">
        <v>132</v>
      </c>
      <c r="D7" s="147">
        <v>26.92</v>
      </c>
      <c r="E7" s="148">
        <f>E6+D7</f>
        <v>52.99</v>
      </c>
      <c r="F7" s="147">
        <v>40.06</v>
      </c>
      <c r="G7" s="149">
        <f>G6+F7</f>
        <v>77.75</v>
      </c>
      <c r="H7" s="147">
        <f t="shared" ref="H7:H17" si="0">D7+F7</f>
        <v>66.98</v>
      </c>
      <c r="I7" s="148">
        <f>I6+H7</f>
        <v>130.74</v>
      </c>
      <c r="J7" s="145"/>
      <c r="K7" s="146" t="s">
        <v>132</v>
      </c>
      <c r="L7" s="147">
        <v>1.61</v>
      </c>
      <c r="M7" s="148">
        <f>M6+L7</f>
        <v>3.1100000000000003</v>
      </c>
      <c r="N7" s="147">
        <v>68.56</v>
      </c>
      <c r="O7" s="148">
        <f>O6+N7</f>
        <v>133.87</v>
      </c>
      <c r="P7" s="147">
        <f t="shared" ref="P7:P17" si="1">L7+N7</f>
        <v>70.17</v>
      </c>
      <c r="Q7" s="148">
        <f>Q6+P7</f>
        <v>136.98000000000002</v>
      </c>
    </row>
    <row r="8" spans="3:17" ht="18" x14ac:dyDescent="0.55000000000000004">
      <c r="C8" s="146" t="s">
        <v>133</v>
      </c>
      <c r="D8" s="147">
        <v>29.33</v>
      </c>
      <c r="E8" s="148">
        <f t="shared" ref="E8:G17" si="2">E7+D8</f>
        <v>82.32</v>
      </c>
      <c r="F8" s="147">
        <v>39.479999999999997</v>
      </c>
      <c r="G8" s="149">
        <f t="shared" si="2"/>
        <v>117.22999999999999</v>
      </c>
      <c r="H8" s="147">
        <f t="shared" si="0"/>
        <v>68.81</v>
      </c>
      <c r="I8" s="148">
        <f t="shared" ref="I8:I17" si="3">I7+H8</f>
        <v>199.55</v>
      </c>
      <c r="J8" s="145"/>
      <c r="K8" s="146" t="s">
        <v>133</v>
      </c>
      <c r="L8" s="147">
        <v>1.72</v>
      </c>
      <c r="M8" s="148">
        <f t="shared" ref="M8:M16" si="4">M7+L8</f>
        <v>4.83</v>
      </c>
      <c r="N8" s="147">
        <v>71.73</v>
      </c>
      <c r="O8" s="148">
        <f t="shared" ref="O8:O17" si="5">O7+N8</f>
        <v>205.60000000000002</v>
      </c>
      <c r="P8" s="147">
        <f t="shared" si="1"/>
        <v>73.45</v>
      </c>
      <c r="Q8" s="148">
        <f t="shared" ref="Q8:Q17" si="6">Q7+P8</f>
        <v>210.43</v>
      </c>
    </row>
    <row r="9" spans="3:17" ht="18" x14ac:dyDescent="0.55000000000000004">
      <c r="C9" s="146" t="s">
        <v>51</v>
      </c>
      <c r="D9" s="147">
        <v>33.340000000000003</v>
      </c>
      <c r="E9" s="148">
        <f t="shared" si="2"/>
        <v>115.66</v>
      </c>
      <c r="F9" s="147">
        <v>36.79</v>
      </c>
      <c r="G9" s="149">
        <f t="shared" si="2"/>
        <v>154.01999999999998</v>
      </c>
      <c r="H9" s="147">
        <f t="shared" si="0"/>
        <v>70.13</v>
      </c>
      <c r="I9" s="148">
        <f t="shared" si="3"/>
        <v>269.68</v>
      </c>
      <c r="J9" s="145"/>
      <c r="K9" s="146" t="s">
        <v>51</v>
      </c>
      <c r="L9" s="147">
        <v>1.93</v>
      </c>
      <c r="M9" s="148">
        <f t="shared" si="4"/>
        <v>6.76</v>
      </c>
      <c r="N9" s="147">
        <v>67.959999999999994</v>
      </c>
      <c r="O9" s="148">
        <f t="shared" si="5"/>
        <v>273.56</v>
      </c>
      <c r="P9" s="147">
        <f t="shared" si="1"/>
        <v>69.89</v>
      </c>
      <c r="Q9" s="148">
        <f t="shared" si="6"/>
        <v>280.32</v>
      </c>
    </row>
    <row r="10" spans="3:17" ht="18" x14ac:dyDescent="0.55000000000000004">
      <c r="C10" s="146" t="s">
        <v>134</v>
      </c>
      <c r="D10" s="147">
        <v>31.34</v>
      </c>
      <c r="E10" s="148">
        <f t="shared" si="2"/>
        <v>147</v>
      </c>
      <c r="F10" s="147">
        <v>36.340000000000003</v>
      </c>
      <c r="G10" s="149">
        <f t="shared" si="2"/>
        <v>190.35999999999999</v>
      </c>
      <c r="H10" s="147">
        <f t="shared" si="0"/>
        <v>67.680000000000007</v>
      </c>
      <c r="I10" s="148">
        <f t="shared" si="3"/>
        <v>337.36</v>
      </c>
      <c r="J10" s="145"/>
      <c r="K10" s="146" t="s">
        <v>134</v>
      </c>
      <c r="L10" s="147">
        <v>1.75</v>
      </c>
      <c r="M10" s="148">
        <f t="shared" si="4"/>
        <v>8.51</v>
      </c>
      <c r="N10" s="147">
        <v>66.489999999999995</v>
      </c>
      <c r="O10" s="148">
        <f t="shared" si="5"/>
        <v>340.05</v>
      </c>
      <c r="P10" s="147">
        <f t="shared" si="1"/>
        <v>68.239999999999995</v>
      </c>
      <c r="Q10" s="148">
        <f t="shared" si="6"/>
        <v>348.56</v>
      </c>
    </row>
    <row r="11" spans="3:17" ht="18" x14ac:dyDescent="0.55000000000000004">
      <c r="C11" s="146" t="s">
        <v>135</v>
      </c>
      <c r="D11" s="147">
        <v>29.2</v>
      </c>
      <c r="E11" s="148">
        <f t="shared" si="2"/>
        <v>176.2</v>
      </c>
      <c r="F11" s="147">
        <v>33.54</v>
      </c>
      <c r="G11" s="149">
        <f t="shared" si="2"/>
        <v>223.89999999999998</v>
      </c>
      <c r="H11" s="147">
        <f t="shared" si="0"/>
        <v>62.739999999999995</v>
      </c>
      <c r="I11" s="148">
        <f t="shared" si="3"/>
        <v>400.1</v>
      </c>
      <c r="J11" s="145"/>
      <c r="K11" s="146" t="s">
        <v>135</v>
      </c>
      <c r="L11" s="147">
        <v>1.6</v>
      </c>
      <c r="M11" s="148">
        <f t="shared" si="4"/>
        <v>10.11</v>
      </c>
      <c r="N11" s="147">
        <v>61.61</v>
      </c>
      <c r="O11" s="148">
        <f t="shared" si="5"/>
        <v>401.66</v>
      </c>
      <c r="P11" s="147">
        <f t="shared" si="1"/>
        <v>63.21</v>
      </c>
      <c r="Q11" s="148">
        <f t="shared" si="6"/>
        <v>411.77</v>
      </c>
    </row>
    <row r="12" spans="3:17" ht="18" x14ac:dyDescent="0.55000000000000004">
      <c r="C12" s="146" t="s">
        <v>136</v>
      </c>
      <c r="D12" s="147">
        <v>28.04</v>
      </c>
      <c r="E12" s="148">
        <f t="shared" si="2"/>
        <v>204.23999999999998</v>
      </c>
      <c r="F12" s="147">
        <v>38.08</v>
      </c>
      <c r="G12" s="149">
        <f t="shared" si="2"/>
        <v>261.97999999999996</v>
      </c>
      <c r="H12" s="147">
        <f t="shared" si="0"/>
        <v>66.12</v>
      </c>
      <c r="I12" s="148">
        <f t="shared" si="3"/>
        <v>466.22</v>
      </c>
      <c r="J12" s="145"/>
      <c r="K12" s="146" t="s">
        <v>136</v>
      </c>
      <c r="L12" s="147">
        <v>1.61</v>
      </c>
      <c r="M12" s="148">
        <f t="shared" si="4"/>
        <v>11.719999999999999</v>
      </c>
      <c r="N12" s="147">
        <v>65.650000000000006</v>
      </c>
      <c r="O12" s="148">
        <f t="shared" si="5"/>
        <v>467.31000000000006</v>
      </c>
      <c r="P12" s="147">
        <f t="shared" si="1"/>
        <v>67.260000000000005</v>
      </c>
      <c r="Q12" s="148">
        <f t="shared" si="6"/>
        <v>479.03</v>
      </c>
    </row>
    <row r="13" spans="3:17" ht="18" x14ac:dyDescent="0.55000000000000004">
      <c r="C13" s="146" t="s">
        <v>137</v>
      </c>
      <c r="D13" s="147">
        <v>28.25</v>
      </c>
      <c r="E13" s="148">
        <f t="shared" si="2"/>
        <v>232.48999999999998</v>
      </c>
      <c r="F13" s="147">
        <v>34.79</v>
      </c>
      <c r="G13" s="149">
        <f t="shared" si="2"/>
        <v>296.77</v>
      </c>
      <c r="H13" s="147">
        <f t="shared" si="0"/>
        <v>63.04</v>
      </c>
      <c r="I13" s="148">
        <f t="shared" si="3"/>
        <v>529.26</v>
      </c>
      <c r="J13" s="145"/>
      <c r="K13" s="146" t="s">
        <v>137</v>
      </c>
      <c r="L13" s="147">
        <v>1.57</v>
      </c>
      <c r="M13" s="148">
        <f t="shared" si="4"/>
        <v>13.29</v>
      </c>
      <c r="N13" s="147">
        <v>64.61</v>
      </c>
      <c r="O13" s="148">
        <f t="shared" si="5"/>
        <v>531.92000000000007</v>
      </c>
      <c r="P13" s="147">
        <f t="shared" si="1"/>
        <v>66.179999999999993</v>
      </c>
      <c r="Q13" s="148">
        <f t="shared" si="6"/>
        <v>545.20999999999992</v>
      </c>
    </row>
    <row r="14" spans="3:17" ht="18" x14ac:dyDescent="0.55000000000000004">
      <c r="C14" s="146" t="s">
        <v>138</v>
      </c>
      <c r="D14" s="147">
        <v>27.28</v>
      </c>
      <c r="E14" s="148">
        <f t="shared" si="2"/>
        <v>259.77</v>
      </c>
      <c r="F14" s="147">
        <v>36.39</v>
      </c>
      <c r="G14" s="149">
        <f t="shared" si="2"/>
        <v>333.15999999999997</v>
      </c>
      <c r="H14" s="147">
        <f t="shared" si="0"/>
        <v>63.67</v>
      </c>
      <c r="I14" s="148">
        <f t="shared" si="3"/>
        <v>592.92999999999995</v>
      </c>
      <c r="J14" s="145"/>
      <c r="K14" s="146" t="s">
        <v>138</v>
      </c>
      <c r="L14" s="147">
        <v>1.52</v>
      </c>
      <c r="M14" s="148">
        <f t="shared" si="4"/>
        <v>14.809999999999999</v>
      </c>
      <c r="N14" s="147">
        <v>68.209999999999994</v>
      </c>
      <c r="O14" s="148">
        <f t="shared" si="5"/>
        <v>600.13000000000011</v>
      </c>
      <c r="P14" s="147">
        <f t="shared" si="1"/>
        <v>69.72999999999999</v>
      </c>
      <c r="Q14" s="148">
        <f t="shared" si="6"/>
        <v>614.93999999999994</v>
      </c>
    </row>
    <row r="15" spans="3:17" ht="18" x14ac:dyDescent="0.55000000000000004">
      <c r="C15" s="150" t="s">
        <v>139</v>
      </c>
      <c r="D15" s="151">
        <v>28.88</v>
      </c>
      <c r="E15" s="152">
        <f t="shared" si="2"/>
        <v>288.64999999999998</v>
      </c>
      <c r="F15" s="151">
        <v>35.79</v>
      </c>
      <c r="G15" s="153">
        <f t="shared" si="2"/>
        <v>368.95</v>
      </c>
      <c r="H15" s="151">
        <f t="shared" si="0"/>
        <v>64.67</v>
      </c>
      <c r="I15" s="152">
        <f t="shared" si="3"/>
        <v>657.59999999999991</v>
      </c>
      <c r="J15" s="154"/>
      <c r="K15" s="150" t="s">
        <v>139</v>
      </c>
      <c r="L15" s="151">
        <v>1.52</v>
      </c>
      <c r="M15" s="152">
        <f t="shared" si="4"/>
        <v>16.329999999999998</v>
      </c>
      <c r="N15" s="151">
        <v>70.78</v>
      </c>
      <c r="O15" s="152">
        <f t="shared" si="5"/>
        <v>670.91000000000008</v>
      </c>
      <c r="P15" s="151">
        <f t="shared" si="1"/>
        <v>72.3</v>
      </c>
      <c r="Q15" s="152">
        <f t="shared" si="6"/>
        <v>687.2399999999999</v>
      </c>
    </row>
    <row r="16" spans="3:17" ht="18" x14ac:dyDescent="0.55000000000000004">
      <c r="C16" s="150" t="s">
        <v>140</v>
      </c>
      <c r="D16" s="151">
        <v>24.64</v>
      </c>
      <c r="E16" s="152">
        <f>E15+D16</f>
        <v>313.28999999999996</v>
      </c>
      <c r="F16" s="151">
        <v>32.99</v>
      </c>
      <c r="G16" s="153">
        <f t="shared" si="2"/>
        <v>401.94</v>
      </c>
      <c r="H16" s="151">
        <f t="shared" si="0"/>
        <v>57.63</v>
      </c>
      <c r="I16" s="152">
        <f t="shared" si="3"/>
        <v>715.2299999999999</v>
      </c>
      <c r="J16" s="154"/>
      <c r="K16" s="150" t="s">
        <v>140</v>
      </c>
      <c r="L16" s="151">
        <v>1.35</v>
      </c>
      <c r="M16" s="152">
        <f t="shared" si="4"/>
        <v>17.68</v>
      </c>
      <c r="N16" s="151">
        <v>66.56</v>
      </c>
      <c r="O16" s="152">
        <f t="shared" si="5"/>
        <v>737.47</v>
      </c>
      <c r="P16" s="151">
        <f>L16+N16</f>
        <v>67.91</v>
      </c>
      <c r="Q16" s="152">
        <f t="shared" si="6"/>
        <v>755.14999999999986</v>
      </c>
    </row>
    <row r="17" spans="3:33" ht="18" x14ac:dyDescent="0.55000000000000004">
      <c r="C17" s="146" t="s">
        <v>141</v>
      </c>
      <c r="D17" s="147">
        <v>26.85</v>
      </c>
      <c r="E17" s="148">
        <f>E16+D17</f>
        <v>340.14</v>
      </c>
      <c r="F17" s="147">
        <v>35.15</v>
      </c>
      <c r="G17" s="149">
        <f t="shared" si="2"/>
        <v>437.09</v>
      </c>
      <c r="H17" s="147">
        <f t="shared" si="0"/>
        <v>62</v>
      </c>
      <c r="I17" s="148">
        <f t="shared" si="3"/>
        <v>777.2299999999999</v>
      </c>
      <c r="J17" s="145"/>
      <c r="K17" s="146" t="s">
        <v>141</v>
      </c>
      <c r="L17" s="147">
        <v>1.46</v>
      </c>
      <c r="M17" s="148">
        <f>M16+L17</f>
        <v>19.14</v>
      </c>
      <c r="N17" s="147">
        <v>77.42</v>
      </c>
      <c r="O17" s="148">
        <f t="shared" si="5"/>
        <v>814.89</v>
      </c>
      <c r="P17" s="147">
        <f t="shared" si="1"/>
        <v>78.88</v>
      </c>
      <c r="Q17" s="148">
        <f t="shared" si="6"/>
        <v>834.02999999999986</v>
      </c>
    </row>
    <row r="18" spans="3:33" ht="15.75" x14ac:dyDescent="0.5">
      <c r="C18" s="155"/>
      <c r="D18" s="155"/>
      <c r="E18" s="156"/>
      <c r="F18" s="155"/>
      <c r="G18" s="155"/>
      <c r="H18" s="155"/>
      <c r="I18" s="155"/>
      <c r="J18" s="155"/>
      <c r="K18" s="155"/>
      <c r="L18" s="155"/>
      <c r="M18" s="156"/>
      <c r="N18" s="155"/>
      <c r="O18" s="156"/>
      <c r="P18" s="155"/>
      <c r="Q18" s="156"/>
      <c r="V18" t="s">
        <v>191</v>
      </c>
      <c r="AE18" t="s">
        <v>192</v>
      </c>
    </row>
    <row r="19" spans="3:33" ht="15.75" x14ac:dyDescent="0.5">
      <c r="C19" s="155"/>
      <c r="D19" s="155"/>
      <c r="E19" s="156"/>
      <c r="F19" s="155"/>
      <c r="G19" s="155"/>
      <c r="H19" s="155"/>
      <c r="I19" s="155"/>
      <c r="J19" s="155"/>
      <c r="K19" s="155"/>
      <c r="L19" s="155"/>
      <c r="M19" s="156"/>
      <c r="N19" s="155"/>
      <c r="O19" s="156"/>
      <c r="P19" s="155"/>
      <c r="Q19" s="156"/>
      <c r="V19" t="s">
        <v>189</v>
      </c>
      <c r="Z19" t="s">
        <v>153</v>
      </c>
      <c r="AC19" t="s">
        <v>190</v>
      </c>
      <c r="AF19" t="s">
        <v>194</v>
      </c>
      <c r="AG19" t="s">
        <v>195</v>
      </c>
    </row>
    <row r="20" spans="3:33" ht="18" x14ac:dyDescent="0.55000000000000004">
      <c r="C20" s="2454" t="s">
        <v>127</v>
      </c>
      <c r="D20" s="2455" t="s">
        <v>142</v>
      </c>
      <c r="E20" s="2455"/>
      <c r="F20" s="2455"/>
      <c r="G20" s="2455"/>
      <c r="H20" s="2455"/>
      <c r="I20" s="2455"/>
      <c r="J20" s="179"/>
      <c r="K20" s="2454" t="s">
        <v>127</v>
      </c>
      <c r="L20" s="2455" t="s">
        <v>143</v>
      </c>
      <c r="M20" s="2455"/>
      <c r="N20" s="2455"/>
      <c r="O20" s="2455"/>
      <c r="P20" s="2455"/>
      <c r="Q20" s="2455"/>
      <c r="U20" t="s">
        <v>187</v>
      </c>
      <c r="V20" t="s">
        <v>107</v>
      </c>
      <c r="W20" t="s">
        <v>126</v>
      </c>
      <c r="X20" t="s">
        <v>188</v>
      </c>
      <c r="Z20" t="s">
        <v>107</v>
      </c>
      <c r="AA20" t="s">
        <v>126</v>
      </c>
      <c r="AB20" t="s">
        <v>188</v>
      </c>
      <c r="AC20" t="s">
        <v>107</v>
      </c>
      <c r="AD20" t="s">
        <v>194</v>
      </c>
      <c r="AE20" t="s">
        <v>126</v>
      </c>
      <c r="AF20" t="s">
        <v>188</v>
      </c>
    </row>
    <row r="21" spans="3:33" ht="18" x14ac:dyDescent="0.55000000000000004">
      <c r="C21" s="2454"/>
      <c r="D21" s="180" t="s">
        <v>94</v>
      </c>
      <c r="E21" s="181" t="s">
        <v>90</v>
      </c>
      <c r="F21" s="180" t="s">
        <v>130</v>
      </c>
      <c r="G21" s="182" t="s">
        <v>90</v>
      </c>
      <c r="H21" s="180" t="s">
        <v>63</v>
      </c>
      <c r="I21" s="182" t="s">
        <v>90</v>
      </c>
      <c r="J21" s="183"/>
      <c r="K21" s="2454"/>
      <c r="L21" s="180" t="s">
        <v>94</v>
      </c>
      <c r="M21" s="181" t="s">
        <v>90</v>
      </c>
      <c r="N21" s="180" t="s">
        <v>130</v>
      </c>
      <c r="O21" s="181" t="s">
        <v>90</v>
      </c>
      <c r="P21" s="180" t="s">
        <v>63</v>
      </c>
      <c r="Q21" s="181" t="s">
        <v>90</v>
      </c>
      <c r="U21" t="s">
        <v>193</v>
      </c>
      <c r="AC21">
        <v>62</v>
      </c>
      <c r="AD21">
        <v>62.900000000000006</v>
      </c>
      <c r="AE21">
        <v>63.09</v>
      </c>
      <c r="AF21" s="216">
        <f>(AE21-AD21)/AD21*100</f>
        <v>0.30206677265500431</v>
      </c>
      <c r="AG21" s="216">
        <f>(AE21-AC21)/AC21*100</f>
        <v>1.758064516129038</v>
      </c>
    </row>
    <row r="22" spans="3:33" ht="18" x14ac:dyDescent="0.55000000000000004">
      <c r="C22" s="146" t="s">
        <v>131</v>
      </c>
      <c r="D22" s="157">
        <v>26.09</v>
      </c>
      <c r="E22" s="148">
        <f>D22</f>
        <v>26.09</v>
      </c>
      <c r="F22" s="157">
        <v>35.909999999999997</v>
      </c>
      <c r="G22" s="149">
        <f>F22</f>
        <v>35.909999999999997</v>
      </c>
      <c r="H22" s="147">
        <f t="shared" ref="H22:H33" si="7">D22+F22</f>
        <v>62</v>
      </c>
      <c r="I22" s="149">
        <f>H22</f>
        <v>62</v>
      </c>
      <c r="J22" s="155"/>
      <c r="K22" s="146" t="s">
        <v>131</v>
      </c>
      <c r="L22" s="157">
        <v>1.51</v>
      </c>
      <c r="M22" s="148">
        <f>L22</f>
        <v>1.51</v>
      </c>
      <c r="N22" s="157">
        <v>67.09</v>
      </c>
      <c r="O22" s="148">
        <f>N22</f>
        <v>67.09</v>
      </c>
      <c r="P22" s="147">
        <f t="shared" ref="P22:P33" si="8">L22+N22</f>
        <v>68.600000000000009</v>
      </c>
      <c r="Q22" s="148">
        <f>P22</f>
        <v>68.600000000000009</v>
      </c>
      <c r="AC22">
        <v>63.129999999999995</v>
      </c>
      <c r="AD22">
        <v>64</v>
      </c>
      <c r="AE22">
        <v>65.5</v>
      </c>
      <c r="AF22" s="216">
        <f t="shared" ref="AF22:AF30" si="9">(AE22-AD22)/AD22*100</f>
        <v>2.34375</v>
      </c>
      <c r="AG22" s="216">
        <f t="shared" ref="AG22:AG30" si="10">(AE22-AC22)/AC22*100</f>
        <v>3.7541580864882067</v>
      </c>
    </row>
    <row r="23" spans="3:33" ht="18" x14ac:dyDescent="0.55000000000000004">
      <c r="C23" s="146" t="s">
        <v>132</v>
      </c>
      <c r="D23" s="157">
        <v>25.3</v>
      </c>
      <c r="E23" s="148">
        <f t="shared" ref="E23:E33" si="11">E22+D23</f>
        <v>51.39</v>
      </c>
      <c r="F23" s="157">
        <v>37.83</v>
      </c>
      <c r="G23" s="149">
        <f t="shared" ref="G23:G33" si="12">G22+F23</f>
        <v>73.739999999999995</v>
      </c>
      <c r="H23" s="147">
        <f t="shared" si="7"/>
        <v>63.129999999999995</v>
      </c>
      <c r="I23" s="149">
        <f t="shared" ref="I23:I33" si="13">I22+H23</f>
        <v>125.13</v>
      </c>
      <c r="J23" s="155"/>
      <c r="K23" s="146" t="s">
        <v>132</v>
      </c>
      <c r="L23" s="157">
        <v>1.52</v>
      </c>
      <c r="M23" s="148">
        <f>M22+L23</f>
        <v>3.0300000000000002</v>
      </c>
      <c r="N23" s="157">
        <v>69.09</v>
      </c>
      <c r="O23" s="148">
        <f>O22+N23</f>
        <v>136.18</v>
      </c>
      <c r="P23" s="147">
        <f t="shared" si="8"/>
        <v>70.61</v>
      </c>
      <c r="Q23" s="148">
        <f>Q22+P23</f>
        <v>139.21</v>
      </c>
      <c r="AC23">
        <v>64.08</v>
      </c>
      <c r="AD23">
        <v>65</v>
      </c>
      <c r="AE23">
        <v>66.759999999999991</v>
      </c>
      <c r="AF23" s="216">
        <f t="shared" si="9"/>
        <v>2.7076923076922936</v>
      </c>
      <c r="AG23" s="216">
        <f t="shared" si="10"/>
        <v>4.1822721598002381</v>
      </c>
    </row>
    <row r="24" spans="3:33" ht="18" x14ac:dyDescent="0.55000000000000004">
      <c r="C24" s="146" t="s">
        <v>133</v>
      </c>
      <c r="D24" s="157">
        <v>27.45</v>
      </c>
      <c r="E24" s="148">
        <f t="shared" si="11"/>
        <v>78.84</v>
      </c>
      <c r="F24" s="157">
        <v>36.630000000000003</v>
      </c>
      <c r="G24" s="149">
        <f t="shared" si="12"/>
        <v>110.37</v>
      </c>
      <c r="H24" s="147">
        <f t="shared" si="7"/>
        <v>64.08</v>
      </c>
      <c r="I24" s="149">
        <f t="shared" si="13"/>
        <v>189.20999999999998</v>
      </c>
      <c r="J24" s="155"/>
      <c r="K24" s="146" t="s">
        <v>133</v>
      </c>
      <c r="L24" s="157">
        <v>1.61</v>
      </c>
      <c r="M24" s="148">
        <f t="shared" ref="M24:M32" si="14">M23+L24</f>
        <v>4.6400000000000006</v>
      </c>
      <c r="N24" s="157">
        <v>67.83</v>
      </c>
      <c r="O24" s="148">
        <f t="shared" ref="O24:O33" si="15">O23+N24</f>
        <v>204.01</v>
      </c>
      <c r="P24" s="147">
        <f t="shared" si="8"/>
        <v>69.44</v>
      </c>
      <c r="Q24" s="148">
        <f t="shared" ref="Q24:Q33" si="16">Q23+P24</f>
        <v>208.65</v>
      </c>
      <c r="AC24">
        <v>69.78</v>
      </c>
      <c r="AD24">
        <v>70.900000000000006</v>
      </c>
      <c r="AE24">
        <v>68.599999999999994</v>
      </c>
      <c r="AF24" s="216">
        <f t="shared" si="9"/>
        <v>-3.244005641748958</v>
      </c>
      <c r="AG24" s="216">
        <f t="shared" si="10"/>
        <v>-1.691028948122681</v>
      </c>
    </row>
    <row r="25" spans="3:33" ht="18" x14ac:dyDescent="0.55000000000000004">
      <c r="C25" s="146" t="s">
        <v>51</v>
      </c>
      <c r="D25" s="157">
        <v>33.11</v>
      </c>
      <c r="E25" s="148">
        <f t="shared" si="11"/>
        <v>111.95</v>
      </c>
      <c r="F25" s="157">
        <v>36.67</v>
      </c>
      <c r="G25" s="149">
        <f t="shared" si="12"/>
        <v>147.04000000000002</v>
      </c>
      <c r="H25" s="147">
        <f t="shared" si="7"/>
        <v>69.78</v>
      </c>
      <c r="I25" s="149">
        <f t="shared" si="13"/>
        <v>258.99</v>
      </c>
      <c r="J25" s="155"/>
      <c r="K25" s="146" t="s">
        <v>51</v>
      </c>
      <c r="L25" s="157">
        <v>1.86</v>
      </c>
      <c r="M25" s="148">
        <f t="shared" si="14"/>
        <v>6.5000000000000009</v>
      </c>
      <c r="N25" s="157">
        <v>76.17</v>
      </c>
      <c r="O25" s="148">
        <f t="shared" si="15"/>
        <v>280.18</v>
      </c>
      <c r="P25" s="147">
        <f t="shared" si="8"/>
        <v>78.03</v>
      </c>
      <c r="Q25" s="148">
        <f>Q24+P25</f>
        <v>286.68</v>
      </c>
      <c r="AC25">
        <v>69.180000000000007</v>
      </c>
      <c r="AD25">
        <v>70.300000000000011</v>
      </c>
      <c r="AE25">
        <v>59.43</v>
      </c>
      <c r="AF25" s="216">
        <f t="shared" si="9"/>
        <v>-15.462304409672845</v>
      </c>
      <c r="AG25" s="216">
        <f t="shared" si="10"/>
        <v>-14.093668690372949</v>
      </c>
    </row>
    <row r="26" spans="3:33" ht="18" x14ac:dyDescent="0.55000000000000004">
      <c r="C26" s="146" t="s">
        <v>134</v>
      </c>
      <c r="D26" s="157">
        <v>31.68</v>
      </c>
      <c r="E26" s="148">
        <f t="shared" si="11"/>
        <v>143.63</v>
      </c>
      <c r="F26" s="157">
        <v>37.5</v>
      </c>
      <c r="G26" s="149">
        <f t="shared" si="12"/>
        <v>184.54000000000002</v>
      </c>
      <c r="H26" s="157">
        <f t="shared" si="7"/>
        <v>69.180000000000007</v>
      </c>
      <c r="I26" s="149">
        <f t="shared" si="13"/>
        <v>328.17</v>
      </c>
      <c r="J26" s="155"/>
      <c r="K26" s="146" t="s">
        <v>134</v>
      </c>
      <c r="L26" s="157">
        <v>1.75</v>
      </c>
      <c r="M26" s="148">
        <f t="shared" si="14"/>
        <v>8.25</v>
      </c>
      <c r="N26" s="157">
        <v>69.180000000000007</v>
      </c>
      <c r="O26" s="148">
        <f t="shared" si="15"/>
        <v>349.36</v>
      </c>
      <c r="P26" s="157">
        <f t="shared" si="8"/>
        <v>70.930000000000007</v>
      </c>
      <c r="Q26" s="148">
        <f>Q25+P26</f>
        <v>357.61</v>
      </c>
      <c r="AC26">
        <v>65.039999999999992</v>
      </c>
      <c r="AD26">
        <v>66</v>
      </c>
      <c r="AE26">
        <v>64.539999999999992</v>
      </c>
      <c r="AF26" s="216">
        <f t="shared" si="9"/>
        <v>-2.2121212121212244</v>
      </c>
      <c r="AG26" s="216">
        <f t="shared" si="10"/>
        <v>-0.7687576875768759</v>
      </c>
    </row>
    <row r="27" spans="3:33" ht="18" x14ac:dyDescent="0.55000000000000004">
      <c r="C27" s="158" t="s">
        <v>135</v>
      </c>
      <c r="D27" s="157">
        <v>29.17</v>
      </c>
      <c r="E27" s="148">
        <f t="shared" si="11"/>
        <v>172.8</v>
      </c>
      <c r="F27" s="157">
        <v>35.869999999999997</v>
      </c>
      <c r="G27" s="149">
        <f t="shared" si="12"/>
        <v>220.41000000000003</v>
      </c>
      <c r="H27" s="157">
        <f t="shared" si="7"/>
        <v>65.039999999999992</v>
      </c>
      <c r="I27" s="149">
        <f t="shared" si="13"/>
        <v>393.21000000000004</v>
      </c>
      <c r="J27" s="155"/>
      <c r="K27" s="158" t="s">
        <v>135</v>
      </c>
      <c r="L27" s="157">
        <v>1.62</v>
      </c>
      <c r="M27" s="148">
        <f t="shared" si="14"/>
        <v>9.870000000000001</v>
      </c>
      <c r="N27" s="157">
        <v>66.67</v>
      </c>
      <c r="O27" s="148">
        <f t="shared" si="15"/>
        <v>416.03000000000003</v>
      </c>
      <c r="P27" s="157">
        <f t="shared" si="8"/>
        <v>68.290000000000006</v>
      </c>
      <c r="Q27" s="148">
        <f t="shared" si="16"/>
        <v>425.90000000000003</v>
      </c>
      <c r="AC27">
        <v>63.47</v>
      </c>
      <c r="AD27">
        <v>64.5</v>
      </c>
      <c r="AE27">
        <v>61.019999999999996</v>
      </c>
      <c r="AF27" s="216">
        <f t="shared" si="9"/>
        <v>-5.3953488372093084</v>
      </c>
      <c r="AG27" s="216">
        <f t="shared" si="10"/>
        <v>-3.8600913817551645</v>
      </c>
    </row>
    <row r="28" spans="3:33" ht="18" x14ac:dyDescent="0.55000000000000004">
      <c r="C28" s="158" t="s">
        <v>136</v>
      </c>
      <c r="D28" s="157">
        <v>27.77</v>
      </c>
      <c r="E28" s="148">
        <f t="shared" si="11"/>
        <v>200.57000000000002</v>
      </c>
      <c r="F28" s="157">
        <v>35.700000000000003</v>
      </c>
      <c r="G28" s="149">
        <f t="shared" si="12"/>
        <v>256.11</v>
      </c>
      <c r="H28" s="157">
        <f t="shared" si="7"/>
        <v>63.47</v>
      </c>
      <c r="I28" s="149">
        <f t="shared" si="13"/>
        <v>456.68000000000006</v>
      </c>
      <c r="J28" s="155"/>
      <c r="K28" s="146" t="s">
        <v>136</v>
      </c>
      <c r="L28" s="157">
        <v>1.52</v>
      </c>
      <c r="M28" s="148">
        <f t="shared" si="14"/>
        <v>11.39</v>
      </c>
      <c r="N28" s="157">
        <v>65.98</v>
      </c>
      <c r="O28" s="148">
        <f t="shared" si="15"/>
        <v>482.01000000000005</v>
      </c>
      <c r="P28" s="159">
        <f t="shared" si="8"/>
        <v>67.5</v>
      </c>
      <c r="Q28" s="148">
        <f t="shared" si="16"/>
        <v>493.40000000000003</v>
      </c>
      <c r="AC28">
        <v>66.98</v>
      </c>
      <c r="AD28">
        <v>68</v>
      </c>
      <c r="AE28">
        <v>66.417029999999997</v>
      </c>
      <c r="AF28" s="216">
        <f t="shared" si="9"/>
        <v>-2.3278970588235337</v>
      </c>
      <c r="AG28" s="216">
        <f t="shared" si="10"/>
        <v>-0.84050462824724859</v>
      </c>
    </row>
    <row r="29" spans="3:33" ht="18" x14ac:dyDescent="0.55000000000000004">
      <c r="C29" s="158" t="s">
        <v>137</v>
      </c>
      <c r="D29" s="157">
        <v>27.55</v>
      </c>
      <c r="E29" s="148">
        <f t="shared" si="11"/>
        <v>228.12000000000003</v>
      </c>
      <c r="F29" s="157">
        <v>39.43</v>
      </c>
      <c r="G29" s="149">
        <f t="shared" si="12"/>
        <v>295.54000000000002</v>
      </c>
      <c r="H29" s="157">
        <f t="shared" si="7"/>
        <v>66.98</v>
      </c>
      <c r="I29" s="149">
        <f t="shared" si="13"/>
        <v>523.66000000000008</v>
      </c>
      <c r="J29" s="155"/>
      <c r="K29" s="146" t="s">
        <v>137</v>
      </c>
      <c r="L29" s="157">
        <v>1.58</v>
      </c>
      <c r="M29" s="148">
        <f t="shared" si="14"/>
        <v>12.97</v>
      </c>
      <c r="N29" s="157">
        <v>69.069999999999993</v>
      </c>
      <c r="O29" s="148">
        <f t="shared" si="15"/>
        <v>551.08000000000004</v>
      </c>
      <c r="P29" s="159">
        <f t="shared" si="8"/>
        <v>70.649999999999991</v>
      </c>
      <c r="Q29" s="148">
        <f t="shared" si="16"/>
        <v>564.05000000000007</v>
      </c>
      <c r="X29" s="90"/>
      <c r="Y29" s="90"/>
      <c r="Z29" s="90"/>
      <c r="AC29">
        <v>67</v>
      </c>
      <c r="AD29">
        <v>68</v>
      </c>
      <c r="AE29">
        <v>69.179999999999993</v>
      </c>
      <c r="AF29" s="216">
        <f t="shared" si="9"/>
        <v>1.735294117647048</v>
      </c>
      <c r="AG29" s="216">
        <f t="shared" si="10"/>
        <v>3.2537313432835711</v>
      </c>
    </row>
    <row r="30" spans="3:33" ht="18" x14ac:dyDescent="0.55000000000000004">
      <c r="C30" s="158" t="s">
        <v>138</v>
      </c>
      <c r="D30" s="157">
        <v>29.12</v>
      </c>
      <c r="E30" s="148">
        <f t="shared" si="11"/>
        <v>257.24</v>
      </c>
      <c r="F30" s="157">
        <v>37.880000000000003</v>
      </c>
      <c r="G30" s="149">
        <f t="shared" si="12"/>
        <v>333.42</v>
      </c>
      <c r="H30" s="159">
        <f t="shared" si="7"/>
        <v>67</v>
      </c>
      <c r="I30" s="149">
        <f t="shared" si="13"/>
        <v>590.66000000000008</v>
      </c>
      <c r="J30" s="155"/>
      <c r="K30" s="146" t="s">
        <v>138</v>
      </c>
      <c r="L30" s="157">
        <v>1.63</v>
      </c>
      <c r="M30" s="148">
        <f t="shared" si="14"/>
        <v>14.600000000000001</v>
      </c>
      <c r="N30" s="157">
        <v>69.28</v>
      </c>
      <c r="O30" s="148">
        <f t="shared" si="15"/>
        <v>620.36</v>
      </c>
      <c r="P30" s="159">
        <f t="shared" si="8"/>
        <v>70.91</v>
      </c>
      <c r="Q30" s="148">
        <f t="shared" si="16"/>
        <v>634.96</v>
      </c>
      <c r="U30" s="90"/>
      <c r="V30" s="90"/>
      <c r="W30" s="90"/>
      <c r="X30" s="90"/>
      <c r="Y30" s="90"/>
      <c r="Z30" s="90"/>
      <c r="AA30" s="90"/>
      <c r="AB30" s="90"/>
      <c r="AC30">
        <v>68.72</v>
      </c>
      <c r="AD30">
        <v>69.900000000000006</v>
      </c>
      <c r="AE30">
        <v>67.64</v>
      </c>
      <c r="AF30" s="216">
        <f t="shared" si="9"/>
        <v>-3.2331902718168881</v>
      </c>
      <c r="AG30" s="216">
        <f t="shared" si="10"/>
        <v>-1.5715948777648405</v>
      </c>
    </row>
    <row r="31" spans="3:33" ht="18" x14ac:dyDescent="0.55000000000000004">
      <c r="C31" s="158" t="s">
        <v>139</v>
      </c>
      <c r="D31" s="157">
        <v>31.05</v>
      </c>
      <c r="E31" s="148">
        <f t="shared" si="11"/>
        <v>288.29000000000002</v>
      </c>
      <c r="F31" s="157">
        <v>37.67</v>
      </c>
      <c r="G31" s="149">
        <f t="shared" si="12"/>
        <v>371.09000000000003</v>
      </c>
      <c r="H31" s="157">
        <f t="shared" si="7"/>
        <v>68.72</v>
      </c>
      <c r="I31" s="149">
        <f t="shared" si="13"/>
        <v>659.38000000000011</v>
      </c>
      <c r="J31" s="155"/>
      <c r="K31" s="146" t="s">
        <v>139</v>
      </c>
      <c r="L31" s="157">
        <v>1.65</v>
      </c>
      <c r="M31" s="148">
        <f t="shared" si="14"/>
        <v>16.25</v>
      </c>
      <c r="N31" s="157">
        <v>76.239999999999995</v>
      </c>
      <c r="O31" s="148">
        <f t="shared" si="15"/>
        <v>696.6</v>
      </c>
      <c r="P31" s="157">
        <f t="shared" si="8"/>
        <v>77.89</v>
      </c>
      <c r="Q31" s="148">
        <f t="shared" si="16"/>
        <v>712.85</v>
      </c>
      <c r="U31" s="90"/>
      <c r="V31" s="90"/>
      <c r="W31" s="90"/>
      <c r="X31" s="90"/>
      <c r="Y31" s="90"/>
      <c r="Z31" s="90"/>
      <c r="AA31" s="90"/>
      <c r="AB31" s="90"/>
      <c r="AC31">
        <v>58.99</v>
      </c>
      <c r="AF31" s="216"/>
    </row>
    <row r="32" spans="3:33" ht="18" x14ac:dyDescent="0.55000000000000004">
      <c r="C32" s="158" t="s">
        <v>140</v>
      </c>
      <c r="D32" s="157">
        <v>25.61</v>
      </c>
      <c r="E32" s="148">
        <f t="shared" si="11"/>
        <v>313.90000000000003</v>
      </c>
      <c r="F32" s="157">
        <v>33.380000000000003</v>
      </c>
      <c r="G32" s="149">
        <f t="shared" si="12"/>
        <v>404.47</v>
      </c>
      <c r="H32" s="157">
        <f t="shared" si="7"/>
        <v>58.99</v>
      </c>
      <c r="I32" s="149">
        <f t="shared" si="13"/>
        <v>718.37000000000012</v>
      </c>
      <c r="J32" s="155"/>
      <c r="K32" s="146" t="s">
        <v>140</v>
      </c>
      <c r="L32" s="157">
        <v>1.42</v>
      </c>
      <c r="M32" s="148">
        <f t="shared" si="14"/>
        <v>17.670000000000002</v>
      </c>
      <c r="N32" s="157">
        <v>66.94</v>
      </c>
      <c r="O32" s="148">
        <f t="shared" si="15"/>
        <v>763.54</v>
      </c>
      <c r="P32" s="157">
        <f t="shared" si="8"/>
        <v>68.36</v>
      </c>
      <c r="Q32" s="148">
        <f t="shared" si="16"/>
        <v>781.21</v>
      </c>
      <c r="U32" s="90"/>
      <c r="V32" s="90"/>
      <c r="W32" s="90"/>
      <c r="X32" s="90"/>
      <c r="Y32" s="90"/>
      <c r="Z32" s="90"/>
      <c r="AA32" s="90"/>
      <c r="AB32" s="90"/>
      <c r="AC32">
        <v>63.51</v>
      </c>
      <c r="AF32" s="216"/>
    </row>
    <row r="33" spans="3:32" ht="18" x14ac:dyDescent="0.55000000000000004">
      <c r="C33" s="158" t="s">
        <v>141</v>
      </c>
      <c r="D33" s="157">
        <v>27.6</v>
      </c>
      <c r="E33" s="148">
        <f t="shared" si="11"/>
        <v>341.50000000000006</v>
      </c>
      <c r="F33" s="157">
        <v>35.909999999999997</v>
      </c>
      <c r="G33" s="149">
        <f t="shared" si="12"/>
        <v>440.38</v>
      </c>
      <c r="H33" s="157">
        <f t="shared" si="7"/>
        <v>63.51</v>
      </c>
      <c r="I33" s="149">
        <f t="shared" si="13"/>
        <v>781.88000000000011</v>
      </c>
      <c r="J33" s="155"/>
      <c r="K33" s="146" t="s">
        <v>141</v>
      </c>
      <c r="L33" s="157">
        <v>1.53</v>
      </c>
      <c r="M33" s="148">
        <f>M32+L33</f>
        <v>19.200000000000003</v>
      </c>
      <c r="N33" s="157">
        <v>73.59</v>
      </c>
      <c r="O33" s="148">
        <f t="shared" si="15"/>
        <v>837.13</v>
      </c>
      <c r="P33" s="157">
        <f t="shared" si="8"/>
        <v>75.12</v>
      </c>
      <c r="Q33" s="148">
        <f t="shared" si="16"/>
        <v>856.33</v>
      </c>
      <c r="U33" s="90"/>
      <c r="V33" s="90"/>
      <c r="W33" s="90"/>
      <c r="X33" s="90"/>
      <c r="Y33" s="90"/>
      <c r="Z33" s="90"/>
      <c r="AA33" s="90"/>
      <c r="AB33" s="90"/>
      <c r="AC33">
        <f>SUM(AC21:AC32)</f>
        <v>781.88000000000011</v>
      </c>
      <c r="AF33" s="216"/>
    </row>
    <row r="34" spans="3:32" ht="18" x14ac:dyDescent="0.55000000000000004">
      <c r="C34" s="146" t="s">
        <v>162</v>
      </c>
      <c r="D34" s="157"/>
      <c r="E34" s="148">
        <f>E33/12</f>
        <v>28.458333333333339</v>
      </c>
      <c r="F34" s="157"/>
      <c r="G34" s="148">
        <f>G33/12</f>
        <v>36.698333333333331</v>
      </c>
      <c r="H34" s="157"/>
      <c r="I34" s="148">
        <f>I33/12</f>
        <v>65.15666666666668</v>
      </c>
      <c r="J34" s="155"/>
      <c r="K34" s="248" t="s">
        <v>162</v>
      </c>
      <c r="L34" s="249"/>
      <c r="M34" s="247">
        <f>M33/12</f>
        <v>1.6000000000000003</v>
      </c>
      <c r="N34" s="249"/>
      <c r="O34" s="247">
        <f>O33/12</f>
        <v>69.760833333333338</v>
      </c>
      <c r="P34" s="249"/>
      <c r="Q34" s="247">
        <f>Q33/12</f>
        <v>71.360833333333332</v>
      </c>
      <c r="U34" s="90"/>
      <c r="V34" s="90"/>
      <c r="W34" s="90"/>
      <c r="X34" s="90"/>
      <c r="Y34" s="90"/>
      <c r="Z34" s="90"/>
      <c r="AA34" s="90"/>
      <c r="AB34" s="90"/>
    </row>
    <row r="35" spans="3:32" ht="18" x14ac:dyDescent="0.55000000000000004">
      <c r="C35" s="146" t="s">
        <v>168</v>
      </c>
      <c r="D35" s="157"/>
      <c r="E35" s="148">
        <f>E33/365</f>
        <v>0.93561643835616459</v>
      </c>
      <c r="F35" s="159"/>
      <c r="G35" s="148">
        <f>G33/365</f>
        <v>1.2065205479452055</v>
      </c>
      <c r="H35" s="159"/>
      <c r="I35" s="148">
        <f>I33/365</f>
        <v>2.1421369863013702</v>
      </c>
      <c r="J35" s="155"/>
      <c r="K35" s="248" t="s">
        <v>168</v>
      </c>
      <c r="L35" s="249"/>
      <c r="M35" s="247">
        <f>M33/365</f>
        <v>5.2602739726027407E-2</v>
      </c>
      <c r="N35" s="249"/>
      <c r="O35" s="247">
        <f>O33/365</f>
        <v>2.2935068493150683</v>
      </c>
      <c r="P35" s="249"/>
      <c r="Q35" s="247">
        <f>Q33/365</f>
        <v>2.3461095890410961</v>
      </c>
      <c r="U35" s="90"/>
      <c r="V35" s="90"/>
      <c r="W35" s="90"/>
      <c r="X35" s="90"/>
      <c r="Y35" s="90"/>
      <c r="Z35" s="90"/>
      <c r="AA35" s="90"/>
      <c r="AB35" s="90"/>
    </row>
    <row r="36" spans="3:32" x14ac:dyDescent="0.45">
      <c r="E36" s="229">
        <f>E30/275</f>
        <v>0.93541818181818182</v>
      </c>
      <c r="F36" s="229"/>
      <c r="G36" s="229">
        <f>G30/275</f>
        <v>1.2124363636363638</v>
      </c>
      <c r="H36" s="229"/>
      <c r="I36" s="229">
        <f>I30/275</f>
        <v>2.1478545454545457</v>
      </c>
      <c r="M36" s="273">
        <f>M30/275</f>
        <v>5.3090909090909098E-2</v>
      </c>
      <c r="N36" s="273"/>
      <c r="O36" s="273">
        <f>O30/275</f>
        <v>2.2558545454545453</v>
      </c>
      <c r="P36" s="273"/>
      <c r="Q36" s="273">
        <f>Q30/275</f>
        <v>2.3089454545454546</v>
      </c>
      <c r="U36" s="90"/>
      <c r="V36" s="90"/>
      <c r="W36" s="90"/>
      <c r="X36" s="90"/>
      <c r="Y36" s="90"/>
      <c r="Z36" s="90"/>
      <c r="AA36" s="90"/>
      <c r="AB36" s="90"/>
    </row>
    <row r="37" spans="3:32" ht="18" x14ac:dyDescent="0.55000000000000004">
      <c r="C37" s="2454" t="s">
        <v>127</v>
      </c>
      <c r="D37" s="2455" t="s">
        <v>149</v>
      </c>
      <c r="E37" s="2455"/>
      <c r="F37" s="2455"/>
      <c r="G37" s="2455"/>
      <c r="H37" s="2455"/>
      <c r="I37" s="2455"/>
      <c r="J37" s="179"/>
      <c r="K37" s="2454" t="s">
        <v>127</v>
      </c>
      <c r="L37" s="2455" t="s">
        <v>150</v>
      </c>
      <c r="M37" s="2455"/>
      <c r="N37" s="2455"/>
      <c r="O37" s="2455"/>
      <c r="P37" s="2455"/>
      <c r="Q37" s="2455"/>
      <c r="U37" s="90"/>
      <c r="V37" s="90"/>
      <c r="W37" s="90"/>
      <c r="AA37" s="90"/>
      <c r="AB37" s="90"/>
    </row>
    <row r="38" spans="3:32" ht="18" x14ac:dyDescent="0.55000000000000004">
      <c r="C38" s="2454"/>
      <c r="D38" s="180" t="s">
        <v>94</v>
      </c>
      <c r="E38" s="181" t="s">
        <v>90</v>
      </c>
      <c r="F38" s="180" t="s">
        <v>130</v>
      </c>
      <c r="G38" s="182" t="s">
        <v>90</v>
      </c>
      <c r="H38" s="180" t="s">
        <v>63</v>
      </c>
      <c r="I38" s="182" t="s">
        <v>90</v>
      </c>
      <c r="J38" s="183"/>
      <c r="K38" s="2454"/>
      <c r="L38" s="180" t="s">
        <v>94</v>
      </c>
      <c r="M38" s="181" t="s">
        <v>90</v>
      </c>
      <c r="N38" s="180" t="s">
        <v>130</v>
      </c>
      <c r="O38" s="181" t="s">
        <v>90</v>
      </c>
      <c r="P38" s="180" t="s">
        <v>63</v>
      </c>
      <c r="Q38" s="181" t="s">
        <v>90</v>
      </c>
    </row>
    <row r="39" spans="3:32" ht="18" x14ac:dyDescent="0.55000000000000004">
      <c r="C39" s="146" t="s">
        <v>131</v>
      </c>
      <c r="D39" s="98">
        <v>25.07</v>
      </c>
      <c r="E39" s="148">
        <f>D39</f>
        <v>25.07</v>
      </c>
      <c r="F39" s="98">
        <v>38.020000000000003</v>
      </c>
      <c r="G39" s="149">
        <f>F39</f>
        <v>38.020000000000003</v>
      </c>
      <c r="H39" s="147">
        <f t="shared" ref="H39:H50" si="17">D39+F39</f>
        <v>63.09</v>
      </c>
      <c r="I39" s="149">
        <f>H39</f>
        <v>63.09</v>
      </c>
      <c r="K39" s="146" t="s">
        <v>131</v>
      </c>
      <c r="L39" s="98">
        <v>1.5</v>
      </c>
      <c r="M39" s="148">
        <f>L39</f>
        <v>1.5</v>
      </c>
      <c r="N39" s="98">
        <v>73.849999999999994</v>
      </c>
      <c r="O39" s="148">
        <f>N39</f>
        <v>73.849999999999994</v>
      </c>
      <c r="P39" s="147">
        <f t="shared" ref="P39:P50" si="18">L39+N39</f>
        <v>75.349999999999994</v>
      </c>
      <c r="Q39" s="148">
        <f>P39</f>
        <v>75.349999999999994</v>
      </c>
    </row>
    <row r="40" spans="3:32" ht="18" x14ac:dyDescent="0.55000000000000004">
      <c r="C40" s="146" t="s">
        <v>132</v>
      </c>
      <c r="D40" s="98">
        <v>26.98</v>
      </c>
      <c r="E40" s="148">
        <f>E39+D40</f>
        <v>52.05</v>
      </c>
      <c r="F40" s="98">
        <v>38.520000000000003</v>
      </c>
      <c r="G40" s="149">
        <f>G39+F40</f>
        <v>76.540000000000006</v>
      </c>
      <c r="H40" s="147">
        <f t="shared" si="17"/>
        <v>65.5</v>
      </c>
      <c r="I40" s="149">
        <f>I39+H40</f>
        <v>128.59</v>
      </c>
      <c r="K40" s="146" t="s">
        <v>132</v>
      </c>
      <c r="L40" s="98">
        <v>1.63</v>
      </c>
      <c r="M40" s="148">
        <f>M39+L40</f>
        <v>3.13</v>
      </c>
      <c r="N40" s="98">
        <v>73.8</v>
      </c>
      <c r="O40" s="148">
        <f>O39+N40</f>
        <v>147.64999999999998</v>
      </c>
      <c r="P40" s="147">
        <f t="shared" si="18"/>
        <v>75.429999999999993</v>
      </c>
      <c r="Q40" s="148">
        <f>Q39+P40</f>
        <v>150.77999999999997</v>
      </c>
    </row>
    <row r="41" spans="3:32" ht="18" x14ac:dyDescent="0.55000000000000004">
      <c r="C41" s="146" t="s">
        <v>133</v>
      </c>
      <c r="D41" s="98">
        <v>29.33</v>
      </c>
      <c r="E41" s="148">
        <f>E40+D41</f>
        <v>81.38</v>
      </c>
      <c r="F41" s="98">
        <v>37.43</v>
      </c>
      <c r="G41" s="149">
        <f>G40+F41</f>
        <v>113.97</v>
      </c>
      <c r="H41" s="147">
        <f t="shared" si="17"/>
        <v>66.759999999999991</v>
      </c>
      <c r="I41" s="149">
        <f>I40+H41</f>
        <v>195.35</v>
      </c>
      <c r="K41" s="146" t="s">
        <v>133</v>
      </c>
      <c r="L41" s="98">
        <v>1.72</v>
      </c>
      <c r="M41" s="148">
        <f>M40+L41</f>
        <v>4.8499999999999996</v>
      </c>
      <c r="N41" s="98">
        <v>79.180000000000007</v>
      </c>
      <c r="O41" s="148">
        <f>O40+N41</f>
        <v>226.82999999999998</v>
      </c>
      <c r="P41" s="147">
        <f t="shared" si="18"/>
        <v>80.900000000000006</v>
      </c>
      <c r="Q41" s="148">
        <f>Q40+P41</f>
        <v>231.67999999999998</v>
      </c>
    </row>
    <row r="42" spans="3:32" ht="18" x14ac:dyDescent="0.55000000000000004">
      <c r="C42" s="146" t="s">
        <v>51</v>
      </c>
      <c r="D42" s="98">
        <v>33.75</v>
      </c>
      <c r="E42" s="148">
        <f>E41+D42</f>
        <v>115.13</v>
      </c>
      <c r="F42" s="98">
        <v>34.85</v>
      </c>
      <c r="G42" s="149">
        <f>G41+F42</f>
        <v>148.82</v>
      </c>
      <c r="H42" s="147">
        <f t="shared" si="17"/>
        <v>68.599999999999994</v>
      </c>
      <c r="I42" s="149">
        <f>I41+H42</f>
        <v>263.95</v>
      </c>
      <c r="K42" s="146" t="s">
        <v>51</v>
      </c>
      <c r="L42" s="98">
        <v>1.95</v>
      </c>
      <c r="M42" s="148">
        <f>M41+L42</f>
        <v>6.8</v>
      </c>
      <c r="N42" s="98">
        <v>78.37</v>
      </c>
      <c r="O42" s="148">
        <f>O41+N42</f>
        <v>305.2</v>
      </c>
      <c r="P42" s="147">
        <f t="shared" si="18"/>
        <v>80.320000000000007</v>
      </c>
      <c r="Q42" s="148">
        <f>Q41+P42</f>
        <v>312</v>
      </c>
      <c r="U42">
        <v>85.99</v>
      </c>
      <c r="V42">
        <v>49.99</v>
      </c>
      <c r="W42" s="229">
        <f>U42-V42</f>
        <v>35.999999999999993</v>
      </c>
    </row>
    <row r="43" spans="3:32" ht="18" x14ac:dyDescent="0.55000000000000004">
      <c r="C43" s="146" t="s">
        <v>134</v>
      </c>
      <c r="D43" s="98">
        <v>31.46</v>
      </c>
      <c r="E43" s="148">
        <f>E42+D43</f>
        <v>146.59</v>
      </c>
      <c r="F43" s="98">
        <v>27.97</v>
      </c>
      <c r="G43" s="149">
        <f>G42+F43</f>
        <v>176.79</v>
      </c>
      <c r="H43" s="157">
        <f t="shared" si="17"/>
        <v>59.43</v>
      </c>
      <c r="I43" s="149">
        <f>I42+H43</f>
        <v>323.38</v>
      </c>
      <c r="K43" s="146" t="s">
        <v>134</v>
      </c>
      <c r="L43" s="98">
        <v>1.75</v>
      </c>
      <c r="M43" s="148">
        <f>M42+L43</f>
        <v>8.5500000000000007</v>
      </c>
      <c r="N43" s="98">
        <v>63.12</v>
      </c>
      <c r="O43" s="148">
        <f>O42+N43</f>
        <v>368.32</v>
      </c>
      <c r="P43" s="157">
        <f t="shared" si="18"/>
        <v>64.87</v>
      </c>
      <c r="Q43" s="148">
        <f>Q42+P43</f>
        <v>376.87</v>
      </c>
    </row>
    <row r="44" spans="3:32" ht="18" x14ac:dyDescent="0.55000000000000004">
      <c r="C44" s="146" t="s">
        <v>135</v>
      </c>
      <c r="D44" s="98">
        <v>31.15</v>
      </c>
      <c r="E44" s="148">
        <f t="shared" ref="E44:E50" si="19">E43+D44</f>
        <v>177.74</v>
      </c>
      <c r="F44" s="98">
        <v>33.39</v>
      </c>
      <c r="G44" s="149">
        <f t="shared" ref="G44:G50" si="20">G43+F44</f>
        <v>210.18</v>
      </c>
      <c r="H44" s="157">
        <f t="shared" si="17"/>
        <v>64.539999999999992</v>
      </c>
      <c r="I44" s="149">
        <f t="shared" ref="I44:I49" si="21">I43+H44</f>
        <v>387.91999999999996</v>
      </c>
      <c r="K44" s="146" t="s">
        <v>135</v>
      </c>
      <c r="L44" s="98">
        <v>1.7</v>
      </c>
      <c r="M44" s="148">
        <f t="shared" ref="M44:M50" si="22">M43+L44</f>
        <v>10.25</v>
      </c>
      <c r="N44" s="98">
        <v>68.95</v>
      </c>
      <c r="O44" s="148">
        <f t="shared" ref="O44:O50" si="23">O43+N44</f>
        <v>437.27</v>
      </c>
      <c r="P44" s="157">
        <f t="shared" si="18"/>
        <v>70.650000000000006</v>
      </c>
      <c r="Q44" s="148">
        <f>Q43+P44</f>
        <v>447.52</v>
      </c>
    </row>
    <row r="45" spans="3:32" ht="18" x14ac:dyDescent="0.55000000000000004">
      <c r="C45" s="146" t="s">
        <v>136</v>
      </c>
      <c r="D45" s="98">
        <v>25.83</v>
      </c>
      <c r="E45" s="148">
        <f t="shared" si="19"/>
        <v>203.57</v>
      </c>
      <c r="F45" s="98">
        <v>35.19</v>
      </c>
      <c r="G45" s="149">
        <f t="shared" si="20"/>
        <v>245.37</v>
      </c>
      <c r="H45" s="157">
        <f t="shared" si="17"/>
        <v>61.019999999999996</v>
      </c>
      <c r="I45" s="149">
        <f t="shared" si="21"/>
        <v>448.93999999999994</v>
      </c>
      <c r="K45" s="146" t="s">
        <v>136</v>
      </c>
      <c r="L45" s="98">
        <v>1.48</v>
      </c>
      <c r="M45" s="148">
        <f t="shared" si="22"/>
        <v>11.73</v>
      </c>
      <c r="N45" s="98">
        <v>69.349999999999994</v>
      </c>
      <c r="O45" s="148">
        <f t="shared" si="23"/>
        <v>506.62</v>
      </c>
      <c r="P45" s="159">
        <f t="shared" si="18"/>
        <v>70.83</v>
      </c>
      <c r="Q45" s="148">
        <f t="shared" ref="Q45:Q50" si="24">Q44+P45</f>
        <v>518.35</v>
      </c>
    </row>
    <row r="46" spans="3:32" ht="18" x14ac:dyDescent="0.55000000000000004">
      <c r="C46" s="146" t="s">
        <v>137</v>
      </c>
      <c r="D46" s="458">
        <v>29.60632</v>
      </c>
      <c r="E46" s="440">
        <f t="shared" si="19"/>
        <v>233.17632</v>
      </c>
      <c r="F46" s="458">
        <v>36.81071</v>
      </c>
      <c r="G46" s="441">
        <f>G45+F46</f>
        <v>282.18070999999998</v>
      </c>
      <c r="H46" s="457">
        <f t="shared" si="17"/>
        <v>66.417029999999997</v>
      </c>
      <c r="I46" s="441">
        <f t="shared" si="21"/>
        <v>515.3570299999999</v>
      </c>
      <c r="K46" s="146" t="s">
        <v>137</v>
      </c>
      <c r="L46" s="98">
        <v>1.68</v>
      </c>
      <c r="M46" s="148">
        <f t="shared" si="22"/>
        <v>13.41</v>
      </c>
      <c r="N46" s="98">
        <v>75.55</v>
      </c>
      <c r="O46" s="148">
        <f t="shared" si="23"/>
        <v>582.16999999999996</v>
      </c>
      <c r="P46" s="159">
        <f t="shared" si="18"/>
        <v>77.23</v>
      </c>
      <c r="Q46" s="148">
        <f t="shared" si="24"/>
        <v>595.58000000000004</v>
      </c>
    </row>
    <row r="47" spans="3:32" ht="18" x14ac:dyDescent="0.55000000000000004">
      <c r="C47" s="146" t="s">
        <v>138</v>
      </c>
      <c r="D47" s="98">
        <v>31.63</v>
      </c>
      <c r="E47" s="148">
        <f t="shared" si="19"/>
        <v>264.80632000000003</v>
      </c>
      <c r="F47" s="98">
        <v>37.549999999999997</v>
      </c>
      <c r="G47" s="149">
        <f>G46+F47</f>
        <v>319.73070999999999</v>
      </c>
      <c r="H47" s="159">
        <f t="shared" si="17"/>
        <v>69.179999999999993</v>
      </c>
      <c r="I47" s="149">
        <f>I46+H47</f>
        <v>584.53702999999985</v>
      </c>
      <c r="K47" s="146" t="s">
        <v>138</v>
      </c>
      <c r="L47" s="98">
        <v>1.78</v>
      </c>
      <c r="M47" s="148">
        <f t="shared" si="22"/>
        <v>15.19</v>
      </c>
      <c r="N47" s="98">
        <v>76.5</v>
      </c>
      <c r="O47" s="148">
        <f t="shared" si="23"/>
        <v>658.67</v>
      </c>
      <c r="P47" s="159">
        <f t="shared" si="18"/>
        <v>78.28</v>
      </c>
      <c r="Q47" s="148">
        <f t="shared" si="24"/>
        <v>673.86</v>
      </c>
      <c r="T47">
        <f>7*45</f>
        <v>315</v>
      </c>
      <c r="U47" t="s">
        <v>327</v>
      </c>
    </row>
    <row r="48" spans="3:32" ht="18" x14ac:dyDescent="0.55000000000000004">
      <c r="C48" s="146" t="s">
        <v>139</v>
      </c>
      <c r="D48" s="98">
        <v>31.41</v>
      </c>
      <c r="E48" s="148">
        <f t="shared" si="19"/>
        <v>296.21632000000005</v>
      </c>
      <c r="F48" s="98">
        <v>36.229999999999997</v>
      </c>
      <c r="G48" s="149">
        <f t="shared" si="20"/>
        <v>355.96071000000001</v>
      </c>
      <c r="H48" s="157">
        <f t="shared" si="17"/>
        <v>67.64</v>
      </c>
      <c r="I48" s="149">
        <f t="shared" si="21"/>
        <v>652.17702999999983</v>
      </c>
      <c r="K48" s="146" t="s">
        <v>139</v>
      </c>
      <c r="L48" s="98">
        <v>1.71</v>
      </c>
      <c r="M48" s="148">
        <f t="shared" si="22"/>
        <v>16.899999999999999</v>
      </c>
      <c r="N48" s="98">
        <v>84.19</v>
      </c>
      <c r="O48" s="148">
        <f t="shared" si="23"/>
        <v>742.8599999999999</v>
      </c>
      <c r="P48" s="157">
        <f t="shared" si="18"/>
        <v>85.899999999999991</v>
      </c>
      <c r="Q48" s="148">
        <f t="shared" si="24"/>
        <v>759.76</v>
      </c>
    </row>
    <row r="49" spans="3:22" ht="18" x14ac:dyDescent="0.55000000000000004">
      <c r="C49" s="146" t="s">
        <v>140</v>
      </c>
      <c r="D49" s="98">
        <v>27.59</v>
      </c>
      <c r="E49" s="148">
        <f t="shared" si="19"/>
        <v>323.80632000000003</v>
      </c>
      <c r="F49" s="98">
        <v>33.68</v>
      </c>
      <c r="G49" s="149">
        <f t="shared" si="20"/>
        <v>389.64071000000001</v>
      </c>
      <c r="H49" s="157">
        <f t="shared" si="17"/>
        <v>61.269999999999996</v>
      </c>
      <c r="I49" s="149">
        <f t="shared" si="21"/>
        <v>713.44702999999981</v>
      </c>
      <c r="K49" s="146" t="s">
        <v>140</v>
      </c>
      <c r="L49" s="98">
        <v>1.57</v>
      </c>
      <c r="M49" s="148">
        <f t="shared" si="22"/>
        <v>18.47</v>
      </c>
      <c r="N49" s="98">
        <v>78.14</v>
      </c>
      <c r="O49" s="148">
        <f t="shared" si="23"/>
        <v>820.99999999999989</v>
      </c>
      <c r="P49" s="157">
        <f t="shared" si="18"/>
        <v>79.709999999999994</v>
      </c>
      <c r="Q49" s="148">
        <f t="shared" si="24"/>
        <v>839.47</v>
      </c>
      <c r="S49" s="229"/>
    </row>
    <row r="50" spans="3:22" ht="18" x14ac:dyDescent="0.55000000000000004">
      <c r="C50" s="146" t="s">
        <v>141</v>
      </c>
      <c r="D50" s="363">
        <f>3134654/100000</f>
        <v>31.346540000000001</v>
      </c>
      <c r="E50" s="148">
        <f t="shared" si="19"/>
        <v>355.15286000000003</v>
      </c>
      <c r="F50">
        <v>27.86</v>
      </c>
      <c r="G50" s="149">
        <f t="shared" si="20"/>
        <v>417.50071000000003</v>
      </c>
      <c r="H50" s="157">
        <f t="shared" si="17"/>
        <v>59.206540000000004</v>
      </c>
      <c r="I50" s="149">
        <f>I49+H50</f>
        <v>772.65356999999983</v>
      </c>
      <c r="K50" s="146" t="s">
        <v>141</v>
      </c>
      <c r="L50" s="98">
        <v>0.93</v>
      </c>
      <c r="M50" s="148">
        <f t="shared" si="22"/>
        <v>19.399999999999999</v>
      </c>
      <c r="N50" s="98">
        <v>32.74</v>
      </c>
      <c r="O50" s="148">
        <f t="shared" si="23"/>
        <v>853.7399999999999</v>
      </c>
      <c r="P50" s="157">
        <f t="shared" si="18"/>
        <v>33.67</v>
      </c>
      <c r="Q50" s="148">
        <f t="shared" si="24"/>
        <v>873.14</v>
      </c>
    </row>
    <row r="51" spans="3:22" ht="18" x14ac:dyDescent="0.55000000000000004">
      <c r="C51" s="146" t="s">
        <v>162</v>
      </c>
      <c r="D51" s="157"/>
      <c r="E51" s="148">
        <f>E47/11</f>
        <v>24.073301818181822</v>
      </c>
      <c r="F51" s="157"/>
      <c r="G51" s="148">
        <f>G47/11</f>
        <v>29.066428181818182</v>
      </c>
      <c r="H51" s="157"/>
      <c r="I51" s="148">
        <f>I47/11</f>
        <v>53.139729999999986</v>
      </c>
      <c r="J51" s="155"/>
      <c r="K51" s="248" t="s">
        <v>162</v>
      </c>
      <c r="L51" s="249"/>
      <c r="M51" s="148">
        <f>M47/11</f>
        <v>1.3809090909090909</v>
      </c>
      <c r="N51" s="249"/>
      <c r="O51" s="148">
        <f>O47/11</f>
        <v>59.879090909090905</v>
      </c>
      <c r="P51" s="249"/>
      <c r="Q51" s="148">
        <f>Q47/11</f>
        <v>61.26</v>
      </c>
    </row>
    <row r="52" spans="3:22" ht="18" x14ac:dyDescent="0.55000000000000004">
      <c r="C52" s="146" t="s">
        <v>168</v>
      </c>
      <c r="D52" s="157"/>
      <c r="E52" s="148">
        <f>E50/335</f>
        <v>1.0601577910447761</v>
      </c>
      <c r="F52" s="159"/>
      <c r="G52" s="148">
        <f>G50/335</f>
        <v>1.246270776119403</v>
      </c>
      <c r="H52" s="159"/>
      <c r="I52" s="148">
        <f>I50/335</f>
        <v>2.3064285671641787</v>
      </c>
      <c r="J52" s="155"/>
      <c r="K52" s="248" t="s">
        <v>168</v>
      </c>
      <c r="L52" s="249"/>
      <c r="M52" s="148">
        <f>M50/335</f>
        <v>5.7910447761194028E-2</v>
      </c>
      <c r="N52" s="249"/>
      <c r="O52" s="148">
        <f>O50/335</f>
        <v>2.5484776119402981</v>
      </c>
      <c r="P52" s="249"/>
      <c r="Q52" s="148">
        <f>Q50/335</f>
        <v>2.6063880597014926</v>
      </c>
      <c r="V52">
        <f>306+29</f>
        <v>335</v>
      </c>
    </row>
    <row r="53" spans="3:22" x14ac:dyDescent="0.45">
      <c r="E53" s="229">
        <f>E50/10</f>
        <v>35.515286000000003</v>
      </c>
      <c r="F53" s="229"/>
      <c r="G53" s="229">
        <f>G50/10</f>
        <v>41.750071000000005</v>
      </c>
      <c r="H53" s="229"/>
      <c r="I53" s="229">
        <f>I50/10</f>
        <v>77.26535699999998</v>
      </c>
      <c r="M53" s="273">
        <f>M49/335</f>
        <v>5.5134328358208952E-2</v>
      </c>
      <c r="N53" s="229"/>
      <c r="O53" s="229">
        <f>O49/335</f>
        <v>2.4507462686567161</v>
      </c>
      <c r="P53" s="229"/>
      <c r="Q53" s="229">
        <f>Q49/335</f>
        <v>2.5058805970149254</v>
      </c>
    </row>
    <row r="54" spans="3:22" ht="18" x14ac:dyDescent="0.55000000000000004">
      <c r="C54" s="2454" t="s">
        <v>127</v>
      </c>
      <c r="D54" s="2455" t="s">
        <v>317</v>
      </c>
      <c r="E54" s="2455"/>
      <c r="F54" s="2455"/>
      <c r="G54" s="2455"/>
      <c r="H54" s="2455"/>
      <c r="I54" s="2455"/>
      <c r="J54" s="179"/>
      <c r="K54" s="2454" t="s">
        <v>127</v>
      </c>
      <c r="L54" s="2455" t="s">
        <v>318</v>
      </c>
      <c r="M54" s="2455"/>
      <c r="N54" s="2455"/>
      <c r="O54" s="2455"/>
      <c r="P54" s="2455"/>
      <c r="Q54" s="2455"/>
    </row>
    <row r="55" spans="3:22" ht="18" x14ac:dyDescent="0.55000000000000004">
      <c r="C55" s="2454"/>
      <c r="D55" s="180" t="s">
        <v>94</v>
      </c>
      <c r="E55" s="181" t="s">
        <v>90</v>
      </c>
      <c r="F55" s="180" t="s">
        <v>130</v>
      </c>
      <c r="G55" s="182" t="s">
        <v>90</v>
      </c>
      <c r="H55" s="180" t="s">
        <v>63</v>
      </c>
      <c r="I55" s="182" t="s">
        <v>90</v>
      </c>
      <c r="J55" s="183"/>
      <c r="K55" s="2454"/>
      <c r="L55" s="180" t="s">
        <v>94</v>
      </c>
      <c r="M55" s="181" t="s">
        <v>90</v>
      </c>
      <c r="N55" s="180" t="s">
        <v>130</v>
      </c>
      <c r="O55" s="181" t="s">
        <v>90</v>
      </c>
      <c r="P55" s="180" t="s">
        <v>63</v>
      </c>
      <c r="Q55" s="181" t="s">
        <v>90</v>
      </c>
    </row>
    <row r="56" spans="3:22" ht="18" x14ac:dyDescent="0.55000000000000004">
      <c r="C56" s="146" t="s">
        <v>131</v>
      </c>
      <c r="D56" s="98"/>
      <c r="E56" s="148">
        <f>D56</f>
        <v>0</v>
      </c>
      <c r="F56" s="98">
        <v>-2.1</v>
      </c>
      <c r="G56" s="149">
        <f>F56</f>
        <v>-2.1</v>
      </c>
      <c r="H56" s="147">
        <f t="shared" ref="H56:H67" si="25">D56+F56</f>
        <v>-2.1</v>
      </c>
      <c r="I56" s="149">
        <f>H56</f>
        <v>-2.1</v>
      </c>
      <c r="K56" s="146" t="s">
        <v>131</v>
      </c>
      <c r="L56" s="98"/>
      <c r="M56" s="148">
        <f>L56</f>
        <v>0</v>
      </c>
      <c r="N56" s="98">
        <v>-13.97</v>
      </c>
      <c r="O56" s="148">
        <f>N56</f>
        <v>-13.97</v>
      </c>
      <c r="P56" s="147">
        <f t="shared" ref="P56:P67" si="26">L56+N56</f>
        <v>-13.97</v>
      </c>
      <c r="Q56" s="148">
        <f>P56</f>
        <v>-13.97</v>
      </c>
    </row>
    <row r="57" spans="3:22" ht="18" x14ac:dyDescent="0.55000000000000004">
      <c r="C57" s="146" t="s">
        <v>132</v>
      </c>
      <c r="D57" s="98"/>
      <c r="E57" s="148">
        <f>E56+D57</f>
        <v>0</v>
      </c>
      <c r="F57" s="98">
        <v>-0.18</v>
      </c>
      <c r="G57" s="149">
        <f t="shared" ref="G57:G67" si="27">G56+F57</f>
        <v>-2.2800000000000002</v>
      </c>
      <c r="H57" s="147">
        <f t="shared" si="25"/>
        <v>-0.18</v>
      </c>
      <c r="I57" s="149">
        <f t="shared" ref="I57:I67" si="28">I56+H57</f>
        <v>-2.2800000000000002</v>
      </c>
      <c r="K57" s="146" t="s">
        <v>132</v>
      </c>
      <c r="L57" s="98"/>
      <c r="M57" s="148">
        <f>M56+L57</f>
        <v>0</v>
      </c>
      <c r="N57" s="98">
        <v>-0.22</v>
      </c>
      <c r="O57" s="148">
        <f>O56+N57</f>
        <v>-14.190000000000001</v>
      </c>
      <c r="P57" s="147">
        <f t="shared" si="26"/>
        <v>-0.22</v>
      </c>
      <c r="Q57" s="148">
        <f>Q56+P57</f>
        <v>-14.190000000000001</v>
      </c>
    </row>
    <row r="58" spans="3:22" ht="18" x14ac:dyDescent="0.55000000000000004">
      <c r="C58" s="146" t="s">
        <v>133</v>
      </c>
      <c r="D58" s="98"/>
      <c r="E58" s="148">
        <f>E57+D58</f>
        <v>0</v>
      </c>
      <c r="F58" s="103">
        <v>-0.77800000000000002</v>
      </c>
      <c r="G58" s="149">
        <f t="shared" si="27"/>
        <v>-3.0580000000000003</v>
      </c>
      <c r="H58" s="147">
        <f t="shared" si="25"/>
        <v>-0.77800000000000002</v>
      </c>
      <c r="I58" s="149">
        <f t="shared" si="28"/>
        <v>-3.0580000000000003</v>
      </c>
      <c r="K58" s="146" t="s">
        <v>133</v>
      </c>
      <c r="L58" s="98"/>
      <c r="M58" s="148">
        <f>M57+L58</f>
        <v>0</v>
      </c>
      <c r="N58" s="98">
        <v>-2.75</v>
      </c>
      <c r="O58" s="148">
        <f>O57+N58</f>
        <v>-16.940000000000001</v>
      </c>
      <c r="P58" s="147">
        <f t="shared" si="26"/>
        <v>-2.75</v>
      </c>
      <c r="Q58" s="148">
        <f>Q57+P58</f>
        <v>-16.940000000000001</v>
      </c>
    </row>
    <row r="59" spans="3:22" ht="18" x14ac:dyDescent="0.55000000000000004">
      <c r="C59" s="146" t="s">
        <v>51</v>
      </c>
      <c r="D59" s="98"/>
      <c r="E59" s="148">
        <f>E58+D59</f>
        <v>0</v>
      </c>
      <c r="F59" s="103">
        <f>51163/100000</f>
        <v>0.51163000000000003</v>
      </c>
      <c r="G59" s="149">
        <f t="shared" si="27"/>
        <v>-2.5463700000000005</v>
      </c>
      <c r="H59" s="147">
        <f t="shared" si="25"/>
        <v>0.51163000000000003</v>
      </c>
      <c r="I59" s="149">
        <f t="shared" si="28"/>
        <v>-2.5463700000000005</v>
      </c>
      <c r="K59" s="146" t="s">
        <v>51</v>
      </c>
      <c r="L59" s="98"/>
      <c r="M59" s="148">
        <f>M58+L59</f>
        <v>0</v>
      </c>
      <c r="N59" s="98">
        <v>6.08</v>
      </c>
      <c r="O59" s="148">
        <f>O58+N59</f>
        <v>-10.860000000000001</v>
      </c>
      <c r="P59" s="147">
        <f t="shared" si="26"/>
        <v>6.08</v>
      </c>
      <c r="Q59" s="148">
        <f>Q58+P59</f>
        <v>-10.860000000000001</v>
      </c>
    </row>
    <row r="60" spans="3:22" ht="18" x14ac:dyDescent="0.55000000000000004">
      <c r="C60" s="146" t="s">
        <v>134</v>
      </c>
      <c r="D60" s="98">
        <v>8.5000000000000006E-3</v>
      </c>
      <c r="E60" s="148">
        <f>E59+D60</f>
        <v>8.5000000000000006E-3</v>
      </c>
      <c r="F60" s="98">
        <v>0.85</v>
      </c>
      <c r="G60" s="149">
        <f t="shared" si="27"/>
        <v>-1.6963700000000004</v>
      </c>
      <c r="H60" s="157">
        <f t="shared" si="25"/>
        <v>0.85849999999999993</v>
      </c>
      <c r="I60" s="149">
        <f t="shared" si="28"/>
        <v>-1.6878700000000006</v>
      </c>
      <c r="K60" s="146" t="s">
        <v>134</v>
      </c>
      <c r="L60" s="98">
        <v>6.8100000000000001E-3</v>
      </c>
      <c r="M60" s="148">
        <f>M59+L60</f>
        <v>6.8100000000000001E-3</v>
      </c>
      <c r="N60" s="98">
        <v>7.23</v>
      </c>
      <c r="O60" s="148">
        <f>O59+N60</f>
        <v>-3.6300000000000008</v>
      </c>
      <c r="P60" s="159">
        <f t="shared" si="26"/>
        <v>7.2368100000000002</v>
      </c>
      <c r="Q60" s="148">
        <f>Q59+P60</f>
        <v>-3.623190000000001</v>
      </c>
    </row>
    <row r="61" spans="3:22" ht="18" x14ac:dyDescent="0.55000000000000004">
      <c r="C61" s="146" t="s">
        <v>135</v>
      </c>
      <c r="D61" s="98">
        <v>2.35E-2</v>
      </c>
      <c r="E61" s="148">
        <f t="shared" ref="E61:E67" si="29">E60+D61</f>
        <v>3.2000000000000001E-2</v>
      </c>
      <c r="F61" s="103">
        <v>1.294</v>
      </c>
      <c r="G61" s="149">
        <f t="shared" si="27"/>
        <v>-0.40237000000000034</v>
      </c>
      <c r="H61" s="157">
        <f t="shared" si="25"/>
        <v>1.3175000000000001</v>
      </c>
      <c r="I61" s="149">
        <f t="shared" si="28"/>
        <v>-0.37037000000000053</v>
      </c>
      <c r="K61" s="146" t="s">
        <v>135</v>
      </c>
      <c r="L61" s="98">
        <v>1.1900000000000001E-3</v>
      </c>
      <c r="M61" s="148">
        <f t="shared" ref="M61:M67" si="30">M60+L61</f>
        <v>8.0000000000000002E-3</v>
      </c>
      <c r="N61" s="98">
        <v>9.0109999999999992</v>
      </c>
      <c r="O61" s="148">
        <f t="shared" ref="O61:O67" si="31">O60+N61</f>
        <v>5.3809999999999985</v>
      </c>
      <c r="P61" s="159">
        <f t="shared" si="26"/>
        <v>9.0121899999999986</v>
      </c>
      <c r="Q61" s="148">
        <f>Q60+P61</f>
        <v>5.3889999999999976</v>
      </c>
    </row>
    <row r="62" spans="3:22" ht="18" x14ac:dyDescent="0.55000000000000004">
      <c r="C62" s="146" t="s">
        <v>136</v>
      </c>
      <c r="D62" s="98">
        <v>0.39</v>
      </c>
      <c r="E62" s="148">
        <f t="shared" si="29"/>
        <v>0.42200000000000004</v>
      </c>
      <c r="F62" s="98">
        <v>2.88</v>
      </c>
      <c r="G62" s="149">
        <f t="shared" si="27"/>
        <v>2.4776299999999996</v>
      </c>
      <c r="H62" s="157">
        <f t="shared" si="25"/>
        <v>3.27</v>
      </c>
      <c r="I62" s="149">
        <f t="shared" si="28"/>
        <v>2.8996299999999993</v>
      </c>
      <c r="K62" s="146" t="s">
        <v>136</v>
      </c>
      <c r="L62" s="98">
        <v>1.6E-2</v>
      </c>
      <c r="M62" s="148">
        <f t="shared" si="30"/>
        <v>2.4E-2</v>
      </c>
      <c r="N62" s="98">
        <v>19.68</v>
      </c>
      <c r="O62" s="148">
        <f t="shared" si="31"/>
        <v>25.061</v>
      </c>
      <c r="P62" s="159">
        <f t="shared" si="26"/>
        <v>19.695999999999998</v>
      </c>
      <c r="Q62" s="148">
        <f t="shared" ref="Q62:Q67" si="32">Q61+P62</f>
        <v>25.084999999999994</v>
      </c>
    </row>
    <row r="63" spans="3:22" ht="18" x14ac:dyDescent="0.55000000000000004">
      <c r="C63" s="146" t="s">
        <v>137</v>
      </c>
      <c r="D63" s="103"/>
      <c r="E63" s="148">
        <f t="shared" si="29"/>
        <v>0.42200000000000004</v>
      </c>
      <c r="F63" s="103"/>
      <c r="G63" s="149">
        <f t="shared" si="27"/>
        <v>2.4776299999999996</v>
      </c>
      <c r="H63" s="159">
        <f t="shared" si="25"/>
        <v>0</v>
      </c>
      <c r="I63" s="149">
        <f t="shared" si="28"/>
        <v>2.8996299999999993</v>
      </c>
      <c r="K63" s="146" t="s">
        <v>137</v>
      </c>
      <c r="L63" s="98"/>
      <c r="M63" s="148">
        <f t="shared" si="30"/>
        <v>2.4E-2</v>
      </c>
      <c r="N63" s="98"/>
      <c r="O63" s="148">
        <f t="shared" si="31"/>
        <v>25.061</v>
      </c>
      <c r="P63" s="159">
        <f t="shared" si="26"/>
        <v>0</v>
      </c>
      <c r="Q63" s="148">
        <f t="shared" si="32"/>
        <v>25.084999999999994</v>
      </c>
    </row>
    <row r="64" spans="3:22" ht="18" x14ac:dyDescent="0.55000000000000004">
      <c r="C64" s="146" t="s">
        <v>138</v>
      </c>
      <c r="D64" s="98"/>
      <c r="E64" s="148">
        <f t="shared" si="29"/>
        <v>0.42200000000000004</v>
      </c>
      <c r="F64" s="98"/>
      <c r="G64" s="149">
        <f t="shared" si="27"/>
        <v>2.4776299999999996</v>
      </c>
      <c r="H64" s="159">
        <f t="shared" si="25"/>
        <v>0</v>
      </c>
      <c r="I64" s="149">
        <f t="shared" si="28"/>
        <v>2.8996299999999993</v>
      </c>
      <c r="K64" s="146" t="s">
        <v>138</v>
      </c>
      <c r="L64" s="98"/>
      <c r="M64" s="148">
        <f t="shared" si="30"/>
        <v>2.4E-2</v>
      </c>
      <c r="N64" s="98"/>
      <c r="O64" s="148">
        <f t="shared" si="31"/>
        <v>25.061</v>
      </c>
      <c r="P64" s="159">
        <f t="shared" si="26"/>
        <v>0</v>
      </c>
      <c r="Q64" s="148">
        <f t="shared" si="32"/>
        <v>25.084999999999994</v>
      </c>
    </row>
    <row r="65" spans="3:17" ht="18" x14ac:dyDescent="0.55000000000000004">
      <c r="C65" s="146" t="s">
        <v>139</v>
      </c>
      <c r="D65" s="98"/>
      <c r="E65" s="148">
        <f t="shared" si="29"/>
        <v>0.42200000000000004</v>
      </c>
      <c r="F65" s="98"/>
      <c r="G65" s="149">
        <f t="shared" si="27"/>
        <v>2.4776299999999996</v>
      </c>
      <c r="H65" s="157">
        <f t="shared" si="25"/>
        <v>0</v>
      </c>
      <c r="I65" s="149">
        <f t="shared" si="28"/>
        <v>2.8996299999999993</v>
      </c>
      <c r="K65" s="146" t="s">
        <v>139</v>
      </c>
      <c r="L65" s="98"/>
      <c r="M65" s="148">
        <f t="shared" si="30"/>
        <v>2.4E-2</v>
      </c>
      <c r="N65" s="98"/>
      <c r="O65" s="148">
        <f t="shared" si="31"/>
        <v>25.061</v>
      </c>
      <c r="P65" s="157">
        <f t="shared" si="26"/>
        <v>0</v>
      </c>
      <c r="Q65" s="148">
        <f t="shared" si="32"/>
        <v>25.084999999999994</v>
      </c>
    </row>
    <row r="66" spans="3:17" ht="18" x14ac:dyDescent="0.55000000000000004">
      <c r="C66" s="146" t="s">
        <v>140</v>
      </c>
      <c r="D66" s="98"/>
      <c r="E66" s="148">
        <f t="shared" si="29"/>
        <v>0.42200000000000004</v>
      </c>
      <c r="F66" s="98"/>
      <c r="G66" s="149">
        <f t="shared" si="27"/>
        <v>2.4776299999999996</v>
      </c>
      <c r="H66" s="157">
        <f t="shared" si="25"/>
        <v>0</v>
      </c>
      <c r="I66" s="149">
        <f t="shared" si="28"/>
        <v>2.8996299999999993</v>
      </c>
      <c r="K66" s="146" t="s">
        <v>140</v>
      </c>
      <c r="L66" s="98"/>
      <c r="M66" s="148">
        <f t="shared" si="30"/>
        <v>2.4E-2</v>
      </c>
      <c r="N66" s="98"/>
      <c r="O66" s="148">
        <f t="shared" si="31"/>
        <v>25.061</v>
      </c>
      <c r="P66" s="157">
        <f t="shared" si="26"/>
        <v>0</v>
      </c>
      <c r="Q66" s="148">
        <f t="shared" si="32"/>
        <v>25.084999999999994</v>
      </c>
    </row>
    <row r="67" spans="3:17" ht="18" x14ac:dyDescent="0.55000000000000004">
      <c r="C67" s="146" t="s">
        <v>141</v>
      </c>
      <c r="D67" s="363"/>
      <c r="E67" s="148">
        <f t="shared" si="29"/>
        <v>0.42200000000000004</v>
      </c>
      <c r="G67" s="149">
        <f t="shared" si="27"/>
        <v>2.4776299999999996</v>
      </c>
      <c r="H67" s="157">
        <f t="shared" si="25"/>
        <v>0</v>
      </c>
      <c r="I67" s="149">
        <f t="shared" si="28"/>
        <v>2.8996299999999993</v>
      </c>
      <c r="K67" s="146" t="s">
        <v>141</v>
      </c>
      <c r="L67" s="98"/>
      <c r="M67" s="148">
        <f t="shared" si="30"/>
        <v>2.4E-2</v>
      </c>
      <c r="N67" s="98"/>
      <c r="O67" s="148">
        <f t="shared" si="31"/>
        <v>25.061</v>
      </c>
      <c r="P67" s="157">
        <f t="shared" si="26"/>
        <v>0</v>
      </c>
      <c r="Q67" s="148">
        <f t="shared" si="32"/>
        <v>25.084999999999994</v>
      </c>
    </row>
    <row r="68" spans="3:17" ht="18" x14ac:dyDescent="0.55000000000000004">
      <c r="C68" s="146" t="s">
        <v>162</v>
      </c>
      <c r="D68" s="157"/>
      <c r="E68" s="148"/>
      <c r="F68" s="157"/>
      <c r="G68" s="148"/>
      <c r="H68" s="157"/>
      <c r="I68" s="148">
        <f>I67/7</f>
        <v>0.41423285714285701</v>
      </c>
      <c r="J68" s="155"/>
      <c r="K68" s="248" t="s">
        <v>162</v>
      </c>
      <c r="L68" s="249"/>
      <c r="M68" s="148"/>
      <c r="N68" s="249"/>
      <c r="O68" s="148"/>
      <c r="P68" s="249"/>
      <c r="Q68" s="148">
        <f>Q67/7</f>
        <v>3.5835714285714277</v>
      </c>
    </row>
    <row r="69" spans="3:17" ht="18" x14ac:dyDescent="0.55000000000000004">
      <c r="C69" s="146" t="s">
        <v>168</v>
      </c>
      <c r="D69" s="157"/>
      <c r="E69" s="148"/>
      <c r="F69" s="159"/>
      <c r="G69" s="148"/>
      <c r="H69" s="159"/>
      <c r="I69" s="148"/>
      <c r="J69" s="155"/>
      <c r="K69" s="248" t="s">
        <v>168</v>
      </c>
      <c r="L69" s="249"/>
      <c r="M69" s="148"/>
      <c r="N69" s="249"/>
      <c r="O69" s="148"/>
      <c r="P69" s="249"/>
      <c r="Q69" s="148"/>
    </row>
    <row r="70" spans="3:17" x14ac:dyDescent="0.45">
      <c r="E70" s="229"/>
      <c r="F70" s="229"/>
      <c r="G70" s="229"/>
      <c r="H70" s="229"/>
      <c r="I70" s="229"/>
      <c r="M70" s="273"/>
      <c r="N70" s="229"/>
      <c r="O70" s="229"/>
      <c r="P70" s="229"/>
      <c r="Q70" s="229"/>
    </row>
    <row r="71" spans="3:17" x14ac:dyDescent="0.45">
      <c r="E71" s="229"/>
      <c r="F71" s="229"/>
      <c r="G71" s="229"/>
      <c r="H71" s="229"/>
      <c r="I71" s="229"/>
      <c r="M71" s="273"/>
      <c r="N71" s="229"/>
      <c r="O71" s="229"/>
      <c r="P71" s="229"/>
      <c r="Q71" s="229">
        <f>Q62/7</f>
        <v>3.5835714285714277</v>
      </c>
    </row>
    <row r="72" spans="3:17" x14ac:dyDescent="0.45">
      <c r="E72" s="229"/>
      <c r="F72" s="229"/>
      <c r="G72" s="229"/>
      <c r="H72" s="229"/>
      <c r="I72" s="229"/>
      <c r="M72" s="273"/>
      <c r="N72" s="229"/>
      <c r="O72" s="229"/>
      <c r="P72" s="229"/>
      <c r="Q72" s="229"/>
    </row>
    <row r="73" spans="3:17" x14ac:dyDescent="0.45">
      <c r="E73" s="229"/>
      <c r="F73" s="229"/>
      <c r="G73" s="229"/>
      <c r="H73" s="229"/>
      <c r="I73" s="229"/>
      <c r="M73" s="273"/>
      <c r="N73" s="229"/>
      <c r="O73" s="229"/>
      <c r="P73" s="229"/>
      <c r="Q73" s="229"/>
    </row>
    <row r="74" spans="3:17" x14ac:dyDescent="0.45">
      <c r="E74" s="229"/>
      <c r="F74" s="229"/>
      <c r="G74" s="229"/>
      <c r="H74" s="229"/>
      <c r="I74" s="229"/>
      <c r="M74" s="273"/>
      <c r="N74" s="229"/>
      <c r="O74" s="229"/>
      <c r="P74" s="229"/>
      <c r="Q74" s="229"/>
    </row>
    <row r="75" spans="3:17" x14ac:dyDescent="0.45">
      <c r="E75" s="229"/>
      <c r="F75" s="229"/>
      <c r="G75" s="229"/>
      <c r="H75" s="229"/>
      <c r="I75" s="229"/>
      <c r="M75" s="273"/>
      <c r="N75" s="229"/>
      <c r="O75" s="229"/>
      <c r="P75" s="229"/>
      <c r="Q75" s="229"/>
    </row>
    <row r="76" spans="3:17" x14ac:dyDescent="0.45">
      <c r="E76" s="229"/>
      <c r="F76" s="229"/>
      <c r="G76" s="229"/>
      <c r="H76" s="229"/>
      <c r="I76" s="229"/>
      <c r="M76" s="273"/>
      <c r="N76" s="229"/>
      <c r="O76" s="229"/>
      <c r="P76" s="229"/>
      <c r="Q76" s="229"/>
    </row>
    <row r="77" spans="3:17" x14ac:dyDescent="0.45">
      <c r="E77" s="229"/>
      <c r="F77" s="229"/>
      <c r="G77" s="229"/>
      <c r="H77" s="229"/>
      <c r="I77" s="229"/>
      <c r="M77" s="273"/>
      <c r="N77" s="229"/>
      <c r="O77" s="229"/>
      <c r="P77" s="229"/>
      <c r="Q77" s="229"/>
    </row>
    <row r="78" spans="3:17" x14ac:dyDescent="0.45">
      <c r="E78" s="229"/>
      <c r="F78" s="229"/>
      <c r="G78" s="229"/>
      <c r="H78" s="229"/>
      <c r="I78" s="229"/>
      <c r="M78" s="273"/>
      <c r="N78" s="229"/>
      <c r="O78" s="229"/>
      <c r="P78" s="229"/>
      <c r="Q78" s="229"/>
    </row>
    <row r="79" spans="3:17" x14ac:dyDescent="0.45">
      <c r="E79" s="229"/>
      <c r="F79" s="229"/>
      <c r="G79" s="229"/>
      <c r="H79" s="229"/>
      <c r="I79" s="229"/>
      <c r="M79" s="273"/>
      <c r="N79" s="229"/>
      <c r="O79" s="229"/>
      <c r="P79" s="229"/>
      <c r="Q79" s="229"/>
    </row>
    <row r="80" spans="3:17" x14ac:dyDescent="0.45">
      <c r="E80" s="229"/>
      <c r="F80" s="229"/>
      <c r="G80" s="229"/>
      <c r="H80" s="229"/>
      <c r="I80" s="229"/>
      <c r="M80" s="273"/>
      <c r="N80" s="229"/>
      <c r="O80" s="229"/>
      <c r="P80" s="229"/>
      <c r="Q80" s="229"/>
    </row>
    <row r="81" spans="2:17" x14ac:dyDescent="0.45">
      <c r="E81" s="229"/>
      <c r="F81" s="229"/>
      <c r="G81" s="229"/>
      <c r="H81" s="229"/>
      <c r="I81" s="229"/>
      <c r="M81" s="273"/>
      <c r="N81" s="229"/>
      <c r="O81" s="229"/>
      <c r="P81" s="229"/>
      <c r="Q81" s="229"/>
    </row>
    <row r="82" spans="2:17" x14ac:dyDescent="0.45">
      <c r="E82" s="229"/>
      <c r="F82" s="229"/>
      <c r="G82" s="229"/>
      <c r="H82" s="229"/>
      <c r="I82" s="229"/>
      <c r="M82" s="273"/>
      <c r="N82" s="229"/>
      <c r="O82" s="229"/>
      <c r="P82" s="229"/>
      <c r="Q82" s="229"/>
    </row>
    <row r="83" spans="2:17" x14ac:dyDescent="0.45">
      <c r="E83" s="229"/>
      <c r="F83" s="229"/>
      <c r="G83" s="229"/>
      <c r="H83" s="229"/>
      <c r="I83" s="229"/>
      <c r="M83" s="273"/>
      <c r="N83" s="229"/>
      <c r="O83" s="229"/>
      <c r="P83" s="229"/>
      <c r="Q83" s="229"/>
    </row>
    <row r="84" spans="2:17" x14ac:dyDescent="0.45">
      <c r="E84" s="229"/>
      <c r="F84" s="229"/>
      <c r="G84" s="229"/>
      <c r="H84" s="229"/>
      <c r="I84" s="229"/>
      <c r="M84" s="273"/>
      <c r="N84" s="229"/>
      <c r="O84" s="229"/>
      <c r="P84" s="229"/>
      <c r="Q84" s="229"/>
    </row>
    <row r="85" spans="2:17" x14ac:dyDescent="0.45">
      <c r="E85" s="229"/>
      <c r="F85" s="229"/>
      <c r="G85" s="229"/>
      <c r="H85" s="229"/>
      <c r="I85" s="229"/>
      <c r="M85" s="273"/>
      <c r="N85" s="229"/>
      <c r="O85" s="229"/>
      <c r="P85" s="229"/>
      <c r="Q85" s="229"/>
    </row>
    <row r="86" spans="2:17" x14ac:dyDescent="0.45">
      <c r="E86" s="229"/>
      <c r="F86" s="229"/>
      <c r="G86" s="229"/>
      <c r="H86" s="229"/>
      <c r="I86" s="229"/>
      <c r="M86" s="273"/>
      <c r="N86" s="229"/>
      <c r="O86" s="229"/>
      <c r="P86" s="229"/>
      <c r="Q86" s="229"/>
    </row>
    <row r="87" spans="2:17" x14ac:dyDescent="0.45">
      <c r="E87" s="229"/>
      <c r="F87" s="229"/>
      <c r="G87" s="229"/>
      <c r="H87" s="229"/>
      <c r="I87" s="229"/>
      <c r="M87" s="273"/>
      <c r="N87" s="229"/>
      <c r="O87" s="229"/>
      <c r="P87" s="229"/>
      <c r="Q87" s="229"/>
    </row>
    <row r="88" spans="2:17" x14ac:dyDescent="0.45">
      <c r="E88" s="229"/>
      <c r="F88" s="229"/>
      <c r="G88" s="229"/>
      <c r="H88" s="229"/>
      <c r="I88" s="229"/>
      <c r="M88" s="273"/>
      <c r="N88" s="229"/>
      <c r="O88" s="229"/>
      <c r="P88" s="229"/>
      <c r="Q88" s="229"/>
    </row>
    <row r="89" spans="2:17" x14ac:dyDescent="0.45">
      <c r="E89" s="229"/>
      <c r="F89" s="229"/>
      <c r="G89" s="229"/>
      <c r="H89" s="229"/>
      <c r="I89" s="229"/>
      <c r="M89" s="273"/>
      <c r="N89" s="229"/>
      <c r="O89" s="229"/>
      <c r="P89" s="229"/>
      <c r="Q89" s="229"/>
    </row>
    <row r="90" spans="2:17" x14ac:dyDescent="0.45">
      <c r="E90" s="229"/>
      <c r="F90" s="229"/>
      <c r="G90" s="229"/>
      <c r="H90" s="229"/>
      <c r="I90" s="229"/>
      <c r="M90" s="273"/>
      <c r="N90" s="229"/>
      <c r="O90" s="229"/>
      <c r="P90" s="229"/>
      <c r="Q90" s="229"/>
    </row>
    <row r="91" spans="2:17" x14ac:dyDescent="0.45">
      <c r="E91" s="229"/>
      <c r="F91" s="229"/>
      <c r="G91" s="229"/>
      <c r="H91" s="229"/>
      <c r="I91" s="229"/>
      <c r="M91" s="273"/>
      <c r="N91" s="229"/>
      <c r="O91" s="229"/>
      <c r="P91" s="229"/>
      <c r="Q91" s="229"/>
    </row>
    <row r="92" spans="2:17" x14ac:dyDescent="0.45">
      <c r="E92" s="229"/>
      <c r="F92" s="229"/>
      <c r="G92" s="229"/>
      <c r="H92" s="229"/>
      <c r="I92" s="229"/>
      <c r="M92" s="273"/>
      <c r="N92" s="229"/>
      <c r="O92" s="229"/>
      <c r="P92" s="229"/>
      <c r="Q92" s="229"/>
    </row>
    <row r="93" spans="2:17" x14ac:dyDescent="0.45">
      <c r="E93" s="229"/>
      <c r="F93" s="229"/>
      <c r="G93" s="229"/>
      <c r="H93" s="229"/>
      <c r="I93" s="229"/>
      <c r="M93" s="273"/>
      <c r="N93" s="229"/>
      <c r="O93" s="229"/>
      <c r="P93" s="229"/>
      <c r="Q93" s="229"/>
    </row>
    <row r="94" spans="2:17" x14ac:dyDescent="0.45">
      <c r="F94" s="98"/>
    </row>
    <row r="95" spans="2:17" ht="24" customHeight="1" x14ac:dyDescent="0.55000000000000004">
      <c r="B95" s="91" t="s">
        <v>313</v>
      </c>
      <c r="C95" s="2452" t="s">
        <v>127</v>
      </c>
      <c r="D95" s="2453" t="s">
        <v>311</v>
      </c>
      <c r="E95" s="2453"/>
      <c r="F95" s="2453"/>
      <c r="G95" s="2453"/>
      <c r="H95" s="2453"/>
      <c r="I95" s="2453"/>
      <c r="J95" s="443"/>
      <c r="K95" s="2452" t="s">
        <v>127</v>
      </c>
      <c r="L95" s="2453" t="s">
        <v>312</v>
      </c>
      <c r="M95" s="2453"/>
      <c r="N95" s="2453"/>
      <c r="O95" s="2453"/>
      <c r="P95" s="2453"/>
      <c r="Q95" s="2453"/>
    </row>
    <row r="96" spans="2:17" ht="24" customHeight="1" x14ac:dyDescent="0.45">
      <c r="C96" s="2452"/>
      <c r="D96" s="452" t="s">
        <v>94</v>
      </c>
      <c r="E96" s="453" t="s">
        <v>90</v>
      </c>
      <c r="F96" s="452" t="s">
        <v>130</v>
      </c>
      <c r="G96" s="454" t="s">
        <v>90</v>
      </c>
      <c r="H96" s="452" t="s">
        <v>63</v>
      </c>
      <c r="I96" s="454" t="s">
        <v>90</v>
      </c>
      <c r="J96" s="443"/>
      <c r="K96" s="2452"/>
      <c r="L96" s="452" t="s">
        <v>94</v>
      </c>
      <c r="M96" s="453" t="s">
        <v>90</v>
      </c>
      <c r="N96" s="452" t="s">
        <v>130</v>
      </c>
      <c r="O96" s="453" t="s">
        <v>90</v>
      </c>
      <c r="P96" s="452" t="s">
        <v>63</v>
      </c>
      <c r="Q96" s="453" t="s">
        <v>90</v>
      </c>
    </row>
    <row r="97" spans="3:19" ht="24" customHeight="1" x14ac:dyDescent="0.55000000000000004">
      <c r="C97" s="439" t="s">
        <v>131</v>
      </c>
      <c r="D97" s="280">
        <v>28.7</v>
      </c>
      <c r="E97" s="440">
        <f>D97</f>
        <v>28.7</v>
      </c>
      <c r="F97" s="280">
        <v>39.6</v>
      </c>
      <c r="G97" s="441">
        <f>F97</f>
        <v>39.6</v>
      </c>
      <c r="H97" s="455">
        <f t="shared" ref="H97:H108" si="33">D97+F97</f>
        <v>68.3</v>
      </c>
      <c r="I97" s="441">
        <f>H97</f>
        <v>68.3</v>
      </c>
      <c r="J97" s="443"/>
      <c r="K97" s="439" t="s">
        <v>131</v>
      </c>
      <c r="L97" s="280">
        <v>1.84</v>
      </c>
      <c r="M97" s="440">
        <f>L97</f>
        <v>1.84</v>
      </c>
      <c r="N97" s="280">
        <v>86.69</v>
      </c>
      <c r="O97" s="440">
        <f>N97</f>
        <v>86.69</v>
      </c>
      <c r="P97" s="455">
        <f t="shared" ref="P97:P108" si="34">L97+N97</f>
        <v>88.53</v>
      </c>
      <c r="Q97" s="440">
        <f>P97</f>
        <v>88.53</v>
      </c>
    </row>
    <row r="98" spans="3:19" ht="24" customHeight="1" x14ac:dyDescent="0.55000000000000004">
      <c r="C98" s="439" t="s">
        <v>132</v>
      </c>
      <c r="D98" s="280">
        <v>29.8</v>
      </c>
      <c r="E98" s="440">
        <f>E97+D98</f>
        <v>58.5</v>
      </c>
      <c r="F98" s="456">
        <v>42</v>
      </c>
      <c r="G98" s="441">
        <f t="shared" ref="G98:G108" si="35">G97+F98</f>
        <v>81.599999999999994</v>
      </c>
      <c r="H98" s="455">
        <f t="shared" si="33"/>
        <v>71.8</v>
      </c>
      <c r="I98" s="441">
        <f t="shared" ref="I98:I108" si="36">I97+H98</f>
        <v>140.1</v>
      </c>
      <c r="J98" s="443"/>
      <c r="K98" s="439" t="s">
        <v>132</v>
      </c>
      <c r="L98" s="280">
        <v>1.99</v>
      </c>
      <c r="M98" s="440">
        <f>M97+L98</f>
        <v>3.83</v>
      </c>
      <c r="N98" s="280">
        <v>86.62</v>
      </c>
      <c r="O98" s="440">
        <f>O97+N98</f>
        <v>173.31</v>
      </c>
      <c r="P98" s="455">
        <f t="shared" si="34"/>
        <v>88.61</v>
      </c>
      <c r="Q98" s="440">
        <f t="shared" ref="Q98:Q108" si="37">Q97+P98</f>
        <v>177.14</v>
      </c>
    </row>
    <row r="99" spans="3:19" ht="24" customHeight="1" x14ac:dyDescent="0.55000000000000004">
      <c r="C99" s="439" t="s">
        <v>133</v>
      </c>
      <c r="D99" s="280">
        <v>32.4</v>
      </c>
      <c r="E99" s="440">
        <f>E98+D99</f>
        <v>90.9</v>
      </c>
      <c r="F99" s="280">
        <v>40.700000000000003</v>
      </c>
      <c r="G99" s="441">
        <f t="shared" si="35"/>
        <v>122.3</v>
      </c>
      <c r="H99" s="455">
        <f t="shared" si="33"/>
        <v>73.099999999999994</v>
      </c>
      <c r="I99" s="441">
        <f t="shared" si="36"/>
        <v>213.2</v>
      </c>
      <c r="J99" s="443"/>
      <c r="K99" s="439" t="s">
        <v>133</v>
      </c>
      <c r="L99" s="280">
        <v>2.08</v>
      </c>
      <c r="M99" s="440">
        <f>M98+L99</f>
        <v>5.91</v>
      </c>
      <c r="N99" s="280">
        <v>93.34</v>
      </c>
      <c r="O99" s="440">
        <f>O98+N99</f>
        <v>266.64999999999998</v>
      </c>
      <c r="P99" s="455">
        <f t="shared" si="34"/>
        <v>95.42</v>
      </c>
      <c r="Q99" s="440">
        <f t="shared" si="37"/>
        <v>272.56</v>
      </c>
    </row>
    <row r="100" spans="3:19" ht="24" customHeight="1" x14ac:dyDescent="0.55000000000000004">
      <c r="C100" s="439" t="s">
        <v>51</v>
      </c>
      <c r="D100" s="280">
        <v>37.4</v>
      </c>
      <c r="E100" s="440">
        <f>E99+D100</f>
        <v>128.30000000000001</v>
      </c>
      <c r="F100" s="280">
        <v>38</v>
      </c>
      <c r="G100" s="441">
        <f t="shared" si="35"/>
        <v>160.30000000000001</v>
      </c>
      <c r="H100" s="455">
        <f t="shared" si="33"/>
        <v>75.400000000000006</v>
      </c>
      <c r="I100" s="441">
        <f t="shared" si="36"/>
        <v>288.60000000000002</v>
      </c>
      <c r="J100" s="443"/>
      <c r="K100" s="439" t="s">
        <v>51</v>
      </c>
      <c r="L100" s="280">
        <v>2.36</v>
      </c>
      <c r="M100" s="440">
        <f>M99+L100</f>
        <v>8.27</v>
      </c>
      <c r="N100" s="280">
        <v>92.01</v>
      </c>
      <c r="O100" s="440">
        <f>O99+N100</f>
        <v>358.65999999999997</v>
      </c>
      <c r="P100" s="455">
        <f t="shared" si="34"/>
        <v>94.37</v>
      </c>
      <c r="Q100" s="440">
        <f t="shared" si="37"/>
        <v>366.93</v>
      </c>
    </row>
    <row r="101" spans="3:19" ht="24" customHeight="1" x14ac:dyDescent="0.55000000000000004">
      <c r="C101" s="439" t="s">
        <v>134</v>
      </c>
      <c r="D101" s="280">
        <v>34.4</v>
      </c>
      <c r="E101" s="440">
        <f>E100+D101</f>
        <v>162.70000000000002</v>
      </c>
      <c r="F101" s="280">
        <v>30.5</v>
      </c>
      <c r="G101" s="441">
        <f t="shared" si="35"/>
        <v>190.8</v>
      </c>
      <c r="H101" s="442">
        <f t="shared" si="33"/>
        <v>64.900000000000006</v>
      </c>
      <c r="I101" s="441">
        <f t="shared" si="36"/>
        <v>353.5</v>
      </c>
      <c r="J101" s="443"/>
      <c r="K101" s="439" t="s">
        <v>134</v>
      </c>
      <c r="L101" s="280">
        <v>2.11</v>
      </c>
      <c r="M101" s="440">
        <f>M100+L101</f>
        <v>10.379999999999999</v>
      </c>
      <c r="N101" s="280">
        <v>72.7</v>
      </c>
      <c r="O101" s="440">
        <f>O100+N101</f>
        <v>431.35999999999996</v>
      </c>
      <c r="P101" s="442">
        <f t="shared" si="34"/>
        <v>74.81</v>
      </c>
      <c r="Q101" s="440">
        <f t="shared" si="37"/>
        <v>441.74</v>
      </c>
    </row>
    <row r="102" spans="3:19" ht="24" customHeight="1" x14ac:dyDescent="0.55000000000000004">
      <c r="C102" s="439" t="s">
        <v>135</v>
      </c>
      <c r="D102" s="280">
        <v>34.299999999999997</v>
      </c>
      <c r="E102" s="440">
        <f t="shared" ref="E102:E107" si="38">E101+D102</f>
        <v>197</v>
      </c>
      <c r="F102" s="280">
        <v>36.200000000000003</v>
      </c>
      <c r="G102" s="441">
        <f t="shared" si="35"/>
        <v>227</v>
      </c>
      <c r="H102" s="442">
        <f t="shared" si="33"/>
        <v>70.5</v>
      </c>
      <c r="I102" s="441">
        <f t="shared" si="36"/>
        <v>424</v>
      </c>
      <c r="J102" s="443"/>
      <c r="K102" s="439" t="s">
        <v>135</v>
      </c>
      <c r="L102" s="280">
        <v>2.0699999999999998</v>
      </c>
      <c r="M102" s="440">
        <f t="shared" ref="M102:M108" si="39">M101+L102</f>
        <v>12.45</v>
      </c>
      <c r="N102" s="280">
        <v>80.62</v>
      </c>
      <c r="O102" s="440">
        <f t="shared" ref="O102:O108" si="40">O101+N102</f>
        <v>511.97999999999996</v>
      </c>
      <c r="P102" s="442">
        <f t="shared" si="34"/>
        <v>82.69</v>
      </c>
      <c r="Q102" s="440">
        <f t="shared" si="37"/>
        <v>524.43000000000006</v>
      </c>
    </row>
    <row r="103" spans="3:19" ht="24" customHeight="1" x14ac:dyDescent="0.55000000000000004">
      <c r="C103" s="439" t="s">
        <v>136</v>
      </c>
      <c r="D103" s="280">
        <v>29.6</v>
      </c>
      <c r="E103" s="440">
        <f t="shared" si="38"/>
        <v>226.6</v>
      </c>
      <c r="F103" s="280">
        <v>35.299999999999997</v>
      </c>
      <c r="G103" s="441">
        <f t="shared" si="35"/>
        <v>262.3</v>
      </c>
      <c r="H103" s="442">
        <f t="shared" si="33"/>
        <v>64.900000000000006</v>
      </c>
      <c r="I103" s="441">
        <f t="shared" si="36"/>
        <v>488.9</v>
      </c>
      <c r="J103" s="443"/>
      <c r="K103" s="439" t="s">
        <v>136</v>
      </c>
      <c r="L103" s="280">
        <v>1.92</v>
      </c>
      <c r="M103" s="440">
        <f t="shared" si="39"/>
        <v>14.37</v>
      </c>
      <c r="N103" s="280">
        <v>80.569999999999993</v>
      </c>
      <c r="O103" s="440">
        <f t="shared" si="40"/>
        <v>592.54999999999995</v>
      </c>
      <c r="P103" s="457">
        <f t="shared" si="34"/>
        <v>82.49</v>
      </c>
      <c r="Q103" s="440">
        <f t="shared" si="37"/>
        <v>606.92000000000007</v>
      </c>
    </row>
    <row r="104" spans="3:19" ht="24" customHeight="1" x14ac:dyDescent="0.55000000000000004">
      <c r="C104" s="439" t="s">
        <v>137</v>
      </c>
      <c r="D104" s="458">
        <v>32.6</v>
      </c>
      <c r="E104" s="440">
        <f t="shared" si="38"/>
        <v>259.2</v>
      </c>
      <c r="F104" s="458">
        <v>40.6</v>
      </c>
      <c r="G104" s="441">
        <f t="shared" si="35"/>
        <v>302.90000000000003</v>
      </c>
      <c r="H104" s="457">
        <f t="shared" si="33"/>
        <v>73.2</v>
      </c>
      <c r="I104" s="441">
        <f t="shared" si="36"/>
        <v>562.1</v>
      </c>
      <c r="J104" s="443"/>
      <c r="K104" s="439" t="s">
        <v>137</v>
      </c>
      <c r="L104" s="280">
        <v>2.0299999999999998</v>
      </c>
      <c r="M104" s="440">
        <f t="shared" si="39"/>
        <v>16.399999999999999</v>
      </c>
      <c r="N104" s="280">
        <v>88.45</v>
      </c>
      <c r="O104" s="440">
        <f t="shared" si="40"/>
        <v>681</v>
      </c>
      <c r="P104" s="457">
        <f t="shared" si="34"/>
        <v>90.48</v>
      </c>
      <c r="Q104" s="440">
        <f t="shared" si="37"/>
        <v>697.40000000000009</v>
      </c>
    </row>
    <row r="105" spans="3:19" ht="24" customHeight="1" x14ac:dyDescent="0.55000000000000004">
      <c r="C105" s="439" t="s">
        <v>138</v>
      </c>
      <c r="D105" s="280">
        <v>34.799999999999997</v>
      </c>
      <c r="E105" s="440">
        <f t="shared" si="38"/>
        <v>294</v>
      </c>
      <c r="F105" s="280">
        <v>40.700000000000003</v>
      </c>
      <c r="G105" s="441">
        <f t="shared" si="35"/>
        <v>343.6</v>
      </c>
      <c r="H105" s="457">
        <f t="shared" si="33"/>
        <v>75.5</v>
      </c>
      <c r="I105" s="441">
        <f t="shared" si="36"/>
        <v>637.6</v>
      </c>
      <c r="J105" s="443"/>
      <c r="K105" s="439" t="s">
        <v>138</v>
      </c>
      <c r="L105" s="280">
        <v>2.17</v>
      </c>
      <c r="M105" s="440">
        <f t="shared" si="39"/>
        <v>18.57</v>
      </c>
      <c r="N105" s="280">
        <v>89.23</v>
      </c>
      <c r="O105" s="440">
        <f t="shared" si="40"/>
        <v>770.23</v>
      </c>
      <c r="P105" s="457">
        <f t="shared" si="34"/>
        <v>91.4</v>
      </c>
      <c r="Q105" s="440">
        <f t="shared" si="37"/>
        <v>788.80000000000007</v>
      </c>
    </row>
    <row r="106" spans="3:19" ht="24" customHeight="1" x14ac:dyDescent="0.55000000000000004">
      <c r="C106" s="439" t="s">
        <v>139</v>
      </c>
      <c r="D106" s="280">
        <v>34.6</v>
      </c>
      <c r="E106" s="440">
        <f t="shared" si="38"/>
        <v>328.6</v>
      </c>
      <c r="F106" s="280">
        <v>39.200000000000003</v>
      </c>
      <c r="G106" s="441">
        <f t="shared" si="35"/>
        <v>382.8</v>
      </c>
      <c r="H106" s="442">
        <f t="shared" si="33"/>
        <v>73.800000000000011</v>
      </c>
      <c r="I106" s="441">
        <f t="shared" si="36"/>
        <v>711.40000000000009</v>
      </c>
      <c r="J106" s="443"/>
      <c r="K106" s="439" t="s">
        <v>139</v>
      </c>
      <c r="L106" s="280">
        <v>2.08</v>
      </c>
      <c r="M106" s="440">
        <f t="shared" si="39"/>
        <v>20.65</v>
      </c>
      <c r="N106" s="280">
        <v>98.84</v>
      </c>
      <c r="O106" s="440">
        <f t="shared" si="40"/>
        <v>869.07</v>
      </c>
      <c r="P106" s="442">
        <f t="shared" si="34"/>
        <v>100.92</v>
      </c>
      <c r="Q106" s="440">
        <f t="shared" si="37"/>
        <v>889.72</v>
      </c>
    </row>
    <row r="107" spans="3:19" ht="24" customHeight="1" x14ac:dyDescent="0.55000000000000004">
      <c r="C107" s="439" t="s">
        <v>140</v>
      </c>
      <c r="D107" s="280">
        <v>30.4</v>
      </c>
      <c r="E107" s="440">
        <f t="shared" si="38"/>
        <v>359</v>
      </c>
      <c r="F107" s="280">
        <v>37.200000000000003</v>
      </c>
      <c r="G107" s="441">
        <f t="shared" si="35"/>
        <v>420</v>
      </c>
      <c r="H107" s="442">
        <f t="shared" si="33"/>
        <v>67.599999999999994</v>
      </c>
      <c r="I107" s="441">
        <f t="shared" si="36"/>
        <v>779.00000000000011</v>
      </c>
      <c r="J107" s="443"/>
      <c r="K107" s="439" t="s">
        <v>140</v>
      </c>
      <c r="L107" s="280">
        <v>1.91</v>
      </c>
      <c r="M107" s="440">
        <f t="shared" si="39"/>
        <v>22.56</v>
      </c>
      <c r="N107" s="280">
        <v>91.02</v>
      </c>
      <c r="O107" s="440">
        <f t="shared" si="40"/>
        <v>960.09</v>
      </c>
      <c r="P107" s="442">
        <f t="shared" si="34"/>
        <v>92.929999999999993</v>
      </c>
      <c r="Q107" s="440">
        <f t="shared" si="37"/>
        <v>982.65</v>
      </c>
    </row>
    <row r="108" spans="3:19" ht="24" customHeight="1" x14ac:dyDescent="0.55000000000000004">
      <c r="C108" s="439" t="s">
        <v>141</v>
      </c>
      <c r="D108" s="459">
        <v>18.399999999999999</v>
      </c>
      <c r="E108" s="440">
        <f>E107+D108</f>
        <v>377.4</v>
      </c>
      <c r="F108" s="280">
        <v>20.100000000000001</v>
      </c>
      <c r="G108" s="441">
        <f t="shared" si="35"/>
        <v>440.1</v>
      </c>
      <c r="H108" s="442">
        <f t="shared" si="33"/>
        <v>38.5</v>
      </c>
      <c r="I108" s="441">
        <f t="shared" si="36"/>
        <v>817.50000000000011</v>
      </c>
      <c r="J108" s="443"/>
      <c r="K108" s="439" t="s">
        <v>141</v>
      </c>
      <c r="L108" s="280">
        <v>1.1499999999999999</v>
      </c>
      <c r="M108" s="440">
        <f t="shared" si="39"/>
        <v>23.709999999999997</v>
      </c>
      <c r="N108" s="280">
        <v>33.299999999999997</v>
      </c>
      <c r="O108" s="440">
        <f t="shared" si="40"/>
        <v>993.39</v>
      </c>
      <c r="P108" s="442">
        <f t="shared" si="34"/>
        <v>34.449999999999996</v>
      </c>
      <c r="Q108" s="440">
        <f t="shared" si="37"/>
        <v>1017.1</v>
      </c>
      <c r="S108" s="229"/>
    </row>
    <row r="109" spans="3:19" ht="24" customHeight="1" x14ac:dyDescent="0.55000000000000004">
      <c r="C109" s="439"/>
      <c r="D109" s="442"/>
      <c r="E109" s="440"/>
      <c r="F109" s="442"/>
      <c r="G109" s="440"/>
      <c r="H109" s="442"/>
      <c r="I109" s="440"/>
      <c r="J109" s="443"/>
      <c r="K109" s="460"/>
      <c r="L109" s="461"/>
      <c r="M109" s="440"/>
      <c r="N109" s="461"/>
      <c r="O109" s="440"/>
      <c r="P109" s="461"/>
      <c r="Q109" s="440"/>
    </row>
    <row r="110" spans="3:19" ht="18" hidden="1" x14ac:dyDescent="0.55000000000000004">
      <c r="C110" s="280"/>
      <c r="D110" s="280"/>
      <c r="E110" s="440"/>
      <c r="F110" s="280"/>
      <c r="G110" s="440"/>
      <c r="H110" s="280"/>
      <c r="I110" s="440"/>
      <c r="J110" s="443"/>
      <c r="K110" s="462"/>
      <c r="L110" s="463"/>
      <c r="M110" s="464"/>
      <c r="N110" s="443"/>
      <c r="O110" s="464"/>
      <c r="P110" s="443"/>
      <c r="Q110" s="464"/>
    </row>
    <row r="111" spans="3:19" ht="36" x14ac:dyDescent="0.55000000000000004">
      <c r="C111" s="465" t="s">
        <v>309</v>
      </c>
      <c r="D111" s="466"/>
      <c r="E111" s="467">
        <v>351</v>
      </c>
      <c r="F111" s="468"/>
      <c r="G111" s="467">
        <v>443</v>
      </c>
      <c r="H111" s="468"/>
      <c r="I111" s="467">
        <f>G111+E111</f>
        <v>794</v>
      </c>
      <c r="J111" s="469"/>
      <c r="K111" s="465" t="s">
        <v>309</v>
      </c>
      <c r="L111" s="466"/>
      <c r="M111" s="467">
        <v>21.11</v>
      </c>
      <c r="N111" s="468"/>
      <c r="O111" s="467">
        <v>911.92</v>
      </c>
      <c r="P111" s="468"/>
      <c r="Q111" s="467">
        <f>O111+M111</f>
        <v>933.03</v>
      </c>
    </row>
    <row r="112" spans="3:19" ht="36" x14ac:dyDescent="0.55000000000000004">
      <c r="C112" s="465" t="s">
        <v>310</v>
      </c>
      <c r="D112" s="466"/>
      <c r="E112" s="467">
        <f>(E108-E111)/E111*100</f>
        <v>7.5213675213675151</v>
      </c>
      <c r="F112" s="467"/>
      <c r="G112" s="467">
        <f>(G108-G111)/G111*100</f>
        <v>-0.65462753950338082</v>
      </c>
      <c r="H112" s="467"/>
      <c r="I112" s="467">
        <f>(I108-I111)/I111*100</f>
        <v>2.9596977329974954</v>
      </c>
      <c r="J112" s="469"/>
      <c r="K112" s="465" t="s">
        <v>310</v>
      </c>
      <c r="L112" s="466"/>
      <c r="M112" s="467">
        <f>(M108-M111)/M111*100</f>
        <v>12.31643770724774</v>
      </c>
      <c r="N112" s="467"/>
      <c r="O112" s="467">
        <f>(O108-O111)/O111*100</f>
        <v>8.9338977103254713</v>
      </c>
      <c r="P112" s="467"/>
      <c r="Q112" s="467">
        <f>(Q108-Q111)/Q111*100</f>
        <v>9.0104283892265045</v>
      </c>
    </row>
  </sheetData>
  <mergeCells count="20">
    <mergeCell ref="C4:C5"/>
    <mergeCell ref="D4:I4"/>
    <mergeCell ref="K4:K5"/>
    <mergeCell ref="L4:Q4"/>
    <mergeCell ref="C20:C21"/>
    <mergeCell ref="D20:I20"/>
    <mergeCell ref="K20:K21"/>
    <mergeCell ref="L20:Q20"/>
    <mergeCell ref="C95:C96"/>
    <mergeCell ref="D95:I95"/>
    <mergeCell ref="K95:K96"/>
    <mergeCell ref="L95:Q95"/>
    <mergeCell ref="C37:C38"/>
    <mergeCell ref="D37:I37"/>
    <mergeCell ref="K37:K38"/>
    <mergeCell ref="L37:Q37"/>
    <mergeCell ref="C54:C55"/>
    <mergeCell ref="D54:I54"/>
    <mergeCell ref="K54:K55"/>
    <mergeCell ref="L54:Q54"/>
  </mergeCells>
  <printOptions horizontalCentered="1"/>
  <pageMargins left="0.27559055118110237" right="0.19685039370078741" top="0.59055118110236227" bottom="0.74803149606299213" header="1.299212598425197" footer="0.31496062992125984"/>
  <pageSetup paperSize="9" scale="24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pageSetUpPr fitToPage="1"/>
  </sheetPr>
  <dimension ref="A1:U65"/>
  <sheetViews>
    <sheetView workbookViewId="0">
      <selection activeCell="I23" sqref="I23"/>
    </sheetView>
  </sheetViews>
  <sheetFormatPr defaultRowHeight="14.25" x14ac:dyDescent="0.45"/>
  <cols>
    <col min="1" max="1" width="13.73046875" customWidth="1"/>
    <col min="2" max="2" width="9.73046875" customWidth="1"/>
    <col min="3" max="3" width="9.73046875" style="89" customWidth="1"/>
    <col min="4" max="5" width="9.73046875" customWidth="1"/>
    <col min="6" max="6" width="13" customWidth="1"/>
    <col min="7" max="7" width="12.1328125" customWidth="1"/>
    <col min="8" max="8" width="9.73046875" bestFit="1" customWidth="1"/>
    <col min="12" max="12" width="13.3984375" bestFit="1" customWidth="1"/>
    <col min="13" max="13" width="13.1328125" customWidth="1"/>
    <col min="14" max="14" width="10.59765625" customWidth="1"/>
  </cols>
  <sheetData>
    <row r="1" spans="1:20" ht="18" x14ac:dyDescent="0.55000000000000004">
      <c r="A1" s="2459" t="s">
        <v>673</v>
      </c>
      <c r="B1" s="2459"/>
      <c r="C1" s="2459"/>
      <c r="D1" s="2459"/>
      <c r="E1" s="2459"/>
      <c r="F1" s="2459"/>
      <c r="G1" s="2459"/>
    </row>
    <row r="2" spans="1:20" x14ac:dyDescent="0.45">
      <c r="A2" s="2271" t="s">
        <v>127</v>
      </c>
      <c r="B2" s="855" t="s">
        <v>667</v>
      </c>
      <c r="C2" s="855" t="s">
        <v>83</v>
      </c>
      <c r="D2" s="855" t="s">
        <v>667</v>
      </c>
      <c r="E2" s="855" t="s">
        <v>83</v>
      </c>
      <c r="F2" s="855" t="s">
        <v>668</v>
      </c>
      <c r="G2" s="988" t="s">
        <v>671</v>
      </c>
      <c r="H2" s="988" t="s">
        <v>671</v>
      </c>
    </row>
    <row r="3" spans="1:20" x14ac:dyDescent="0.45">
      <c r="A3" s="2271"/>
      <c r="B3" s="855" t="s">
        <v>670</v>
      </c>
      <c r="C3" s="855" t="s">
        <v>669</v>
      </c>
      <c r="D3" s="855" t="s">
        <v>669</v>
      </c>
      <c r="E3" s="1001" t="s">
        <v>674</v>
      </c>
      <c r="F3" s="927" t="s">
        <v>666</v>
      </c>
      <c r="G3" s="927" t="s">
        <v>195</v>
      </c>
      <c r="H3" s="122" t="s">
        <v>194</v>
      </c>
      <c r="L3" s="226" t="s">
        <v>127</v>
      </c>
      <c r="M3" s="927" t="s">
        <v>666</v>
      </c>
      <c r="N3" s="927" t="s">
        <v>665</v>
      </c>
    </row>
    <row r="4" spans="1:20" x14ac:dyDescent="0.45">
      <c r="A4" s="976" t="s">
        <v>131</v>
      </c>
      <c r="B4" s="977">
        <v>75.349999999999994</v>
      </c>
      <c r="C4" s="855">
        <v>45.03</v>
      </c>
      <c r="D4" s="927">
        <v>32.732071188999996</v>
      </c>
      <c r="E4" s="927">
        <v>44.63</v>
      </c>
      <c r="F4" s="927">
        <v>60.279999999999994</v>
      </c>
      <c r="G4" s="645">
        <f>(F4-D4)/D4*100</f>
        <v>84.161887134896034</v>
      </c>
      <c r="H4" s="1028">
        <f>(F4-E4)/E4*100</f>
        <v>35.066099036522495</v>
      </c>
      <c r="I4" s="229">
        <f>B4*20/100</f>
        <v>15.07</v>
      </c>
      <c r="J4" s="229">
        <f>B4-I4</f>
        <v>60.279999999999994</v>
      </c>
      <c r="K4" s="229"/>
      <c r="L4" s="976" t="s">
        <v>131</v>
      </c>
      <c r="M4" s="978">
        <v>60.279999999999994</v>
      </c>
      <c r="N4" s="978">
        <v>32.732071188999996</v>
      </c>
      <c r="P4" s="978">
        <v>32.732071188999996</v>
      </c>
      <c r="Q4" s="978">
        <v>60.279999999999994</v>
      </c>
      <c r="T4">
        <v>44.63</v>
      </c>
    </row>
    <row r="5" spans="1:20" x14ac:dyDescent="0.45">
      <c r="A5" s="976" t="s">
        <v>132</v>
      </c>
      <c r="B5" s="977">
        <v>75.429999999999993</v>
      </c>
      <c r="C5" s="855">
        <v>49.879999999999995</v>
      </c>
      <c r="D5" s="927">
        <v>15.507410168</v>
      </c>
      <c r="E5" s="927">
        <v>20.549999999999997</v>
      </c>
      <c r="F5" s="927">
        <v>57</v>
      </c>
      <c r="G5" s="645">
        <f t="shared" ref="G5:G15" si="0">(F5-D5)/D5*100</f>
        <v>267.56621113705489</v>
      </c>
      <c r="H5" s="1028">
        <f t="shared" ref="H5:H16" si="1">(F5-E5)/E5*100</f>
        <v>177.37226277372267</v>
      </c>
      <c r="I5" s="229">
        <f t="shared" ref="I5:I15" si="2">B5*20/100</f>
        <v>15.085999999999999</v>
      </c>
      <c r="J5" s="229">
        <f t="shared" ref="J5:J14" si="3">B5-I5</f>
        <v>60.343999999999994</v>
      </c>
      <c r="K5" s="229"/>
      <c r="L5" s="976" t="s">
        <v>132</v>
      </c>
      <c r="M5" s="978">
        <v>57</v>
      </c>
      <c r="N5" s="978">
        <v>15.507410168</v>
      </c>
      <c r="P5" s="978">
        <v>15.507410168</v>
      </c>
      <c r="Q5" s="978">
        <v>60.343999999999994</v>
      </c>
      <c r="T5">
        <v>20.549999999999997</v>
      </c>
    </row>
    <row r="6" spans="1:20" x14ac:dyDescent="0.45">
      <c r="A6" s="976" t="s">
        <v>133</v>
      </c>
      <c r="B6" s="977">
        <v>80.900000000000006</v>
      </c>
      <c r="C6" s="855">
        <v>47.58</v>
      </c>
      <c r="D6" s="927">
        <v>30.518793200000001</v>
      </c>
      <c r="E6" s="927">
        <v>44.940000000000005</v>
      </c>
      <c r="F6" s="927">
        <v>62.1</v>
      </c>
      <c r="G6" s="645">
        <f t="shared" si="0"/>
        <v>103.48117827935607</v>
      </c>
      <c r="H6" s="1028">
        <f t="shared" si="1"/>
        <v>38.18424566088116</v>
      </c>
      <c r="I6" s="229">
        <f t="shared" si="2"/>
        <v>16.18</v>
      </c>
      <c r="J6" s="229">
        <v>62.1</v>
      </c>
      <c r="K6" s="229"/>
      <c r="L6" s="976" t="s">
        <v>133</v>
      </c>
      <c r="M6" s="978">
        <v>62.1</v>
      </c>
      <c r="N6" s="978">
        <v>30.518793200000001</v>
      </c>
      <c r="P6" s="978">
        <v>30.518793200000001</v>
      </c>
      <c r="Q6" s="978">
        <v>62.1</v>
      </c>
      <c r="T6">
        <v>44.940000000000005</v>
      </c>
    </row>
    <row r="7" spans="1:20" x14ac:dyDescent="0.45">
      <c r="A7" s="976" t="s">
        <v>51</v>
      </c>
      <c r="B7" s="977">
        <v>80.320000000000007</v>
      </c>
      <c r="C7" s="855">
        <v>47.14</v>
      </c>
      <c r="D7" s="927">
        <v>45.223879600000004</v>
      </c>
      <c r="E7" s="927">
        <v>66.81</v>
      </c>
      <c r="F7" s="927">
        <v>61.1</v>
      </c>
      <c r="G7" s="645">
        <f t="shared" si="0"/>
        <v>35.105613539622098</v>
      </c>
      <c r="H7" s="1028">
        <f t="shared" si="1"/>
        <v>-8.546624756772939</v>
      </c>
      <c r="I7" s="229">
        <f t="shared" si="2"/>
        <v>16.064</v>
      </c>
      <c r="J7" s="229">
        <v>61.1</v>
      </c>
      <c r="K7" s="229"/>
      <c r="L7" s="976" t="s">
        <v>51</v>
      </c>
      <c r="M7" s="978">
        <v>61.1</v>
      </c>
      <c r="N7" s="978">
        <v>45.223879600000004</v>
      </c>
      <c r="P7" s="978">
        <v>45.223879600000004</v>
      </c>
      <c r="Q7" s="978">
        <v>61.1</v>
      </c>
      <c r="T7">
        <v>66.81</v>
      </c>
    </row>
    <row r="8" spans="1:20" x14ac:dyDescent="0.45">
      <c r="A8" s="976" t="s">
        <v>134</v>
      </c>
      <c r="B8" s="977">
        <v>64.87</v>
      </c>
      <c r="C8" s="855">
        <v>41.080000000000005</v>
      </c>
      <c r="D8" s="927">
        <v>51.698323625999997</v>
      </c>
      <c r="E8" s="1029">
        <v>76.42</v>
      </c>
      <c r="F8" s="927">
        <v>52.5</v>
      </c>
      <c r="G8" s="645">
        <f t="shared" si="0"/>
        <v>1.5506815652274377</v>
      </c>
      <c r="H8" s="1028">
        <f t="shared" si="1"/>
        <v>-31.300706621303327</v>
      </c>
      <c r="I8" s="229">
        <f t="shared" si="2"/>
        <v>12.974</v>
      </c>
      <c r="J8" s="229">
        <f t="shared" si="3"/>
        <v>51.896000000000001</v>
      </c>
      <c r="K8" s="229"/>
      <c r="L8" s="976" t="s">
        <v>511</v>
      </c>
      <c r="M8" s="978">
        <v>52.5</v>
      </c>
      <c r="N8" s="978">
        <v>51.698323625999997</v>
      </c>
      <c r="P8" s="978">
        <v>51.698323625999997</v>
      </c>
      <c r="Q8" s="978">
        <v>51.896000000000001</v>
      </c>
      <c r="T8">
        <v>76.42</v>
      </c>
    </row>
    <row r="9" spans="1:20" x14ac:dyDescent="0.45">
      <c r="A9" s="976" t="s">
        <v>135</v>
      </c>
      <c r="B9" s="977">
        <v>70.650000000000006</v>
      </c>
      <c r="C9" s="855">
        <v>44.16</v>
      </c>
      <c r="D9" s="927">
        <v>58.614350700000003</v>
      </c>
      <c r="E9" s="1029">
        <v>86.710000000000008</v>
      </c>
      <c r="F9" s="927">
        <v>61</v>
      </c>
      <c r="G9" s="645">
        <f t="shared" si="0"/>
        <v>4.0700771594489353</v>
      </c>
      <c r="H9" s="1028">
        <f t="shared" si="1"/>
        <v>-29.650559335716764</v>
      </c>
      <c r="I9" s="229">
        <f t="shared" si="2"/>
        <v>14.13</v>
      </c>
      <c r="J9" s="229">
        <f t="shared" si="3"/>
        <v>56.52</v>
      </c>
      <c r="K9" s="229"/>
      <c r="L9" s="976" t="s">
        <v>512</v>
      </c>
      <c r="M9" s="978">
        <v>61</v>
      </c>
      <c r="N9" s="978">
        <v>58.614350700000003</v>
      </c>
      <c r="P9" s="978">
        <v>58.614350700000003</v>
      </c>
      <c r="Q9" s="978">
        <v>56.52</v>
      </c>
      <c r="T9">
        <v>86.710000000000008</v>
      </c>
    </row>
    <row r="10" spans="1:20" x14ac:dyDescent="0.45">
      <c r="A10" s="976" t="s">
        <v>136</v>
      </c>
      <c r="B10" s="977">
        <v>70.83</v>
      </c>
      <c r="C10" s="855">
        <v>34.72</v>
      </c>
      <c r="D10" s="927">
        <v>65.845079099999992</v>
      </c>
      <c r="E10" s="1029">
        <v>96.570000000000007</v>
      </c>
      <c r="F10" s="927">
        <v>66</v>
      </c>
      <c r="G10" s="645">
        <f t="shared" si="0"/>
        <v>0.23528090803069229</v>
      </c>
      <c r="H10" s="1028">
        <f t="shared" si="1"/>
        <v>-31.655793724759246</v>
      </c>
      <c r="I10" s="229">
        <f t="shared" si="2"/>
        <v>14.165999999999999</v>
      </c>
      <c r="J10" s="229">
        <f t="shared" si="3"/>
        <v>56.664000000000001</v>
      </c>
      <c r="K10" s="229"/>
      <c r="L10" s="976" t="s">
        <v>52</v>
      </c>
      <c r="M10" s="978">
        <v>66</v>
      </c>
      <c r="N10" s="978">
        <v>65.845079099999992</v>
      </c>
      <c r="P10" s="978">
        <v>65.845079099999992</v>
      </c>
      <c r="Q10" s="978">
        <v>56.664000000000001</v>
      </c>
      <c r="T10">
        <v>96.570000000000007</v>
      </c>
    </row>
    <row r="11" spans="1:20" x14ac:dyDescent="0.45">
      <c r="A11" s="976" t="s">
        <v>137</v>
      </c>
      <c r="B11" s="977">
        <v>77.23</v>
      </c>
      <c r="C11" s="855">
        <v>38.840000000000003</v>
      </c>
      <c r="D11" s="927">
        <v>62.2586753</v>
      </c>
      <c r="E11" s="1029">
        <v>90.43</v>
      </c>
      <c r="F11" s="927">
        <v>63.5</v>
      </c>
      <c r="G11" s="645">
        <f t="shared" si="0"/>
        <v>1.993818040648224</v>
      </c>
      <c r="H11" s="1028">
        <f t="shared" si="1"/>
        <v>-29.779940285303557</v>
      </c>
      <c r="I11" s="229">
        <f t="shared" si="2"/>
        <v>15.446000000000002</v>
      </c>
      <c r="J11" s="229">
        <f t="shared" si="3"/>
        <v>61.784000000000006</v>
      </c>
      <c r="K11" s="229"/>
      <c r="L11" s="976" t="s">
        <v>53</v>
      </c>
      <c r="M11" s="978">
        <v>63.5</v>
      </c>
      <c r="N11" s="978">
        <v>62.2586753</v>
      </c>
      <c r="P11" s="978">
        <v>62.2586753</v>
      </c>
      <c r="Q11" s="978">
        <v>61.784000000000006</v>
      </c>
      <c r="T11">
        <v>90.43</v>
      </c>
    </row>
    <row r="12" spans="1:20" x14ac:dyDescent="0.45">
      <c r="A12" s="976" t="s">
        <v>138</v>
      </c>
      <c r="B12" s="977">
        <v>78.28</v>
      </c>
      <c r="C12" s="927">
        <v>38.53</v>
      </c>
      <c r="D12" s="927">
        <v>60.324309399999997</v>
      </c>
      <c r="E12" s="1029">
        <v>87.12</v>
      </c>
      <c r="F12" s="927">
        <v>61.18</v>
      </c>
      <c r="G12" s="645">
        <f t="shared" si="0"/>
        <v>1.4184838724403246</v>
      </c>
      <c r="H12" s="1028">
        <f t="shared" si="1"/>
        <v>-29.775022956841141</v>
      </c>
      <c r="I12" s="229">
        <f t="shared" si="2"/>
        <v>15.655999999999999</v>
      </c>
      <c r="J12" s="229">
        <f t="shared" si="3"/>
        <v>62.624000000000002</v>
      </c>
      <c r="K12" s="229"/>
      <c r="L12" s="976" t="s">
        <v>54</v>
      </c>
      <c r="M12" s="978">
        <v>61.18</v>
      </c>
      <c r="N12" s="978">
        <v>60.324309399999997</v>
      </c>
      <c r="P12" s="978">
        <v>60.324309399999997</v>
      </c>
      <c r="Q12" s="978">
        <v>62.624000000000002</v>
      </c>
      <c r="T12">
        <v>87.12</v>
      </c>
    </row>
    <row r="13" spans="1:20" x14ac:dyDescent="0.45">
      <c r="A13" s="976" t="s">
        <v>139</v>
      </c>
      <c r="B13" s="977">
        <v>85.899999999999991</v>
      </c>
      <c r="C13" s="855">
        <v>64.03</v>
      </c>
      <c r="D13" s="927">
        <v>52.103081000000003</v>
      </c>
      <c r="E13" s="1029">
        <v>73.98</v>
      </c>
      <c r="F13" s="927">
        <v>61.1</v>
      </c>
      <c r="G13" s="645">
        <f t="shared" si="0"/>
        <v>17.267537403402301</v>
      </c>
      <c r="H13" s="1028">
        <f t="shared" si="1"/>
        <v>-17.410110840767778</v>
      </c>
      <c r="I13" s="229">
        <f t="shared" si="2"/>
        <v>17.179999999999996</v>
      </c>
      <c r="J13" s="229">
        <v>61.1</v>
      </c>
      <c r="K13" s="229"/>
      <c r="L13" s="976" t="s">
        <v>55</v>
      </c>
      <c r="M13" s="978">
        <v>61.1</v>
      </c>
      <c r="N13" s="978">
        <v>52.103081000000003</v>
      </c>
      <c r="P13" s="978">
        <v>52.103081000000003</v>
      </c>
      <c r="Q13" s="978">
        <v>61.1</v>
      </c>
      <c r="T13">
        <v>73.98</v>
      </c>
    </row>
    <row r="14" spans="1:20" x14ac:dyDescent="0.45">
      <c r="A14" s="976" t="s">
        <v>140</v>
      </c>
      <c r="B14" s="977">
        <v>79.709999999999994</v>
      </c>
      <c r="C14" s="855">
        <v>60.019999999999996</v>
      </c>
      <c r="D14" s="927">
        <v>63.156383579</v>
      </c>
      <c r="E14" s="1029">
        <v>92.289999999999992</v>
      </c>
      <c r="F14" s="927">
        <v>63.767999999999994</v>
      </c>
      <c r="G14" s="645">
        <f t="shared" si="0"/>
        <v>0.96841583754545602</v>
      </c>
      <c r="H14" s="1028">
        <f t="shared" si="1"/>
        <v>-30.9047567450428</v>
      </c>
      <c r="I14" s="229">
        <f t="shared" si="2"/>
        <v>15.941999999999998</v>
      </c>
      <c r="J14" s="229">
        <f t="shared" si="3"/>
        <v>63.767999999999994</v>
      </c>
      <c r="K14" s="229"/>
      <c r="L14" s="976" t="s">
        <v>56</v>
      </c>
      <c r="M14" s="978">
        <v>63.767999999999994</v>
      </c>
      <c r="N14" s="978">
        <v>63.156383579</v>
      </c>
      <c r="P14" s="978">
        <v>63.156383579</v>
      </c>
      <c r="Q14" s="978">
        <v>63.767999999999994</v>
      </c>
      <c r="T14">
        <v>92.289999999999992</v>
      </c>
    </row>
    <row r="15" spans="1:20" x14ac:dyDescent="0.45">
      <c r="A15" s="976" t="s">
        <v>141</v>
      </c>
      <c r="B15" s="977">
        <v>33.67</v>
      </c>
      <c r="C15" s="855">
        <v>23.86</v>
      </c>
      <c r="D15" s="927">
        <v>77.12</v>
      </c>
      <c r="E15" s="1029">
        <v>112.4</v>
      </c>
      <c r="F15" s="927">
        <v>61.43</v>
      </c>
      <c r="G15" s="645">
        <f t="shared" si="0"/>
        <v>-20.344917012448139</v>
      </c>
      <c r="H15" s="1028">
        <f t="shared" si="1"/>
        <v>-45.346975088967973</v>
      </c>
      <c r="I15" s="229">
        <f t="shared" si="2"/>
        <v>6.7340000000000009</v>
      </c>
      <c r="J15" s="229">
        <v>50</v>
      </c>
      <c r="K15" s="229"/>
      <c r="L15" s="976" t="s">
        <v>57</v>
      </c>
      <c r="M15" s="978">
        <v>61.43</v>
      </c>
      <c r="N15" s="978">
        <v>77.12</v>
      </c>
      <c r="P15" s="978">
        <v>77.12</v>
      </c>
      <c r="Q15" s="978">
        <v>50</v>
      </c>
      <c r="T15">
        <v>112.4</v>
      </c>
    </row>
    <row r="16" spans="1:20" x14ac:dyDescent="0.45">
      <c r="A16" s="984" t="s">
        <v>240</v>
      </c>
      <c r="B16" s="985">
        <f>SUM(B4:B15)</f>
        <v>873.14</v>
      </c>
      <c r="C16" s="986">
        <v>534.87</v>
      </c>
      <c r="D16" s="986">
        <v>615.10235686199997</v>
      </c>
      <c r="E16" s="986">
        <f>SUM(E4:E15)</f>
        <v>892.85</v>
      </c>
      <c r="F16" s="986">
        <f>SUM(F4:F15)</f>
        <v>730.95799999999997</v>
      </c>
      <c r="G16" s="987">
        <f>(F16-D16)/D16*100</f>
        <v>18.835181144329862</v>
      </c>
      <c r="H16" s="1028">
        <f t="shared" si="1"/>
        <v>-18.132049056392457</v>
      </c>
      <c r="I16" s="229">
        <f>B16*15/100</f>
        <v>130.971</v>
      </c>
      <c r="J16" s="229">
        <f>SUM(J4:J15)</f>
        <v>708.18</v>
      </c>
      <c r="K16" s="229"/>
      <c r="L16" s="690" t="s">
        <v>513</v>
      </c>
      <c r="M16" s="930">
        <f>SUM(M4:M15)</f>
        <v>730.95799999999997</v>
      </c>
      <c r="N16" s="930">
        <f>SUM(N4:N15)</f>
        <v>615.10235686199997</v>
      </c>
    </row>
    <row r="17" spans="1:14" x14ac:dyDescent="0.45">
      <c r="L17" s="989" t="s">
        <v>657</v>
      </c>
    </row>
    <row r="19" spans="1:14" x14ac:dyDescent="0.45">
      <c r="L19" s="122" t="s">
        <v>672</v>
      </c>
      <c r="M19" s="990" t="s">
        <v>666</v>
      </c>
      <c r="N19" s="991" t="s">
        <v>665</v>
      </c>
    </row>
    <row r="20" spans="1:14" x14ac:dyDescent="0.45">
      <c r="L20" s="122" t="s">
        <v>513</v>
      </c>
      <c r="M20" s="992">
        <v>708.93999999999994</v>
      </c>
      <c r="N20" s="993">
        <v>615.10235686199997</v>
      </c>
    </row>
    <row r="22" spans="1:14" x14ac:dyDescent="0.45">
      <c r="A22" s="2271" t="s">
        <v>127</v>
      </c>
      <c r="B22" s="855" t="s">
        <v>667</v>
      </c>
      <c r="C22" s="855" t="s">
        <v>83</v>
      </c>
      <c r="D22" s="855" t="s">
        <v>667</v>
      </c>
      <c r="E22" s="855" t="s">
        <v>83</v>
      </c>
      <c r="F22" s="1001" t="s">
        <v>668</v>
      </c>
      <c r="G22" s="988" t="s">
        <v>671</v>
      </c>
      <c r="H22" s="988" t="s">
        <v>671</v>
      </c>
    </row>
    <row r="23" spans="1:14" x14ac:dyDescent="0.45">
      <c r="A23" s="2271"/>
      <c r="B23" s="855" t="s">
        <v>670</v>
      </c>
      <c r="C23" s="855" t="s">
        <v>669</v>
      </c>
      <c r="D23" s="855" t="s">
        <v>669</v>
      </c>
      <c r="E23" s="1001" t="s">
        <v>674</v>
      </c>
      <c r="F23" s="1000" t="s">
        <v>666</v>
      </c>
      <c r="G23" s="927" t="s">
        <v>63</v>
      </c>
      <c r="H23" s="122" t="s">
        <v>194</v>
      </c>
      <c r="K23" s="98" t="s">
        <v>127</v>
      </c>
      <c r="L23" s="855" t="s">
        <v>669</v>
      </c>
      <c r="M23" s="927" t="s">
        <v>666</v>
      </c>
    </row>
    <row r="24" spans="1:14" ht="15.75" x14ac:dyDescent="0.5">
      <c r="A24" s="976" t="s">
        <v>131</v>
      </c>
      <c r="B24" s="98"/>
      <c r="C24" s="930">
        <v>14.65</v>
      </c>
      <c r="D24" s="995">
        <v>19.541618</v>
      </c>
      <c r="E24" s="995">
        <v>22.44</v>
      </c>
      <c r="F24" s="998">
        <v>27.11</v>
      </c>
      <c r="G24" s="645">
        <f>(F24-D24)/D24*100</f>
        <v>38.729556580217668</v>
      </c>
      <c r="H24" s="1028">
        <f>(F24-E24)/E24*100</f>
        <v>20.811051693404625</v>
      </c>
      <c r="I24" s="216"/>
      <c r="J24" s="229"/>
      <c r="K24" s="976" t="s">
        <v>131</v>
      </c>
      <c r="L24" s="995">
        <v>19.541618</v>
      </c>
      <c r="M24" s="995">
        <v>27.11</v>
      </c>
    </row>
    <row r="25" spans="1:14" ht="15.75" x14ac:dyDescent="0.5">
      <c r="A25" s="976" t="s">
        <v>132</v>
      </c>
      <c r="B25" s="98"/>
      <c r="C25" s="930">
        <v>15.72</v>
      </c>
      <c r="D25" s="995">
        <v>20.642501599999999</v>
      </c>
      <c r="E25" s="995">
        <v>23.71</v>
      </c>
      <c r="F25" s="998">
        <v>26</v>
      </c>
      <c r="G25" s="645">
        <f t="shared" ref="G25:G35" si="4">(F25-D25)/D25*100</f>
        <v>25.953726461137833</v>
      </c>
      <c r="H25" s="1028">
        <f t="shared" ref="H25:H35" si="5">(F25-E25)/E25*100</f>
        <v>9.6583719949388396</v>
      </c>
      <c r="I25" s="216"/>
      <c r="J25" s="229"/>
      <c r="K25" s="976" t="s">
        <v>132</v>
      </c>
      <c r="L25" s="995">
        <v>20.642501599999999</v>
      </c>
      <c r="M25" s="995">
        <v>26</v>
      </c>
    </row>
    <row r="26" spans="1:14" ht="15.75" x14ac:dyDescent="0.5">
      <c r="A26" s="976" t="s">
        <v>133</v>
      </c>
      <c r="B26" s="98"/>
      <c r="C26" s="930">
        <v>15.04</v>
      </c>
      <c r="D26" s="995">
        <v>13.885429800000001</v>
      </c>
      <c r="E26" s="995">
        <v>15.96</v>
      </c>
      <c r="F26" s="998">
        <v>19</v>
      </c>
      <c r="G26" s="645">
        <f t="shared" si="4"/>
        <v>36.834079129477139</v>
      </c>
      <c r="H26" s="1028">
        <f t="shared" si="5"/>
        <v>19.04761904761904</v>
      </c>
      <c r="I26" s="216"/>
      <c r="J26" s="229"/>
      <c r="K26" s="976" t="s">
        <v>133</v>
      </c>
      <c r="L26" s="995">
        <v>13.885429800000001</v>
      </c>
      <c r="M26" s="995">
        <v>19</v>
      </c>
    </row>
    <row r="27" spans="1:14" ht="15.75" x14ac:dyDescent="0.5">
      <c r="A27" s="976" t="s">
        <v>51</v>
      </c>
      <c r="B27" s="98"/>
      <c r="C27" s="930">
        <v>12.19</v>
      </c>
      <c r="D27" s="995">
        <v>15.211028000000001</v>
      </c>
      <c r="E27" s="995">
        <v>16.600000000000001</v>
      </c>
      <c r="F27" s="998">
        <v>19</v>
      </c>
      <c r="G27" s="645">
        <f t="shared" si="4"/>
        <v>24.909374961376702</v>
      </c>
      <c r="H27" s="1028">
        <f t="shared" si="5"/>
        <v>14.457831325301196</v>
      </c>
      <c r="I27" s="216"/>
      <c r="J27" s="229"/>
      <c r="K27" s="976" t="s">
        <v>51</v>
      </c>
      <c r="L27" s="995">
        <v>15.211028000000001</v>
      </c>
      <c r="M27" s="995">
        <v>19</v>
      </c>
    </row>
    <row r="28" spans="1:14" ht="15.75" x14ac:dyDescent="0.5">
      <c r="A28" s="976" t="s">
        <v>511</v>
      </c>
      <c r="B28" s="98"/>
      <c r="C28" s="930">
        <v>10.9</v>
      </c>
      <c r="D28" s="995">
        <v>30.321334499999999</v>
      </c>
      <c r="E28" s="995">
        <v>34.92</v>
      </c>
      <c r="F28" s="998">
        <v>28.2</v>
      </c>
      <c r="G28" s="645">
        <f t="shared" si="4"/>
        <v>-6.9961778892020723</v>
      </c>
      <c r="H28" s="1028">
        <f t="shared" si="5"/>
        <v>-19.243986254295539</v>
      </c>
      <c r="I28" s="216"/>
      <c r="J28" s="229"/>
      <c r="K28" s="976" t="s">
        <v>511</v>
      </c>
      <c r="L28" s="995">
        <v>30.321334499999999</v>
      </c>
      <c r="M28" s="995">
        <v>28.2</v>
      </c>
    </row>
    <row r="29" spans="1:14" ht="15.75" x14ac:dyDescent="0.5">
      <c r="A29" s="976" t="s">
        <v>512</v>
      </c>
      <c r="B29" s="98"/>
      <c r="C29" s="930">
        <v>10.11</v>
      </c>
      <c r="D29" s="995">
        <v>26.052749299999999</v>
      </c>
      <c r="E29" s="995">
        <v>30.7</v>
      </c>
      <c r="F29" s="998">
        <v>28.2</v>
      </c>
      <c r="G29" s="645">
        <f t="shared" si="4"/>
        <v>8.2419351419468079</v>
      </c>
      <c r="H29" s="1028">
        <f t="shared" si="5"/>
        <v>-8.1433224755700326</v>
      </c>
      <c r="I29" s="216"/>
      <c r="J29" s="229"/>
      <c r="K29" s="976" t="s">
        <v>512</v>
      </c>
      <c r="L29" s="995">
        <v>26.052749299999999</v>
      </c>
      <c r="M29" s="995">
        <v>28.2</v>
      </c>
    </row>
    <row r="30" spans="1:14" ht="15.75" x14ac:dyDescent="0.5">
      <c r="A30" s="976" t="s">
        <v>52</v>
      </c>
      <c r="B30" s="98"/>
      <c r="C30" s="930">
        <v>10.19</v>
      </c>
      <c r="D30" s="995">
        <v>33.418018699999998</v>
      </c>
      <c r="E30" s="995">
        <v>38.22</v>
      </c>
      <c r="F30" s="998">
        <v>34</v>
      </c>
      <c r="G30" s="645">
        <f t="shared" si="4"/>
        <v>1.7415194635701206</v>
      </c>
      <c r="H30" s="1028">
        <f t="shared" si="5"/>
        <v>-11.041339612768182</v>
      </c>
      <c r="I30" s="216"/>
      <c r="J30" s="229"/>
      <c r="K30" s="976" t="s">
        <v>52</v>
      </c>
      <c r="L30" s="995">
        <v>33.418018699999998</v>
      </c>
      <c r="M30" s="995">
        <v>34</v>
      </c>
    </row>
    <row r="31" spans="1:14" ht="15.75" x14ac:dyDescent="0.5">
      <c r="A31" s="976" t="s">
        <v>53</v>
      </c>
      <c r="B31" s="98"/>
      <c r="C31" s="930">
        <v>11.11</v>
      </c>
      <c r="D31" s="995">
        <v>25.9155318</v>
      </c>
      <c r="E31" s="995">
        <v>29.98</v>
      </c>
      <c r="F31" s="998">
        <v>28</v>
      </c>
      <c r="G31" s="645">
        <f t="shared" si="4"/>
        <v>8.0433163250773028</v>
      </c>
      <c r="H31" s="1028">
        <f t="shared" si="5"/>
        <v>-6.604402935290195</v>
      </c>
      <c r="I31" s="216"/>
      <c r="J31" s="229"/>
      <c r="K31" s="976" t="s">
        <v>53</v>
      </c>
      <c r="L31" s="995">
        <v>25.9155318</v>
      </c>
      <c r="M31" s="995">
        <v>28</v>
      </c>
    </row>
    <row r="32" spans="1:14" ht="15.75" x14ac:dyDescent="0.5">
      <c r="A32" s="976" t="s">
        <v>54</v>
      </c>
      <c r="B32" s="98"/>
      <c r="C32" s="930">
        <v>13.06</v>
      </c>
      <c r="D32" s="995">
        <v>30.849263199999999</v>
      </c>
      <c r="E32" s="995">
        <v>35.44</v>
      </c>
      <c r="F32" s="998">
        <v>31.5</v>
      </c>
      <c r="G32" s="645">
        <f t="shared" si="4"/>
        <v>2.1094079161021928</v>
      </c>
      <c r="H32" s="1028">
        <f t="shared" si="5"/>
        <v>-11.11738148984198</v>
      </c>
      <c r="I32" s="216"/>
      <c r="J32" s="229"/>
      <c r="K32" s="976" t="s">
        <v>54</v>
      </c>
      <c r="L32" s="995">
        <v>30.849263199999999</v>
      </c>
      <c r="M32" s="995">
        <v>31.5</v>
      </c>
    </row>
    <row r="33" spans="1:13" ht="15.75" x14ac:dyDescent="0.5">
      <c r="A33" s="976" t="s">
        <v>55</v>
      </c>
      <c r="B33" s="98"/>
      <c r="C33" s="930">
        <v>19.78</v>
      </c>
      <c r="D33" s="995">
        <v>25.841326500000001</v>
      </c>
      <c r="E33" s="995">
        <v>29.68</v>
      </c>
      <c r="F33" s="998">
        <v>31.009591800000003</v>
      </c>
      <c r="G33" s="645">
        <f t="shared" si="4"/>
        <v>20.000000000000007</v>
      </c>
      <c r="H33" s="1028">
        <f t="shared" si="5"/>
        <v>4.4797567385444843</v>
      </c>
      <c r="I33" s="216"/>
      <c r="J33" s="229"/>
      <c r="K33" s="976" t="s">
        <v>55</v>
      </c>
      <c r="L33" s="995">
        <v>25.841326500000001</v>
      </c>
      <c r="M33" s="995">
        <v>31.009591800000003</v>
      </c>
    </row>
    <row r="34" spans="1:13" ht="15.75" x14ac:dyDescent="0.5">
      <c r="A34" s="976" t="s">
        <v>56</v>
      </c>
      <c r="B34" s="98"/>
      <c r="C34" s="930">
        <v>18.8</v>
      </c>
      <c r="D34" s="995">
        <v>18.2102316</v>
      </c>
      <c r="E34" s="995">
        <v>20.91</v>
      </c>
      <c r="F34" s="998">
        <v>28.85</v>
      </c>
      <c r="G34" s="645">
        <f t="shared" si="4"/>
        <v>58.42741945138139</v>
      </c>
      <c r="H34" s="1028">
        <f t="shared" si="5"/>
        <v>37.972262075561936</v>
      </c>
      <c r="I34" s="216"/>
      <c r="J34" s="229"/>
      <c r="K34" s="976" t="s">
        <v>56</v>
      </c>
      <c r="L34" s="995">
        <v>18.2102316</v>
      </c>
      <c r="M34" s="995">
        <v>28.85</v>
      </c>
    </row>
    <row r="35" spans="1:13" ht="15.75" x14ac:dyDescent="0.5">
      <c r="A35" s="976" t="s">
        <v>57</v>
      </c>
      <c r="B35" s="98"/>
      <c r="C35" s="930">
        <v>16.670000000000002</v>
      </c>
      <c r="D35" s="995">
        <v>15.451956300000001</v>
      </c>
      <c r="E35" s="995">
        <v>17.55</v>
      </c>
      <c r="F35" s="998">
        <v>25</v>
      </c>
      <c r="G35" s="645">
        <f t="shared" si="4"/>
        <v>61.79181143555266</v>
      </c>
      <c r="H35" s="1028">
        <f t="shared" si="5"/>
        <v>42.450142450142444</v>
      </c>
      <c r="I35" s="216"/>
      <c r="J35" s="229"/>
      <c r="K35" s="976" t="s">
        <v>57</v>
      </c>
      <c r="L35" s="995">
        <v>15.451956300000001</v>
      </c>
      <c r="M35" s="995">
        <v>25</v>
      </c>
    </row>
    <row r="36" spans="1:13" x14ac:dyDescent="0.45">
      <c r="A36" s="976" t="s">
        <v>63</v>
      </c>
      <c r="B36" s="98"/>
      <c r="C36" s="930">
        <f>SUM(C24:C35)</f>
        <v>168.22000000000003</v>
      </c>
      <c r="D36" s="930">
        <f>SUM(D24:D35)</f>
        <v>275.34098929999999</v>
      </c>
      <c r="E36" s="930">
        <f>SUM(E24:E35)</f>
        <v>316.11</v>
      </c>
      <c r="F36" s="999">
        <f>SUM(F24:F35)</f>
        <v>325.86959180000002</v>
      </c>
      <c r="G36" s="645">
        <f>(F36-D36)/D36*100</f>
        <v>18.35128239658723</v>
      </c>
      <c r="H36" s="1028">
        <f>(F36-E36)/E36*100</f>
        <v>3.087403688589418</v>
      </c>
      <c r="I36" s="216"/>
      <c r="J36" s="229"/>
    </row>
    <row r="37" spans="1:13" x14ac:dyDescent="0.45">
      <c r="C37"/>
    </row>
    <row r="38" spans="1:13" x14ac:dyDescent="0.45">
      <c r="A38" s="996" t="s">
        <v>124</v>
      </c>
      <c r="C38"/>
      <c r="J38" s="994"/>
    </row>
    <row r="39" spans="1:13" x14ac:dyDescent="0.45">
      <c r="A39" s="2271" t="s">
        <v>127</v>
      </c>
      <c r="B39" s="2271" t="s">
        <v>83</v>
      </c>
      <c r="C39" s="2271"/>
      <c r="D39" s="2271" t="s">
        <v>667</v>
      </c>
      <c r="E39" s="2271"/>
      <c r="F39" s="2271"/>
      <c r="G39" s="2301" t="s">
        <v>668</v>
      </c>
      <c r="H39" s="2301"/>
    </row>
    <row r="40" spans="1:13" x14ac:dyDescent="0.45">
      <c r="A40" s="2271"/>
      <c r="B40" s="855" t="s">
        <v>488</v>
      </c>
      <c r="C40" s="855" t="s">
        <v>125</v>
      </c>
      <c r="D40" s="855" t="s">
        <v>488</v>
      </c>
      <c r="E40" s="855"/>
      <c r="F40" s="855" t="s">
        <v>125</v>
      </c>
      <c r="G40" s="1001" t="s">
        <v>488</v>
      </c>
      <c r="H40" s="1001" t="s">
        <v>125</v>
      </c>
    </row>
    <row r="41" spans="1:13" x14ac:dyDescent="0.45">
      <c r="A41" s="976" t="s">
        <v>131</v>
      </c>
      <c r="B41" s="1002">
        <v>2</v>
      </c>
      <c r="C41" s="252">
        <v>0.3</v>
      </c>
      <c r="D41" s="252">
        <v>1.9245622</v>
      </c>
      <c r="E41" s="252"/>
      <c r="F41" s="252">
        <v>0.1092967</v>
      </c>
      <c r="G41" s="1004">
        <v>2.0015446880000001</v>
      </c>
      <c r="H41" s="1004">
        <v>0.1131220845</v>
      </c>
      <c r="J41">
        <f>D41*4/100</f>
        <v>7.6982488000000002E-2</v>
      </c>
      <c r="K41" s="229">
        <f>J41+D41</f>
        <v>2.0015446880000001</v>
      </c>
    </row>
    <row r="42" spans="1:13" x14ac:dyDescent="0.45">
      <c r="A42" s="976" t="s">
        <v>132</v>
      </c>
      <c r="B42" s="1002">
        <v>2.5</v>
      </c>
      <c r="C42" s="252">
        <v>0.3</v>
      </c>
      <c r="D42" s="252">
        <v>1.2964384</v>
      </c>
      <c r="E42" s="252"/>
      <c r="F42" s="252">
        <v>5.2158999999999997E-2</v>
      </c>
      <c r="G42" s="1004">
        <v>1.348295936</v>
      </c>
      <c r="H42" s="1004">
        <v>0.09</v>
      </c>
      <c r="J42">
        <f t="shared" ref="J42:J52" si="6">D42*4/100</f>
        <v>5.1857536000000003E-2</v>
      </c>
      <c r="K42" s="229">
        <f t="shared" ref="K42:K52" si="7">J42+D42</f>
        <v>1.348295936</v>
      </c>
    </row>
    <row r="43" spans="1:13" x14ac:dyDescent="0.45">
      <c r="A43" s="976" t="s">
        <v>133</v>
      </c>
      <c r="B43" s="1002">
        <v>2</v>
      </c>
      <c r="C43" s="252">
        <v>0.3</v>
      </c>
      <c r="D43" s="252">
        <v>1.9458335</v>
      </c>
      <c r="E43" s="252"/>
      <c r="F43" s="252">
        <v>8.2169300000000001E-2</v>
      </c>
      <c r="G43" s="1004">
        <v>2.0236668400000002</v>
      </c>
      <c r="H43" s="1004">
        <v>0.1</v>
      </c>
      <c r="J43">
        <f t="shared" si="6"/>
        <v>7.7833340000000001E-2</v>
      </c>
      <c r="K43" s="229">
        <f t="shared" si="7"/>
        <v>2.0236668400000002</v>
      </c>
    </row>
    <row r="44" spans="1:13" x14ac:dyDescent="0.45">
      <c r="A44" s="976" t="s">
        <v>51</v>
      </c>
      <c r="B44" s="1002">
        <v>1.5</v>
      </c>
      <c r="C44" s="252">
        <v>0.25</v>
      </c>
      <c r="D44" s="252">
        <v>2.0230337</v>
      </c>
      <c r="E44" s="252"/>
      <c r="F44" s="252">
        <v>0.1169375</v>
      </c>
      <c r="G44" s="1004">
        <v>2.103955048</v>
      </c>
      <c r="H44" s="1004">
        <v>0.1210303125</v>
      </c>
      <c r="J44">
        <f t="shared" si="6"/>
        <v>8.0921348000000004E-2</v>
      </c>
      <c r="K44" s="229">
        <f t="shared" si="7"/>
        <v>2.103955048</v>
      </c>
    </row>
    <row r="45" spans="1:13" x14ac:dyDescent="0.45">
      <c r="A45" s="976" t="s">
        <v>511</v>
      </c>
      <c r="B45" s="1002">
        <v>1.5</v>
      </c>
      <c r="C45" s="252">
        <v>0.25</v>
      </c>
      <c r="D45" s="252">
        <v>2.4330579000000001</v>
      </c>
      <c r="E45" s="252"/>
      <c r="F45" s="252">
        <v>0.1217897</v>
      </c>
      <c r="G45" s="1004">
        <v>2.5303802160000002</v>
      </c>
      <c r="H45" s="1004">
        <v>0.1260523395</v>
      </c>
      <c r="J45">
        <f t="shared" si="6"/>
        <v>9.7322316000000006E-2</v>
      </c>
      <c r="K45" s="229">
        <f t="shared" si="7"/>
        <v>2.5303802160000002</v>
      </c>
    </row>
    <row r="46" spans="1:13" x14ac:dyDescent="0.45">
      <c r="A46" s="976" t="s">
        <v>512</v>
      </c>
      <c r="B46" s="1002">
        <v>1.5</v>
      </c>
      <c r="C46" s="252">
        <v>0.25</v>
      </c>
      <c r="D46" s="252">
        <v>2.4216750999999999</v>
      </c>
      <c r="E46" s="252"/>
      <c r="F46" s="252">
        <v>0.10306800000000001</v>
      </c>
      <c r="G46" s="1004">
        <v>2.5185421039999998</v>
      </c>
      <c r="H46" s="1004">
        <v>0.10667538</v>
      </c>
      <c r="J46">
        <f t="shared" si="6"/>
        <v>9.6867003999999993E-2</v>
      </c>
      <c r="K46" s="229">
        <f t="shared" si="7"/>
        <v>2.5185421039999998</v>
      </c>
    </row>
    <row r="47" spans="1:13" x14ac:dyDescent="0.45">
      <c r="A47" s="976" t="s">
        <v>52</v>
      </c>
      <c r="B47" s="1002">
        <v>2.5</v>
      </c>
      <c r="C47" s="252">
        <v>0.3</v>
      </c>
      <c r="D47" s="252">
        <v>2.4485470999999999</v>
      </c>
      <c r="E47" s="252"/>
      <c r="F47" s="252">
        <v>0.1109642</v>
      </c>
      <c r="G47" s="1004">
        <v>2.5464889839999998</v>
      </c>
      <c r="H47" s="1004">
        <v>0.11484794700000001</v>
      </c>
      <c r="J47">
        <f t="shared" si="6"/>
        <v>9.7941883999999993E-2</v>
      </c>
      <c r="K47" s="229">
        <f t="shared" si="7"/>
        <v>2.5464889839999998</v>
      </c>
    </row>
    <row r="48" spans="1:13" x14ac:dyDescent="0.45">
      <c r="A48" s="976" t="s">
        <v>53</v>
      </c>
      <c r="B48" s="1002">
        <v>2.5</v>
      </c>
      <c r="C48" s="252">
        <v>0.35</v>
      </c>
      <c r="D48" s="252">
        <v>2.0141947</v>
      </c>
      <c r="E48" s="252"/>
      <c r="F48" s="252">
        <v>8.3294599999999996E-2</v>
      </c>
      <c r="G48" s="1004">
        <v>2.0947624880000002</v>
      </c>
      <c r="H48" s="1004">
        <v>0.13</v>
      </c>
      <c r="J48">
        <f t="shared" si="6"/>
        <v>8.0567788000000001E-2</v>
      </c>
      <c r="K48" s="229">
        <f t="shared" si="7"/>
        <v>2.0947624880000002</v>
      </c>
    </row>
    <row r="49" spans="1:21" x14ac:dyDescent="0.45">
      <c r="A49" s="976" t="s">
        <v>54</v>
      </c>
      <c r="B49" s="1002">
        <v>5.5</v>
      </c>
      <c r="C49" s="252">
        <v>0.35</v>
      </c>
      <c r="D49" s="252">
        <v>2.5028763999999999</v>
      </c>
      <c r="E49" s="252"/>
      <c r="F49" s="252">
        <v>8.5816400000000001E-2</v>
      </c>
      <c r="G49" s="1004">
        <v>2.6029914559999998</v>
      </c>
      <c r="H49" s="1004">
        <v>0.12</v>
      </c>
      <c r="J49">
        <f t="shared" si="6"/>
        <v>0.10011505599999999</v>
      </c>
      <c r="K49" s="229">
        <f t="shared" si="7"/>
        <v>2.6029914559999998</v>
      </c>
      <c r="R49">
        <v>32.79</v>
      </c>
    </row>
    <row r="50" spans="1:21" x14ac:dyDescent="0.45">
      <c r="A50" s="976" t="s">
        <v>55</v>
      </c>
      <c r="B50" s="1002">
        <v>2.5</v>
      </c>
      <c r="C50" s="252">
        <v>0.4</v>
      </c>
      <c r="D50" s="252">
        <v>2.2167968999999998</v>
      </c>
      <c r="E50" s="252"/>
      <c r="F50" s="252">
        <v>9.4876199999999994E-2</v>
      </c>
      <c r="G50" s="1004">
        <v>2.3054687759999997</v>
      </c>
      <c r="H50" s="1004">
        <v>0.11</v>
      </c>
      <c r="J50">
        <f t="shared" si="6"/>
        <v>8.8671875999999997E-2</v>
      </c>
      <c r="K50" s="229">
        <f t="shared" si="7"/>
        <v>2.3054687759999997</v>
      </c>
      <c r="R50">
        <v>40</v>
      </c>
    </row>
    <row r="51" spans="1:21" x14ac:dyDescent="0.45">
      <c r="A51" s="976" t="s">
        <v>56</v>
      </c>
      <c r="B51" s="1002">
        <v>2.5</v>
      </c>
      <c r="C51" s="252">
        <v>0.28999999999999998</v>
      </c>
      <c r="D51" s="252">
        <v>1.9980369</v>
      </c>
      <c r="E51" s="252"/>
      <c r="F51" s="252">
        <v>7.6978400000000002E-2</v>
      </c>
      <c r="G51" s="1004">
        <v>2.0779583760000002</v>
      </c>
      <c r="H51" s="1004">
        <v>0.1</v>
      </c>
      <c r="J51">
        <f t="shared" si="6"/>
        <v>7.9921476000000005E-2</v>
      </c>
      <c r="K51" s="229">
        <f t="shared" si="7"/>
        <v>2.0779583760000002</v>
      </c>
      <c r="R51">
        <f>SUM(R49:R50)</f>
        <v>72.789999999999992</v>
      </c>
      <c r="S51">
        <f>R51*12</f>
        <v>873.4799999999999</v>
      </c>
    </row>
    <row r="52" spans="1:21" x14ac:dyDescent="0.45">
      <c r="A52" s="976" t="s">
        <v>57</v>
      </c>
      <c r="B52" s="1002">
        <v>2</v>
      </c>
      <c r="C52" s="252">
        <v>0.4</v>
      </c>
      <c r="D52" s="252">
        <v>2.4199715999999998</v>
      </c>
      <c r="E52" s="252"/>
      <c r="F52" s="252">
        <v>7.7782400000000002E-2</v>
      </c>
      <c r="G52" s="1004">
        <v>2.5167704639999999</v>
      </c>
      <c r="H52" s="1004">
        <v>0.1</v>
      </c>
      <c r="J52">
        <f t="shared" si="6"/>
        <v>9.6798863999999984E-2</v>
      </c>
      <c r="K52" s="229">
        <f t="shared" si="7"/>
        <v>2.5167704639999999</v>
      </c>
    </row>
    <row r="53" spans="1:21" x14ac:dyDescent="0.45">
      <c r="A53" s="1006" t="s">
        <v>240</v>
      </c>
      <c r="B53" s="1003">
        <f t="shared" ref="B53:H53" si="8">SUM(B41:B52)</f>
        <v>28.5</v>
      </c>
      <c r="C53" s="1003">
        <f t="shared" si="8"/>
        <v>3.7399999999999998</v>
      </c>
      <c r="D53" s="997">
        <f t="shared" si="8"/>
        <v>25.645024399999997</v>
      </c>
      <c r="E53" s="997"/>
      <c r="F53" s="997">
        <f t="shared" si="8"/>
        <v>1.1151324</v>
      </c>
      <c r="G53" s="1005">
        <f t="shared" si="8"/>
        <v>26.670825375999996</v>
      </c>
      <c r="H53" s="1005">
        <f t="shared" si="8"/>
        <v>1.3317280635000002</v>
      </c>
      <c r="K53" s="229">
        <f>SUM(K41:K52)</f>
        <v>26.670825375999996</v>
      </c>
    </row>
    <row r="55" spans="1:21" x14ac:dyDescent="0.45">
      <c r="U55">
        <v>110</v>
      </c>
    </row>
    <row r="56" spans="1:21" ht="14.65" thickBot="1" x14ac:dyDescent="0.5">
      <c r="J56">
        <v>28</v>
      </c>
      <c r="U56">
        <v>50</v>
      </c>
    </row>
    <row r="57" spans="1:21" ht="16.149999999999999" thickBot="1" x14ac:dyDescent="0.5">
      <c r="B57" s="1037">
        <v>615.1</v>
      </c>
      <c r="C57" s="1030">
        <v>892.85</v>
      </c>
      <c r="D57" s="1031">
        <v>730.96</v>
      </c>
      <c r="E57" s="216">
        <f>(D57-C57)/C57*100</f>
        <v>-18.131825054600434</v>
      </c>
      <c r="F57" s="216">
        <f>(D57-B57)/B57*100</f>
        <v>18.835961632254918</v>
      </c>
      <c r="J57">
        <v>18.71</v>
      </c>
      <c r="U57">
        <v>30</v>
      </c>
    </row>
    <row r="58" spans="1:21" ht="16.149999999999999" thickBot="1" x14ac:dyDescent="0.5">
      <c r="B58" s="1038">
        <v>275.33999999999997</v>
      </c>
      <c r="C58" s="1032">
        <v>316.11</v>
      </c>
      <c r="D58" s="1033">
        <v>325.87</v>
      </c>
      <c r="E58" s="216">
        <f>(D58-C58)/C58*100</f>
        <v>3.0875328208534976</v>
      </c>
      <c r="F58" s="216">
        <f>(D58-B58)/B58*100</f>
        <v>18.351855887266662</v>
      </c>
      <c r="J58">
        <v>35.72</v>
      </c>
    </row>
    <row r="59" spans="1:21" ht="16.149999999999999" thickBot="1" x14ac:dyDescent="0.5">
      <c r="B59" s="1038">
        <v>71.67</v>
      </c>
      <c r="C59" s="1032">
        <v>94.88</v>
      </c>
      <c r="D59" s="1034">
        <v>85.93</v>
      </c>
      <c r="E59" s="216">
        <f>(D59-C59)/C59*100</f>
        <v>-9.4329679595278133</v>
      </c>
      <c r="F59" s="216">
        <f>(D59-B59)/B59*100</f>
        <v>19.896748988419148</v>
      </c>
      <c r="J59">
        <v>3.5</v>
      </c>
    </row>
    <row r="60" spans="1:21" ht="16.149999999999999" thickBot="1" x14ac:dyDescent="0.5">
      <c r="B60" s="1038">
        <v>5.15</v>
      </c>
      <c r="C60" s="1032">
        <v>0</v>
      </c>
      <c r="D60" s="1034">
        <v>7.37</v>
      </c>
      <c r="E60" s="216" t="e">
        <f>(D60-C60)/C60*100</f>
        <v>#DIV/0!</v>
      </c>
      <c r="F60" s="216">
        <f>(D60-B60)/B60*100</f>
        <v>43.106796116504846</v>
      </c>
    </row>
    <row r="61" spans="1:21" ht="16.149999999999999" thickBot="1" x14ac:dyDescent="0.5">
      <c r="B61">
        <f>SUM(B57:B60)</f>
        <v>967.26</v>
      </c>
      <c r="C61" s="1035">
        <v>1303.8399999999999</v>
      </c>
      <c r="D61" s="1036">
        <v>1150.1300000000001</v>
      </c>
      <c r="E61" s="216">
        <f>(D61-C61)/C61*100</f>
        <v>-11.789023193029806</v>
      </c>
      <c r="F61" s="216">
        <f>(D61-B61)/B61*100</f>
        <v>18.905981845625799</v>
      </c>
    </row>
    <row r="62" spans="1:21" x14ac:dyDescent="0.45">
      <c r="J62">
        <v>5.01</v>
      </c>
    </row>
    <row r="63" spans="1:21" x14ac:dyDescent="0.45">
      <c r="J63">
        <v>1.54</v>
      </c>
    </row>
    <row r="64" spans="1:21" x14ac:dyDescent="0.45">
      <c r="J64">
        <v>0.76</v>
      </c>
    </row>
    <row r="65" spans="10:10" x14ac:dyDescent="0.45">
      <c r="J65">
        <v>0.06</v>
      </c>
    </row>
  </sheetData>
  <mergeCells count="7">
    <mergeCell ref="A2:A3"/>
    <mergeCell ref="A1:G1"/>
    <mergeCell ref="G39:H39"/>
    <mergeCell ref="A22:A23"/>
    <mergeCell ref="A39:A40"/>
    <mergeCell ref="B39:C39"/>
    <mergeCell ref="D39:F39"/>
  </mergeCells>
  <pageMargins left="0.7" right="0.7" top="0.75" bottom="0.75" header="0.3" footer="0.3"/>
  <pageSetup paperSize="9" scale="40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O52"/>
  <sheetViews>
    <sheetView zoomScale="90" zoomScaleNormal="90" workbookViewId="0">
      <selection activeCell="D20" sqref="D20:D23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1" style="5" customWidth="1"/>
    <col min="4" max="4" width="11.3984375" style="84" bestFit="1" customWidth="1"/>
    <col min="5" max="5" width="10.1328125" style="35" customWidth="1"/>
    <col min="6" max="6" width="12.73046875" style="5" customWidth="1"/>
    <col min="7" max="7" width="14" style="5" customWidth="1"/>
    <col min="8" max="8" width="10.86328125" style="11" customWidth="1"/>
    <col min="9" max="9" width="11.59765625" style="82" customWidth="1"/>
    <col min="10" max="10" width="9.1328125" style="5"/>
    <col min="11" max="11" width="12.3984375" style="5" bestFit="1" customWidth="1"/>
    <col min="12" max="12" width="10" style="5" customWidth="1"/>
    <col min="13" max="16384" width="9.1328125" style="5"/>
  </cols>
  <sheetData>
    <row r="1" spans="1:14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14" s="301" customFormat="1" ht="21.75" customHeight="1" thickBot="1" x14ac:dyDescent="0.5">
      <c r="A2" s="2092" t="s">
        <v>676</v>
      </c>
      <c r="B2" s="2093"/>
      <c r="C2" s="2093"/>
      <c r="D2" s="2093"/>
      <c r="E2" s="2093"/>
      <c r="F2" s="2093"/>
      <c r="G2" s="2093"/>
      <c r="H2" s="2093"/>
      <c r="I2" s="2094"/>
    </row>
    <row r="3" spans="1:14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4" s="35" customFormat="1" ht="33.75" customHeight="1" x14ac:dyDescent="0.45">
      <c r="A4" s="2035"/>
      <c r="B4" s="2047"/>
      <c r="C4" s="2048"/>
      <c r="D4" s="421" t="s">
        <v>9</v>
      </c>
      <c r="E4" s="422">
        <f>G4</f>
        <v>44652</v>
      </c>
      <c r="F4" s="422">
        <v>44287</v>
      </c>
      <c r="G4" s="422">
        <v>44652</v>
      </c>
      <c r="H4" s="1061" t="s">
        <v>12</v>
      </c>
      <c r="I4" s="1061" t="s">
        <v>13</v>
      </c>
      <c r="N4" s="380"/>
    </row>
    <row r="5" spans="1:14" ht="20.25" hidden="1" customHeight="1" x14ac:dyDescent="0.5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1062"/>
      <c r="I5" s="1062"/>
    </row>
    <row r="6" spans="1:14" ht="30" customHeight="1" x14ac:dyDescent="0.35">
      <c r="A6" s="372">
        <v>1</v>
      </c>
      <c r="B6" s="2049" t="s">
        <v>290</v>
      </c>
      <c r="C6" s="2049"/>
      <c r="D6" s="304">
        <f>D15+D16</f>
        <v>908.19999999999993</v>
      </c>
      <c r="E6" s="305">
        <v>79.05</v>
      </c>
      <c r="F6" s="305">
        <f>F15+F16+F17</f>
        <v>32.735836888999998</v>
      </c>
      <c r="G6" s="305">
        <f>G15+G16+G17</f>
        <v>73.05</v>
      </c>
      <c r="H6" s="306">
        <f>(G6-E6)/E6*100</f>
        <v>-7.5901328273244779</v>
      </c>
      <c r="I6" s="306">
        <f>(G6-F6)/F6*100</f>
        <v>123.14993885049108</v>
      </c>
    </row>
    <row r="7" spans="1:14" ht="26.25" customHeight="1" x14ac:dyDescent="0.35">
      <c r="A7" s="373">
        <v>2</v>
      </c>
      <c r="B7" s="2050" t="s">
        <v>291</v>
      </c>
      <c r="C7" s="2051"/>
      <c r="D7" s="307">
        <v>322.42</v>
      </c>
      <c r="E7" s="307">
        <v>22.89</v>
      </c>
      <c r="F7" s="307">
        <v>19.54</v>
      </c>
      <c r="G7" s="307">
        <v>28.34</v>
      </c>
      <c r="H7" s="308">
        <f>(G7-E7)/E7*100</f>
        <v>23.809523809523807</v>
      </c>
      <c r="I7" s="308">
        <f>(G7-F7)/F7*100</f>
        <v>45.035823950870011</v>
      </c>
    </row>
    <row r="8" spans="1:14" ht="32.25" customHeight="1" x14ac:dyDescent="0.35">
      <c r="A8" s="374">
        <v>3</v>
      </c>
      <c r="B8" s="2021" t="s">
        <v>292</v>
      </c>
      <c r="C8" s="2023"/>
      <c r="D8" s="364">
        <v>96.78</v>
      </c>
      <c r="E8" s="364">
        <v>7.4</v>
      </c>
      <c r="F8" s="364">
        <f>F31+F32+F33+F34+F35++F37+F36</f>
        <v>5.9256177999999995</v>
      </c>
      <c r="G8" s="364">
        <f>G31+G32+G33+G34+G35++G37+G36</f>
        <v>8.5769127000000012</v>
      </c>
      <c r="H8" s="306">
        <f>(G8-E8)/E8*100</f>
        <v>15.904225675675686</v>
      </c>
      <c r="I8" s="306">
        <f>(G8-F8)/F8*100</f>
        <v>44.742927901964954</v>
      </c>
    </row>
    <row r="9" spans="1:14" ht="34.5" customHeight="1" x14ac:dyDescent="0.35">
      <c r="A9" s="373">
        <v>4</v>
      </c>
      <c r="B9" s="2052" t="s">
        <v>293</v>
      </c>
      <c r="C9" s="2053"/>
      <c r="D9" s="307">
        <v>17.53</v>
      </c>
      <c r="E9" s="307">
        <f>E39+E40+E41</f>
        <v>1.4601666666666666</v>
      </c>
      <c r="F9" s="307">
        <f>F39+F40+F41+F42+F43+F44</f>
        <v>5.8363200000000004E-2</v>
      </c>
      <c r="G9" s="307">
        <f>G39+G40+G41+G42+G43+G44</f>
        <v>0.75544760000000011</v>
      </c>
      <c r="H9" s="306">
        <f>(G9-E9)/E9*100</f>
        <v>-48.262919758018477</v>
      </c>
      <c r="I9" s="308">
        <f>(G9-F9)/F9*100</f>
        <v>1194.3903007374511</v>
      </c>
    </row>
    <row r="10" spans="1:14" ht="28.5" customHeight="1" x14ac:dyDescent="0.35">
      <c r="A10" s="374">
        <v>5</v>
      </c>
      <c r="B10" s="2054" t="s">
        <v>294</v>
      </c>
      <c r="C10" s="2055"/>
      <c r="D10" s="321">
        <f>SUM(D6:D9)</f>
        <v>1344.9299999999998</v>
      </c>
      <c r="E10" s="321">
        <f>SUM(E6:E9)</f>
        <v>110.80016666666667</v>
      </c>
      <c r="F10" s="321">
        <f>SUM(F6:F9)</f>
        <v>58.259817888999997</v>
      </c>
      <c r="G10" s="321">
        <f>SUM(G6:G9)</f>
        <v>110.72236029999999</v>
      </c>
      <c r="H10" s="322">
        <f>(G10-E10)/E10*100</f>
        <v>-7.0222246958122667E-2</v>
      </c>
      <c r="I10" s="322">
        <f>(G10-F10)/F10*100</f>
        <v>90.049272915604874</v>
      </c>
    </row>
    <row r="11" spans="1:14" ht="6.7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4" ht="18" thickBot="1" x14ac:dyDescent="0.4">
      <c r="A12" s="1040">
        <v>6.3</v>
      </c>
      <c r="B12" s="2324" t="s">
        <v>250</v>
      </c>
      <c r="C12" s="2325"/>
      <c r="D12" s="1041" t="s">
        <v>221</v>
      </c>
      <c r="E12" s="1042">
        <f>'target FY 22-23'!M61</f>
        <v>6.71</v>
      </c>
      <c r="F12" s="1043">
        <f>F46+F47+F48</f>
        <v>0.55970399999999998</v>
      </c>
      <c r="G12" s="1043">
        <f>G46+G47+G48</f>
        <v>2.91</v>
      </c>
      <c r="H12" s="1044" t="s">
        <v>221</v>
      </c>
      <c r="I12" s="1045">
        <f>(G12-F12)/F12*100</f>
        <v>419.91767076883502</v>
      </c>
    </row>
    <row r="13" spans="1:14" ht="17.649999999999999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4" ht="15" x14ac:dyDescent="0.35">
      <c r="A14" s="2003">
        <v>1</v>
      </c>
      <c r="B14" s="2309" t="s">
        <v>278</v>
      </c>
      <c r="C14" s="2310"/>
      <c r="D14" s="2310"/>
      <c r="E14" s="2310"/>
      <c r="F14" s="2310"/>
      <c r="G14" s="2310"/>
      <c r="H14" s="2310"/>
      <c r="I14" s="2311"/>
    </row>
    <row r="15" spans="1:14" ht="15.4" x14ac:dyDescent="0.4">
      <c r="A15" s="2004"/>
      <c r="B15" s="2006" t="s">
        <v>16</v>
      </c>
      <c r="C15" s="2007"/>
      <c r="D15" s="333">
        <f>'target FY 22-23'!K56</f>
        <v>21.180000000000003</v>
      </c>
      <c r="E15" s="307">
        <v>0.06</v>
      </c>
      <c r="F15" s="315">
        <v>3.9327188999999999E-2</v>
      </c>
      <c r="G15" s="315">
        <v>0.65</v>
      </c>
      <c r="H15" s="316">
        <f>(G15-E15)/E15*100</f>
        <v>983.3333333333336</v>
      </c>
      <c r="I15" s="314">
        <f>(G15-F15)/F15*100</f>
        <v>1552.8005599383166</v>
      </c>
    </row>
    <row r="16" spans="1:14" ht="15.4" x14ac:dyDescent="0.4">
      <c r="A16" s="2004"/>
      <c r="B16" s="2071" t="s">
        <v>15</v>
      </c>
      <c r="C16" s="320" t="s">
        <v>166</v>
      </c>
      <c r="D16" s="2166">
        <f>'target FY 22-23'!L56</f>
        <v>887.02</v>
      </c>
      <c r="E16" s="2065">
        <v>44.57</v>
      </c>
      <c r="F16" s="313">
        <v>3.6509699999999999E-2</v>
      </c>
      <c r="G16" s="313">
        <v>1.79</v>
      </c>
      <c r="H16" s="2154">
        <v>62.441103881534673</v>
      </c>
      <c r="I16" s="314">
        <f>(G16-F16)/F16*100</f>
        <v>4802.8066513830572</v>
      </c>
      <c r="K16" s="12"/>
      <c r="L16" s="12"/>
    </row>
    <row r="17" spans="1:15" ht="15.4" x14ac:dyDescent="0.4">
      <c r="A17" s="2005"/>
      <c r="B17" s="2071"/>
      <c r="C17" s="320" t="s">
        <v>228</v>
      </c>
      <c r="D17" s="2064"/>
      <c r="E17" s="2066"/>
      <c r="F17" s="313">
        <v>32.659999999999997</v>
      </c>
      <c r="G17" s="313">
        <v>70.61</v>
      </c>
      <c r="H17" s="2155"/>
      <c r="I17" s="314">
        <f>(G17-F17)/F17*100</f>
        <v>116.19718309859157</v>
      </c>
      <c r="K17" s="12"/>
      <c r="L17" s="12"/>
    </row>
    <row r="18" spans="1:15" ht="21.75" customHeight="1" x14ac:dyDescent="0.35">
      <c r="A18" s="2003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</row>
    <row r="19" spans="1:15" ht="21" customHeight="1" x14ac:dyDescent="0.35">
      <c r="A19" s="2004"/>
      <c r="B19" s="1069" t="s">
        <v>230</v>
      </c>
      <c r="C19" s="1070">
        <v>44287</v>
      </c>
      <c r="D19" s="1070">
        <v>44652</v>
      </c>
      <c r="E19" s="1069" t="s">
        <v>681</v>
      </c>
      <c r="F19" s="1070">
        <v>44287</v>
      </c>
      <c r="G19" s="1070">
        <v>44652</v>
      </c>
      <c r="H19" s="1071" t="s">
        <v>682</v>
      </c>
      <c r="I19" s="1072" t="s">
        <v>681</v>
      </c>
    </row>
    <row r="20" spans="1:15" ht="18.75" customHeight="1" x14ac:dyDescent="0.5">
      <c r="A20" s="2004"/>
      <c r="B20" s="1055" t="s">
        <v>231</v>
      </c>
      <c r="C20" s="303">
        <v>91791</v>
      </c>
      <c r="D20" s="303">
        <v>106428</v>
      </c>
      <c r="E20" s="314">
        <f>(D20-C20)/C20*100</f>
        <v>15.94600777854038</v>
      </c>
      <c r="F20" s="315">
        <v>15.269081</v>
      </c>
      <c r="G20" s="315">
        <v>16.170000000000002</v>
      </c>
      <c r="H20" s="1060">
        <f>G20/G7*100</f>
        <v>57.057163020465786</v>
      </c>
      <c r="I20" s="314">
        <f>(G20-F20)/F20*100</f>
        <v>5.9002830622222895</v>
      </c>
      <c r="L20" s="1058"/>
      <c r="M20" s="1058"/>
      <c r="N20" s="1058"/>
      <c r="O20" s="1058"/>
    </row>
    <row r="21" spans="1:15" ht="18.75" customHeight="1" x14ac:dyDescent="0.4">
      <c r="A21" s="2004"/>
      <c r="B21" s="1055" t="s">
        <v>232</v>
      </c>
      <c r="C21" s="303">
        <v>13130</v>
      </c>
      <c r="D21" s="303">
        <v>77577</v>
      </c>
      <c r="E21" s="314">
        <f t="shared" ref="E21:E27" si="0">(D21-C21)/C21*100</f>
        <v>490.8377760853009</v>
      </c>
      <c r="F21" s="315">
        <v>0.89951689999999995</v>
      </c>
      <c r="G21" s="315">
        <v>4.5599999999999996</v>
      </c>
      <c r="H21" s="1060">
        <f>G21/G7*100</f>
        <v>16.090331686661958</v>
      </c>
      <c r="I21" s="314">
        <f>(G21-F21)/F21*100</f>
        <v>406.93878013853879</v>
      </c>
    </row>
    <row r="22" spans="1:15" ht="18.75" customHeight="1" x14ac:dyDescent="0.4">
      <c r="A22" s="2004"/>
      <c r="B22" s="1055" t="s">
        <v>239</v>
      </c>
      <c r="C22" s="303">
        <v>22050</v>
      </c>
      <c r="D22" s="303">
        <v>59752</v>
      </c>
      <c r="E22" s="314">
        <f t="shared" si="0"/>
        <v>170.98412698412699</v>
      </c>
      <c r="F22" s="315">
        <v>2.2941427999999999</v>
      </c>
      <c r="G22" s="315">
        <v>6.78</v>
      </c>
      <c r="H22" s="1060">
        <f>G22/G7*100</f>
        <v>23.92378263937897</v>
      </c>
      <c r="I22" s="314">
        <f>(G22-F22)/F22*100</f>
        <v>195.53522125998435</v>
      </c>
    </row>
    <row r="23" spans="1:15" ht="18.75" customHeight="1" x14ac:dyDescent="0.4">
      <c r="A23" s="2004"/>
      <c r="B23" s="1055" t="s">
        <v>233</v>
      </c>
      <c r="C23" s="303">
        <v>33604</v>
      </c>
      <c r="D23" s="303">
        <v>24306</v>
      </c>
      <c r="E23" s="314">
        <f t="shared" si="0"/>
        <v>-27.66932508034758</v>
      </c>
      <c r="F23" s="315">
        <v>1.0153147</v>
      </c>
      <c r="G23" s="315">
        <v>0.8</v>
      </c>
      <c r="H23" s="1060">
        <f>G23/G7*100</f>
        <v>2.8228652081863093</v>
      </c>
      <c r="I23" s="314">
        <f>(G23-F23)/F23*100</f>
        <v>-21.206695815592937</v>
      </c>
    </row>
    <row r="24" spans="1:15" ht="18.75" customHeight="1" x14ac:dyDescent="0.4">
      <c r="A24" s="2004"/>
      <c r="B24" s="1055" t="s">
        <v>234</v>
      </c>
      <c r="C24" s="303">
        <v>0</v>
      </c>
      <c r="D24" s="303">
        <v>0</v>
      </c>
      <c r="E24" s="836">
        <v>0</v>
      </c>
      <c r="F24" s="315">
        <v>0</v>
      </c>
      <c r="G24" s="315">
        <v>0</v>
      </c>
      <c r="H24" s="1060">
        <f>G24/G7*100</f>
        <v>0</v>
      </c>
      <c r="I24" s="314">
        <v>0</v>
      </c>
    </row>
    <row r="25" spans="1:15" ht="18.75" customHeight="1" x14ac:dyDescent="0.4">
      <c r="A25" s="2004"/>
      <c r="B25" s="1055" t="s">
        <v>235</v>
      </c>
      <c r="C25" s="303">
        <v>1377</v>
      </c>
      <c r="D25" s="303">
        <v>0</v>
      </c>
      <c r="E25" s="836">
        <v>0</v>
      </c>
      <c r="F25" s="315">
        <v>3.8016399999999999E-2</v>
      </c>
      <c r="G25" s="315">
        <v>0</v>
      </c>
      <c r="H25" s="1060">
        <f>G25/G7*100</f>
        <v>0</v>
      </c>
      <c r="I25" s="314">
        <f>(G25-F25)/F25*100</f>
        <v>-100</v>
      </c>
    </row>
    <row r="26" spans="1:15" ht="27" customHeight="1" x14ac:dyDescent="0.4">
      <c r="A26" s="2005"/>
      <c r="B26" s="1056" t="s">
        <v>453</v>
      </c>
      <c r="C26" s="1059">
        <v>0</v>
      </c>
      <c r="D26" s="1059">
        <v>0</v>
      </c>
      <c r="E26" s="836">
        <v>0</v>
      </c>
      <c r="F26" s="315">
        <v>2.5546200000000002E-2</v>
      </c>
      <c r="G26" s="315">
        <v>0.02</v>
      </c>
      <c r="H26" s="1060">
        <f>G26/G7*100</f>
        <v>7.0571630204657732E-2</v>
      </c>
      <c r="I26" s="314">
        <f>(G26-F26)/F26*100</f>
        <v>-21.710469658892521</v>
      </c>
    </row>
    <row r="27" spans="1:15" s="26" customFormat="1" ht="19.5" customHeight="1" x14ac:dyDescent="0.4">
      <c r="A27" s="1053"/>
      <c r="B27" s="1063" t="s">
        <v>683</v>
      </c>
      <c r="C27" s="1063">
        <f>SUM(C20:C26)</f>
        <v>161952</v>
      </c>
      <c r="D27" s="1063">
        <f>SUM(D20:D26)</f>
        <v>268063</v>
      </c>
      <c r="E27" s="394">
        <f t="shared" si="0"/>
        <v>65.520030626358434</v>
      </c>
      <c r="F27" s="1054">
        <f>SUM(F20:F26)</f>
        <v>19.541618</v>
      </c>
      <c r="G27" s="1054">
        <f>SUM(G20:G26)</f>
        <v>28.330000000000002</v>
      </c>
      <c r="H27" s="1066">
        <f>SUM(H20:H26)</f>
        <v>99.964714184897687</v>
      </c>
      <c r="I27" s="394">
        <f>(G27-F27)/F27*100</f>
        <v>44.972642490504121</v>
      </c>
    </row>
    <row r="28" spans="1:15" ht="13.9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</row>
    <row r="29" spans="1:15" ht="24" hidden="1" customHeight="1" x14ac:dyDescent="0.35">
      <c r="A29" s="1064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</row>
    <row r="30" spans="1:15" ht="15" x14ac:dyDescent="0.35">
      <c r="A30" s="2014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</row>
    <row r="31" spans="1:15" ht="15.4" x14ac:dyDescent="0.4">
      <c r="A31" s="2015"/>
      <c r="B31" s="2006" t="s">
        <v>2</v>
      </c>
      <c r="C31" s="2007"/>
      <c r="D31" s="331">
        <v>12.05</v>
      </c>
      <c r="E31" s="315">
        <v>1.3</v>
      </c>
      <c r="F31" s="313">
        <v>0.2564168</v>
      </c>
      <c r="G31" s="313">
        <f>'actual fig'!U4/10000000</f>
        <v>2.4827865</v>
      </c>
      <c r="H31" s="314">
        <f>(G31-E31)/E31*100</f>
        <v>90.98357692307691</v>
      </c>
      <c r="I31" s="314">
        <f t="shared" ref="I31:I37" si="1">(G31-F31)/F31*100</f>
        <v>868.26202495312327</v>
      </c>
    </row>
    <row r="32" spans="1:15" ht="15.4" x14ac:dyDescent="0.4">
      <c r="A32" s="2015"/>
      <c r="B32" s="2006" t="s">
        <v>23</v>
      </c>
      <c r="C32" s="2007"/>
      <c r="D32" s="603">
        <v>27.75</v>
      </c>
      <c r="E32" s="315">
        <f>'target FY 22-23'!V34</f>
        <v>2.08</v>
      </c>
      <c r="F32" s="381">
        <v>1.9245622</v>
      </c>
      <c r="G32" s="313">
        <f>'actual fig'!V4/10000000</f>
        <v>2.2019820000000001</v>
      </c>
      <c r="H32" s="316" t="s">
        <v>221</v>
      </c>
      <c r="I32" s="314">
        <f t="shared" si="1"/>
        <v>14.414696495649771</v>
      </c>
    </row>
    <row r="33" spans="1:9" ht="15.4" x14ac:dyDescent="0.4">
      <c r="A33" s="2015"/>
      <c r="B33" s="2006" t="s">
        <v>1</v>
      </c>
      <c r="C33" s="2007"/>
      <c r="D33" s="603">
        <v>5.77</v>
      </c>
      <c r="E33" s="315">
        <f>'target FY 22-23'!W34</f>
        <v>0.56999999999999995</v>
      </c>
      <c r="F33" s="313">
        <v>0.1092967</v>
      </c>
      <c r="G33" s="313">
        <f>'actual fig'!W4/10000000</f>
        <v>0.1181508</v>
      </c>
      <c r="H33" s="316" t="s">
        <v>221</v>
      </c>
      <c r="I33" s="314">
        <f t="shared" si="1"/>
        <v>8.1009765162168712</v>
      </c>
    </row>
    <row r="34" spans="1:9" ht="15.4" x14ac:dyDescent="0.4">
      <c r="A34" s="2015"/>
      <c r="B34" s="2006" t="s">
        <v>24</v>
      </c>
      <c r="C34" s="2007"/>
      <c r="D34" s="603" t="s">
        <v>221</v>
      </c>
      <c r="E34" s="315" t="s">
        <v>221</v>
      </c>
      <c r="F34" s="313">
        <v>1.7135999999999998E-2</v>
      </c>
      <c r="G34" s="381">
        <f>'actual fig'!Y4/10000000</f>
        <v>0.27210800000000002</v>
      </c>
      <c r="H34" s="316" t="s">
        <v>221</v>
      </c>
      <c r="I34" s="314">
        <f t="shared" si="1"/>
        <v>1487.9318394024278</v>
      </c>
    </row>
    <row r="35" spans="1:9" ht="15.4" x14ac:dyDescent="0.4">
      <c r="A35" s="2015"/>
      <c r="B35" s="2017" t="s">
        <v>25</v>
      </c>
      <c r="C35" s="2030"/>
      <c r="D35" s="603" t="s">
        <v>221</v>
      </c>
      <c r="E35" s="315" t="s">
        <v>221</v>
      </c>
      <c r="F35" s="315">
        <v>1.3701E-2</v>
      </c>
      <c r="G35" s="404">
        <f>'actual fig'!X4/10000000</f>
        <v>6.8647399999999997E-2</v>
      </c>
      <c r="H35" s="316" t="s">
        <v>221</v>
      </c>
      <c r="I35" s="314">
        <f t="shared" si="1"/>
        <v>401.03934019414635</v>
      </c>
    </row>
    <row r="36" spans="1:9" ht="15.4" x14ac:dyDescent="0.4">
      <c r="A36" s="2016"/>
      <c r="B36" s="2017" t="s">
        <v>241</v>
      </c>
      <c r="C36" s="2030"/>
      <c r="D36" s="540" t="s">
        <v>221</v>
      </c>
      <c r="E36" s="316" t="s">
        <v>221</v>
      </c>
      <c r="F36" s="315">
        <v>3.5720133999999999</v>
      </c>
      <c r="G36" s="315">
        <f>'actual fig'!T4/10000000</f>
        <v>3.3609646999999998</v>
      </c>
      <c r="H36" s="316" t="s">
        <v>221</v>
      </c>
      <c r="I36" s="314">
        <f t="shared" si="1"/>
        <v>-5.9083960883237472</v>
      </c>
    </row>
    <row r="37" spans="1:9" x14ac:dyDescent="0.4">
      <c r="A37" s="403"/>
      <c r="B37" s="2006" t="s">
        <v>260</v>
      </c>
      <c r="C37" s="2019"/>
      <c r="D37" s="540" t="s">
        <v>221</v>
      </c>
      <c r="E37" s="316" t="s">
        <v>221</v>
      </c>
      <c r="F37" s="134">
        <v>3.2491699999999998E-2</v>
      </c>
      <c r="G37" s="404">
        <f>'actual fig'!Z4/10000000</f>
        <v>7.2273299999999999E-2</v>
      </c>
      <c r="H37" s="413"/>
      <c r="I37" s="314">
        <f t="shared" si="1"/>
        <v>122.43619139657204</v>
      </c>
    </row>
    <row r="38" spans="1:9" ht="15" x14ac:dyDescent="0.35">
      <c r="A38" s="2020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</row>
    <row r="39" spans="1:9" ht="15.4" x14ac:dyDescent="0.4">
      <c r="A39" s="2020"/>
      <c r="B39" s="2006" t="s">
        <v>27</v>
      </c>
      <c r="C39" s="2007"/>
      <c r="D39" s="331">
        <v>12.24</v>
      </c>
      <c r="E39" s="406">
        <v>1.02</v>
      </c>
      <c r="F39" s="313">
        <f>282164/10000000</f>
        <v>2.8216399999999999E-2</v>
      </c>
      <c r="G39" s="313">
        <f>'actual fig'!T20/10000000</f>
        <v>0.56375010000000003</v>
      </c>
      <c r="H39" s="314">
        <f>(G39-E39)/E39*100</f>
        <v>-44.73038235294117</v>
      </c>
      <c r="I39" s="314">
        <f>(G39-F39)/F39*100</f>
        <v>1897.9519003132932</v>
      </c>
    </row>
    <row r="40" spans="1:9" ht="15.4" x14ac:dyDescent="0.4">
      <c r="A40" s="2020"/>
      <c r="B40" s="2006" t="s">
        <v>28</v>
      </c>
      <c r="C40" s="2007"/>
      <c r="D40" s="333">
        <v>2.84</v>
      </c>
      <c r="E40" s="307">
        <v>0.23599999999999999</v>
      </c>
      <c r="F40" s="314">
        <v>0</v>
      </c>
      <c r="G40" s="313">
        <f>'actual fig'!U20/10000000</f>
        <v>2.2256100000000001E-2</v>
      </c>
      <c r="H40" s="314">
        <f>(G40-E40)/E40*100</f>
        <v>-90.569449152542376</v>
      </c>
      <c r="I40" s="314">
        <v>0</v>
      </c>
    </row>
    <row r="41" spans="1:9" ht="15.4" x14ac:dyDescent="0.4">
      <c r="A41" s="2020"/>
      <c r="B41" s="378" t="s">
        <v>224</v>
      </c>
      <c r="C41" s="379"/>
      <c r="D41" s="603">
        <v>2.4500000000000002</v>
      </c>
      <c r="E41" s="1046">
        <f>2.45/12</f>
        <v>0.20416666666666669</v>
      </c>
      <c r="F41" s="381">
        <f>46282/10000000</f>
        <v>4.6281999999999998E-3</v>
      </c>
      <c r="G41" s="313">
        <f>'actual fig'!V20/10000000</f>
        <v>3.2181599999999998E-2</v>
      </c>
      <c r="H41" s="314">
        <f>(G41-E41)/E41*100</f>
        <v>-84.237583673469388</v>
      </c>
      <c r="I41" s="314">
        <f>(G41-F41)/F41*100</f>
        <v>595.33728015211102</v>
      </c>
    </row>
    <row r="42" spans="1:9" ht="15.4" x14ac:dyDescent="0.4">
      <c r="A42" s="2020"/>
      <c r="B42" s="2006" t="s">
        <v>64</v>
      </c>
      <c r="C42" s="2007"/>
      <c r="D42" s="540" t="s">
        <v>221</v>
      </c>
      <c r="E42" s="315" t="s">
        <v>221</v>
      </c>
      <c r="F42" s="314">
        <v>0</v>
      </c>
      <c r="G42" s="313">
        <v>0</v>
      </c>
      <c r="H42" s="314" t="s">
        <v>221</v>
      </c>
      <c r="I42" s="314">
        <v>0</v>
      </c>
    </row>
    <row r="43" spans="1:9" ht="15.4" x14ac:dyDescent="0.4">
      <c r="A43" s="2020"/>
      <c r="B43" s="2006" t="s">
        <v>4</v>
      </c>
      <c r="C43" s="2007"/>
      <c r="D43" s="540" t="s">
        <v>221</v>
      </c>
      <c r="E43" s="315" t="s">
        <v>221</v>
      </c>
      <c r="F43" s="314">
        <v>0</v>
      </c>
      <c r="G43" s="313">
        <v>0</v>
      </c>
      <c r="H43" s="314" t="s">
        <v>221</v>
      </c>
      <c r="I43" s="314">
        <v>0</v>
      </c>
    </row>
    <row r="44" spans="1:9" x14ac:dyDescent="0.4">
      <c r="A44" s="373"/>
      <c r="B44" s="2006" t="s">
        <v>259</v>
      </c>
      <c r="C44" s="2019"/>
      <c r="D44" s="540" t="s">
        <v>221</v>
      </c>
      <c r="E44" s="315" t="s">
        <v>221</v>
      </c>
      <c r="F44" s="1039">
        <v>2.5518599999999999E-2</v>
      </c>
      <c r="G44" s="313">
        <f>'actual fig'!X20/10000000</f>
        <v>0.13725979999999999</v>
      </c>
      <c r="H44" s="407" t="s">
        <v>221</v>
      </c>
      <c r="I44" s="314">
        <f>(G44-F44)/F44*100</f>
        <v>437.88138847742425</v>
      </c>
    </row>
    <row r="45" spans="1:9" ht="15" x14ac:dyDescent="0.35">
      <c r="A45" s="2020"/>
      <c r="B45" s="2309" t="s">
        <v>419</v>
      </c>
      <c r="C45" s="2310"/>
      <c r="D45" s="2310"/>
      <c r="E45" s="2310"/>
      <c r="F45" s="2310"/>
      <c r="G45" s="2310"/>
      <c r="H45" s="2310"/>
      <c r="I45" s="2311"/>
    </row>
    <row r="46" spans="1:9" ht="15.4" x14ac:dyDescent="0.4">
      <c r="A46" s="2020"/>
      <c r="B46" s="2006" t="s">
        <v>16</v>
      </c>
      <c r="C46" s="2007"/>
      <c r="D46" s="603" t="s">
        <v>221</v>
      </c>
      <c r="E46" s="315">
        <v>2.82</v>
      </c>
      <c r="F46" s="315">
        <v>9.6051999999999998E-2</v>
      </c>
      <c r="G46" s="315">
        <v>1.1399999999999999</v>
      </c>
      <c r="H46" s="316">
        <f>(G46-E46)/E46*100</f>
        <v>-59.574468085106382</v>
      </c>
      <c r="I46" s="314">
        <f>(G46-F46)/F46*100</f>
        <v>1086.8571190605089</v>
      </c>
    </row>
    <row r="47" spans="1:9" ht="15.4" x14ac:dyDescent="0.4">
      <c r="A47" s="2020"/>
      <c r="B47" s="2069" t="s">
        <v>15</v>
      </c>
      <c r="C47" s="320" t="s">
        <v>166</v>
      </c>
      <c r="D47" s="2162" t="s">
        <v>221</v>
      </c>
      <c r="E47" s="2154">
        <v>3.89</v>
      </c>
      <c r="F47" s="313">
        <v>3.4433999999999999E-2</v>
      </c>
      <c r="G47" s="313">
        <v>0.59</v>
      </c>
      <c r="H47" s="2027">
        <v>-98.2</v>
      </c>
      <c r="I47" s="314">
        <f>(G47-F47)/F47*100</f>
        <v>1613.4227798106522</v>
      </c>
    </row>
    <row r="48" spans="1:9" ht="15.4" x14ac:dyDescent="0.4">
      <c r="A48" s="2020"/>
      <c r="B48" s="2070"/>
      <c r="C48" s="320" t="s">
        <v>228</v>
      </c>
      <c r="D48" s="2163"/>
      <c r="E48" s="2155"/>
      <c r="F48" s="313">
        <v>0.42921799999999999</v>
      </c>
      <c r="G48" s="313">
        <v>1.18</v>
      </c>
      <c r="H48" s="2029"/>
      <c r="I48" s="314">
        <f>(G48-F48)/F48*100</f>
        <v>174.91857284643234</v>
      </c>
    </row>
    <row r="49" spans="1:9" ht="15" x14ac:dyDescent="0.35">
      <c r="A49" s="2020">
        <v>6</v>
      </c>
      <c r="B49" s="2309" t="s">
        <v>677</v>
      </c>
      <c r="C49" s="2310"/>
      <c r="D49" s="2310"/>
      <c r="E49" s="2310"/>
      <c r="F49" s="2310"/>
      <c r="G49" s="2310"/>
      <c r="H49" s="2310"/>
      <c r="I49" s="2311"/>
    </row>
    <row r="50" spans="1:9" ht="15.4" x14ac:dyDescent="0.4">
      <c r="A50" s="2020"/>
      <c r="B50" s="2006" t="s">
        <v>36</v>
      </c>
      <c r="C50" s="2007"/>
      <c r="D50" s="303" t="s">
        <v>221</v>
      </c>
      <c r="E50" s="2024">
        <v>2.67</v>
      </c>
      <c r="F50" s="313">
        <v>0.75</v>
      </c>
      <c r="G50" s="313">
        <v>0.74</v>
      </c>
      <c r="H50" s="2027">
        <f>(G52-E50)/E50*100</f>
        <v>-57.677902621722851</v>
      </c>
      <c r="I50" s="314">
        <f>(G50-F50)/F50*100</f>
        <v>-1.3333333333333344</v>
      </c>
    </row>
    <row r="51" spans="1:9" ht="15.4" x14ac:dyDescent="0.4">
      <c r="A51" s="2020"/>
      <c r="B51" s="2006" t="s">
        <v>37</v>
      </c>
      <c r="C51" s="2007"/>
      <c r="D51" s="303" t="s">
        <v>221</v>
      </c>
      <c r="E51" s="2025"/>
      <c r="F51" s="313">
        <v>0.31</v>
      </c>
      <c r="G51" s="313">
        <v>0.39</v>
      </c>
      <c r="H51" s="2028"/>
      <c r="I51" s="314">
        <f>(G51-F51)/F51*100</f>
        <v>25.806451612903231</v>
      </c>
    </row>
    <row r="52" spans="1:9" ht="15.4" x14ac:dyDescent="0.4">
      <c r="A52" s="2020"/>
      <c r="B52" s="2006" t="s">
        <v>38</v>
      </c>
      <c r="C52" s="2007"/>
      <c r="D52" s="303" t="s">
        <v>221</v>
      </c>
      <c r="E52" s="2026"/>
      <c r="F52" s="313">
        <f>SUM(F50:F51)</f>
        <v>1.06</v>
      </c>
      <c r="G52" s="313">
        <f>SUM(G50:G51)</f>
        <v>1.1299999999999999</v>
      </c>
      <c r="H52" s="2029"/>
      <c r="I52" s="314">
        <f>(G52-F52)/F52*100</f>
        <v>6.6037735849056451</v>
      </c>
    </row>
  </sheetData>
  <mergeCells count="60">
    <mergeCell ref="A49:A52"/>
    <mergeCell ref="B49:I49"/>
    <mergeCell ref="B50:C50"/>
    <mergeCell ref="E50:E52"/>
    <mergeCell ref="H50:H52"/>
    <mergeCell ref="B51:C51"/>
    <mergeCell ref="B52:C52"/>
    <mergeCell ref="B44:C44"/>
    <mergeCell ref="A45:A48"/>
    <mergeCell ref="B45:I45"/>
    <mergeCell ref="B46:C46"/>
    <mergeCell ref="B47:B48"/>
    <mergeCell ref="D47:D48"/>
    <mergeCell ref="E47:E48"/>
    <mergeCell ref="H47:H48"/>
    <mergeCell ref="B37:C37"/>
    <mergeCell ref="A38:A43"/>
    <mergeCell ref="B38:I38"/>
    <mergeCell ref="B39:C39"/>
    <mergeCell ref="B40:C40"/>
    <mergeCell ref="B42:C42"/>
    <mergeCell ref="B43:C43"/>
    <mergeCell ref="F18:G18"/>
    <mergeCell ref="A30:A36"/>
    <mergeCell ref="B30:I30"/>
    <mergeCell ref="B31:C31"/>
    <mergeCell ref="B32:C32"/>
    <mergeCell ref="B33:C33"/>
    <mergeCell ref="B34:C34"/>
    <mergeCell ref="B35:C35"/>
    <mergeCell ref="B36:C36"/>
    <mergeCell ref="D28:E28"/>
    <mergeCell ref="F28:G28"/>
    <mergeCell ref="H28:I28"/>
    <mergeCell ref="B28:C29"/>
    <mergeCell ref="A18:A26"/>
    <mergeCell ref="C18:E18"/>
    <mergeCell ref="B6:C6"/>
    <mergeCell ref="B7:C7"/>
    <mergeCell ref="B8:C8"/>
    <mergeCell ref="B9:C9"/>
    <mergeCell ref="B10:C10"/>
    <mergeCell ref="A1:I1"/>
    <mergeCell ref="A2:I2"/>
    <mergeCell ref="A3:A5"/>
    <mergeCell ref="B3:C5"/>
    <mergeCell ref="D3:E3"/>
    <mergeCell ref="F3:G3"/>
    <mergeCell ref="H3:I3"/>
    <mergeCell ref="D5:E5"/>
    <mergeCell ref="A11:I11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</mergeCells>
  <pageMargins left="0.2" right="0.2" top="0.36" bottom="0.32" header="0.3" footer="0.3"/>
  <pageSetup paperSize="9" scale="54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801E7-1E6A-4E7C-9E23-CC2B6CE4DEF8}">
  <sheetPr>
    <tabColor rgb="FFFF0000"/>
    <pageSetUpPr fitToPage="1"/>
  </sheetPr>
  <dimension ref="A1:AH143"/>
  <sheetViews>
    <sheetView topLeftCell="A18" workbookViewId="0">
      <selection activeCell="AE22" sqref="AE22"/>
    </sheetView>
  </sheetViews>
  <sheetFormatPr defaultColWidth="9.1328125" defaultRowHeight="15" x14ac:dyDescent="0.4"/>
  <cols>
    <col min="1" max="1" width="3.73046875" style="1235" customWidth="1"/>
    <col min="2" max="2" width="36.1328125" style="300" customWidth="1"/>
    <col min="3" max="3" width="10.73046875" style="1439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0.1328125" style="82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59765625" style="1209" customWidth="1"/>
    <col min="14" max="14" width="43.73046875" style="5" customWidth="1"/>
    <col min="15" max="15" width="12.1328125" style="5" customWidth="1"/>
    <col min="16" max="16" width="11.3984375" style="5" bestFit="1" customWidth="1"/>
    <col min="17" max="17" width="11.265625" style="5" bestFit="1" customWidth="1"/>
    <col min="18" max="19" width="14" style="5" customWidth="1"/>
    <col min="20" max="21" width="11.1328125" style="5" customWidth="1"/>
    <col min="22" max="22" width="9.1328125" style="5"/>
    <col min="23" max="23" width="12.3984375" style="5" bestFit="1" customWidth="1"/>
    <col min="24" max="24" width="13.3984375" style="172" customWidth="1"/>
    <col min="25" max="25" width="11.265625" style="5" bestFit="1" customWidth="1"/>
    <col min="26" max="26" width="10.265625" style="5" bestFit="1" customWidth="1"/>
    <col min="27" max="27" width="10.59765625" style="5" bestFit="1" customWidth="1"/>
    <col min="28" max="28" width="9.1328125" style="5"/>
    <col min="29" max="29" width="37.3984375" style="5" customWidth="1"/>
    <col min="30" max="30" width="16.59765625" style="5" customWidth="1"/>
    <col min="31" max="31" width="30.265625" style="5" bestFit="1" customWidth="1"/>
    <col min="32" max="32" width="25.59765625" style="5" bestFit="1" customWidth="1"/>
    <col min="33" max="33" width="16.3984375" style="5" bestFit="1" customWidth="1"/>
    <col min="34" max="34" width="15.1328125" style="5" customWidth="1"/>
    <col min="35" max="16384" width="9.1328125" style="5"/>
  </cols>
  <sheetData>
    <row r="1" spans="1:34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156" t="s">
        <v>781</v>
      </c>
      <c r="N1" s="2156"/>
      <c r="O1" s="2156"/>
      <c r="P1" s="2156"/>
      <c r="Q1" s="2156"/>
      <c r="R1" s="2156"/>
      <c r="S1" s="2156"/>
      <c r="T1" s="2156"/>
      <c r="U1" s="2156"/>
    </row>
    <row r="2" spans="1:34" s="301" customFormat="1" ht="18" thickBot="1" x14ac:dyDescent="0.4">
      <c r="A2" s="2092" t="s">
        <v>886</v>
      </c>
      <c r="B2" s="2093"/>
      <c r="C2" s="2093"/>
      <c r="D2" s="2093"/>
      <c r="E2" s="2093"/>
      <c r="F2" s="2093"/>
      <c r="G2" s="2093"/>
      <c r="H2" s="2093"/>
      <c r="I2" s="2094"/>
      <c r="J2" s="84"/>
      <c r="K2" s="84"/>
      <c r="L2" s="1149"/>
      <c r="M2" s="2092" t="s">
        <v>851</v>
      </c>
      <c r="N2" s="2093"/>
      <c r="O2" s="2446"/>
      <c r="P2" s="2093"/>
      <c r="Q2" s="2093"/>
      <c r="R2" s="2093"/>
      <c r="S2" s="2093"/>
      <c r="T2" s="2093"/>
      <c r="U2" s="2094"/>
      <c r="X2" s="1149"/>
      <c r="AC2" s="2326" t="s">
        <v>781</v>
      </c>
      <c r="AD2" s="2326"/>
      <c r="AE2" s="2326"/>
      <c r="AF2" s="2326"/>
      <c r="AG2" s="2326"/>
      <c r="AH2" s="2326"/>
    </row>
    <row r="3" spans="1:34" ht="17.25" customHeight="1" thickTop="1" x14ac:dyDescent="0.5">
      <c r="A3" s="2360" t="s">
        <v>144</v>
      </c>
      <c r="B3" s="2342" t="s">
        <v>353</v>
      </c>
      <c r="C3" s="1430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</row>
    <row r="4" spans="1:34" s="35" customFormat="1" ht="17.649999999999999" x14ac:dyDescent="0.35">
      <c r="A4" s="2360"/>
      <c r="B4" s="2343"/>
      <c r="C4" s="1431" t="s">
        <v>666</v>
      </c>
      <c r="D4" s="1424" t="s">
        <v>879</v>
      </c>
      <c r="E4" s="1445">
        <f>G4</f>
        <v>45017</v>
      </c>
      <c r="F4" s="422">
        <v>44672</v>
      </c>
      <c r="G4" s="422">
        <v>45017</v>
      </c>
      <c r="H4" s="2335" t="s">
        <v>12</v>
      </c>
      <c r="I4" s="2335" t="s">
        <v>13</v>
      </c>
      <c r="J4" s="84"/>
      <c r="K4" s="84"/>
      <c r="L4" s="1150"/>
      <c r="M4" s="2358"/>
      <c r="N4" s="2343"/>
      <c r="O4" s="1183" t="s">
        <v>764</v>
      </c>
      <c r="P4" s="421" t="s">
        <v>9</v>
      </c>
      <c r="Q4" s="422">
        <f>E4</f>
        <v>45017</v>
      </c>
      <c r="R4" s="422">
        <f>F4</f>
        <v>44672</v>
      </c>
      <c r="S4" s="422">
        <f>G4</f>
        <v>45017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</row>
    <row r="5" spans="1:34" ht="18.75" hidden="1" customHeight="1" x14ac:dyDescent="0.5">
      <c r="A5" s="2361"/>
      <c r="B5" s="2344"/>
      <c r="C5" s="1432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</row>
    <row r="6" spans="1:34" ht="30" customHeight="1" x14ac:dyDescent="0.35">
      <c r="A6" s="1229">
        <v>1</v>
      </c>
      <c r="B6" s="1191" t="s">
        <v>290</v>
      </c>
      <c r="C6" s="1433">
        <v>1024.2159494</v>
      </c>
      <c r="D6" s="1425">
        <v>1063.73</v>
      </c>
      <c r="E6" s="1446">
        <f>E15+E16</f>
        <v>75.5</v>
      </c>
      <c r="F6" s="434">
        <f>F15+F16+F17</f>
        <v>73.05</v>
      </c>
      <c r="G6" s="434">
        <f>G15+G16+G17</f>
        <v>88.080204500000008</v>
      </c>
      <c r="H6" s="1313">
        <f>(G6-E6)/E6*100</f>
        <v>16.662522516556301</v>
      </c>
      <c r="I6" s="517">
        <f>(G6-F6)/F6*100</f>
        <v>20.575228610540741</v>
      </c>
      <c r="M6" s="1203">
        <v>1</v>
      </c>
      <c r="N6" s="1179" t="s">
        <v>290</v>
      </c>
      <c r="O6" s="1185">
        <v>615.09889696200003</v>
      </c>
      <c r="P6" s="1312">
        <v>950.59</v>
      </c>
      <c r="Q6" s="434">
        <v>950.59</v>
      </c>
      <c r="R6" s="434">
        <f>R15+R16+R17</f>
        <v>615.095131262</v>
      </c>
      <c r="S6" s="434">
        <f>S15+S16+S17</f>
        <v>1018.9930947</v>
      </c>
      <c r="T6" s="1313">
        <f>(S6-Q6)/Q6*100</f>
        <v>7.1958567521223653</v>
      </c>
      <c r="U6" s="1313">
        <f>(S6-R6)/R6*100</f>
        <v>65.664308317530725</v>
      </c>
      <c r="V6" s="12">
        <f>(S6-P6)/P6*100</f>
        <v>7.1958567521223653</v>
      </c>
      <c r="W6" s="5">
        <f>(S6-P6)/P6*100</f>
        <v>7.1958567521223653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</row>
    <row r="7" spans="1:34" ht="26.25" customHeight="1" x14ac:dyDescent="0.35">
      <c r="A7" s="1230">
        <v>2</v>
      </c>
      <c r="B7" s="1154" t="s">
        <v>291</v>
      </c>
      <c r="C7" s="1433">
        <v>403.10200000000003</v>
      </c>
      <c r="D7" s="1425">
        <v>485.81999999999994</v>
      </c>
      <c r="E7" s="1446">
        <f>'TARGET 23-24'!E4</f>
        <v>33.58</v>
      </c>
      <c r="F7" s="434">
        <f>F20+F21+F22+F23+F24+F25+F26</f>
        <v>28.340000000000003</v>
      </c>
      <c r="G7" s="434">
        <v>30.76</v>
      </c>
      <c r="H7" s="1313">
        <f>(G7-E7)/E7*100</f>
        <v>-8.3978558665872445</v>
      </c>
      <c r="I7" s="517">
        <f>(G7-F7)/F7*100</f>
        <v>8.5391672547635764</v>
      </c>
      <c r="M7" s="1204">
        <v>2</v>
      </c>
      <c r="N7" s="1154" t="s">
        <v>291</v>
      </c>
      <c r="O7" s="1186">
        <v>275.33999999999997</v>
      </c>
      <c r="P7" s="434">
        <v>341.23</v>
      </c>
      <c r="Q7" s="434">
        <v>341.23</v>
      </c>
      <c r="R7" s="434">
        <v>275.33999999999997</v>
      </c>
      <c r="S7" s="434">
        <f>S20+S21+S22+S23+S24+S25+S26</f>
        <v>403.10200000000003</v>
      </c>
      <c r="T7" s="1313">
        <f>(S7-Q7)/Q7*100</f>
        <v>18.132051695337459</v>
      </c>
      <c r="U7" s="1313">
        <f>(S7-R7)/R7*100</f>
        <v>46.401539914287817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</row>
    <row r="8" spans="1:34" ht="32.25" customHeight="1" x14ac:dyDescent="0.35">
      <c r="A8" s="1231">
        <v>3</v>
      </c>
      <c r="B8" s="1155" t="s">
        <v>292</v>
      </c>
      <c r="C8" s="1433">
        <v>106.68749520000001</v>
      </c>
      <c r="D8" s="1425">
        <v>150.59</v>
      </c>
      <c r="E8" s="1446">
        <f>'TARGET 23-24'!F4</f>
        <v>11.35</v>
      </c>
      <c r="F8" s="1314">
        <f>F31+F32+F33+F35+F36+F37+F38</f>
        <v>8.5769127000000012</v>
      </c>
      <c r="G8" s="1314">
        <f>G31+G32+G33+G35+G36+G37+G38</f>
        <v>9.807046500000002</v>
      </c>
      <c r="H8" s="1313">
        <f>(G8-E8)/E8*100</f>
        <v>-13.594303964757689</v>
      </c>
      <c r="I8" s="517">
        <f>(G8-F8)/F8*100</f>
        <v>14.342384527243709</v>
      </c>
      <c r="M8" s="1205">
        <v>3</v>
      </c>
      <c r="N8" s="1155" t="s">
        <v>292</v>
      </c>
      <c r="O8" s="1187">
        <v>71.674099700000014</v>
      </c>
      <c r="P8" s="1314">
        <v>102.46000000000001</v>
      </c>
      <c r="Q8" s="434">
        <f>P8</f>
        <v>102.46000000000001</v>
      </c>
      <c r="R8" s="1314">
        <f>R31+R32+R33+R35+R36+R37+R38</f>
        <v>71.674099699999985</v>
      </c>
      <c r="S8" s="434">
        <f>S31+S32+S33+S35+S36+S37+S38</f>
        <v>106.68749520000001</v>
      </c>
      <c r="T8" s="1313">
        <f>(S8-Q8)/Q8*100</f>
        <v>4.1259957056412322</v>
      </c>
      <c r="U8" s="1313">
        <f>(S8-R8)/R8*100</f>
        <v>48.850834048216221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</row>
    <row r="9" spans="1:34" ht="34.5" customHeight="1" x14ac:dyDescent="0.35">
      <c r="A9" s="1230">
        <v>4</v>
      </c>
      <c r="B9" s="1156" t="s">
        <v>293</v>
      </c>
      <c r="C9" s="1433">
        <v>17.701250099999996</v>
      </c>
      <c r="D9" s="1425">
        <f>D40+D41+D42</f>
        <v>19.149999999999999</v>
      </c>
      <c r="E9" s="1425">
        <f>E40+E41+E42</f>
        <v>1.595</v>
      </c>
      <c r="F9" s="434">
        <f>F40+F41+F42+F44+F45</f>
        <v>0.75544760000000011</v>
      </c>
      <c r="G9" s="434">
        <f>G40+G41+G42+G44+G45</f>
        <v>1.2336203000000001</v>
      </c>
      <c r="H9" s="1313">
        <f>(G9-E9)/E9*100</f>
        <v>-22.657034482758611</v>
      </c>
      <c r="I9" s="517">
        <f>(G9-F9)/F9*100</f>
        <v>63.296607203464539</v>
      </c>
      <c r="M9" s="1204">
        <v>4</v>
      </c>
      <c r="N9" s="1156" t="s">
        <v>293</v>
      </c>
      <c r="O9" s="1185">
        <v>5.1459812999999999</v>
      </c>
      <c r="P9" s="434">
        <f>P40+P41+P42</f>
        <v>16.79</v>
      </c>
      <c r="Q9" s="434">
        <f>P9</f>
        <v>16.79</v>
      </c>
      <c r="R9" s="434">
        <f>R40+R41+R42+R43+R44+R45</f>
        <v>5.1524325000000006</v>
      </c>
      <c r="S9" s="434">
        <f>S40+S41+S42+S43+S44+S45</f>
        <v>17.618554699999997</v>
      </c>
      <c r="T9" s="1313">
        <f>(S9-Q9)/Q9*100</f>
        <v>4.9348106015485289</v>
      </c>
      <c r="U9" s="1313">
        <f>(S9-R9)/R9*100</f>
        <v>241.94634670129099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</row>
    <row r="10" spans="1:34" ht="28.5" customHeight="1" x14ac:dyDescent="0.35">
      <c r="A10" s="1231">
        <v>5</v>
      </c>
      <c r="B10" s="1157" t="s">
        <v>294</v>
      </c>
      <c r="C10" s="1433">
        <f>SUM(C6:C9)</f>
        <v>1551.7066947000001</v>
      </c>
      <c r="D10" s="1425">
        <f>SUM(D6:D9)</f>
        <v>1719.29</v>
      </c>
      <c r="E10" s="1447">
        <f>E6+E7+E8+E9</f>
        <v>122.02499999999999</v>
      </c>
      <c r="F10" s="321">
        <f>SUM(F6:F9)</f>
        <v>110.72236029999999</v>
      </c>
      <c r="G10" s="321">
        <f>SUM(G6:G9)</f>
        <v>129.88087130000002</v>
      </c>
      <c r="H10" s="1162">
        <f>(G10-E10)/E10*100</f>
        <v>6.4379195246875911</v>
      </c>
      <c r="I10" s="322">
        <f>(G10-F10)/F10*100</f>
        <v>17.303199595899539</v>
      </c>
      <c r="M10" s="1205">
        <v>5</v>
      </c>
      <c r="N10" s="1157" t="s">
        <v>294</v>
      </c>
      <c r="O10" s="1188">
        <f>SUM(O6:O9)</f>
        <v>967.25897796200002</v>
      </c>
      <c r="P10" s="321">
        <f>SUM(P6:P9)</f>
        <v>1411.0700000000002</v>
      </c>
      <c r="Q10" s="321">
        <f>SUM(Q6:Q9)</f>
        <v>1411.0700000000002</v>
      </c>
      <c r="R10" s="321">
        <f>SUM(R6:R9)</f>
        <v>967.26166346199989</v>
      </c>
      <c r="S10" s="321">
        <f>SUM(S6:S9)</f>
        <v>1546.4011446000002</v>
      </c>
      <c r="T10" s="1162">
        <f>(S10-Q10)/Q10*100</f>
        <v>9.5906754873960907</v>
      </c>
      <c r="U10" s="1162">
        <f>(S10-R10)/R10*100</f>
        <v>59.874127448115544</v>
      </c>
      <c r="X10" s="12">
        <f>SUM(X6:X9)</f>
        <v>389.94179218299996</v>
      </c>
      <c r="Y10" s="12">
        <f>SUM(Y6:Y9)</f>
        <v>752.12112639999998</v>
      </c>
      <c r="Z10" s="12">
        <f>S10-Y10</f>
        <v>794.2800182000002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</row>
    <row r="11" spans="1:34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</row>
    <row r="12" spans="1:34" ht="31.5" customHeight="1" x14ac:dyDescent="0.35">
      <c r="A12" s="1230">
        <v>6.3</v>
      </c>
      <c r="B12" s="1293" t="s">
        <v>778</v>
      </c>
      <c r="C12" s="1433">
        <v>47.027382000000003</v>
      </c>
      <c r="D12" s="1428">
        <v>55.06</v>
      </c>
      <c r="E12" s="1312">
        <f>E47+E48</f>
        <v>3.37</v>
      </c>
      <c r="F12" s="1294">
        <f>F47+F48+F49</f>
        <v>2.91</v>
      </c>
      <c r="G12" s="1294">
        <f>G47+G48+G49</f>
        <v>4.4029590000000001</v>
      </c>
      <c r="H12" s="1161">
        <f>(G12-E12)/E12*100</f>
        <v>30.651602373887236</v>
      </c>
      <c r="I12" s="316">
        <f>(G12-F12)/F12*100</f>
        <v>51.304432989690717</v>
      </c>
      <c r="M12" s="1204">
        <v>6.3</v>
      </c>
      <c r="N12" s="1316" t="s">
        <v>814</v>
      </c>
      <c r="O12" s="1307">
        <v>16.61</v>
      </c>
      <c r="P12" s="332">
        <v>62.53</v>
      </c>
      <c r="Q12" s="307">
        <f>Q47+Q48</f>
        <v>62.53</v>
      </c>
      <c r="R12" s="1294">
        <f>R47+R48+R49</f>
        <v>16.611401999999998</v>
      </c>
      <c r="S12" s="1294">
        <f>S47+S48+S49</f>
        <v>47.005617999999998</v>
      </c>
      <c r="T12" s="1161">
        <f>(S12-Q12)/Q12*100</f>
        <v>-24.827094194786508</v>
      </c>
      <c r="U12" s="1060">
        <f>(S12-R12)/R12*100</f>
        <v>182.97200922595218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</row>
    <row r="13" spans="1:34" s="1310" customFormat="1" ht="13.5" customHeight="1" x14ac:dyDescent="0.35">
      <c r="A13" s="1309"/>
      <c r="B13" s="2438" t="s">
        <v>229</v>
      </c>
      <c r="C13" s="2439"/>
      <c r="D13" s="2439"/>
      <c r="E13" s="2439"/>
      <c r="F13" s="2439"/>
      <c r="G13" s="2439"/>
      <c r="H13" s="2439"/>
      <c r="I13" s="2440"/>
      <c r="L13" s="1311"/>
      <c r="M13" s="1309"/>
      <c r="N13" s="2438" t="s">
        <v>229</v>
      </c>
      <c r="O13" s="2439"/>
      <c r="P13" s="2439"/>
      <c r="Q13" s="2439"/>
      <c r="R13" s="2439"/>
      <c r="S13" s="2439"/>
      <c r="T13" s="2439"/>
      <c r="U13" s="2440"/>
      <c r="X13" s="1311"/>
    </row>
    <row r="14" spans="1:34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34" ht="17.649999999999999" x14ac:dyDescent="0.4">
      <c r="A15" s="2374"/>
      <c r="B15" s="378" t="s">
        <v>802</v>
      </c>
      <c r="C15" s="1434">
        <v>11.460276500000001</v>
      </c>
      <c r="D15" s="1428">
        <f>'TARGET 23-24'!B26</f>
        <v>12.600000000000001</v>
      </c>
      <c r="E15" s="1249">
        <v>0.71</v>
      </c>
      <c r="F15" s="315">
        <v>0.65</v>
      </c>
      <c r="G15" s="315">
        <f>'ACTUAL- 23-24'!E3/10000000</f>
        <v>1.0765871</v>
      </c>
      <c r="H15" s="316">
        <f>(G15-E15)/E15*100</f>
        <v>51.631985915492976</v>
      </c>
      <c r="I15" s="314">
        <f>(G15-F15)/F15*100</f>
        <v>65.628784615384617</v>
      </c>
      <c r="J15" s="1128">
        <f>373857/10000000</f>
        <v>3.7385700000000001E-2</v>
      </c>
      <c r="M15" s="2369"/>
      <c r="N15" s="378" t="s">
        <v>816</v>
      </c>
      <c r="O15" s="1282">
        <v>2.0896889139999999</v>
      </c>
      <c r="P15" s="333">
        <v>22.16</v>
      </c>
      <c r="Q15" s="315">
        <v>22.16</v>
      </c>
      <c r="R15" s="315">
        <v>2.0896889139999999</v>
      </c>
      <c r="S15" s="315">
        <f>G15+'FEB -23'!S15</f>
        <v>11.5040727</v>
      </c>
      <c r="T15" s="316">
        <f>(S15-Q15)/Q15*100</f>
        <v>-48.086314530685918</v>
      </c>
      <c r="U15" s="314">
        <f>(S15-R15)/R15*100</f>
        <v>450.51604202557394</v>
      </c>
      <c r="Y15" s="12">
        <f>R16+R17</f>
        <v>613.00544234799997</v>
      </c>
      <c r="Z15" s="12">
        <f>S16+S17</f>
        <v>1007.4890220000001</v>
      </c>
      <c r="AA15" s="5">
        <f>(Z15-Y15)/Y15*100</f>
        <v>64.3523780377881</v>
      </c>
      <c r="AD15" s="1294" t="s">
        <v>536</v>
      </c>
      <c r="AE15" s="1191" t="s">
        <v>855</v>
      </c>
      <c r="AF15" s="606" t="s">
        <v>1031</v>
      </c>
    </row>
    <row r="16" spans="1:34" ht="17.649999999999999" x14ac:dyDescent="0.4">
      <c r="A16" s="2374"/>
      <c r="B16" s="1281" t="s">
        <v>801</v>
      </c>
      <c r="C16" s="1434">
        <v>126.72018780000001</v>
      </c>
      <c r="D16" s="2379">
        <f>'TARGET 23-24'!C26</f>
        <v>1051.1300000000001</v>
      </c>
      <c r="E16" s="2065">
        <v>74.790000000000006</v>
      </c>
      <c r="F16" s="315">
        <v>1.79</v>
      </c>
      <c r="G16" s="315">
        <f>'ACTUAL- 23-24'!F3/10000000</f>
        <v>17.5235053</v>
      </c>
      <c r="H16" s="2154">
        <f>L16</f>
        <v>16.330548736462077</v>
      </c>
      <c r="I16" s="314">
        <f>(G16-F16)/F16*100</f>
        <v>878.96677653631286</v>
      </c>
      <c r="J16" s="12">
        <f>F16+F17</f>
        <v>72.400000000000006</v>
      </c>
      <c r="K16" s="12">
        <f>G16+G17</f>
        <v>87.003617399999996</v>
      </c>
      <c r="L16" s="172">
        <f>(K16-E16)/E16*100</f>
        <v>16.330548736462077</v>
      </c>
      <c r="M16" s="2369"/>
      <c r="N16" s="1281" t="s">
        <v>817</v>
      </c>
      <c r="O16" s="1282">
        <v>2.1157408480000002</v>
      </c>
      <c r="P16" s="2166">
        <v>928.43</v>
      </c>
      <c r="Q16" s="2065">
        <v>928.43</v>
      </c>
      <c r="R16" s="315">
        <v>2.1157408480000002</v>
      </c>
      <c r="S16" s="315">
        <f>G16+'FEB -23'!S16</f>
        <v>129.6236768</v>
      </c>
      <c r="T16" s="2154">
        <f>X16</f>
        <v>8.5153454756955451</v>
      </c>
      <c r="U16" s="314">
        <f>(S16-R16)/R16*100</f>
        <v>6026.6329911119619</v>
      </c>
      <c r="W16" s="12">
        <f>S16+S17</f>
        <v>1007.4890220000001</v>
      </c>
      <c r="X16" s="172">
        <f>(W16-Q16)/Q16*100</f>
        <v>8.5153454756955451</v>
      </c>
      <c r="AD16" s="1294" t="s">
        <v>77</v>
      </c>
      <c r="AE16" s="434">
        <v>873.14</v>
      </c>
      <c r="AF16" s="434">
        <v>1162.5814957</v>
      </c>
    </row>
    <row r="17" spans="1:32" ht="17.649999999999999" x14ac:dyDescent="0.4">
      <c r="A17" s="2375"/>
      <c r="B17" s="320" t="s">
        <v>803</v>
      </c>
      <c r="C17" s="1434">
        <v>886.03548510000007</v>
      </c>
      <c r="D17" s="2380"/>
      <c r="E17" s="2066"/>
      <c r="F17" s="315">
        <v>70.61</v>
      </c>
      <c r="G17" s="315">
        <f>'ACTUAL- 23-24'!G3/10000000</f>
        <v>69.480112099999999</v>
      </c>
      <c r="H17" s="2155"/>
      <c r="I17" s="314">
        <f>(G17-F17)/F17*100</f>
        <v>-1.6001811358164566</v>
      </c>
      <c r="J17" s="323">
        <f>114680295/10000000</f>
        <v>11.4680295</v>
      </c>
      <c r="M17" s="2245"/>
      <c r="N17" s="320" t="s">
        <v>818</v>
      </c>
      <c r="O17" s="1282">
        <v>610.89346720000003</v>
      </c>
      <c r="P17" s="2064"/>
      <c r="Q17" s="2066"/>
      <c r="R17" s="315">
        <v>610.8897015</v>
      </c>
      <c r="S17" s="315">
        <f>G17+'FEB -23'!S17</f>
        <v>877.86534520000009</v>
      </c>
      <c r="T17" s="2155"/>
      <c r="U17" s="314">
        <f>(S17-R17)/R17*100</f>
        <v>43.702757313547558</v>
      </c>
      <c r="AD17" s="1294" t="s">
        <v>249</v>
      </c>
      <c r="AE17" s="434">
        <v>202.54</v>
      </c>
      <c r="AF17" s="434">
        <v>357.28</v>
      </c>
    </row>
    <row r="18" spans="1:32" ht="17.649999999999999" x14ac:dyDescent="0.35">
      <c r="A18" s="1982">
        <v>2</v>
      </c>
      <c r="B18" s="1442" t="s">
        <v>678</v>
      </c>
      <c r="C18" s="2460" t="s">
        <v>680</v>
      </c>
      <c r="D18" s="2460"/>
      <c r="E18" s="2460"/>
      <c r="F18" s="2461" t="s">
        <v>684</v>
      </c>
      <c r="G18" s="2462"/>
      <c r="H18" s="2462"/>
      <c r="I18" s="2463"/>
      <c r="M18" s="2368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  <c r="AD18" s="1294" t="s">
        <v>438</v>
      </c>
      <c r="AE18" s="434">
        <v>615.09889696200003</v>
      </c>
      <c r="AF18" s="434">
        <v>967.25897796200002</v>
      </c>
    </row>
    <row r="19" spans="1:32" ht="17.25" customHeight="1" x14ac:dyDescent="0.35">
      <c r="A19" s="1983"/>
      <c r="B19" s="1443" t="s">
        <v>230</v>
      </c>
      <c r="C19" s="1070">
        <f>F4</f>
        <v>44672</v>
      </c>
      <c r="D19" s="1444">
        <f>G4</f>
        <v>45017</v>
      </c>
      <c r="E19" s="1443" t="s">
        <v>681</v>
      </c>
      <c r="F19" s="1444">
        <f>F4</f>
        <v>44672</v>
      </c>
      <c r="G19" s="1444">
        <f>G4</f>
        <v>45017</v>
      </c>
      <c r="H19" s="1071" t="s">
        <v>682</v>
      </c>
      <c r="I19" s="1441" t="s">
        <v>681</v>
      </c>
      <c r="M19" s="2369"/>
      <c r="N19" s="1069" t="s">
        <v>230</v>
      </c>
      <c r="O19" s="1098">
        <f>R4</f>
        <v>44672</v>
      </c>
      <c r="P19" s="1098">
        <f>S4</f>
        <v>45017</v>
      </c>
      <c r="Q19" s="1069" t="s">
        <v>681</v>
      </c>
      <c r="R19" s="1098">
        <f>R4</f>
        <v>44672</v>
      </c>
      <c r="S19" s="1098">
        <f>S4</f>
        <v>45017</v>
      </c>
      <c r="T19" s="1071" t="s">
        <v>682</v>
      </c>
      <c r="U19" s="1072" t="s">
        <v>681</v>
      </c>
      <c r="AD19" s="1294" t="s">
        <v>701</v>
      </c>
      <c r="AE19" s="434">
        <v>1024.2159494</v>
      </c>
      <c r="AF19" s="434">
        <v>1551.7066947000001</v>
      </c>
    </row>
    <row r="20" spans="1:32" ht="29.25" customHeight="1" x14ac:dyDescent="0.4">
      <c r="A20" s="1983"/>
      <c r="B20" s="1055" t="s">
        <v>231</v>
      </c>
      <c r="C20" s="303">
        <v>106428</v>
      </c>
      <c r="D20" s="1409">
        <v>40039</v>
      </c>
      <c r="E20" s="314">
        <f>(D20-C20)/C20*100</f>
        <v>-62.379261096703878</v>
      </c>
      <c r="F20" s="315">
        <v>16.170000000000002</v>
      </c>
      <c r="G20" s="315">
        <v>12.3</v>
      </c>
      <c r="H20" s="1060">
        <f>G20/G7*100</f>
        <v>39.98699609882965</v>
      </c>
      <c r="I20" s="314">
        <f>(G20-F20)/F20*100</f>
        <v>-23.933209647495364</v>
      </c>
      <c r="M20" s="2369"/>
      <c r="N20" s="1055" t="s">
        <v>231</v>
      </c>
      <c r="O20" s="833">
        <v>1160782</v>
      </c>
      <c r="P20" s="833">
        <v>950064</v>
      </c>
      <c r="Q20" s="314">
        <f>(P20-O20)/O20*100</f>
        <v>-18.153107129504075</v>
      </c>
      <c r="R20" s="316">
        <v>207.34293589999999</v>
      </c>
      <c r="S20" s="315">
        <v>182.9</v>
      </c>
      <c r="T20" s="1060">
        <f>S20/S7*100</f>
        <v>45.373131366254697</v>
      </c>
      <c r="U20" s="314">
        <f>(S20-R20)/R20*100</f>
        <v>-11.788651392391122</v>
      </c>
      <c r="AD20" s="1826" t="s">
        <v>1030</v>
      </c>
      <c r="AE20" s="434">
        <v>790.9844579999999</v>
      </c>
      <c r="AF20" s="434">
        <v>1172.2789069559999</v>
      </c>
    </row>
    <row r="21" spans="1:32" ht="18.75" customHeight="1" x14ac:dyDescent="0.4">
      <c r="A21" s="1983"/>
      <c r="B21" s="1055" t="s">
        <v>232</v>
      </c>
      <c r="C21" s="303">
        <v>77577</v>
      </c>
      <c r="D21" s="1410">
        <v>74140</v>
      </c>
      <c r="E21" s="314">
        <f>(D21-C21)/C21*100</f>
        <v>-4.4304368562847234</v>
      </c>
      <c r="F21" s="315">
        <v>4.57</v>
      </c>
      <c r="G21" s="315">
        <v>4.4400000000000004</v>
      </c>
      <c r="H21" s="1060">
        <f>G21/G7*100</f>
        <v>14.434330299089728</v>
      </c>
      <c r="I21" s="314">
        <f>(G21-F21)/F21*100</f>
        <v>-2.8446389496717699</v>
      </c>
      <c r="M21" s="2369"/>
      <c r="N21" s="1055" t="s">
        <v>232</v>
      </c>
      <c r="O21" s="833">
        <v>239253</v>
      </c>
      <c r="P21" s="833">
        <v>990683</v>
      </c>
      <c r="Q21" s="314">
        <f>(P21-O21)/O21*100</f>
        <v>314.07338674959141</v>
      </c>
      <c r="R21" s="315">
        <v>12.3503062</v>
      </c>
      <c r="S21" s="315">
        <v>99.97</v>
      </c>
      <c r="T21" s="1060">
        <f>S21/S7*100</f>
        <v>24.800174645623191</v>
      </c>
      <c r="U21" s="314">
        <f>(S21-R21)/R21*100</f>
        <v>709.4536150042984</v>
      </c>
      <c r="W21" s="5">
        <v>2.17</v>
      </c>
      <c r="X21" s="172">
        <v>2.95</v>
      </c>
      <c r="Y21" s="5">
        <f>(X21-W21)/W21*100</f>
        <v>35.944700460829502</v>
      </c>
    </row>
    <row r="22" spans="1:32" ht="18.75" customHeight="1" x14ac:dyDescent="0.4">
      <c r="A22" s="1983"/>
      <c r="B22" s="1055" t="s">
        <v>239</v>
      </c>
      <c r="C22" s="303">
        <v>59752</v>
      </c>
      <c r="D22" s="1410">
        <v>95923</v>
      </c>
      <c r="E22" s="314">
        <f>(D22-C22)/C22*100</f>
        <v>60.535212210469943</v>
      </c>
      <c r="F22" s="315">
        <v>6.78</v>
      </c>
      <c r="G22" s="315">
        <v>13.27</v>
      </c>
      <c r="H22" s="1060">
        <f>G22/G7*100</f>
        <v>43.140442132639791</v>
      </c>
      <c r="I22" s="314">
        <f>(G22-F22)/F22*100</f>
        <v>95.722713864306769</v>
      </c>
      <c r="M22" s="2369"/>
      <c r="N22" s="1055" t="s">
        <v>239</v>
      </c>
      <c r="O22" s="833">
        <v>436521</v>
      </c>
      <c r="P22" s="833">
        <v>860111</v>
      </c>
      <c r="Q22" s="314">
        <f>(P22-O22)/O22*100</f>
        <v>97.037714107683243</v>
      </c>
      <c r="R22" s="315">
        <v>45.52</v>
      </c>
      <c r="S22" s="315">
        <v>109.5</v>
      </c>
      <c r="T22" s="1060">
        <f>S22/S7*100</f>
        <v>27.164340539119131</v>
      </c>
      <c r="U22" s="314">
        <f>(S22-R22)/R22*100</f>
        <v>140.55360281195078</v>
      </c>
    </row>
    <row r="23" spans="1:32" ht="18.75" customHeight="1" x14ac:dyDescent="0.4">
      <c r="A23" s="1983"/>
      <c r="B23" s="1055" t="s">
        <v>233</v>
      </c>
      <c r="C23" s="303">
        <v>24306</v>
      </c>
      <c r="D23" s="1410">
        <v>16704</v>
      </c>
      <c r="E23" s="314">
        <f>(D23-C23)/C23*100</f>
        <v>-31.276228091829179</v>
      </c>
      <c r="F23" s="315">
        <v>0.8</v>
      </c>
      <c r="G23" s="315">
        <v>0.73</v>
      </c>
      <c r="H23" s="1060">
        <f>G23/G7*100</f>
        <v>2.3732119635890765</v>
      </c>
      <c r="I23" s="314">
        <f>(G23-F23)/F23*100</f>
        <v>-8.7500000000000071</v>
      </c>
      <c r="M23" s="2369"/>
      <c r="N23" s="1055" t="s">
        <v>233</v>
      </c>
      <c r="O23" s="833">
        <v>292316</v>
      </c>
      <c r="P23" s="833">
        <v>277144</v>
      </c>
      <c r="Q23" s="314">
        <f>(P23-O23)/O23*100</f>
        <v>-5.1902735395941377</v>
      </c>
      <c r="R23" s="315">
        <v>9.7899999999999991</v>
      </c>
      <c r="S23" s="315">
        <v>10.262</v>
      </c>
      <c r="T23" s="1060">
        <f>S23/S7*100</f>
        <v>2.5457576494286807</v>
      </c>
      <c r="U23" s="314">
        <f>(S23-R23)/R23*100</f>
        <v>4.8212461695607907</v>
      </c>
      <c r="Z23" s="5">
        <f>25.63+0.96</f>
        <v>26.59</v>
      </c>
    </row>
    <row r="24" spans="1:32" ht="18.75" customHeight="1" x14ac:dyDescent="0.4">
      <c r="A24" s="1983"/>
      <c r="B24" s="1055" t="s">
        <v>739</v>
      </c>
      <c r="C24" s="303">
        <v>0</v>
      </c>
      <c r="D24" s="1409">
        <v>0</v>
      </c>
      <c r="E24" s="836">
        <v>0</v>
      </c>
      <c r="F24" s="833">
        <v>0</v>
      </c>
      <c r="G24" s="833">
        <v>0</v>
      </c>
      <c r="H24" s="1060">
        <f>G24/G7*100</f>
        <v>0</v>
      </c>
      <c r="I24" s="314">
        <v>0</v>
      </c>
      <c r="M24" s="2369"/>
      <c r="N24" s="1055" t="s">
        <v>739</v>
      </c>
      <c r="O24" s="833">
        <v>0</v>
      </c>
      <c r="P24" s="833">
        <v>2661</v>
      </c>
      <c r="Q24" s="836">
        <v>0</v>
      </c>
      <c r="R24" s="315">
        <v>0</v>
      </c>
      <c r="S24" s="315">
        <v>0.04</v>
      </c>
      <c r="T24" s="1060">
        <f>S24/S7*100</f>
        <v>9.923046772280961E-3</v>
      </c>
      <c r="U24" s="314">
        <v>0</v>
      </c>
    </row>
    <row r="25" spans="1:32" ht="18.75" customHeight="1" x14ac:dyDescent="0.4">
      <c r="A25" s="1983"/>
      <c r="B25" s="1055" t="s">
        <v>235</v>
      </c>
      <c r="C25" s="303">
        <v>0</v>
      </c>
      <c r="D25" s="1409">
        <v>0</v>
      </c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M25" s="2369"/>
      <c r="N25" s="1055" t="s">
        <v>235</v>
      </c>
      <c r="O25" s="833">
        <v>1377</v>
      </c>
      <c r="P25" s="833">
        <v>2748</v>
      </c>
      <c r="Q25" s="836">
        <v>0</v>
      </c>
      <c r="R25" s="315">
        <v>3.8016399999999999E-2</v>
      </c>
      <c r="S25" s="315">
        <v>0.11</v>
      </c>
      <c r="T25" s="1060">
        <f>S25/S7*100</f>
        <v>2.7288378623772643E-2</v>
      </c>
      <c r="U25" s="314">
        <v>0</v>
      </c>
    </row>
    <row r="26" spans="1:32" ht="15.75" x14ac:dyDescent="0.4">
      <c r="A26" s="1984"/>
      <c r="B26" s="1056" t="s">
        <v>693</v>
      </c>
      <c r="C26" s="1059">
        <v>0</v>
      </c>
      <c r="D26" s="1411">
        <v>0</v>
      </c>
      <c r="E26" s="836">
        <v>0</v>
      </c>
      <c r="F26" s="315">
        <v>0.02</v>
      </c>
      <c r="G26" s="833">
        <v>0</v>
      </c>
      <c r="H26" s="1060">
        <f>G26/G7*100</f>
        <v>0</v>
      </c>
      <c r="I26" s="314" t="s">
        <v>221</v>
      </c>
      <c r="M26" s="2245"/>
      <c r="N26" s="1056" t="s">
        <v>693</v>
      </c>
      <c r="O26" s="833">
        <f>1329+121</f>
        <v>1450</v>
      </c>
      <c r="P26" s="833">
        <f>4060</f>
        <v>4060</v>
      </c>
      <c r="Q26" s="836">
        <v>0</v>
      </c>
      <c r="R26" s="315">
        <v>0.29395139999999997</v>
      </c>
      <c r="S26" s="315">
        <v>0.32</v>
      </c>
      <c r="T26" s="1060">
        <f>S26/S7*100</f>
        <v>7.9384374178247688E-2</v>
      </c>
      <c r="U26" s="314">
        <f>(S26-R26)/R26*100</f>
        <v>8.8615328928523684</v>
      </c>
      <c r="AD26" s="26"/>
      <c r="AE26" s="26"/>
      <c r="AF26" s="26"/>
    </row>
    <row r="27" spans="1:32" s="26" customFormat="1" ht="19.5" customHeight="1" x14ac:dyDescent="0.4">
      <c r="A27" s="1216"/>
      <c r="B27" s="1063" t="s">
        <v>683</v>
      </c>
      <c r="C27" s="1063">
        <f>SUM(C20:C26)</f>
        <v>268063</v>
      </c>
      <c r="D27" s="1412">
        <f>SUM(D20:D26)</f>
        <v>226806</v>
      </c>
      <c r="E27" s="394">
        <f>(D27-C27)/C27*100</f>
        <v>-15.390785002033105</v>
      </c>
      <c r="F27" s="1054">
        <f>SUM(F20:F26)</f>
        <v>28.340000000000003</v>
      </c>
      <c r="G27" s="1054">
        <f>G20+G21+G22+G23+G24+G25+G26</f>
        <v>30.740000000000002</v>
      </c>
      <c r="H27" s="1066">
        <f>SUM(H20:H26)</f>
        <v>99.934980494148235</v>
      </c>
      <c r="I27" s="394">
        <f>(G27-F27)/F27*100</f>
        <v>8.4685956245589207</v>
      </c>
      <c r="J27" s="762"/>
      <c r="K27" s="762"/>
      <c r="L27" s="432"/>
      <c r="M27" s="1202"/>
      <c r="N27" s="1063" t="s">
        <v>683</v>
      </c>
      <c r="O27" s="1259">
        <f>SUM(O20:O26)</f>
        <v>2131699</v>
      </c>
      <c r="P27" s="1259">
        <f>SUM(P20:P26)</f>
        <v>3087471</v>
      </c>
      <c r="Q27" s="394">
        <f>(P27-O27)/O27*100</f>
        <v>44.836161202871509</v>
      </c>
      <c r="R27" s="1054">
        <f>SUM(R20:R26)</f>
        <v>275.33520990000005</v>
      </c>
      <c r="S27" s="1054">
        <f>SUM(S20:S26)</f>
        <v>403.10200000000003</v>
      </c>
      <c r="T27" s="1066">
        <f>SUM(T20:T26)</f>
        <v>100</v>
      </c>
      <c r="U27" s="394">
        <f>(S27-R27)/R27*100</f>
        <v>46.40408691151562</v>
      </c>
      <c r="V27" s="26">
        <f>76.54+0.12</f>
        <v>76.660000000000011</v>
      </c>
      <c r="W27" s="26">
        <f>P27/1000000</f>
        <v>3.0874709999999999</v>
      </c>
      <c r="X27" s="432"/>
      <c r="AD27" s="5"/>
      <c r="AE27" s="5"/>
      <c r="AF27" s="5"/>
    </row>
    <row r="28" spans="1:32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32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32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1287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32" ht="15.4" x14ac:dyDescent="0.4">
      <c r="A31" s="2382"/>
      <c r="B31" s="378" t="s">
        <v>2</v>
      </c>
      <c r="C31" s="1435">
        <v>24.66</v>
      </c>
      <c r="D31" s="1429">
        <v>22.5</v>
      </c>
      <c r="E31" s="315">
        <f>'TARGET 23-24'!N4</f>
        <v>1.85</v>
      </c>
      <c r="F31" s="313">
        <v>2.4827865</v>
      </c>
      <c r="G31" s="313">
        <v>2.8</v>
      </c>
      <c r="H31" s="314">
        <f>(G31-E31)/E31*100</f>
        <v>51.35135135135134</v>
      </c>
      <c r="I31" s="314">
        <f>(G31-F31)/F31*100</f>
        <v>12.776511391535269</v>
      </c>
      <c r="J31" s="84">
        <f>2661720/10000000</f>
        <v>0.26617200000000002</v>
      </c>
      <c r="K31" s="84">
        <f>11596205/10000000</f>
        <v>1.1596204999999999</v>
      </c>
      <c r="M31" s="1288"/>
      <c r="N31" s="378" t="s">
        <v>2</v>
      </c>
      <c r="O31" s="1283">
        <v>10.977297400000001</v>
      </c>
      <c r="P31" s="331">
        <v>12.05</v>
      </c>
      <c r="Q31" s="307">
        <v>12.05</v>
      </c>
      <c r="R31" s="315">
        <v>10.977297400000001</v>
      </c>
      <c r="S31" s="315">
        <v>24.66</v>
      </c>
      <c r="T31" s="314">
        <f>(S31-Q31)/Q31*100</f>
        <v>104.6473029045643</v>
      </c>
      <c r="U31" s="314">
        <f t="shared" ref="U31:U38" si="0">(S31-R31)/R31*100</f>
        <v>124.64545781550929</v>
      </c>
      <c r="W31" s="5">
        <f>(Q31*10000000)/100000</f>
        <v>1205</v>
      </c>
    </row>
    <row r="32" spans="1:32" ht="15.4" x14ac:dyDescent="0.4">
      <c r="A32" s="2382"/>
      <c r="B32" s="378" t="s">
        <v>23</v>
      </c>
      <c r="C32" s="1435">
        <v>27.693304099999999</v>
      </c>
      <c r="D32" s="1429">
        <f>'TARGET 23-24'!K26</f>
        <v>37.010000000000005</v>
      </c>
      <c r="E32" s="315">
        <v>2.94</v>
      </c>
      <c r="F32" s="313">
        <v>2.2019820000000001</v>
      </c>
      <c r="G32" s="313">
        <f>'ACTUAL- 23-24'!Q3/10000000</f>
        <v>1.9914996</v>
      </c>
      <c r="H32" s="314">
        <f>(G32-E32)/E32*100</f>
        <v>-32.261918367346937</v>
      </c>
      <c r="I32" s="314">
        <f>(G32-F32)/F32*100</f>
        <v>-9.5587702351790362</v>
      </c>
      <c r="J32" s="1128">
        <f>0.42-0.02</f>
        <v>0.39999999999999997</v>
      </c>
      <c r="K32" s="84">
        <f>0.58-0.12</f>
        <v>0.45999999999999996</v>
      </c>
      <c r="M32" s="1288"/>
      <c r="N32" s="378" t="s">
        <v>23</v>
      </c>
      <c r="O32" s="1283">
        <v>25.645024399999997</v>
      </c>
      <c r="P32" s="331">
        <v>27.75</v>
      </c>
      <c r="Q32" s="307">
        <v>27.75</v>
      </c>
      <c r="R32" s="315">
        <v>25.645024399999997</v>
      </c>
      <c r="S32" s="315">
        <v>27.693304099999999</v>
      </c>
      <c r="T32" s="314">
        <f>(S32-Q32)/Q32*100</f>
        <v>-0.2043095495495536</v>
      </c>
      <c r="U32" s="314">
        <f t="shared" si="0"/>
        <v>7.9870452375159458</v>
      </c>
      <c r="W32" s="5">
        <f>(Q32*10000000)/100000</f>
        <v>2775</v>
      </c>
    </row>
    <row r="33" spans="1:27" ht="15.4" x14ac:dyDescent="0.4">
      <c r="A33" s="2382"/>
      <c r="B33" s="378" t="s">
        <v>1</v>
      </c>
      <c r="C33" s="1435">
        <v>1.0446717999999999</v>
      </c>
      <c r="D33" s="1429">
        <f>'TARGET 23-24'!L26</f>
        <v>3.4</v>
      </c>
      <c r="E33" s="315">
        <v>0.39</v>
      </c>
      <c r="F33" s="313">
        <v>0.1181508</v>
      </c>
      <c r="G33" s="313">
        <f>'ACTUAL- 23-24'!R3/10000000</f>
        <v>0.10220269999999999</v>
      </c>
      <c r="H33" s="314">
        <f>(G33-E33)/E33*100</f>
        <v>-73.794179487179491</v>
      </c>
      <c r="I33" s="314">
        <f>(G33-F33)/F33*100</f>
        <v>-13.498088883020687</v>
      </c>
      <c r="M33" s="1288"/>
      <c r="N33" s="378" t="s">
        <v>1</v>
      </c>
      <c r="O33" s="1283">
        <v>1.1151324</v>
      </c>
      <c r="P33" s="331">
        <v>5.77</v>
      </c>
      <c r="Q33" s="307">
        <v>5.77</v>
      </c>
      <c r="R33" s="315">
        <v>1.1151324</v>
      </c>
      <c r="S33" s="315">
        <v>1.0446717999999999</v>
      </c>
      <c r="T33" s="314">
        <f>(S33-Q33)/Q33*100</f>
        <v>-81.894769497400361</v>
      </c>
      <c r="U33" s="314">
        <f t="shared" si="0"/>
        <v>-6.3185860261974351</v>
      </c>
      <c r="W33" s="5">
        <f>(Q33*10000000)/100000</f>
        <v>576.99999999999989</v>
      </c>
    </row>
    <row r="34" spans="1:27" ht="15.4" x14ac:dyDescent="0.4">
      <c r="A34" s="2382"/>
      <c r="B34" s="1055" t="s">
        <v>887</v>
      </c>
      <c r="C34" s="1480">
        <f>C33+C32</f>
        <v>28.737975899999999</v>
      </c>
      <c r="D34" s="1483">
        <f>D33+D32</f>
        <v>40.410000000000004</v>
      </c>
      <c r="E34" s="1483">
        <f>E33+E32</f>
        <v>3.33</v>
      </c>
      <c r="F34" s="1483">
        <f>F33+F32</f>
        <v>2.3201328000000001</v>
      </c>
      <c r="G34" s="1483">
        <f>G33+G32</f>
        <v>2.0937022999999999</v>
      </c>
      <c r="H34" s="1484">
        <f>(G34-E34)/E34*100</f>
        <v>-37.126057057057061</v>
      </c>
      <c r="I34" s="1484">
        <f>(G34-F34)/F34*100</f>
        <v>-9.7593767046438114</v>
      </c>
      <c r="M34" s="1288"/>
      <c r="N34" s="378"/>
      <c r="O34" s="1283"/>
      <c r="P34" s="331"/>
      <c r="Q34" s="307"/>
      <c r="R34" s="315"/>
      <c r="S34" s="315"/>
      <c r="T34" s="314"/>
      <c r="U34" s="314"/>
    </row>
    <row r="35" spans="1:27" ht="15.4" x14ac:dyDescent="0.4">
      <c r="A35" s="2382"/>
      <c r="B35" s="378" t="s">
        <v>24</v>
      </c>
      <c r="C35" s="1435">
        <v>3.1600820000000001</v>
      </c>
      <c r="D35" s="1429"/>
      <c r="E35" s="315" t="s">
        <v>221</v>
      </c>
      <c r="F35" s="313">
        <v>0.27210800000000002</v>
      </c>
      <c r="G35" s="313">
        <f>'ACTUAL- 23-24'!T3/10000000</f>
        <v>0.268424</v>
      </c>
      <c r="H35" s="517" t="s">
        <v>221</v>
      </c>
      <c r="I35" s="314">
        <f>(G35-F35)/F35*100</f>
        <v>-1.3538741970100183</v>
      </c>
      <c r="J35" s="84">
        <f>62410/10000000</f>
        <v>6.241E-3</v>
      </c>
      <c r="M35" s="1288"/>
      <c r="N35" s="378" t="s">
        <v>24</v>
      </c>
      <c r="O35" s="1283">
        <v>0.36572300000000002</v>
      </c>
      <c r="P35" s="603" t="s">
        <v>221</v>
      </c>
      <c r="Q35" s="315" t="s">
        <v>221</v>
      </c>
      <c r="R35" s="315">
        <v>0.36572300000000002</v>
      </c>
      <c r="S35" s="315">
        <v>3.1600820000000001</v>
      </c>
      <c r="T35" s="316" t="s">
        <v>221</v>
      </c>
      <c r="U35" s="314">
        <f t="shared" si="0"/>
        <v>764.06433284206901</v>
      </c>
      <c r="W35" s="5" t="e">
        <f>(Q35*10000000)/100000</f>
        <v>#VALUE!</v>
      </c>
    </row>
    <row r="36" spans="1:27" ht="15.4" x14ac:dyDescent="0.4">
      <c r="A36" s="2382"/>
      <c r="B36" s="1278" t="s">
        <v>25</v>
      </c>
      <c r="C36" s="1436">
        <v>6.2230024999999998</v>
      </c>
      <c r="D36" s="1429"/>
      <c r="E36" s="315" t="s">
        <v>221</v>
      </c>
      <c r="F36" s="313">
        <v>6.8647399999999997E-2</v>
      </c>
      <c r="G36" s="313">
        <f>'ACTUAL- 23-24'!S3/10000000</f>
        <v>0.76478869999999999</v>
      </c>
      <c r="H36" s="517" t="s">
        <v>221</v>
      </c>
      <c r="I36" s="314">
        <v>0</v>
      </c>
      <c r="M36" s="1288"/>
      <c r="N36" s="1278" t="s">
        <v>25</v>
      </c>
      <c r="O36" s="1284">
        <v>2.9771365000000003</v>
      </c>
      <c r="P36" s="603" t="s">
        <v>221</v>
      </c>
      <c r="Q36" s="315" t="s">
        <v>221</v>
      </c>
      <c r="R36" s="315">
        <v>2.9771365000000003</v>
      </c>
      <c r="S36" s="315">
        <v>6.2230024999999998</v>
      </c>
      <c r="T36" s="316" t="s">
        <v>221</v>
      </c>
      <c r="U36" s="314">
        <f t="shared" si="0"/>
        <v>109.02644201903404</v>
      </c>
    </row>
    <row r="37" spans="1:27" ht="17.25" customHeight="1" x14ac:dyDescent="0.4">
      <c r="A37" s="2383"/>
      <c r="B37" s="1278" t="s">
        <v>241</v>
      </c>
      <c r="C37" s="1436">
        <v>43.050880200000002</v>
      </c>
      <c r="D37" s="1429"/>
      <c r="E37" s="315" t="s">
        <v>221</v>
      </c>
      <c r="F37" s="313">
        <v>3.3609646999999998</v>
      </c>
      <c r="G37" s="313">
        <f>'ACTUAL- 23-24'!O3/10000000</f>
        <v>3.8000508000000002</v>
      </c>
      <c r="H37" s="517" t="s">
        <v>221</v>
      </c>
      <c r="I37" s="314">
        <f>(G37-F37)/F37*100</f>
        <v>13.064287762379664</v>
      </c>
      <c r="J37" s="323">
        <f>(3613355)/10000000</f>
        <v>0.36133549999999998</v>
      </c>
      <c r="K37" s="323">
        <f>(20880+ 10612529)/10000000</f>
        <v>1.0633409</v>
      </c>
      <c r="M37" s="1289"/>
      <c r="N37" s="1279" t="s">
        <v>241</v>
      </c>
      <c r="O37" s="1284">
        <v>30.062250799999997</v>
      </c>
      <c r="P37" s="540" t="s">
        <v>221</v>
      </c>
      <c r="Q37" s="315" t="s">
        <v>221</v>
      </c>
      <c r="R37" s="315">
        <v>30.062250799999997</v>
      </c>
      <c r="S37" s="315">
        <v>43.050880200000002</v>
      </c>
      <c r="T37" s="316" t="s">
        <v>221</v>
      </c>
      <c r="U37" s="314">
        <f t="shared" si="0"/>
        <v>43.205778191432046</v>
      </c>
    </row>
    <row r="38" spans="1:27" ht="15.4" x14ac:dyDescent="0.4">
      <c r="A38" s="1234"/>
      <c r="B38" s="378" t="s">
        <v>260</v>
      </c>
      <c r="C38" s="1435">
        <v>0.85555460000000005</v>
      </c>
      <c r="D38" s="1429"/>
      <c r="E38" s="315" t="s">
        <v>221</v>
      </c>
      <c r="F38" s="313">
        <v>7.2273299999999999E-2</v>
      </c>
      <c r="G38" s="313">
        <f>'ACTUAL- 23-24'!U3/10000000</f>
        <v>8.0080700000000005E-2</v>
      </c>
      <c r="H38" s="413"/>
      <c r="I38" s="314">
        <v>0</v>
      </c>
      <c r="M38" s="1208"/>
      <c r="N38" s="378" t="s">
        <v>260</v>
      </c>
      <c r="O38" s="1283">
        <v>0.53153519999999999</v>
      </c>
      <c r="P38" s="540" t="s">
        <v>221</v>
      </c>
      <c r="Q38" s="315" t="s">
        <v>221</v>
      </c>
      <c r="R38" s="315">
        <v>0.53153519999999999</v>
      </c>
      <c r="S38" s="315">
        <v>0.85555460000000005</v>
      </c>
      <c r="T38" s="413"/>
      <c r="U38" s="314">
        <f t="shared" si="0"/>
        <v>60.95916131236465</v>
      </c>
    </row>
    <row r="39" spans="1:27" x14ac:dyDescent="0.35">
      <c r="A39" s="2387">
        <v>4</v>
      </c>
      <c r="B39" s="2309" t="s">
        <v>861</v>
      </c>
      <c r="C39" s="2310"/>
      <c r="D39" s="2310"/>
      <c r="E39" s="2310"/>
      <c r="F39" s="2310"/>
      <c r="G39" s="2310"/>
      <c r="H39" s="2310"/>
      <c r="I39" s="2311"/>
      <c r="M39" s="1286">
        <v>4</v>
      </c>
      <c r="N39" s="2309" t="s">
        <v>622</v>
      </c>
      <c r="O39" s="2310"/>
      <c r="P39" s="2310"/>
      <c r="Q39" s="2310"/>
      <c r="R39" s="2310"/>
      <c r="S39" s="2310"/>
      <c r="T39" s="2310"/>
      <c r="U39" s="2311"/>
    </row>
    <row r="40" spans="1:27" ht="15.4" x14ac:dyDescent="0.4">
      <c r="A40" s="2387"/>
      <c r="B40" s="378" t="s">
        <v>27</v>
      </c>
      <c r="C40" s="1435">
        <v>12.02</v>
      </c>
      <c r="D40" s="1429">
        <v>13.95</v>
      </c>
      <c r="E40" s="315">
        <v>1.1624999999999999</v>
      </c>
      <c r="F40" s="313">
        <v>0.56375010000000003</v>
      </c>
      <c r="G40" s="313">
        <f>'ACTUAL- 23-24'!O20/10000000</f>
        <v>0.73698850000000005</v>
      </c>
      <c r="H40" s="314">
        <f>(G40-E40)/E40*100</f>
        <v>-36.603139784946222</v>
      </c>
      <c r="I40" s="314">
        <f>(G40-F40)/F40*100</f>
        <v>30.72964421647109</v>
      </c>
      <c r="J40" s="84">
        <f t="shared" ref="J40:J45" si="1">E40*8</f>
        <v>9.2999999999999989</v>
      </c>
      <c r="L40" s="172">
        <v>2.1361249999999998</v>
      </c>
      <c r="M40" s="1286"/>
      <c r="N40" s="378" t="s">
        <v>27</v>
      </c>
      <c r="O40" s="1283">
        <v>4.1788628000000001</v>
      </c>
      <c r="P40" s="331">
        <v>12.24</v>
      </c>
      <c r="Q40" s="331">
        <v>12.24</v>
      </c>
      <c r="R40" s="315">
        <v>4.1788628000000001</v>
      </c>
      <c r="S40" s="315">
        <v>12.02</v>
      </c>
      <c r="T40" s="314">
        <f>(S40-Q40)/Q40*100</f>
        <v>-1.7973856209150378</v>
      </c>
      <c r="U40" s="314">
        <f>(S40-R40)/R40*100</f>
        <v>187.63806268059338</v>
      </c>
      <c r="W40" s="5">
        <f>(E40*10000000)/100000</f>
        <v>116.24999999999999</v>
      </c>
      <c r="X40" s="172">
        <v>141.05000000000001</v>
      </c>
      <c r="Y40" s="5">
        <v>70.17</v>
      </c>
      <c r="Z40" s="11">
        <f t="shared" ref="Z40:Z45" si="2">(X40-W40)/W40*100</f>
        <v>21.333333333333357</v>
      </c>
      <c r="AA40" s="11">
        <f t="shared" ref="AA40:AA45" si="3">(X40-Y40)/Y40*100</f>
        <v>101.01182841670231</v>
      </c>
    </row>
    <row r="41" spans="1:27" ht="15.4" x14ac:dyDescent="0.4">
      <c r="A41" s="2387"/>
      <c r="B41" s="378" t="s">
        <v>28</v>
      </c>
      <c r="C41" s="1435">
        <v>1.94</v>
      </c>
      <c r="D41" s="1429">
        <v>1.95</v>
      </c>
      <c r="E41" s="315">
        <v>0.16250000000000001</v>
      </c>
      <c r="F41" s="313">
        <v>2.2256100000000001E-2</v>
      </c>
      <c r="G41" s="313">
        <f>'ACTUAL- 23-24'!P20/10000000</f>
        <v>0.1442686</v>
      </c>
      <c r="H41" s="314">
        <f>(G41-E41)/E41*100</f>
        <v>-11.219323076923082</v>
      </c>
      <c r="I41" s="314">
        <f>(G41-F41)/F41*100</f>
        <v>548.22048786624794</v>
      </c>
      <c r="J41" s="84">
        <f t="shared" si="1"/>
        <v>1.3</v>
      </c>
      <c r="L41" s="172">
        <v>0.11442669999999999</v>
      </c>
      <c r="M41" s="1286"/>
      <c r="N41" s="378" t="s">
        <v>28</v>
      </c>
      <c r="O41" s="1283">
        <v>0.17199999999999999</v>
      </c>
      <c r="P41" s="333">
        <v>2.1</v>
      </c>
      <c r="Q41" s="333">
        <v>2.1</v>
      </c>
      <c r="R41" s="315">
        <v>0.17199999999999999</v>
      </c>
      <c r="S41" s="315">
        <v>1.94</v>
      </c>
      <c r="T41" s="314">
        <f>(S41-Q41)/Q41*100</f>
        <v>-7.6190476190476257</v>
      </c>
      <c r="U41" s="314">
        <f>(S41-R41)/R41*100</f>
        <v>1027.9069767441861</v>
      </c>
      <c r="W41" s="5">
        <f>(E41*10000000)/100000</f>
        <v>16.25</v>
      </c>
      <c r="X41" s="172">
        <v>19.73</v>
      </c>
      <c r="Y41" s="5">
        <v>3.12</v>
      </c>
      <c r="Z41" s="11">
        <f t="shared" si="2"/>
        <v>21.415384615384617</v>
      </c>
      <c r="AA41" s="11">
        <f t="shared" si="3"/>
        <v>532.3717948717948</v>
      </c>
    </row>
    <row r="42" spans="1:27" ht="15.4" x14ac:dyDescent="0.4">
      <c r="A42" s="2387"/>
      <c r="B42" s="378" t="s">
        <v>224</v>
      </c>
      <c r="C42" s="1435">
        <v>1.96</v>
      </c>
      <c r="D42" s="1429">
        <v>3.25</v>
      </c>
      <c r="E42" s="315">
        <v>0.27</v>
      </c>
      <c r="F42" s="313">
        <v>3.2181599999999998E-2</v>
      </c>
      <c r="G42" s="313">
        <f>'ACTUAL- 23-24'!Q20/10000000</f>
        <v>4.6314800000000003E-2</v>
      </c>
      <c r="H42" s="314">
        <f>(G42-E42)/E42*100</f>
        <v>-82.846370370370366</v>
      </c>
      <c r="I42" s="314">
        <f>(G42-F42)/F42*100</f>
        <v>43.917020906356449</v>
      </c>
      <c r="J42" s="323">
        <f t="shared" si="1"/>
        <v>2.16</v>
      </c>
      <c r="L42" s="172">
        <v>0.1548958</v>
      </c>
      <c r="M42" s="1286"/>
      <c r="N42" s="378" t="s">
        <v>224</v>
      </c>
      <c r="O42" s="1283">
        <v>0.23092159999999998</v>
      </c>
      <c r="P42" s="331">
        <v>2.4500000000000002</v>
      </c>
      <c r="Q42" s="331">
        <v>2.4500000000000002</v>
      </c>
      <c r="R42" s="315">
        <v>0.23092159999999998</v>
      </c>
      <c r="S42" s="315">
        <v>1.96</v>
      </c>
      <c r="T42" s="314">
        <f>(S42-Q42)/Q42*100</f>
        <v>-20.000000000000007</v>
      </c>
      <c r="U42" s="314">
        <f>(S42-R42)/R42*100</f>
        <v>748.77291686875549</v>
      </c>
      <c r="W42" s="11">
        <f>(E42*10000000)/100000</f>
        <v>27</v>
      </c>
      <c r="X42" s="172">
        <v>45.45</v>
      </c>
      <c r="Y42" s="5">
        <v>0</v>
      </c>
      <c r="Z42" s="11">
        <f t="shared" si="2"/>
        <v>68.333333333333343</v>
      </c>
      <c r="AA42" s="11" t="e">
        <f t="shared" si="3"/>
        <v>#DIV/0!</v>
      </c>
    </row>
    <row r="43" spans="1:27" ht="15.4" hidden="1" x14ac:dyDescent="0.4">
      <c r="A43" s="2387"/>
      <c r="B43" s="378" t="s">
        <v>64</v>
      </c>
      <c r="C43" s="1435">
        <v>0</v>
      </c>
      <c r="D43" s="1429">
        <v>0</v>
      </c>
      <c r="E43" s="315" t="s">
        <v>221</v>
      </c>
      <c r="F43" s="313">
        <v>0</v>
      </c>
      <c r="G43" s="313"/>
      <c r="H43" s="314" t="e">
        <f>(G43-E43)/E43*100</f>
        <v>#VALUE!</v>
      </c>
      <c r="I43" s="314" t="e">
        <f>(G43-F43)/F43*100</f>
        <v>#DIV/0!</v>
      </c>
      <c r="J43" s="84" t="e">
        <f t="shared" si="1"/>
        <v>#VALUE!</v>
      </c>
      <c r="L43" s="172">
        <v>0</v>
      </c>
      <c r="M43" s="1286"/>
      <c r="N43" s="378" t="s">
        <v>30</v>
      </c>
      <c r="O43" s="1283">
        <v>0</v>
      </c>
      <c r="P43" s="540" t="s">
        <v>221</v>
      </c>
      <c r="Q43" s="315"/>
      <c r="R43" s="315">
        <v>0</v>
      </c>
      <c r="S43" s="315">
        <f>G43+'DEC-22'!S42</f>
        <v>0</v>
      </c>
      <c r="T43" s="314" t="s">
        <v>221</v>
      </c>
      <c r="U43" s="314">
        <v>0</v>
      </c>
      <c r="W43" s="5" t="e">
        <f>(E43*10000000)/100000</f>
        <v>#VALUE!</v>
      </c>
      <c r="Z43" s="11" t="e">
        <f t="shared" si="2"/>
        <v>#VALUE!</v>
      </c>
      <c r="AA43" s="11" t="e">
        <f t="shared" si="3"/>
        <v>#DIV/0!</v>
      </c>
    </row>
    <row r="44" spans="1:27" ht="15.4" x14ac:dyDescent="0.4">
      <c r="A44" s="2387"/>
      <c r="B44" s="378" t="s">
        <v>4</v>
      </c>
      <c r="C44" s="1435">
        <v>0.211532</v>
      </c>
      <c r="D44" s="1429"/>
      <c r="E44" s="315" t="s">
        <v>221</v>
      </c>
      <c r="F44" s="313">
        <v>0</v>
      </c>
      <c r="G44" s="313">
        <f>'ACTUAL- 23-24'!R20/10000000</f>
        <v>0.2153795</v>
      </c>
      <c r="H44" s="314"/>
      <c r="I44" s="314" t="s">
        <v>221</v>
      </c>
      <c r="J44" s="84" t="e">
        <f t="shared" si="1"/>
        <v>#VALUE!</v>
      </c>
      <c r="L44" s="172">
        <v>4.0018400000000003E-2</v>
      </c>
      <c r="M44" s="1286"/>
      <c r="N44" s="378" t="s">
        <v>4</v>
      </c>
      <c r="O44" s="1283">
        <v>4.06481E-2</v>
      </c>
      <c r="P44" s="540" t="s">
        <v>221</v>
      </c>
      <c r="Q44" s="315"/>
      <c r="R44" s="315">
        <v>4.06481E-2</v>
      </c>
      <c r="S44" s="315">
        <f>'actual fig'!W32/10000000</f>
        <v>0.211532</v>
      </c>
      <c r="T44" s="314" t="s">
        <v>221</v>
      </c>
      <c r="U44" s="314">
        <f>(S44-R44)/R44*100</f>
        <v>420.39824739655734</v>
      </c>
      <c r="X44" s="172">
        <v>0</v>
      </c>
      <c r="Y44" s="5">
        <v>0.06</v>
      </c>
      <c r="Z44" s="11" t="e">
        <f t="shared" si="2"/>
        <v>#DIV/0!</v>
      </c>
      <c r="AA44" s="11">
        <f t="shared" si="3"/>
        <v>-100</v>
      </c>
    </row>
    <row r="45" spans="1:27" ht="15.4" x14ac:dyDescent="0.4">
      <c r="A45" s="780"/>
      <c r="B45" s="378" t="s">
        <v>259</v>
      </c>
      <c r="C45" s="1435">
        <v>1.5697181</v>
      </c>
      <c r="D45" s="1429"/>
      <c r="E45" s="315" t="s">
        <v>221</v>
      </c>
      <c r="F45" s="313">
        <v>0.13725979999999999</v>
      </c>
      <c r="G45" s="313">
        <f>'ACTUAL- 23-24'!S20/10000000</f>
        <v>9.0668899999999997E-2</v>
      </c>
      <c r="H45" s="314"/>
      <c r="I45" s="314" t="s">
        <v>221</v>
      </c>
      <c r="J45" s="84" t="e">
        <f t="shared" si="1"/>
        <v>#VALUE!</v>
      </c>
      <c r="L45" s="172">
        <v>0.93056630000000007</v>
      </c>
      <c r="M45" s="1204"/>
      <c r="N45" s="378" t="s">
        <v>259</v>
      </c>
      <c r="O45" s="1283">
        <v>0.53</v>
      </c>
      <c r="P45" s="540" t="s">
        <v>221</v>
      </c>
      <c r="Q45" s="315"/>
      <c r="R45" s="315">
        <v>0.53</v>
      </c>
      <c r="S45" s="315">
        <f>'actual fig'!X32/10000000</f>
        <v>1.4870227</v>
      </c>
      <c r="T45" s="407" t="s">
        <v>221</v>
      </c>
      <c r="U45" s="314">
        <f>(S45-R45)/R45*100</f>
        <v>180.57032075471696</v>
      </c>
      <c r="W45" s="595">
        <f>W40+W41+W42+W44</f>
        <v>159.5</v>
      </c>
      <c r="X45" s="172">
        <f>X40+X41+X42+X44</f>
        <v>206.23000000000002</v>
      </c>
      <c r="Y45" s="172">
        <f>Y40+Y41+Y42+Y44</f>
        <v>73.350000000000009</v>
      </c>
      <c r="Z45" s="11">
        <f t="shared" si="2"/>
        <v>29.297805642633239</v>
      </c>
      <c r="AA45" s="11">
        <f t="shared" si="3"/>
        <v>181.15882753919561</v>
      </c>
    </row>
    <row r="46" spans="1:27" x14ac:dyDescent="0.35">
      <c r="A46" s="2387"/>
      <c r="B46" s="2309" t="s">
        <v>419</v>
      </c>
      <c r="C46" s="2310"/>
      <c r="D46" s="2310"/>
      <c r="E46" s="2310"/>
      <c r="F46" s="2310"/>
      <c r="G46" s="2310"/>
      <c r="H46" s="2310"/>
      <c r="I46" s="2311"/>
      <c r="M46" s="2388"/>
      <c r="N46" s="2309" t="s">
        <v>419</v>
      </c>
      <c r="O46" s="2310"/>
      <c r="P46" s="2310"/>
      <c r="Q46" s="2310"/>
      <c r="R46" s="2310"/>
      <c r="S46" s="2310"/>
      <c r="T46" s="2310"/>
      <c r="U46" s="2311"/>
    </row>
    <row r="47" spans="1:27" ht="15.4" x14ac:dyDescent="0.4">
      <c r="A47" s="2387"/>
      <c r="B47" s="378" t="s">
        <v>798</v>
      </c>
      <c r="C47" s="1435">
        <v>18.824966</v>
      </c>
      <c r="D47" s="1429"/>
      <c r="E47" s="315">
        <f>'TARGET 23-24'!B31</f>
        <v>1.32</v>
      </c>
      <c r="F47" s="315">
        <v>1.1399999999999999</v>
      </c>
      <c r="G47" s="315">
        <f>'ACTUAL- 23-24'!E20/1000000</f>
        <v>1.6992989999999999</v>
      </c>
      <c r="H47" s="316">
        <f>(G47-E47)/E47*100</f>
        <v>28.734772727272713</v>
      </c>
      <c r="I47" s="314">
        <f>(G47-F47)/F47*100</f>
        <v>49.061315789473689</v>
      </c>
      <c r="J47" s="84">
        <f>94132</f>
        <v>94132</v>
      </c>
      <c r="L47" s="172">
        <f>K47/100000</f>
        <v>0</v>
      </c>
      <c r="M47" s="2388"/>
      <c r="N47" s="378" t="s">
        <v>794</v>
      </c>
      <c r="O47" s="1283">
        <v>4.4567049999999995</v>
      </c>
      <c r="P47" s="331">
        <v>28.87</v>
      </c>
      <c r="Q47" s="315">
        <v>28.87</v>
      </c>
      <c r="R47" s="315">
        <v>4.4567049999999995</v>
      </c>
      <c r="S47" s="315">
        <f>G47+'FEB -23'!S46</f>
        <v>18.791627999999999</v>
      </c>
      <c r="T47" s="316">
        <f>(S47-Q47)/Q47*100</f>
        <v>-34.90949774852789</v>
      </c>
      <c r="U47" s="314">
        <f>(S47-R47)/R47*100</f>
        <v>321.64846001698567</v>
      </c>
    </row>
    <row r="48" spans="1:27" ht="15.4" x14ac:dyDescent="0.4">
      <c r="A48" s="2387"/>
      <c r="B48" s="1280" t="s">
        <v>799</v>
      </c>
      <c r="C48" s="1437">
        <v>15.344440000000001</v>
      </c>
      <c r="D48" s="1429"/>
      <c r="E48" s="2154">
        <f>'TARGET 23-24'!C31</f>
        <v>2.0499999999999998</v>
      </c>
      <c r="F48" s="315">
        <v>0.59</v>
      </c>
      <c r="G48" s="315">
        <f>'ACTUAL- 23-24'!F20/1000000</f>
        <v>1.7189410000000001</v>
      </c>
      <c r="H48" s="2027">
        <f>L48</f>
        <v>31.885853658536607</v>
      </c>
      <c r="I48" s="314">
        <f>(G48-F48)/F48*100</f>
        <v>191.34593220338988</v>
      </c>
      <c r="J48" s="84">
        <v>31105</v>
      </c>
      <c r="K48" s="323">
        <f>G48+G49</f>
        <v>2.7036600000000002</v>
      </c>
      <c r="L48" s="1151">
        <f>(K48-E48)/E48*100</f>
        <v>31.885853658536607</v>
      </c>
      <c r="M48" s="2388"/>
      <c r="N48" s="1280" t="s">
        <v>792</v>
      </c>
      <c r="O48" s="1285">
        <v>1.1915969999999998</v>
      </c>
      <c r="P48" s="2067">
        <v>33.659999999999997</v>
      </c>
      <c r="Q48" s="2154">
        <v>33.659999999999997</v>
      </c>
      <c r="R48" s="315">
        <v>1.1915969999999998</v>
      </c>
      <c r="S48" s="315">
        <f>G48+'FEB -23'!S47</f>
        <v>15.460619000000001</v>
      </c>
      <c r="T48" s="2027">
        <f>X48</f>
        <v>-16.179471182412343</v>
      </c>
      <c r="U48" s="314">
        <f>(S48-R48)/R48*100</f>
        <v>1197.4704535174228</v>
      </c>
      <c r="W48" s="12">
        <f>S48+S49</f>
        <v>28.213990000000003</v>
      </c>
      <c r="X48" s="172">
        <f>(W48-Q48)/Q48*100</f>
        <v>-16.179471182412343</v>
      </c>
    </row>
    <row r="49" spans="1:33" ht="16.5" x14ac:dyDescent="0.55000000000000004">
      <c r="A49" s="2387"/>
      <c r="B49" s="320" t="s">
        <v>800</v>
      </c>
      <c r="C49" s="1437">
        <v>12.857975999999999</v>
      </c>
      <c r="D49" s="1429"/>
      <c r="E49" s="2155"/>
      <c r="F49" s="315">
        <v>1.18</v>
      </c>
      <c r="G49" s="315">
        <f>'ACTUAL- 23-24'!G20/1000000</f>
        <v>0.98471900000000001</v>
      </c>
      <c r="H49" s="2029"/>
      <c r="I49" s="314">
        <f>(G49-F49)/F49*100</f>
        <v>-16.549237288135586</v>
      </c>
      <c r="J49" s="755">
        <v>205039</v>
      </c>
      <c r="K49" s="755"/>
      <c r="M49" s="2388"/>
      <c r="N49" s="320" t="s">
        <v>793</v>
      </c>
      <c r="O49" s="1285">
        <v>10.963100000000001</v>
      </c>
      <c r="P49" s="2068"/>
      <c r="Q49" s="2155"/>
      <c r="R49" s="315">
        <v>10.963100000000001</v>
      </c>
      <c r="S49" s="315">
        <f>G49+'FEB -23'!S48</f>
        <v>12.753371</v>
      </c>
      <c r="T49" s="2029"/>
      <c r="U49" s="314">
        <f>(S49-R49)/R49*100</f>
        <v>16.329970537530432</v>
      </c>
    </row>
    <row r="50" spans="1:33" ht="15.75" customHeight="1" x14ac:dyDescent="0.35">
      <c r="A50" s="2387">
        <v>6</v>
      </c>
      <c r="B50" s="2309" t="s">
        <v>860</v>
      </c>
      <c r="C50" s="2310"/>
      <c r="D50" s="2310"/>
      <c r="E50" s="2310"/>
      <c r="F50" s="2310"/>
      <c r="G50" s="2310"/>
      <c r="H50" s="2310"/>
      <c r="I50" s="2311"/>
      <c r="M50" s="2388">
        <v>6</v>
      </c>
      <c r="N50" s="2309" t="s">
        <v>860</v>
      </c>
      <c r="O50" s="2310"/>
      <c r="P50" s="2310"/>
      <c r="Q50" s="2310"/>
      <c r="R50" s="2310"/>
      <c r="S50" s="2310"/>
      <c r="T50" s="2310"/>
      <c r="U50" s="2311"/>
    </row>
    <row r="51" spans="1:33" ht="15.4" x14ac:dyDescent="0.4">
      <c r="A51" s="2387"/>
      <c r="B51" s="378" t="s">
        <v>36</v>
      </c>
      <c r="C51" s="1438"/>
      <c r="D51" s="1414"/>
      <c r="E51" s="2024" t="s">
        <v>221</v>
      </c>
      <c r="F51" s="313">
        <v>74.19</v>
      </c>
      <c r="G51" s="313">
        <v>58.04</v>
      </c>
      <c r="H51" s="2027" t="s">
        <v>221</v>
      </c>
      <c r="I51" s="314">
        <f>(G51-F51)/F51*100</f>
        <v>-21.768432403288852</v>
      </c>
      <c r="M51" s="2388"/>
      <c r="N51" s="2006" t="s">
        <v>36</v>
      </c>
      <c r="O51" s="2007"/>
      <c r="P51" s="2368">
        <v>293</v>
      </c>
      <c r="Q51" s="2024" t="s">
        <v>221</v>
      </c>
      <c r="R51" s="313">
        <v>74.19</v>
      </c>
      <c r="S51" s="313">
        <v>58.36</v>
      </c>
      <c r="T51" s="2027">
        <f>(S53-P51)/P51*100</f>
        <v>-76.996587030716725</v>
      </c>
      <c r="U51" s="314">
        <f>(S51-R51)/R51*100</f>
        <v>-21.337107426876937</v>
      </c>
    </row>
    <row r="52" spans="1:33" ht="15.4" x14ac:dyDescent="0.4">
      <c r="A52" s="2387"/>
      <c r="B52" s="378" t="s">
        <v>37</v>
      </c>
      <c r="C52" s="1438"/>
      <c r="D52" s="1415"/>
      <c r="E52" s="2025"/>
      <c r="F52" s="313">
        <v>39.380000000000003</v>
      </c>
      <c r="G52" s="313">
        <v>9.0500000000000007</v>
      </c>
      <c r="H52" s="2028"/>
      <c r="I52" s="314">
        <f>(G52-F52)/F52*100</f>
        <v>-77.018791264601319</v>
      </c>
      <c r="M52" s="2388"/>
      <c r="N52" s="2006" t="s">
        <v>37</v>
      </c>
      <c r="O52" s="2007"/>
      <c r="P52" s="2369"/>
      <c r="Q52" s="2025"/>
      <c r="R52" s="313">
        <v>39.380000000000003</v>
      </c>
      <c r="S52" s="313">
        <v>9.0399999999999991</v>
      </c>
      <c r="T52" s="2028"/>
      <c r="U52" s="314">
        <f>(S52-R52)/R52*100</f>
        <v>-77.044184865413925</v>
      </c>
    </row>
    <row r="53" spans="1:33" ht="15.4" x14ac:dyDescent="0.4">
      <c r="A53" s="2387"/>
      <c r="B53" s="378" t="s">
        <v>38</v>
      </c>
      <c r="C53" s="1438"/>
      <c r="D53" s="1416"/>
      <c r="E53" s="2026"/>
      <c r="F53" s="313">
        <f>SUM(F51:F52)</f>
        <v>113.57</v>
      </c>
      <c r="G53" s="313">
        <f>SUM(G51:G52)</f>
        <v>67.09</v>
      </c>
      <c r="H53" s="2029"/>
      <c r="I53" s="314">
        <f>(G53-F53)/F53*100</f>
        <v>-40.926300959760489</v>
      </c>
      <c r="M53" s="2388"/>
      <c r="N53" s="2006" t="s">
        <v>38</v>
      </c>
      <c r="O53" s="2007"/>
      <c r="P53" s="2245"/>
      <c r="Q53" s="2026"/>
      <c r="R53" s="313">
        <f>R51+R52</f>
        <v>113.57</v>
      </c>
      <c r="S53" s="313">
        <f>S51+S52</f>
        <v>67.400000000000006</v>
      </c>
      <c r="T53" s="2029"/>
      <c r="U53" s="314">
        <f>(S53-R53)/R53*100</f>
        <v>-40.653341551466049</v>
      </c>
    </row>
    <row r="54" spans="1:33" x14ac:dyDescent="0.4">
      <c r="H54" s="41"/>
      <c r="I54" s="41"/>
    </row>
    <row r="55" spans="1:33" ht="15.4" x14ac:dyDescent="0.4">
      <c r="E55" s="12"/>
      <c r="F55" s="12"/>
      <c r="G55" s="12"/>
      <c r="H55" s="314"/>
      <c r="I55" s="314"/>
      <c r="J55" s="314">
        <f>210288-1860</f>
        <v>208428</v>
      </c>
      <c r="K55" s="84">
        <v>13.95</v>
      </c>
      <c r="L55" s="172">
        <f>K55/12</f>
        <v>1.1624999999999999</v>
      </c>
      <c r="Q55" s="12"/>
      <c r="R55" s="12">
        <f t="shared" ref="R55:S57" si="4">(R47*1000000)/100000</f>
        <v>44.567049999999988</v>
      </c>
      <c r="S55" s="12">
        <f t="shared" si="4"/>
        <v>187.91628</v>
      </c>
      <c r="T55" s="314"/>
      <c r="U55" s="314">
        <f>(S55-R55)/R55*100</f>
        <v>321.64846001698572</v>
      </c>
      <c r="W55" s="12">
        <f>R56+R57</f>
        <v>121.54697</v>
      </c>
      <c r="X55" s="12">
        <f>S56+S57</f>
        <v>282.13990000000001</v>
      </c>
      <c r="Z55" s="314">
        <f>(X55-W55)/W55*100</f>
        <v>132.12417388932033</v>
      </c>
    </row>
    <row r="56" spans="1:33" ht="15.4" x14ac:dyDescent="0.4">
      <c r="H56" s="35"/>
      <c r="I56" s="5"/>
      <c r="J56" s="35"/>
      <c r="K56" s="5">
        <v>3.25</v>
      </c>
      <c r="L56" s="172">
        <f>K56/12</f>
        <v>0.27083333333333331</v>
      </c>
      <c r="P56" s="12"/>
      <c r="Q56" s="12"/>
      <c r="R56" s="12">
        <f t="shared" si="4"/>
        <v>11.915969999999998</v>
      </c>
      <c r="S56" s="12">
        <f t="shared" si="4"/>
        <v>154.60619000000003</v>
      </c>
      <c r="U56" s="314">
        <f>(S56-R56)/R56*100</f>
        <v>1197.470453517423</v>
      </c>
    </row>
    <row r="57" spans="1:33" ht="15.4" x14ac:dyDescent="0.4">
      <c r="R57" s="12">
        <f t="shared" si="4"/>
        <v>109.631</v>
      </c>
      <c r="S57" s="12">
        <f t="shared" si="4"/>
        <v>127.53371</v>
      </c>
      <c r="U57" s="314">
        <f>(S57-R57)/R57*100</f>
        <v>16.329970537530443</v>
      </c>
    </row>
    <row r="58" spans="1:33" x14ac:dyDescent="0.4">
      <c r="D58" s="1407"/>
      <c r="E58" s="1192">
        <v>44673</v>
      </c>
      <c r="F58" s="1192">
        <v>45039</v>
      </c>
      <c r="H58" s="1192">
        <f>E58</f>
        <v>44673</v>
      </c>
      <c r="I58" s="1192">
        <f>F58</f>
        <v>45039</v>
      </c>
      <c r="K58" s="84">
        <v>2.94</v>
      </c>
      <c r="L58" s="172">
        <f>K58/30</f>
        <v>9.8000000000000004E-2</v>
      </c>
      <c r="R58" s="12">
        <f>SUM(R55:R57)</f>
        <v>166.11401999999998</v>
      </c>
      <c r="S58" s="12">
        <f>SUM(S55:S57)</f>
        <v>470.05617999999998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  <c r="AD58" s="5">
        <v>76550</v>
      </c>
    </row>
    <row r="59" spans="1:33" ht="15.75" x14ac:dyDescent="0.4">
      <c r="D59" s="1418" t="s">
        <v>766</v>
      </c>
      <c r="E59" s="33"/>
      <c r="F59" s="33"/>
      <c r="H59" s="1244"/>
      <c r="I59" s="1245"/>
      <c r="L59" s="172">
        <f>L58*16</f>
        <v>1.5680000000000001</v>
      </c>
      <c r="S59" s="9" t="s">
        <v>152</v>
      </c>
      <c r="T59" s="1291">
        <f>E58</f>
        <v>44673</v>
      </c>
      <c r="U59" s="1291">
        <f>F58</f>
        <v>45039</v>
      </c>
      <c r="V59" s="26"/>
      <c r="W59" s="1291">
        <v>44958</v>
      </c>
      <c r="X59" s="1291">
        <v>44958</v>
      </c>
      <c r="Y59" s="26"/>
      <c r="Z59" s="1291">
        <f>T59</f>
        <v>44673</v>
      </c>
      <c r="AA59" s="1291">
        <f>X59</f>
        <v>44958</v>
      </c>
      <c r="AC59" s="5">
        <v>57578</v>
      </c>
      <c r="AD59" s="5">
        <v>79370</v>
      </c>
    </row>
    <row r="60" spans="1:33" ht="16.149999999999999" x14ac:dyDescent="0.55000000000000004">
      <c r="D60" s="1407" t="s">
        <v>94</v>
      </c>
      <c r="E60" s="1193">
        <f>H60/10000000</f>
        <v>0.49980540000000001</v>
      </c>
      <c r="F60" s="1193">
        <f t="shared" ref="E60:F62" si="5">I60/10000000</f>
        <v>0.83369139999999997</v>
      </c>
      <c r="H60" s="1246">
        <f>E142</f>
        <v>4998054</v>
      </c>
      <c r="I60" s="1246">
        <f>E108</f>
        <v>8336914</v>
      </c>
      <c r="J60" s="1320"/>
      <c r="K60" s="1380">
        <v>0.39</v>
      </c>
      <c r="L60" s="172">
        <f>K60/30</f>
        <v>1.3000000000000001E-2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78160</v>
      </c>
      <c r="AE60" s="632"/>
      <c r="AF60" s="632"/>
    </row>
    <row r="61" spans="1:33" ht="16.149999999999999" x14ac:dyDescent="0.55000000000000004">
      <c r="D61" s="1407" t="s">
        <v>502</v>
      </c>
      <c r="E61" s="1193">
        <f t="shared" si="5"/>
        <v>1.2875223</v>
      </c>
      <c r="F61" s="1193">
        <f t="shared" si="5"/>
        <v>12.6481251</v>
      </c>
      <c r="H61" s="1246">
        <f>G142</f>
        <v>12875223</v>
      </c>
      <c r="I61" s="1246">
        <f>G108</f>
        <v>126481251</v>
      </c>
      <c r="J61" s="1320"/>
      <c r="K61" s="1320"/>
      <c r="L61" s="172">
        <f>L60*16</f>
        <v>0.20800000000000002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172">
        <v>70290</v>
      </c>
      <c r="AG61" s="632"/>
    </row>
    <row r="62" spans="1:33" ht="16.899999999999999" thickBot="1" x14ac:dyDescent="0.6">
      <c r="D62" s="1407" t="s">
        <v>767</v>
      </c>
      <c r="E62" s="1193">
        <f t="shared" si="5"/>
        <v>55.353141600000001</v>
      </c>
      <c r="F62" s="1193">
        <f t="shared" si="5"/>
        <v>53.536427199999999</v>
      </c>
      <c r="H62" s="1321">
        <f>I142</f>
        <v>553531416</v>
      </c>
      <c r="I62" s="1321">
        <f>I108</f>
        <v>535364272</v>
      </c>
      <c r="J62" s="1215"/>
      <c r="K62" s="824"/>
      <c r="L62" s="1217"/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83580</v>
      </c>
    </row>
    <row r="63" spans="1:33" ht="15.4" x14ac:dyDescent="0.4">
      <c r="E63" s="428"/>
      <c r="F63" s="428"/>
      <c r="K63" s="212"/>
      <c r="L63" s="1217"/>
      <c r="O63" s="5">
        <v>36953</v>
      </c>
      <c r="P63" s="5">
        <v>36962</v>
      </c>
      <c r="R63" s="381">
        <f>(P63-O63)/O63*100</f>
        <v>2.4355262089681487E-2</v>
      </c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94100</v>
      </c>
    </row>
    <row r="64" spans="1:33" ht="15.4" x14ac:dyDescent="0.4">
      <c r="E64" s="428"/>
      <c r="F64" s="428"/>
      <c r="I64" s="82">
        <f>J64/1000000</f>
        <v>0.23699999999999999</v>
      </c>
      <c r="J64" s="84">
        <f>2.37*100000</f>
        <v>237000</v>
      </c>
      <c r="K64" s="212"/>
      <c r="L64" s="1217"/>
      <c r="S64" s="1261"/>
      <c r="T64" s="331"/>
      <c r="U64" s="6"/>
      <c r="W64" s="6"/>
      <c r="X64" s="1297"/>
      <c r="Z64" s="6"/>
      <c r="AA64" s="6"/>
      <c r="AB64" s="1239"/>
      <c r="AC64" s="41">
        <v>40488</v>
      </c>
      <c r="AD64" s="41">
        <f>SUM(AD58:AD63)</f>
        <v>482050</v>
      </c>
    </row>
    <row r="65" spans="3:30" ht="16.149999999999999" x14ac:dyDescent="0.55000000000000004">
      <c r="D65" s="1418" t="s">
        <v>768</v>
      </c>
      <c r="E65" s="1193"/>
      <c r="F65" s="1193"/>
      <c r="J65" s="755"/>
      <c r="K65" s="259"/>
      <c r="L65" s="1217"/>
      <c r="S65" s="26" t="s">
        <v>187</v>
      </c>
      <c r="T65" s="26">
        <f>SUM(T60:T64)</f>
        <v>665125</v>
      </c>
      <c r="U65" s="26">
        <f t="shared" ref="U65:AA65" si="6">SUM(U60:U64)</f>
        <v>3363834</v>
      </c>
      <c r="V65" s="26"/>
      <c r="W65" s="9">
        <f>SUM(W60:W64)</f>
        <v>1174725</v>
      </c>
      <c r="X65" s="9">
        <f t="shared" si="6"/>
        <v>7176648</v>
      </c>
      <c r="Y65" s="26"/>
      <c r="Z65" s="9">
        <f t="shared" si="6"/>
        <v>403700</v>
      </c>
      <c r="AA65" s="9">
        <f t="shared" si="6"/>
        <v>1684890</v>
      </c>
      <c r="AB65" s="1262"/>
      <c r="AC65" s="41">
        <f>SUM(AC59:AC64)</f>
        <v>288290</v>
      </c>
      <c r="AD65" s="172"/>
    </row>
    <row r="66" spans="3:30" ht="16.149999999999999" x14ac:dyDescent="0.55000000000000004">
      <c r="D66" s="1407" t="s">
        <v>94</v>
      </c>
      <c r="E66" s="1193">
        <f>H66/1000000</f>
        <v>0.88700199999999996</v>
      </c>
      <c r="F66" s="1193">
        <f t="shared" ref="E66:F68" si="7">I66/1000000</f>
        <v>1.3442179999999999</v>
      </c>
      <c r="H66" s="1243">
        <f>D142</f>
        <v>887002</v>
      </c>
      <c r="I66" s="1243">
        <f>D108</f>
        <v>1344218</v>
      </c>
      <c r="J66" s="323">
        <f t="shared" ref="J66:K68" si="8">H66/100000</f>
        <v>8.8700200000000002</v>
      </c>
      <c r="K66" s="323">
        <f t="shared" si="8"/>
        <v>13.44218</v>
      </c>
      <c r="L66" s="491">
        <f>K66/100000</f>
        <v>1.3442179999999999E-4</v>
      </c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6.149999999999999" x14ac:dyDescent="0.55000000000000004">
      <c r="D67" s="1407" t="s">
        <v>502</v>
      </c>
      <c r="E67" s="1193">
        <f t="shared" si="7"/>
        <v>0.43956099999999998</v>
      </c>
      <c r="F67" s="1193">
        <f t="shared" si="7"/>
        <v>1.2855669999999999</v>
      </c>
      <c r="H67" s="1243">
        <f>F142</f>
        <v>439561</v>
      </c>
      <c r="I67" s="1243">
        <f>F108</f>
        <v>1285567</v>
      </c>
      <c r="J67" s="323">
        <f t="shared" si="8"/>
        <v>4.3956099999999996</v>
      </c>
      <c r="K67" s="323">
        <f t="shared" si="8"/>
        <v>12.85567</v>
      </c>
      <c r="L67" s="491">
        <f>K67/100000</f>
        <v>1.2855669999999999E-4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6.5" thickBot="1" x14ac:dyDescent="0.6">
      <c r="D68" s="1407" t="s">
        <v>767</v>
      </c>
      <c r="E68" s="1193">
        <f t="shared" si="7"/>
        <v>0.93073099999999998</v>
      </c>
      <c r="F68" s="1193">
        <f t="shared" si="7"/>
        <v>0.77022000000000002</v>
      </c>
      <c r="H68" s="1322">
        <f>H142</f>
        <v>930731</v>
      </c>
      <c r="I68" s="1322">
        <f>H108</f>
        <v>770220</v>
      </c>
      <c r="J68" s="323">
        <f t="shared" si="8"/>
        <v>9.3073099999999993</v>
      </c>
      <c r="K68" s="323">
        <f t="shared" si="8"/>
        <v>7.7022000000000004</v>
      </c>
      <c r="L68" s="491">
        <f>K68/100000</f>
        <v>7.7022000000000009E-5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K69" s="212"/>
      <c r="L69" s="1217"/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</row>
    <row r="71" spans="3:30" ht="16.149999999999999" x14ac:dyDescent="0.55000000000000004">
      <c r="D71" s="1418" t="s">
        <v>436</v>
      </c>
      <c r="E71" s="134">
        <f>H71</f>
        <v>1.6442715000000001</v>
      </c>
      <c r="F71" s="134">
        <f>I71</f>
        <v>1.949022</v>
      </c>
      <c r="H71" s="1372">
        <f>J71/10000000</f>
        <v>1.6442715000000001</v>
      </c>
      <c r="I71" s="1372">
        <f>K71/10000000</f>
        <v>1.949022</v>
      </c>
      <c r="J71">
        <v>16442715</v>
      </c>
      <c r="K71">
        <v>19490220</v>
      </c>
      <c r="L71" s="1217"/>
      <c r="N71" s="755">
        <v>6531262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1439">
        <f>66.07-3.11</f>
        <v>62.959999999999994</v>
      </c>
      <c r="D72" s="1418" t="s">
        <v>769</v>
      </c>
      <c r="E72" s="134">
        <f>J79/100</f>
        <v>1.5738999999999999</v>
      </c>
      <c r="F72" s="134">
        <f>K79/100</f>
        <v>1.4051999999999998</v>
      </c>
      <c r="H72" s="1263"/>
      <c r="I72" s="1263"/>
      <c r="K72" s="323"/>
      <c r="L72" s="1217"/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8.1199999999999994E-2</v>
      </c>
      <c r="F73" s="283">
        <f>K77/100</f>
        <v>6.2400000000000004E-2</v>
      </c>
      <c r="H73" s="1263"/>
      <c r="I73" s="1263"/>
      <c r="J73" s="1128"/>
      <c r="K73" s="1128"/>
      <c r="L73" s="1217"/>
      <c r="U73" s="1239"/>
      <c r="AB73" s="1239"/>
    </row>
    <row r="74" spans="3:30" x14ac:dyDescent="0.4">
      <c r="D74" s="1418" t="s">
        <v>196</v>
      </c>
      <c r="E74" s="134">
        <f>H74</f>
        <v>0.204095</v>
      </c>
      <c r="F74" s="134">
        <f t="shared" ref="E74:F76" si="9">I74</f>
        <v>0.200934</v>
      </c>
      <c r="H74" s="1372">
        <f t="shared" ref="H74:I76" si="10">J74/10000000</f>
        <v>0.204095</v>
      </c>
      <c r="I74" s="1372">
        <f t="shared" si="10"/>
        <v>0.200934</v>
      </c>
      <c r="J74" s="212">
        <f>J142</f>
        <v>2040950</v>
      </c>
      <c r="K74" s="212">
        <f>J108</f>
        <v>2009340</v>
      </c>
      <c r="M74" s="1210"/>
      <c r="N74" s="12"/>
      <c r="X74" s="5"/>
    </row>
    <row r="75" spans="3:30" ht="16.149999999999999" x14ac:dyDescent="0.55000000000000004">
      <c r="D75" s="1418" t="s">
        <v>123</v>
      </c>
      <c r="E75" s="134">
        <f>H75</f>
        <v>5.1370399999999997E-2</v>
      </c>
      <c r="F75" s="134">
        <f t="shared" si="9"/>
        <v>0.76478869999999999</v>
      </c>
      <c r="H75" s="1372">
        <f t="shared" si="10"/>
        <v>5.1370399999999997E-2</v>
      </c>
      <c r="I75" s="1372">
        <f t="shared" si="10"/>
        <v>0.76478869999999999</v>
      </c>
      <c r="J75" s="84">
        <f>200000+213704+100000</f>
        <v>513704</v>
      </c>
      <c r="K75" s="755">
        <f>173490+7474397</f>
        <v>7647887</v>
      </c>
    </row>
    <row r="76" spans="3:30" ht="16.5" thickBot="1" x14ac:dyDescent="0.6">
      <c r="D76" s="1418" t="s">
        <v>435</v>
      </c>
      <c r="E76" s="134">
        <f t="shared" si="9"/>
        <v>2.5670492999999999</v>
      </c>
      <c r="F76" s="134">
        <f>I76</f>
        <v>2.7854746000000001</v>
      </c>
      <c r="H76" s="1372">
        <f t="shared" si="10"/>
        <v>2.5670492999999999</v>
      </c>
      <c r="I76" s="1372">
        <f t="shared" si="10"/>
        <v>2.7854746000000001</v>
      </c>
      <c r="J76" s="1215">
        <f>K142</f>
        <v>25670493</v>
      </c>
      <c r="K76" s="1322">
        <f>K108</f>
        <v>27854746</v>
      </c>
      <c r="N76" s="755"/>
    </row>
    <row r="77" spans="3:30" x14ac:dyDescent="0.4">
      <c r="H77" s="1224"/>
      <c r="I77" s="1225"/>
      <c r="J77" s="84">
        <v>8.1199999999999992</v>
      </c>
      <c r="K77" s="323">
        <v>6.24</v>
      </c>
      <c r="L77" s="172">
        <f>J77/100</f>
        <v>8.1199999999999994E-2</v>
      </c>
    </row>
    <row r="78" spans="3:30" x14ac:dyDescent="0.4">
      <c r="E78" s="428"/>
      <c r="F78" s="428"/>
      <c r="J78" s="84">
        <v>165.51</v>
      </c>
      <c r="K78" s="84">
        <v>146.76</v>
      </c>
    </row>
    <row r="79" spans="3:30" x14ac:dyDescent="0.4">
      <c r="E79" s="428"/>
      <c r="F79" s="428"/>
      <c r="J79" s="84">
        <f>J78-J77</f>
        <v>157.38999999999999</v>
      </c>
      <c r="K79" s="323">
        <f>K78-K77</f>
        <v>140.51999999999998</v>
      </c>
      <c r="L79" s="172">
        <f>J79/100</f>
        <v>1.5738999999999999</v>
      </c>
    </row>
    <row r="80" spans="3:30" x14ac:dyDescent="0.4">
      <c r="E80" s="428"/>
      <c r="F80" s="428"/>
    </row>
    <row r="81" spans="3:11" x14ac:dyDescent="0.4">
      <c r="D81" s="1417" t="s">
        <v>164</v>
      </c>
      <c r="E81" s="428" t="s">
        <v>710</v>
      </c>
      <c r="F81" s="84" t="s">
        <v>164</v>
      </c>
      <c r="G81" s="428" t="s">
        <v>710</v>
      </c>
      <c r="H81" s="84" t="s">
        <v>164</v>
      </c>
      <c r="I81" s="428" t="s">
        <v>710</v>
      </c>
      <c r="J81" s="84" t="s">
        <v>196</v>
      </c>
    </row>
    <row r="82" spans="3:11" x14ac:dyDescent="0.4">
      <c r="D82" s="1417">
        <v>23</v>
      </c>
      <c r="E82" s="84">
        <v>23</v>
      </c>
      <c r="F82" s="84">
        <v>23</v>
      </c>
      <c r="G82" s="84">
        <v>23</v>
      </c>
      <c r="H82" s="84">
        <v>23</v>
      </c>
      <c r="I82" s="84">
        <v>23</v>
      </c>
      <c r="J82" s="84">
        <v>23</v>
      </c>
      <c r="K82" s="1292">
        <v>23</v>
      </c>
    </row>
    <row r="83" spans="3:11" x14ac:dyDescent="0.4">
      <c r="D83" s="2437" t="s">
        <v>795</v>
      </c>
      <c r="E83" s="2437"/>
      <c r="F83" s="2437" t="s">
        <v>796</v>
      </c>
      <c r="G83" s="2437"/>
      <c r="H83" s="2437" t="s">
        <v>797</v>
      </c>
      <c r="I83" s="2437"/>
      <c r="J83" s="2437" t="s">
        <v>196</v>
      </c>
      <c r="K83" s="2437"/>
    </row>
    <row r="84" spans="3:11" x14ac:dyDescent="0.4">
      <c r="C84" s="1440">
        <v>45017</v>
      </c>
      <c r="D84" s="1419"/>
      <c r="E84" s="1292"/>
      <c r="F84" s="41"/>
      <c r="G84" s="41"/>
      <c r="H84" s="41"/>
      <c r="I84" s="1318"/>
      <c r="J84" s="212"/>
    </row>
    <row r="85" spans="3:11" x14ac:dyDescent="0.4">
      <c r="C85" s="1440">
        <v>45018</v>
      </c>
      <c r="D85" s="1420"/>
      <c r="E85" s="1292"/>
      <c r="F85" s="41"/>
      <c r="G85" s="41"/>
      <c r="H85" s="41"/>
      <c r="I85" s="212"/>
      <c r="J85" s="212"/>
    </row>
    <row r="86" spans="3:11" x14ac:dyDescent="0.4">
      <c r="C86" s="1440">
        <v>45019</v>
      </c>
      <c r="D86" s="1420"/>
      <c r="E86" s="1292"/>
      <c r="F86" s="41"/>
      <c r="G86" s="41"/>
      <c r="H86" s="41"/>
      <c r="I86" s="212"/>
      <c r="J86" s="212"/>
    </row>
    <row r="87" spans="3:11" x14ac:dyDescent="0.4">
      <c r="C87" s="1440">
        <v>45020</v>
      </c>
      <c r="D87" s="1420"/>
      <c r="E87" s="1292"/>
      <c r="F87" s="41"/>
      <c r="G87" s="41"/>
      <c r="H87" s="41"/>
      <c r="I87" s="212"/>
      <c r="J87" s="212"/>
    </row>
    <row r="88" spans="3:11" x14ac:dyDescent="0.4">
      <c r="C88" s="1440">
        <v>45021</v>
      </c>
      <c r="D88" s="1420"/>
      <c r="E88" s="1292"/>
      <c r="F88" s="41"/>
      <c r="G88" s="41"/>
      <c r="H88" s="41"/>
      <c r="I88" s="212"/>
      <c r="J88" s="212"/>
    </row>
    <row r="89" spans="3:11" x14ac:dyDescent="0.4">
      <c r="C89" s="1440">
        <v>45022</v>
      </c>
      <c r="D89" s="1421"/>
      <c r="E89" s="428"/>
    </row>
    <row r="90" spans="3:11" x14ac:dyDescent="0.4">
      <c r="C90" s="1440">
        <v>45023</v>
      </c>
      <c r="D90" s="1421"/>
      <c r="E90" s="428"/>
    </row>
    <row r="91" spans="3:11" x14ac:dyDescent="0.4">
      <c r="C91" s="1440">
        <v>45024</v>
      </c>
      <c r="D91" s="1421"/>
      <c r="E91" s="428"/>
    </row>
    <row r="92" spans="3:11" x14ac:dyDescent="0.4">
      <c r="C92" s="1440">
        <v>45025</v>
      </c>
      <c r="D92" s="1421"/>
      <c r="E92" s="428"/>
    </row>
    <row r="93" spans="3:11" ht="16.149999999999999" thickBot="1" x14ac:dyDescent="0.45">
      <c r="C93" s="1440">
        <v>45026</v>
      </c>
      <c r="D93" s="1420">
        <v>576697</v>
      </c>
      <c r="E93" s="1292">
        <v>3559392</v>
      </c>
      <c r="F93" s="5">
        <v>542881</v>
      </c>
      <c r="G93" s="5">
        <v>47442931</v>
      </c>
      <c r="H93" s="910"/>
      <c r="I93" s="910"/>
      <c r="J93" s="84">
        <v>805910</v>
      </c>
      <c r="K93" s="910"/>
    </row>
    <row r="94" spans="3:11" x14ac:dyDescent="0.4">
      <c r="C94" s="1440">
        <v>45027</v>
      </c>
      <c r="D94" s="1420"/>
      <c r="E94" s="1292"/>
    </row>
    <row r="95" spans="3:11" ht="16.149999999999999" thickBot="1" x14ac:dyDescent="0.45">
      <c r="C95" s="1440">
        <v>45028</v>
      </c>
      <c r="D95" s="1420"/>
      <c r="E95" s="1292"/>
      <c r="H95" s="824"/>
      <c r="I95" s="910"/>
    </row>
    <row r="96" spans="3:11" x14ac:dyDescent="0.4">
      <c r="C96" s="1440">
        <v>45029</v>
      </c>
      <c r="D96" s="1420"/>
      <c r="E96" s="1292"/>
    </row>
    <row r="97" spans="3:11" x14ac:dyDescent="0.4">
      <c r="C97" s="1440">
        <v>45030</v>
      </c>
      <c r="D97" s="1420"/>
      <c r="E97" s="1292"/>
    </row>
    <row r="98" spans="3:11" x14ac:dyDescent="0.4">
      <c r="C98" s="1440">
        <v>45031</v>
      </c>
      <c r="D98" s="1420"/>
      <c r="E98" s="1292"/>
    </row>
    <row r="99" spans="3:11" ht="16.5" thickBot="1" x14ac:dyDescent="0.6">
      <c r="C99" s="1440">
        <v>45032</v>
      </c>
      <c r="D99" s="1420"/>
      <c r="E99" s="1292"/>
      <c r="H99" s="755"/>
      <c r="I99" s="910"/>
    </row>
    <row r="100" spans="3:11" x14ac:dyDescent="0.4">
      <c r="C100" s="1440">
        <v>45033</v>
      </c>
      <c r="D100" s="1421"/>
      <c r="E100" s="428"/>
    </row>
    <row r="101" spans="3:11" x14ac:dyDescent="0.4">
      <c r="C101" s="1440">
        <v>45034</v>
      </c>
      <c r="D101" s="1421"/>
      <c r="E101" s="428"/>
    </row>
    <row r="102" spans="3:11" x14ac:dyDescent="0.4">
      <c r="C102" s="1440">
        <v>45035</v>
      </c>
      <c r="D102" s="1422"/>
      <c r="E102" s="428"/>
    </row>
    <row r="103" spans="3:11" ht="16.149999999999999" x14ac:dyDescent="0.55000000000000004">
      <c r="C103" s="1440">
        <v>45036</v>
      </c>
      <c r="D103" s="1420">
        <v>632691</v>
      </c>
      <c r="E103" s="1292">
        <v>3775427</v>
      </c>
      <c r="F103" s="5">
        <v>575719</v>
      </c>
      <c r="G103" s="5">
        <v>60630377</v>
      </c>
      <c r="H103" s="755">
        <v>770220</v>
      </c>
      <c r="I103" s="755">
        <v>535364272</v>
      </c>
      <c r="J103" s="84">
        <v>922640</v>
      </c>
      <c r="K103" s="755">
        <v>27854746</v>
      </c>
    </row>
    <row r="104" spans="3:11" x14ac:dyDescent="0.4">
      <c r="C104" s="1440">
        <v>45037</v>
      </c>
      <c r="D104" s="1420">
        <v>49909</v>
      </c>
      <c r="E104" s="1292">
        <v>328081</v>
      </c>
      <c r="F104" s="5">
        <v>56719</v>
      </c>
      <c r="G104" s="5">
        <v>6122105</v>
      </c>
      <c r="J104" s="84">
        <v>78520</v>
      </c>
    </row>
    <row r="105" spans="3:11" x14ac:dyDescent="0.4">
      <c r="C105" s="1440">
        <v>45038</v>
      </c>
      <c r="D105" s="1420">
        <v>39996</v>
      </c>
      <c r="E105" s="1292">
        <v>310379</v>
      </c>
      <c r="F105" s="5">
        <v>49341</v>
      </c>
      <c r="G105" s="5">
        <v>5698403</v>
      </c>
      <c r="J105" s="84">
        <v>93580</v>
      </c>
    </row>
    <row r="106" spans="3:11" x14ac:dyDescent="0.4">
      <c r="C106" s="1440">
        <v>45039</v>
      </c>
      <c r="D106" s="1420">
        <v>44925</v>
      </c>
      <c r="E106" s="1292">
        <v>363635</v>
      </c>
      <c r="F106" s="5">
        <v>60907</v>
      </c>
      <c r="G106" s="5">
        <v>6587435</v>
      </c>
      <c r="J106" s="84">
        <v>108690</v>
      </c>
    </row>
    <row r="107" spans="3:11" x14ac:dyDescent="0.4">
      <c r="C107" s="1440">
        <v>45040</v>
      </c>
      <c r="D107" s="1421"/>
      <c r="E107" s="428"/>
    </row>
    <row r="108" spans="3:11" x14ac:dyDescent="0.4">
      <c r="D108" s="1423">
        <f t="shared" ref="D108:K108" si="11">SUM(D84:D107)</f>
        <v>1344218</v>
      </c>
      <c r="E108" s="1228">
        <f t="shared" si="11"/>
        <v>8336914</v>
      </c>
      <c r="F108" s="1228">
        <f t="shared" si="11"/>
        <v>1285567</v>
      </c>
      <c r="G108" s="1228">
        <f t="shared" si="11"/>
        <v>126481251</v>
      </c>
      <c r="H108" s="1228">
        <f t="shared" si="11"/>
        <v>770220</v>
      </c>
      <c r="I108" s="1228">
        <f t="shared" si="11"/>
        <v>535364272</v>
      </c>
      <c r="J108" s="1228">
        <f t="shared" si="11"/>
        <v>2009340</v>
      </c>
      <c r="K108" s="1228">
        <f t="shared" si="11"/>
        <v>27854746</v>
      </c>
    </row>
    <row r="116" spans="3:11" x14ac:dyDescent="0.4">
      <c r="D116" s="1417" t="s">
        <v>164</v>
      </c>
      <c r="E116" s="428" t="s">
        <v>710</v>
      </c>
      <c r="F116" s="84" t="s">
        <v>164</v>
      </c>
      <c r="G116" s="428" t="s">
        <v>710</v>
      </c>
      <c r="H116" s="84" t="s">
        <v>164</v>
      </c>
      <c r="I116" s="428" t="s">
        <v>710</v>
      </c>
      <c r="J116" s="84" t="s">
        <v>196</v>
      </c>
    </row>
    <row r="117" spans="3:11" x14ac:dyDescent="0.4">
      <c r="D117" s="1417">
        <v>22</v>
      </c>
      <c r="E117" s="84">
        <v>22</v>
      </c>
      <c r="F117" s="84">
        <v>22</v>
      </c>
      <c r="G117" s="84">
        <v>22</v>
      </c>
      <c r="H117" s="84">
        <v>22</v>
      </c>
      <c r="I117" s="84">
        <v>22</v>
      </c>
      <c r="J117" s="84">
        <v>22</v>
      </c>
      <c r="K117" s="1292">
        <v>22</v>
      </c>
    </row>
    <row r="118" spans="3:11" x14ac:dyDescent="0.4">
      <c r="D118" s="2437" t="s">
        <v>795</v>
      </c>
      <c r="E118" s="2437"/>
      <c r="F118" s="2437" t="s">
        <v>796</v>
      </c>
      <c r="G118" s="2437"/>
      <c r="H118" s="2437" t="s">
        <v>797</v>
      </c>
      <c r="I118" s="2437"/>
      <c r="J118" s="2437" t="s">
        <v>196</v>
      </c>
      <c r="K118" s="2437"/>
    </row>
    <row r="119" spans="3:11" ht="16.149999999999999" x14ac:dyDescent="0.55000000000000004">
      <c r="C119" s="1440">
        <v>44652</v>
      </c>
      <c r="D119" s="1419"/>
      <c r="E119" s="1292"/>
      <c r="H119" s="755"/>
      <c r="I119" s="1319"/>
    </row>
    <row r="120" spans="3:11" x14ac:dyDescent="0.4">
      <c r="C120" s="1440">
        <v>44653</v>
      </c>
      <c r="D120" s="1420"/>
      <c r="E120" s="428"/>
    </row>
    <row r="121" spans="3:11" x14ac:dyDescent="0.4">
      <c r="C121" s="1440">
        <v>44654</v>
      </c>
      <c r="D121" s="1421"/>
      <c r="E121" s="428"/>
    </row>
    <row r="122" spans="3:11" x14ac:dyDescent="0.4">
      <c r="C122" s="1440">
        <v>44655</v>
      </c>
      <c r="D122" s="1421"/>
      <c r="E122" s="428"/>
    </row>
    <row r="123" spans="3:11" x14ac:dyDescent="0.4">
      <c r="C123" s="1440">
        <v>44656</v>
      </c>
      <c r="D123" s="1421"/>
      <c r="E123" s="428"/>
    </row>
    <row r="124" spans="3:11" x14ac:dyDescent="0.4">
      <c r="C124" s="1440">
        <v>44657</v>
      </c>
      <c r="D124" s="1421"/>
      <c r="E124" s="428"/>
    </row>
    <row r="125" spans="3:11" x14ac:dyDescent="0.4">
      <c r="C125" s="1440">
        <v>44658</v>
      </c>
      <c r="D125" s="1421"/>
      <c r="E125" s="428"/>
    </row>
    <row r="126" spans="3:11" x14ac:dyDescent="0.4">
      <c r="C126" s="1440">
        <v>44659</v>
      </c>
      <c r="D126" s="1421"/>
      <c r="E126" s="428"/>
    </row>
    <row r="127" spans="3:11" x14ac:dyDescent="0.4">
      <c r="C127" s="1440">
        <v>44660</v>
      </c>
      <c r="D127" s="1421"/>
      <c r="E127" s="428"/>
    </row>
    <row r="128" spans="3:11" ht="15.75" x14ac:dyDescent="0.5">
      <c r="C128" s="1440">
        <v>44661</v>
      </c>
      <c r="D128" s="1420">
        <v>373170</v>
      </c>
      <c r="E128" s="1292">
        <v>2024945</v>
      </c>
      <c r="F128" s="5">
        <v>150135</v>
      </c>
      <c r="G128" s="5">
        <v>4120788</v>
      </c>
      <c r="I128" s="1319"/>
      <c r="J128" s="84">
        <v>820580</v>
      </c>
    </row>
    <row r="129" spans="3:11" x14ac:dyDescent="0.4">
      <c r="C129" s="1440">
        <v>44662</v>
      </c>
      <c r="D129" s="1420"/>
      <c r="E129" s="1292"/>
    </row>
    <row r="130" spans="3:11" ht="16.149999999999999" x14ac:dyDescent="0.55000000000000004">
      <c r="C130" s="1440">
        <v>44663</v>
      </c>
      <c r="D130" s="1421"/>
      <c r="E130" s="428"/>
      <c r="H130" s="755"/>
      <c r="I130" s="755"/>
    </row>
    <row r="131" spans="3:11" x14ac:dyDescent="0.4">
      <c r="C131" s="1440">
        <v>44664</v>
      </c>
      <c r="D131" s="1421"/>
      <c r="E131" s="428"/>
    </row>
    <row r="132" spans="3:11" x14ac:dyDescent="0.4">
      <c r="C132" s="1440">
        <v>44665</v>
      </c>
      <c r="D132" s="1421"/>
      <c r="E132" s="428"/>
    </row>
    <row r="133" spans="3:11" x14ac:dyDescent="0.4">
      <c r="C133" s="1440">
        <v>44666</v>
      </c>
      <c r="D133" s="1421"/>
      <c r="E133" s="428"/>
    </row>
    <row r="134" spans="3:11" ht="16.149999999999999" x14ac:dyDescent="0.55000000000000004">
      <c r="C134" s="1440">
        <v>44667</v>
      </c>
      <c r="D134" s="1421"/>
      <c r="E134" s="428"/>
      <c r="H134" s="755"/>
      <c r="I134" s="755"/>
    </row>
    <row r="135" spans="3:11" x14ac:dyDescent="0.4">
      <c r="C135" s="1440">
        <v>44668</v>
      </c>
      <c r="D135" s="1421"/>
      <c r="E135" s="428"/>
    </row>
    <row r="136" spans="3:11" x14ac:dyDescent="0.4">
      <c r="C136" s="1440">
        <v>44669</v>
      </c>
      <c r="D136" s="1421"/>
      <c r="E136" s="428"/>
    </row>
    <row r="137" spans="3:11" x14ac:dyDescent="0.4">
      <c r="C137" s="1440">
        <v>44670</v>
      </c>
      <c r="D137" s="1421"/>
      <c r="E137" s="428"/>
    </row>
    <row r="138" spans="3:11" x14ac:dyDescent="0.4">
      <c r="C138" s="1440">
        <v>44671</v>
      </c>
      <c r="D138" s="1420">
        <v>407433</v>
      </c>
      <c r="E138" s="212">
        <v>2327387</v>
      </c>
      <c r="F138" s="212">
        <v>225652</v>
      </c>
      <c r="G138" s="212">
        <v>6617539</v>
      </c>
      <c r="H138" s="212"/>
      <c r="I138" s="1228"/>
      <c r="J138" s="212">
        <v>955060</v>
      </c>
    </row>
    <row r="139" spans="3:11" x14ac:dyDescent="0.4">
      <c r="C139" s="1440">
        <v>44672</v>
      </c>
      <c r="D139" s="1417">
        <v>39216</v>
      </c>
      <c r="E139" s="35">
        <v>222241</v>
      </c>
      <c r="F139" s="5">
        <v>22894</v>
      </c>
      <c r="G139" s="5">
        <v>671364</v>
      </c>
      <c r="J139" s="84">
        <v>87750</v>
      </c>
    </row>
    <row r="140" spans="3:11" ht="16.5" thickBot="1" x14ac:dyDescent="0.6">
      <c r="C140" s="1440">
        <v>44673</v>
      </c>
      <c r="D140" s="1417">
        <v>37278</v>
      </c>
      <c r="E140" s="35">
        <v>212244</v>
      </c>
      <c r="F140" s="5">
        <v>21406</v>
      </c>
      <c r="G140" s="5">
        <v>684062</v>
      </c>
      <c r="H140" s="755">
        <v>930731</v>
      </c>
      <c r="I140" s="824">
        <v>553531416</v>
      </c>
      <c r="J140" s="84">
        <v>79660</v>
      </c>
      <c r="K140" s="910">
        <v>25670493</v>
      </c>
    </row>
    <row r="141" spans="3:11" x14ac:dyDescent="0.4">
      <c r="C141" s="1440">
        <v>44674</v>
      </c>
      <c r="D141" s="1417">
        <v>29905</v>
      </c>
      <c r="E141" s="35">
        <v>211237</v>
      </c>
      <c r="F141" s="5">
        <v>19474</v>
      </c>
      <c r="G141" s="5">
        <v>781470</v>
      </c>
      <c r="J141" s="84">
        <v>97900</v>
      </c>
    </row>
    <row r="142" spans="3:11" x14ac:dyDescent="0.4">
      <c r="D142" s="1423">
        <f t="shared" ref="D142:K142" si="12">SUM(D119:D141)</f>
        <v>887002</v>
      </c>
      <c r="E142" s="1228">
        <f t="shared" si="12"/>
        <v>4998054</v>
      </c>
      <c r="F142" s="1228">
        <f t="shared" si="12"/>
        <v>439561</v>
      </c>
      <c r="G142" s="1228">
        <f t="shared" si="12"/>
        <v>12875223</v>
      </c>
      <c r="H142" s="1228">
        <f t="shared" si="12"/>
        <v>930731</v>
      </c>
      <c r="I142" s="1228">
        <f t="shared" si="12"/>
        <v>553531416</v>
      </c>
      <c r="J142" s="1228">
        <f t="shared" si="12"/>
        <v>2040950</v>
      </c>
      <c r="K142" s="1228">
        <f t="shared" si="12"/>
        <v>25670493</v>
      </c>
    </row>
    <row r="143" spans="3:11" x14ac:dyDescent="0.4">
      <c r="D143" s="1417" t="s">
        <v>657</v>
      </c>
    </row>
  </sheetData>
  <mergeCells count="85">
    <mergeCell ref="A14:A17"/>
    <mergeCell ref="B14:I14"/>
    <mergeCell ref="E16:E17"/>
    <mergeCell ref="A11:I11"/>
    <mergeCell ref="A1:I1"/>
    <mergeCell ref="A2:I2"/>
    <mergeCell ref="A3:A5"/>
    <mergeCell ref="F3:G3"/>
    <mergeCell ref="H3:I3"/>
    <mergeCell ref="D5:E5"/>
    <mergeCell ref="H4:H5"/>
    <mergeCell ref="I4:I5"/>
    <mergeCell ref="B13:I13"/>
    <mergeCell ref="H16:H17"/>
    <mergeCell ref="D16:D17"/>
    <mergeCell ref="A39:A44"/>
    <mergeCell ref="B39:I39"/>
    <mergeCell ref="A30:A37"/>
    <mergeCell ref="B30:I30"/>
    <mergeCell ref="A18:A26"/>
    <mergeCell ref="C18:E18"/>
    <mergeCell ref="B28:C29"/>
    <mergeCell ref="D28:E28"/>
    <mergeCell ref="F28:G28"/>
    <mergeCell ref="F18:I18"/>
    <mergeCell ref="H28:I28"/>
    <mergeCell ref="A50:A53"/>
    <mergeCell ref="B50:I50"/>
    <mergeCell ref="E51:E53"/>
    <mergeCell ref="H51:H53"/>
    <mergeCell ref="A46:A49"/>
    <mergeCell ref="B46:I46"/>
    <mergeCell ref="E48:E49"/>
    <mergeCell ref="H48:H49"/>
    <mergeCell ref="M1:U1"/>
    <mergeCell ref="M2:U2"/>
    <mergeCell ref="AC2:AH2"/>
    <mergeCell ref="B3:B5"/>
    <mergeCell ref="M3:M5"/>
    <mergeCell ref="N3:N5"/>
    <mergeCell ref="P3:Q3"/>
    <mergeCell ref="R3:S3"/>
    <mergeCell ref="T3:U3"/>
    <mergeCell ref="AC3:AH3"/>
    <mergeCell ref="T4:T5"/>
    <mergeCell ref="U4:U5"/>
    <mergeCell ref="P5:Q5"/>
    <mergeCell ref="D3:E3"/>
    <mergeCell ref="M11:U11"/>
    <mergeCell ref="N13:U13"/>
    <mergeCell ref="M18:M26"/>
    <mergeCell ref="O18:Q18"/>
    <mergeCell ref="R18:U18"/>
    <mergeCell ref="M14:M17"/>
    <mergeCell ref="N14:U14"/>
    <mergeCell ref="P16:P17"/>
    <mergeCell ref="Q16:Q17"/>
    <mergeCell ref="T16:T17"/>
    <mergeCell ref="N28:O29"/>
    <mergeCell ref="P28:Q28"/>
    <mergeCell ref="R28:S28"/>
    <mergeCell ref="T28:U28"/>
    <mergeCell ref="N30:U30"/>
    <mergeCell ref="N39:U39"/>
    <mergeCell ref="M46:M49"/>
    <mergeCell ref="N46:U46"/>
    <mergeCell ref="P48:P49"/>
    <mergeCell ref="Q48:Q49"/>
    <mergeCell ref="T48:T49"/>
    <mergeCell ref="N50:U50"/>
    <mergeCell ref="N51:O51"/>
    <mergeCell ref="P51:P53"/>
    <mergeCell ref="Q51:Q53"/>
    <mergeCell ref="T51:T53"/>
    <mergeCell ref="N52:O52"/>
    <mergeCell ref="N53:O53"/>
    <mergeCell ref="D118:E118"/>
    <mergeCell ref="F118:G118"/>
    <mergeCell ref="H118:I118"/>
    <mergeCell ref="J118:K118"/>
    <mergeCell ref="M50:M53"/>
    <mergeCell ref="D83:E83"/>
    <mergeCell ref="F83:G83"/>
    <mergeCell ref="H83:I83"/>
    <mergeCell ref="J83:K83"/>
  </mergeCells>
  <phoneticPr fontId="166" type="noConversion"/>
  <pageMargins left="0.2" right="0.2" top="0.75" bottom="0.75" header="0.3" footer="0.3"/>
  <pageSetup paperSize="9" scale="1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R56"/>
  <sheetViews>
    <sheetView workbookViewId="0">
      <selection activeCell="S20" sqref="S20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0" style="5" customWidth="1"/>
    <col min="4" max="4" width="11.3984375" style="84" bestFit="1" customWidth="1"/>
    <col min="5" max="5" width="10.1328125" style="35" customWidth="1"/>
    <col min="6" max="6" width="12.73046875" style="5" customWidth="1"/>
    <col min="7" max="7" width="12.59765625" style="5" customWidth="1"/>
    <col min="8" max="8" width="10.86328125" style="11" customWidth="1"/>
    <col min="9" max="9" width="11.59765625" style="82" customWidth="1"/>
    <col min="10" max="10" width="9.1328125" style="5"/>
    <col min="11" max="11" width="12.3984375" style="5" bestFit="1" customWidth="1"/>
    <col min="12" max="16384" width="9.1328125" style="5"/>
  </cols>
  <sheetData>
    <row r="1" spans="1:11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</row>
    <row r="2" spans="1:11" s="301" customFormat="1" ht="21.75" customHeight="1" thickBot="1" x14ac:dyDescent="0.5">
      <c r="A2" s="2092" t="s">
        <v>692</v>
      </c>
      <c r="B2" s="2093"/>
      <c r="C2" s="2093"/>
      <c r="D2" s="2093"/>
      <c r="E2" s="2093"/>
      <c r="F2" s="2093"/>
      <c r="G2" s="2093"/>
      <c r="H2" s="2093"/>
      <c r="I2" s="2094"/>
    </row>
    <row r="3" spans="1:11" ht="17.25" thickTop="1" x14ac:dyDescent="0.5">
      <c r="A3" s="2035" t="s">
        <v>144</v>
      </c>
      <c r="B3" s="2045" t="s">
        <v>7</v>
      </c>
      <c r="C3" s="2046"/>
      <c r="D3" s="2107" t="s">
        <v>8</v>
      </c>
      <c r="E3" s="2108"/>
      <c r="F3" s="2107" t="s">
        <v>10</v>
      </c>
      <c r="G3" s="2108"/>
      <c r="H3" s="2109" t="s">
        <v>11</v>
      </c>
      <c r="I3" s="2110"/>
    </row>
    <row r="4" spans="1:11" s="35" customFormat="1" ht="33.75" customHeight="1" x14ac:dyDescent="0.45">
      <c r="A4" s="2035"/>
      <c r="B4" s="2047"/>
      <c r="C4" s="2048"/>
      <c r="D4" s="421" t="s">
        <v>9</v>
      </c>
      <c r="E4" s="422">
        <f>G4</f>
        <v>44682</v>
      </c>
      <c r="F4" s="422">
        <v>44317</v>
      </c>
      <c r="G4" s="422">
        <v>44682</v>
      </c>
      <c r="H4" s="1061" t="s">
        <v>12</v>
      </c>
      <c r="I4" s="1061" t="s">
        <v>13</v>
      </c>
    </row>
    <row r="5" spans="1:11" ht="20.25" hidden="1" customHeight="1" thickBot="1" x14ac:dyDescent="0.55000000000000004">
      <c r="A5" s="2036"/>
      <c r="B5" s="2047"/>
      <c r="C5" s="2048"/>
      <c r="D5" s="2157" t="s">
        <v>249</v>
      </c>
      <c r="E5" s="2158"/>
      <c r="F5" s="602" t="s">
        <v>249</v>
      </c>
      <c r="G5" s="602" t="s">
        <v>438</v>
      </c>
      <c r="H5" s="1062"/>
      <c r="I5" s="1062"/>
    </row>
    <row r="6" spans="1:11" ht="30" customHeight="1" x14ac:dyDescent="0.35">
      <c r="A6" s="372">
        <v>1</v>
      </c>
      <c r="B6" s="2049" t="s">
        <v>290</v>
      </c>
      <c r="C6" s="2049"/>
      <c r="D6" s="304">
        <f>D15+D16</f>
        <v>908.19999999999993</v>
      </c>
      <c r="E6" s="305">
        <v>78.58</v>
      </c>
      <c r="F6" s="305">
        <f>F15+F16+F17</f>
        <v>15.507410168</v>
      </c>
      <c r="G6" s="305">
        <f>G15+G16+G17</f>
        <v>75.741073400000005</v>
      </c>
      <c r="H6" s="306">
        <f>(G6-E6)/E6*100</f>
        <v>-3.6127851870704935</v>
      </c>
      <c r="I6" s="306">
        <f>(G6-F6)/F6*100</f>
        <v>388.41858556301008</v>
      </c>
    </row>
    <row r="7" spans="1:11" ht="26.25" customHeight="1" x14ac:dyDescent="0.35">
      <c r="A7" s="373">
        <v>2</v>
      </c>
      <c r="B7" s="2050" t="s">
        <v>291</v>
      </c>
      <c r="C7" s="2051"/>
      <c r="D7" s="307">
        <v>322.42</v>
      </c>
      <c r="E7" s="307">
        <v>24.18</v>
      </c>
      <c r="F7" s="307">
        <v>20.64</v>
      </c>
      <c r="G7" s="307">
        <v>25.68</v>
      </c>
      <c r="H7" s="308">
        <f>(G7-E7)/E7*100</f>
        <v>6.2034739454094296</v>
      </c>
      <c r="I7" s="308">
        <f>(G7-F7)/F7*100</f>
        <v>24.418604651162788</v>
      </c>
    </row>
    <row r="8" spans="1:11" ht="32.25" customHeight="1" x14ac:dyDescent="0.35">
      <c r="A8" s="374">
        <v>3</v>
      </c>
      <c r="B8" s="2021" t="s">
        <v>292</v>
      </c>
      <c r="C8" s="2023"/>
      <c r="D8" s="364">
        <v>96.78</v>
      </c>
      <c r="E8" s="364">
        <v>4.5599999999999996</v>
      </c>
      <c r="F8" s="364">
        <f>F31+F32+F33+F34+F35++F37+F36</f>
        <v>3.6509244000000001</v>
      </c>
      <c r="G8" s="364">
        <f>G31+G32+G33+G34+G35++G37+G36</f>
        <v>9.5916657999999995</v>
      </c>
      <c r="H8" s="306">
        <f>(G8-E8)/E8*100</f>
        <v>110.34354824561403</v>
      </c>
      <c r="I8" s="306">
        <f>(G8-F8)/F8*100</f>
        <v>162.71882814116881</v>
      </c>
    </row>
    <row r="9" spans="1:11" ht="34.5" customHeight="1" x14ac:dyDescent="0.35">
      <c r="A9" s="373">
        <v>4</v>
      </c>
      <c r="B9" s="2052" t="s">
        <v>293</v>
      </c>
      <c r="C9" s="2053"/>
      <c r="D9" s="307">
        <v>17.53</v>
      </c>
      <c r="E9" s="307">
        <v>1.46</v>
      </c>
      <c r="F9" s="307">
        <f>F39+F40+F41+F42+F43+F44</f>
        <v>0.1819694</v>
      </c>
      <c r="G9" s="307">
        <f>G39+G40+G41+G42+G43+G44</f>
        <v>0.55297879999999999</v>
      </c>
      <c r="H9" s="306">
        <f>(G9-E9)/E9*100</f>
        <v>-62.1247397260274</v>
      </c>
      <c r="I9" s="308">
        <f>(G9-F9)/F9*100</f>
        <v>203.88559834785406</v>
      </c>
    </row>
    <row r="10" spans="1:11" ht="28.5" customHeight="1" x14ac:dyDescent="0.35">
      <c r="A10" s="374">
        <v>5</v>
      </c>
      <c r="B10" s="2054" t="s">
        <v>294</v>
      </c>
      <c r="C10" s="2055"/>
      <c r="D10" s="321">
        <f>SUM(D6:D9)</f>
        <v>1344.9299999999998</v>
      </c>
      <c r="E10" s="321">
        <f>SUM(E6:E9)</f>
        <v>108.77999999999999</v>
      </c>
      <c r="F10" s="321">
        <f>SUM(F6:F9)</f>
        <v>39.980303968000001</v>
      </c>
      <c r="G10" s="321">
        <f>SUM(G6:G9)</f>
        <v>111.56571800000002</v>
      </c>
      <c r="H10" s="322">
        <f>(G10-E10)/E10*100</f>
        <v>2.5608733223019224</v>
      </c>
      <c r="I10" s="322">
        <f>(G10-F10)/F10*100</f>
        <v>179.0517002804595</v>
      </c>
    </row>
    <row r="11" spans="1:11" ht="6.75" customHeight="1" thickBot="1" x14ac:dyDescent="0.4">
      <c r="A11" s="2061"/>
      <c r="B11" s="2062"/>
      <c r="C11" s="2062"/>
      <c r="D11" s="2062"/>
      <c r="E11" s="2062"/>
      <c r="F11" s="2062"/>
      <c r="G11" s="2062"/>
      <c r="H11" s="2062"/>
      <c r="I11" s="2063"/>
    </row>
    <row r="12" spans="1:11" ht="18" thickBot="1" x14ac:dyDescent="0.4">
      <c r="A12" s="1040">
        <v>6.3</v>
      </c>
      <c r="B12" s="2324" t="s">
        <v>250</v>
      </c>
      <c r="C12" s="2325"/>
      <c r="D12" s="1041" t="s">
        <v>221</v>
      </c>
      <c r="E12" s="1042">
        <v>4.55</v>
      </c>
      <c r="F12" s="1043">
        <f>F46+F47+F48</f>
        <v>0.38459200000000004</v>
      </c>
      <c r="G12" s="1043">
        <f>G46+G47+G48</f>
        <v>3.1913860000000005</v>
      </c>
      <c r="H12" s="1044" t="s">
        <v>221</v>
      </c>
      <c r="I12" s="1045">
        <f>(G12-F12)/F12*100</f>
        <v>729.81081249739987</v>
      </c>
    </row>
    <row r="13" spans="1:11" ht="17.649999999999999" x14ac:dyDescent="0.35">
      <c r="B13" s="2058" t="s">
        <v>229</v>
      </c>
      <c r="C13" s="2059"/>
      <c r="D13" s="2059"/>
      <c r="E13" s="2059"/>
      <c r="F13" s="2059"/>
      <c r="G13" s="2059"/>
      <c r="H13" s="2059"/>
      <c r="I13" s="2060"/>
    </row>
    <row r="14" spans="1:11" ht="15" x14ac:dyDescent="0.35">
      <c r="A14" s="2003">
        <v>1</v>
      </c>
      <c r="B14" s="2309" t="s">
        <v>278</v>
      </c>
      <c r="C14" s="2310"/>
      <c r="D14" s="2310"/>
      <c r="E14" s="2310"/>
      <c r="F14" s="2310"/>
      <c r="G14" s="2310"/>
      <c r="H14" s="2310"/>
      <c r="I14" s="2311"/>
    </row>
    <row r="15" spans="1:11" ht="15.4" x14ac:dyDescent="0.4">
      <c r="A15" s="2004"/>
      <c r="B15" s="2006" t="s">
        <v>16</v>
      </c>
      <c r="C15" s="2007"/>
      <c r="D15" s="333">
        <f>'target FY 22-23'!K56</f>
        <v>21.180000000000003</v>
      </c>
      <c r="E15" s="307">
        <v>1.77</v>
      </c>
      <c r="F15" s="315">
        <f>'actual fig'!L45/10000000</f>
        <v>3.6307567999999998E-2</v>
      </c>
      <c r="G15" s="315">
        <f>'actual fig'!L5/10000000</f>
        <v>0.84492449999999997</v>
      </c>
      <c r="H15" s="316">
        <f>(G15-E15)/E15*100</f>
        <v>-52.264152542372891</v>
      </c>
      <c r="I15" s="314">
        <f>(G15-F15)/F15*100</f>
        <v>2227.1305310231737</v>
      </c>
      <c r="K15" s="5">
        <f>((G16+G17)-E16)/E16*100</f>
        <v>-2.4916691837000418</v>
      </c>
    </row>
    <row r="16" spans="1:11" ht="15.4" x14ac:dyDescent="0.4">
      <c r="A16" s="2004"/>
      <c r="B16" s="2071" t="s">
        <v>15</v>
      </c>
      <c r="C16" s="320" t="s">
        <v>166</v>
      </c>
      <c r="D16" s="2166">
        <f>'target FY 22-23'!L56</f>
        <v>887.02</v>
      </c>
      <c r="E16" s="2065">
        <v>76.81</v>
      </c>
      <c r="F16" s="313">
        <f>'actual fig'!M45/10000000</f>
        <v>2.4538000000000001E-2</v>
      </c>
      <c r="G16" s="313">
        <f>'actual fig'!M5/10000000</f>
        <v>2.597871</v>
      </c>
      <c r="H16" s="2154">
        <v>-3.52</v>
      </c>
      <c r="I16" s="314">
        <f>(G16-F16)/F16*100</f>
        <v>10487.134240769419</v>
      </c>
      <c r="K16" s="12"/>
    </row>
    <row r="17" spans="1:11" ht="15.4" x14ac:dyDescent="0.4">
      <c r="A17" s="2005"/>
      <c r="B17" s="2071"/>
      <c r="C17" s="320" t="s">
        <v>228</v>
      </c>
      <c r="D17" s="2064"/>
      <c r="E17" s="2066"/>
      <c r="F17" s="313">
        <f>'actual fig'!N45/10000000</f>
        <v>15.4465646</v>
      </c>
      <c r="G17" s="313">
        <f>'actual fig'!N5/10000000</f>
        <v>72.298277900000002</v>
      </c>
      <c r="H17" s="2155"/>
      <c r="I17" s="314">
        <f>(G17-F17)/F17*100</f>
        <v>368.05409340015967</v>
      </c>
      <c r="K17" s="12"/>
    </row>
    <row r="18" spans="1:11" ht="21.75" customHeight="1" x14ac:dyDescent="0.35">
      <c r="A18" s="2003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</row>
    <row r="19" spans="1:11" ht="21" customHeight="1" x14ac:dyDescent="0.35">
      <c r="A19" s="2004"/>
      <c r="B19" s="1069" t="s">
        <v>230</v>
      </c>
      <c r="C19" s="1070">
        <v>44317</v>
      </c>
      <c r="D19" s="1070">
        <v>44682</v>
      </c>
      <c r="E19" s="1069" t="s">
        <v>681</v>
      </c>
      <c r="F19" s="1070">
        <v>44317</v>
      </c>
      <c r="G19" s="1070">
        <v>44682</v>
      </c>
      <c r="H19" s="1071" t="s">
        <v>682</v>
      </c>
      <c r="I19" s="1072" t="s">
        <v>681</v>
      </c>
    </row>
    <row r="20" spans="1:11" ht="18.75" customHeight="1" x14ac:dyDescent="0.4">
      <c r="A20" s="2004"/>
      <c r="B20" s="1055" t="s">
        <v>231</v>
      </c>
      <c r="C20" s="303">
        <v>84519</v>
      </c>
      <c r="D20" s="303">
        <v>124950</v>
      </c>
      <c r="E20" s="314">
        <f>(D20-C20)/C20*100</f>
        <v>47.836581123770991</v>
      </c>
      <c r="F20" s="315">
        <v>17.454039300000002</v>
      </c>
      <c r="G20" s="315">
        <v>15.94</v>
      </c>
      <c r="H20" s="1060">
        <f>G20/G7*100</f>
        <v>62.071651090342684</v>
      </c>
      <c r="I20" s="314">
        <f>(G20-F20)/F20*100</f>
        <v>-8.6744350346455441</v>
      </c>
    </row>
    <row r="21" spans="1:11" ht="18.75" customHeight="1" x14ac:dyDescent="0.4">
      <c r="A21" s="2004"/>
      <c r="B21" s="1055" t="s">
        <v>232</v>
      </c>
      <c r="C21" s="303">
        <v>2671</v>
      </c>
      <c r="D21" s="303">
        <v>56691</v>
      </c>
      <c r="E21" s="314">
        <f t="shared" ref="E21:E27" si="0">(D21-C21)/C21*100</f>
        <v>2022.4634968176713</v>
      </c>
      <c r="F21" s="315">
        <v>0.22872529999999999</v>
      </c>
      <c r="G21" s="315">
        <v>2.58</v>
      </c>
      <c r="H21" s="1060">
        <f>G21/G7*100</f>
        <v>10.046728971962617</v>
      </c>
      <c r="I21" s="314">
        <f>(G21-F21)/F21*100</f>
        <v>1027.990650793769</v>
      </c>
    </row>
    <row r="22" spans="1:11" ht="18.75" customHeight="1" x14ac:dyDescent="0.4">
      <c r="A22" s="2004"/>
      <c r="B22" s="1055" t="s">
        <v>239</v>
      </c>
      <c r="C22" s="303">
        <v>16170</v>
      </c>
      <c r="D22" s="303">
        <v>53396</v>
      </c>
      <c r="E22" s="314">
        <f t="shared" si="0"/>
        <v>230.21645021645023</v>
      </c>
      <c r="F22" s="315">
        <v>1.9590269</v>
      </c>
      <c r="G22" s="315">
        <v>6.48</v>
      </c>
      <c r="H22" s="1060">
        <f>G22/G7*100</f>
        <v>25.233644859813086</v>
      </c>
      <c r="I22" s="314">
        <f>(G22-F22)/F22*100</f>
        <v>230.77646866411078</v>
      </c>
    </row>
    <row r="23" spans="1:11" ht="18.75" customHeight="1" x14ac:dyDescent="0.4">
      <c r="A23" s="2004"/>
      <c r="B23" s="1055" t="s">
        <v>233</v>
      </c>
      <c r="C23" s="303">
        <v>24056</v>
      </c>
      <c r="D23" s="303">
        <v>18290</v>
      </c>
      <c r="E23" s="314">
        <f t="shared" si="0"/>
        <v>-23.969072164948454</v>
      </c>
      <c r="F23" s="315">
        <v>0.78339729999999996</v>
      </c>
      <c r="G23" s="315">
        <v>0.65</v>
      </c>
      <c r="H23" s="1060">
        <f>G23/G7*100</f>
        <v>2.5311526479750781</v>
      </c>
      <c r="I23" s="314">
        <f>(G23-F23)/F23*100</f>
        <v>-17.028052049707082</v>
      </c>
    </row>
    <row r="24" spans="1:11" ht="18.75" customHeight="1" x14ac:dyDescent="0.4">
      <c r="A24" s="2004"/>
      <c r="B24" s="1055" t="s">
        <v>234</v>
      </c>
      <c r="C24" s="303">
        <v>0</v>
      </c>
      <c r="D24" s="303">
        <v>0</v>
      </c>
      <c r="E24" s="836">
        <v>0</v>
      </c>
      <c r="F24" s="315">
        <v>0</v>
      </c>
      <c r="G24" s="315">
        <v>0</v>
      </c>
      <c r="H24" s="1060">
        <f>G24/G7*100</f>
        <v>0</v>
      </c>
      <c r="I24" s="314">
        <v>0</v>
      </c>
    </row>
    <row r="25" spans="1:11" ht="18.75" customHeight="1" x14ac:dyDescent="0.4">
      <c r="A25" s="2004"/>
      <c r="B25" s="1055" t="s">
        <v>235</v>
      </c>
      <c r="C25" s="303">
        <v>0</v>
      </c>
      <c r="D25" s="303">
        <v>0</v>
      </c>
      <c r="E25" s="836">
        <v>0</v>
      </c>
      <c r="F25" s="315">
        <v>0</v>
      </c>
      <c r="G25" s="315">
        <v>0</v>
      </c>
      <c r="H25" s="1060">
        <f>G25/G7*100</f>
        <v>0</v>
      </c>
      <c r="I25" s="314">
        <v>0</v>
      </c>
    </row>
    <row r="26" spans="1:11" ht="27" customHeight="1" x14ac:dyDescent="0.4">
      <c r="A26" s="2005"/>
      <c r="B26" s="1056" t="s">
        <v>693</v>
      </c>
      <c r="C26" s="1059">
        <f>1329+121</f>
        <v>1450</v>
      </c>
      <c r="D26" s="1059">
        <v>0</v>
      </c>
      <c r="E26" s="836">
        <v>0</v>
      </c>
      <c r="F26" s="315">
        <v>0.21</v>
      </c>
      <c r="G26" s="315">
        <f>255462/10000000</f>
        <v>2.5546200000000002E-2</v>
      </c>
      <c r="H26" s="1060">
        <f>G26/G7*100</f>
        <v>9.9478971962616833E-2</v>
      </c>
      <c r="I26" s="314">
        <f>(G26-F26)/F26*100</f>
        <v>-87.835142857142856</v>
      </c>
    </row>
    <row r="27" spans="1:11" s="26" customFormat="1" ht="19.5" customHeight="1" x14ac:dyDescent="0.4">
      <c r="A27" s="1053"/>
      <c r="B27" s="1063" t="s">
        <v>683</v>
      </c>
      <c r="C27" s="1063">
        <f>SUM(C20:C26)</f>
        <v>128866</v>
      </c>
      <c r="D27" s="1063">
        <f>SUM(D20:D26)</f>
        <v>253327</v>
      </c>
      <c r="E27" s="394">
        <f t="shared" si="0"/>
        <v>96.581720546924714</v>
      </c>
      <c r="F27" s="1054">
        <f>SUM(F20:F26)</f>
        <v>20.635188800000005</v>
      </c>
      <c r="G27" s="1054">
        <f>SUM(G20:G26)</f>
        <v>25.675546199999999</v>
      </c>
      <c r="H27" s="1066">
        <f>SUM(H20:H26)</f>
        <v>99.982656542056077</v>
      </c>
      <c r="I27" s="394">
        <f>(G27-F27)/F27*100</f>
        <v>24.426029966830217</v>
      </c>
    </row>
    <row r="28" spans="1:11" ht="13.9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</row>
    <row r="29" spans="1:11" ht="24" hidden="1" customHeight="1" x14ac:dyDescent="0.35">
      <c r="A29" s="1064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</row>
    <row r="30" spans="1:11" ht="15" x14ac:dyDescent="0.35">
      <c r="A30" s="2014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</row>
    <row r="31" spans="1:11" ht="15.4" x14ac:dyDescent="0.4">
      <c r="A31" s="2015"/>
      <c r="B31" s="2006" t="s">
        <v>2</v>
      </c>
      <c r="C31" s="2007"/>
      <c r="D31" s="331">
        <v>12.05</v>
      </c>
      <c r="E31" s="315">
        <v>1.3</v>
      </c>
      <c r="F31" s="313">
        <v>0.17418420000000001</v>
      </c>
      <c r="G31" s="313">
        <v>2.5110000000000001</v>
      </c>
      <c r="H31" s="314">
        <f>(G31-E31)/E31*100</f>
        <v>93.15384615384616</v>
      </c>
      <c r="I31" s="314">
        <f t="shared" ref="I31:I37" si="1">(G31-F31)/F31*100</f>
        <v>1341.5773646519031</v>
      </c>
    </row>
    <row r="32" spans="1:11" ht="15.4" x14ac:dyDescent="0.4">
      <c r="A32" s="2015"/>
      <c r="B32" s="2006" t="s">
        <v>23</v>
      </c>
      <c r="C32" s="2007"/>
      <c r="D32" s="331">
        <v>27.75</v>
      </c>
      <c r="E32" s="315">
        <v>1.41</v>
      </c>
      <c r="F32" s="381">
        <v>1.2964384</v>
      </c>
      <c r="G32" s="313">
        <f>'actual fig'!V5/10000000</f>
        <v>2.7853634999999999</v>
      </c>
      <c r="H32" s="314">
        <f>(G32-E32)/E32*100</f>
        <v>97.543510638297874</v>
      </c>
      <c r="I32" s="314">
        <f t="shared" si="1"/>
        <v>114.84734639146757</v>
      </c>
    </row>
    <row r="33" spans="1:18" ht="15.4" x14ac:dyDescent="0.4">
      <c r="A33" s="2015"/>
      <c r="B33" s="2006" t="s">
        <v>1</v>
      </c>
      <c r="C33" s="2007"/>
      <c r="D33" s="331">
        <v>5.77</v>
      </c>
      <c r="E33" s="315">
        <v>0.26</v>
      </c>
      <c r="F33" s="313">
        <v>5.2158999999999997E-2</v>
      </c>
      <c r="G33" s="313">
        <f>'actual fig'!W5/10000000</f>
        <v>0.10888689999999999</v>
      </c>
      <c r="H33" s="314">
        <f>(G33-E33)/E33*100</f>
        <v>-58.120423076923075</v>
      </c>
      <c r="I33" s="314">
        <f t="shared" si="1"/>
        <v>108.75956210816926</v>
      </c>
    </row>
    <row r="34" spans="1:18" ht="15.4" x14ac:dyDescent="0.4">
      <c r="A34" s="2015"/>
      <c r="B34" s="2006" t="s">
        <v>24</v>
      </c>
      <c r="C34" s="2007"/>
      <c r="D34" s="603" t="s">
        <v>221</v>
      </c>
      <c r="E34" s="315"/>
      <c r="F34" s="313">
        <v>1.027E-2</v>
      </c>
      <c r="G34" s="381">
        <f>'actual fig'!Y5/10000000</f>
        <v>0.303392</v>
      </c>
      <c r="H34" s="316" t="s">
        <v>221</v>
      </c>
      <c r="I34" s="314">
        <f t="shared" si="1"/>
        <v>2854.1577409931838</v>
      </c>
    </row>
    <row r="35" spans="1:18" ht="15.4" x14ac:dyDescent="0.4">
      <c r="A35" s="2015"/>
      <c r="B35" s="2017" t="s">
        <v>25</v>
      </c>
      <c r="C35" s="2030"/>
      <c r="D35" s="603" t="s">
        <v>221</v>
      </c>
      <c r="E35" s="315"/>
      <c r="F35" s="315">
        <v>1.6766E-2</v>
      </c>
      <c r="G35" s="404">
        <f>'actual fig'!X5/10000000</f>
        <v>5.1638000000000003E-2</v>
      </c>
      <c r="H35" s="316" t="s">
        <v>221</v>
      </c>
      <c r="I35" s="314">
        <f t="shared" si="1"/>
        <v>207.99236550161041</v>
      </c>
    </row>
    <row r="36" spans="1:18" ht="15.4" x14ac:dyDescent="0.4">
      <c r="A36" s="2016"/>
      <c r="B36" s="2017" t="s">
        <v>241</v>
      </c>
      <c r="C36" s="2030"/>
      <c r="D36" s="540" t="s">
        <v>221</v>
      </c>
      <c r="E36" s="316"/>
      <c r="F36" s="315">
        <v>2.0836104</v>
      </c>
      <c r="G36" s="315">
        <f>'actual fig'!T5/10000000</f>
        <v>3.7502597999999998</v>
      </c>
      <c r="H36" s="316" t="s">
        <v>221</v>
      </c>
      <c r="I36" s="314">
        <f t="shared" si="1"/>
        <v>79.988533364970721</v>
      </c>
    </row>
    <row r="37" spans="1:18" x14ac:dyDescent="0.4">
      <c r="A37" s="403"/>
      <c r="B37" s="2006" t="s">
        <v>260</v>
      </c>
      <c r="C37" s="2019"/>
      <c r="D37" s="540" t="s">
        <v>221</v>
      </c>
      <c r="E37" s="316"/>
      <c r="F37" s="134">
        <v>1.7496399999999999E-2</v>
      </c>
      <c r="G37" s="404">
        <f>'actual fig'!Z5/10000000</f>
        <v>8.1125600000000006E-2</v>
      </c>
      <c r="H37" s="413"/>
      <c r="I37" s="314">
        <f t="shared" si="1"/>
        <v>363.67024073523709</v>
      </c>
    </row>
    <row r="38" spans="1:18" ht="15" x14ac:dyDescent="0.35">
      <c r="A38" s="2020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</row>
    <row r="39" spans="1:18" ht="15.4" x14ac:dyDescent="0.4">
      <c r="A39" s="2020"/>
      <c r="B39" s="2006" t="s">
        <v>27</v>
      </c>
      <c r="C39" s="2007"/>
      <c r="D39" s="331">
        <v>12.24</v>
      </c>
      <c r="E39" s="404">
        <v>1.02</v>
      </c>
      <c r="F39" s="313">
        <v>0.1479828</v>
      </c>
      <c r="G39" s="313">
        <f>'actual fig'!T21/10000000</f>
        <v>0.45281149999999998</v>
      </c>
      <c r="H39" s="314">
        <f>(G39-E39)/E39*100</f>
        <v>-55.606715686274519</v>
      </c>
      <c r="I39" s="314">
        <f>(G39-F39)/F39*100</f>
        <v>205.98927713220723</v>
      </c>
    </row>
    <row r="40" spans="1:18" ht="15.4" x14ac:dyDescent="0.4">
      <c r="A40" s="2020"/>
      <c r="B40" s="2006" t="s">
        <v>28</v>
      </c>
      <c r="C40" s="2007"/>
      <c r="D40" s="333">
        <v>2.84</v>
      </c>
      <c r="E40" s="315">
        <v>0.23599999999999999</v>
      </c>
      <c r="F40" s="314">
        <v>0</v>
      </c>
      <c r="G40" s="381">
        <f>167677/10000000</f>
        <v>1.67677E-2</v>
      </c>
      <c r="H40" s="314">
        <f>(G40-E40)/E40*100</f>
        <v>-92.895042372881349</v>
      </c>
      <c r="I40" s="836">
        <v>0</v>
      </c>
    </row>
    <row r="41" spans="1:18" ht="15.4" x14ac:dyDescent="0.4">
      <c r="A41" s="2020"/>
      <c r="B41" s="378" t="s">
        <v>224</v>
      </c>
      <c r="C41" s="379"/>
      <c r="D41" s="331">
        <v>2.4500000000000002</v>
      </c>
      <c r="E41" s="323">
        <f>2.45/12</f>
        <v>0.20416666666666669</v>
      </c>
      <c r="F41" s="381">
        <v>0</v>
      </c>
      <c r="G41" s="313">
        <v>0</v>
      </c>
      <c r="H41" s="314">
        <f>(G41-E41)/E41*100</f>
        <v>-100</v>
      </c>
      <c r="I41" s="836">
        <v>0</v>
      </c>
    </row>
    <row r="42" spans="1:18" ht="15.4" x14ac:dyDescent="0.4">
      <c r="A42" s="2020"/>
      <c r="B42" s="2006" t="s">
        <v>64</v>
      </c>
      <c r="C42" s="2007"/>
      <c r="D42" s="540" t="s">
        <v>221</v>
      </c>
      <c r="E42" s="315"/>
      <c r="F42" s="314">
        <v>0</v>
      </c>
      <c r="G42" s="313">
        <v>0</v>
      </c>
      <c r="H42" s="314" t="s">
        <v>221</v>
      </c>
      <c r="I42" s="836">
        <v>0</v>
      </c>
    </row>
    <row r="43" spans="1:18" ht="15.4" x14ac:dyDescent="0.4">
      <c r="A43" s="2020"/>
      <c r="B43" s="2006" t="s">
        <v>4</v>
      </c>
      <c r="C43" s="2007"/>
      <c r="D43" s="540" t="s">
        <v>221</v>
      </c>
      <c r="E43" s="315"/>
      <c r="F43" s="314">
        <v>0</v>
      </c>
      <c r="G43" s="313">
        <v>1.9599999999999999E-2</v>
      </c>
      <c r="H43" s="314" t="s">
        <v>221</v>
      </c>
      <c r="I43" s="836">
        <v>0</v>
      </c>
      <c r="R43" s="5">
        <v>167677</v>
      </c>
    </row>
    <row r="44" spans="1:18" x14ac:dyDescent="0.4">
      <c r="A44" s="373"/>
      <c r="B44" s="2006" t="s">
        <v>259</v>
      </c>
      <c r="C44" s="2019"/>
      <c r="D44" s="540" t="s">
        <v>221</v>
      </c>
      <c r="E44" s="315"/>
      <c r="F44" s="1039">
        <v>3.3986599999999999E-2</v>
      </c>
      <c r="G44" s="313">
        <f>'actual fig'!X21/10000000</f>
        <v>6.3799599999999998E-2</v>
      </c>
      <c r="H44" s="407" t="s">
        <v>221</v>
      </c>
      <c r="I44" s="314">
        <f>(G44-F44)/F44*100</f>
        <v>87.719866064860867</v>
      </c>
    </row>
    <row r="45" spans="1:18" ht="15" x14ac:dyDescent="0.35">
      <c r="A45" s="2020"/>
      <c r="B45" s="2309" t="s">
        <v>419</v>
      </c>
      <c r="C45" s="2310"/>
      <c r="D45" s="2310"/>
      <c r="E45" s="2310"/>
      <c r="F45" s="2310"/>
      <c r="G45" s="2310"/>
      <c r="H45" s="2310"/>
      <c r="I45" s="2311"/>
    </row>
    <row r="46" spans="1:18" ht="15.4" x14ac:dyDescent="0.4">
      <c r="A46" s="2020"/>
      <c r="B46" s="2006" t="s">
        <v>16</v>
      </c>
      <c r="C46" s="2007"/>
      <c r="D46" s="331">
        <v>37.090000000000003</v>
      </c>
      <c r="E46" s="315">
        <v>2.94</v>
      </c>
      <c r="F46" s="315">
        <f>'actual fig'!L61/1000000</f>
        <v>8.8845999999999994E-2</v>
      </c>
      <c r="G46" s="315">
        <f>'actual fig'!L21/1000000</f>
        <v>1.359308</v>
      </c>
      <c r="H46" s="316">
        <f>(G46-E46)/E46*100</f>
        <v>-53.765034013605437</v>
      </c>
      <c r="I46" s="314">
        <f>(G46-F46)/F46*100</f>
        <v>1429.9597055579318</v>
      </c>
      <c r="K46" s="5">
        <f>((G47+G48)-E47)/E47*100</f>
        <v>-55.532087378640767</v>
      </c>
    </row>
    <row r="47" spans="1:18" ht="15.4" x14ac:dyDescent="0.4">
      <c r="A47" s="2020"/>
      <c r="B47" s="2069" t="s">
        <v>15</v>
      </c>
      <c r="C47" s="320" t="s">
        <v>166</v>
      </c>
      <c r="D47" s="2067">
        <v>43.23</v>
      </c>
      <c r="E47" s="2154">
        <v>4.12</v>
      </c>
      <c r="F47" s="313">
        <f>'actual fig'!M61/1000000</f>
        <v>2.2467999999999998E-2</v>
      </c>
      <c r="G47" s="313">
        <f>'actual fig'!M21/1000000</f>
        <v>0.69669300000000001</v>
      </c>
      <c r="H47" s="2027">
        <v>-60.6</v>
      </c>
      <c r="I47" s="314">
        <f>(G47-F47)/F47*100</f>
        <v>3000.8233932704288</v>
      </c>
    </row>
    <row r="48" spans="1:18" ht="15.4" x14ac:dyDescent="0.4">
      <c r="A48" s="2020"/>
      <c r="B48" s="2070"/>
      <c r="C48" s="320" t="s">
        <v>228</v>
      </c>
      <c r="D48" s="2068"/>
      <c r="E48" s="2155"/>
      <c r="F48" s="313">
        <f>'actual fig'!N61/1000000</f>
        <v>0.27327800000000002</v>
      </c>
      <c r="G48" s="313">
        <f>'actual fig'!N21/1000000</f>
        <v>1.1353850000000001</v>
      </c>
      <c r="H48" s="2029"/>
      <c r="I48" s="314">
        <f>(G48-F48)/F48*100</f>
        <v>315.46886320889354</v>
      </c>
    </row>
    <row r="49" spans="1:9" ht="15" x14ac:dyDescent="0.35">
      <c r="A49" s="2020">
        <v>6</v>
      </c>
      <c r="B49" s="2309" t="s">
        <v>696</v>
      </c>
      <c r="C49" s="2310"/>
      <c r="D49" s="2310"/>
      <c r="E49" s="2310"/>
      <c r="F49" s="2310"/>
      <c r="G49" s="2310"/>
      <c r="H49" s="2310"/>
      <c r="I49" s="2311"/>
    </row>
    <row r="50" spans="1:9" ht="15.4" x14ac:dyDescent="0.4">
      <c r="A50" s="2020"/>
      <c r="B50" s="2006" t="s">
        <v>36</v>
      </c>
      <c r="C50" s="2007"/>
      <c r="D50" s="303" t="s">
        <v>221</v>
      </c>
      <c r="E50" s="2024" t="s">
        <v>221</v>
      </c>
      <c r="F50" s="313">
        <v>124.95</v>
      </c>
      <c r="G50" s="313">
        <v>138.88999999999999</v>
      </c>
      <c r="H50" s="2027" t="s">
        <v>221</v>
      </c>
      <c r="I50" s="314">
        <f>(G50-F50)/F50*100</f>
        <v>11.156462585034001</v>
      </c>
    </row>
    <row r="51" spans="1:9" ht="15.4" x14ac:dyDescent="0.4">
      <c r="A51" s="2020"/>
      <c r="B51" s="2006" t="s">
        <v>37</v>
      </c>
      <c r="C51" s="2007"/>
      <c r="D51" s="303" t="s">
        <v>221</v>
      </c>
      <c r="E51" s="2025"/>
      <c r="F51" s="313">
        <v>30.94</v>
      </c>
      <c r="G51" s="313">
        <v>42.12</v>
      </c>
      <c r="H51" s="2028"/>
      <c r="I51" s="314">
        <f>(G51-F51)/F51*100</f>
        <v>36.13445378151259</v>
      </c>
    </row>
    <row r="52" spans="1:9" ht="15.4" x14ac:dyDescent="0.4">
      <c r="A52" s="2020"/>
      <c r="B52" s="2006" t="s">
        <v>38</v>
      </c>
      <c r="C52" s="2007"/>
      <c r="D52" s="303" t="s">
        <v>221</v>
      </c>
      <c r="E52" s="2026"/>
      <c r="F52" s="313">
        <f>SUM(F50:F51)</f>
        <v>155.89000000000001</v>
      </c>
      <c r="G52" s="313">
        <f>SUM(G50:G51)</f>
        <v>181.01</v>
      </c>
      <c r="H52" s="2029"/>
      <c r="I52" s="314">
        <f>(G52-F52)/F52*100</f>
        <v>16.113926486625168</v>
      </c>
    </row>
    <row r="54" spans="1:9" x14ac:dyDescent="0.35">
      <c r="D54" s="84">
        <f>D39*10000000</f>
        <v>122400000</v>
      </c>
      <c r="E54" s="35">
        <f>D54/100000</f>
        <v>1224</v>
      </c>
      <c r="F54" s="11">
        <f>E54/12</f>
        <v>102</v>
      </c>
      <c r="G54" s="11">
        <f>F54*2</f>
        <v>204</v>
      </c>
    </row>
    <row r="55" spans="1:9" x14ac:dyDescent="0.35">
      <c r="D55" s="84">
        <f>D40*10000000</f>
        <v>28400000</v>
      </c>
      <c r="E55" s="35">
        <f>D55/100000</f>
        <v>284</v>
      </c>
      <c r="F55" s="11">
        <f>E55/12</f>
        <v>23.666666666666668</v>
      </c>
      <c r="G55" s="11">
        <f>F55*2</f>
        <v>47.333333333333336</v>
      </c>
    </row>
    <row r="56" spans="1:9" x14ac:dyDescent="0.35">
      <c r="D56" s="84">
        <f>D41*10000000</f>
        <v>24500000</v>
      </c>
      <c r="E56" s="35">
        <f>D56/100000</f>
        <v>245</v>
      </c>
      <c r="F56" s="11">
        <f>E56/12</f>
        <v>20.416666666666668</v>
      </c>
      <c r="G56" s="11">
        <f>F56*2</f>
        <v>40.833333333333336</v>
      </c>
    </row>
  </sheetData>
  <mergeCells count="60">
    <mergeCell ref="A49:A52"/>
    <mergeCell ref="B49:I49"/>
    <mergeCell ref="B50:C50"/>
    <mergeCell ref="E50:E52"/>
    <mergeCell ref="H50:H52"/>
    <mergeCell ref="B51:C51"/>
    <mergeCell ref="B52:C52"/>
    <mergeCell ref="B44:C44"/>
    <mergeCell ref="A45:A48"/>
    <mergeCell ref="B45:I45"/>
    <mergeCell ref="B46:C46"/>
    <mergeCell ref="B47:B48"/>
    <mergeCell ref="D47:D48"/>
    <mergeCell ref="E47:E48"/>
    <mergeCell ref="H47:H48"/>
    <mergeCell ref="B37:C37"/>
    <mergeCell ref="A38:A43"/>
    <mergeCell ref="B38:I38"/>
    <mergeCell ref="B39:C39"/>
    <mergeCell ref="B40:C40"/>
    <mergeCell ref="B42:C42"/>
    <mergeCell ref="B43:C43"/>
    <mergeCell ref="H28:I28"/>
    <mergeCell ref="A30:A36"/>
    <mergeCell ref="B30:I30"/>
    <mergeCell ref="B31:C31"/>
    <mergeCell ref="B32:C32"/>
    <mergeCell ref="B33:C33"/>
    <mergeCell ref="B34:C34"/>
    <mergeCell ref="B35:C35"/>
    <mergeCell ref="B36:C36"/>
    <mergeCell ref="A18:A26"/>
    <mergeCell ref="C18:E18"/>
    <mergeCell ref="F18:G18"/>
    <mergeCell ref="B28:C29"/>
    <mergeCell ref="D28:E28"/>
    <mergeCell ref="F28:G28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A11:I11"/>
    <mergeCell ref="A1:I1"/>
    <mergeCell ref="A2:I2"/>
    <mergeCell ref="A3:A5"/>
    <mergeCell ref="B3:C5"/>
    <mergeCell ref="D3:E3"/>
    <mergeCell ref="F3:G3"/>
    <mergeCell ref="H3:I3"/>
    <mergeCell ref="D5:E5"/>
    <mergeCell ref="B6:C6"/>
    <mergeCell ref="B7:C7"/>
    <mergeCell ref="B8:C8"/>
    <mergeCell ref="B9:C9"/>
    <mergeCell ref="B10:C10"/>
  </mergeCells>
  <pageMargins left="0.2" right="0.2" top="0.41" bottom="0.28000000000000003" header="0.3" footer="0.3"/>
  <pageSetup paperSize="9" scale="48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F565B-4693-4B28-8223-EF16667D9917}">
  <sheetPr>
    <tabColor rgb="FFFF0000"/>
    <pageSetUpPr fitToPage="1"/>
  </sheetPr>
  <dimension ref="A1:AH153"/>
  <sheetViews>
    <sheetView topLeftCell="A9" zoomScale="80" zoomScaleNormal="80" workbookViewId="0">
      <selection activeCell="G21" sqref="G21"/>
    </sheetView>
  </sheetViews>
  <sheetFormatPr defaultColWidth="9.1328125" defaultRowHeight="15" x14ac:dyDescent="0.4"/>
  <cols>
    <col min="1" max="1" width="3.73046875" style="1235" customWidth="1"/>
    <col min="2" max="2" width="39.3984375" style="300" customWidth="1"/>
    <col min="3" max="3" width="10.73046875" style="1439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59765625" style="1209" customWidth="1"/>
    <col min="14" max="14" width="43.73046875" style="5" customWidth="1"/>
    <col min="15" max="15" width="12.1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1" width="11.1328125" style="5" customWidth="1"/>
    <col min="22" max="22" width="9.1328125" style="5"/>
    <col min="23" max="23" width="12.3984375" style="5" bestFit="1" customWidth="1"/>
    <col min="24" max="24" width="13.3984375" style="172" customWidth="1"/>
    <col min="25" max="25" width="11.265625" style="5" bestFit="1" customWidth="1"/>
    <col min="26" max="26" width="10.265625" style="5" bestFit="1" customWidth="1"/>
    <col min="27" max="27" width="10.59765625" style="5" bestFit="1" customWidth="1"/>
    <col min="28" max="28" width="9.1328125" style="5"/>
    <col min="29" max="29" width="37.3984375" style="5" customWidth="1"/>
    <col min="30" max="30" width="16.59765625" style="5" customWidth="1"/>
    <col min="31" max="31" width="16.86328125" style="5" customWidth="1"/>
    <col min="32" max="32" width="17.59765625" style="5" customWidth="1"/>
    <col min="33" max="33" width="16.3984375" style="5" bestFit="1" customWidth="1"/>
    <col min="34" max="34" width="15.1328125" style="5" customWidth="1"/>
    <col min="35" max="16384" width="9.1328125" style="5"/>
  </cols>
  <sheetData>
    <row r="1" spans="1:34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156" t="s">
        <v>781</v>
      </c>
      <c r="N1" s="2156"/>
      <c r="O1" s="2156"/>
      <c r="P1" s="2156"/>
      <c r="Q1" s="2156"/>
      <c r="R1" s="2156"/>
      <c r="S1" s="2156"/>
      <c r="T1" s="2156"/>
      <c r="U1" s="2156"/>
    </row>
    <row r="2" spans="1:34" s="301" customFormat="1" ht="18" thickBot="1" x14ac:dyDescent="0.4">
      <c r="A2" s="2346" t="s">
        <v>883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346" t="s">
        <v>890</v>
      </c>
      <c r="N2" s="2347"/>
      <c r="O2" s="2347"/>
      <c r="P2" s="2347"/>
      <c r="Q2" s="2347"/>
      <c r="R2" s="2347"/>
      <c r="S2" s="2347"/>
      <c r="T2" s="2347"/>
      <c r="U2" s="2348"/>
      <c r="X2" s="1149"/>
      <c r="AC2" s="2326" t="s">
        <v>781</v>
      </c>
      <c r="AD2" s="2326"/>
      <c r="AE2" s="2326"/>
      <c r="AF2" s="2326"/>
      <c r="AG2" s="2326"/>
      <c r="AH2" s="2326"/>
    </row>
    <row r="3" spans="1:34" ht="17.25" customHeight="1" thickTop="1" x14ac:dyDescent="0.5">
      <c r="A3" s="2360" t="s">
        <v>144</v>
      </c>
      <c r="B3" s="2342" t="s">
        <v>353</v>
      </c>
      <c r="C3" s="1430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</row>
    <row r="4" spans="1:34" s="35" customFormat="1" ht="21.75" customHeight="1" x14ac:dyDescent="0.35">
      <c r="A4" s="2360"/>
      <c r="B4" s="2343"/>
      <c r="C4" s="1431" t="s">
        <v>666</v>
      </c>
      <c r="D4" s="1424" t="s">
        <v>879</v>
      </c>
      <c r="E4" s="1445">
        <f>G4</f>
        <v>45047</v>
      </c>
      <c r="F4" s="422">
        <v>44702</v>
      </c>
      <c r="G4" s="422">
        <v>45047</v>
      </c>
      <c r="H4" s="2335" t="s">
        <v>12</v>
      </c>
      <c r="I4" s="2335" t="s">
        <v>13</v>
      </c>
      <c r="J4" s="84"/>
      <c r="K4" s="84"/>
      <c r="L4" s="1150"/>
      <c r="M4" s="2358"/>
      <c r="N4" s="2343"/>
      <c r="O4" s="1183" t="s">
        <v>666</v>
      </c>
      <c r="P4" s="421" t="s">
        <v>9</v>
      </c>
      <c r="Q4" s="422">
        <f>E4</f>
        <v>45047</v>
      </c>
      <c r="R4" s="422">
        <f>F4</f>
        <v>44702</v>
      </c>
      <c r="S4" s="422">
        <f>G4</f>
        <v>45047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</row>
    <row r="5" spans="1:34" ht="18.75" hidden="1" customHeight="1" x14ac:dyDescent="0.5">
      <c r="A5" s="2361"/>
      <c r="B5" s="2344"/>
      <c r="C5" s="1432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</row>
    <row r="6" spans="1:34" ht="30" customHeight="1" x14ac:dyDescent="0.35">
      <c r="A6" s="1229">
        <v>1</v>
      </c>
      <c r="B6" s="1191" t="s">
        <v>290</v>
      </c>
      <c r="C6" s="1433">
        <v>1024.2159494</v>
      </c>
      <c r="D6" s="1425">
        <v>1063.73</v>
      </c>
      <c r="E6" s="1446">
        <f>E15+E16</f>
        <v>78.010000000000005</v>
      </c>
      <c r="F6" s="434">
        <f>F15+F16+F17</f>
        <v>75.741073400000005</v>
      </c>
      <c r="G6" s="434">
        <f>G15+G16+G17</f>
        <v>94.116381700000005</v>
      </c>
      <c r="H6" s="1313">
        <f>(G6-E6)/E6*100</f>
        <v>20.646560312780412</v>
      </c>
      <c r="I6" s="517">
        <f>(G6-F6)/F6*100</f>
        <v>24.260691689642726</v>
      </c>
      <c r="M6" s="1203">
        <v>1</v>
      </c>
      <c r="N6" s="1179" t="s">
        <v>290</v>
      </c>
      <c r="O6" s="1185">
        <v>1024.2159494</v>
      </c>
      <c r="P6" s="1425">
        <v>1063.73</v>
      </c>
      <c r="Q6" s="1446">
        <f>Q15+Q16</f>
        <v>153.51</v>
      </c>
      <c r="R6" s="434">
        <f>R15+R16+R17</f>
        <v>148.79107340000002</v>
      </c>
      <c r="S6" s="434">
        <f>S15+S16+S17</f>
        <v>182.19658620000001</v>
      </c>
      <c r="T6" s="1313">
        <f>(S6-Q6)/Q6*100</f>
        <v>18.687112370529626</v>
      </c>
      <c r="U6" s="1313">
        <f>(S6-R6)/R6*100</f>
        <v>22.451288263910051</v>
      </c>
      <c r="V6" s="12">
        <f>(S6-P6)/P6*100</f>
        <v>-82.871914282759732</v>
      </c>
      <c r="W6" s="5">
        <f>(S6-P6)/P6*100</f>
        <v>-82.871914282759732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</row>
    <row r="7" spans="1:34" ht="26.25" customHeight="1" x14ac:dyDescent="0.35">
      <c r="A7" s="1230">
        <v>2</v>
      </c>
      <c r="B7" s="1154" t="s">
        <v>291</v>
      </c>
      <c r="C7" s="1433">
        <v>403.10200000000003</v>
      </c>
      <c r="D7" s="1425">
        <v>485.81999999999994</v>
      </c>
      <c r="E7" s="1446">
        <v>31.71</v>
      </c>
      <c r="F7" s="434">
        <f>F20+F21+F22+F23+F24+F25+F26</f>
        <v>25.675546199999999</v>
      </c>
      <c r="G7" s="434">
        <f>G20+G21+G22+G23+G24+G25+G26</f>
        <v>28.040000000000003</v>
      </c>
      <c r="H7" s="1313">
        <f>(G7-E7)/E7*100</f>
        <v>-11.573636076947329</v>
      </c>
      <c r="I7" s="517">
        <f>(G7-F7)/F7*100</f>
        <v>9.2089717647369973</v>
      </c>
      <c r="M7" s="1204">
        <v>2</v>
      </c>
      <c r="N7" s="1154" t="s">
        <v>291</v>
      </c>
      <c r="O7" s="1186">
        <v>403.10200000000003</v>
      </c>
      <c r="P7" s="1425">
        <v>485.81999999999994</v>
      </c>
      <c r="Q7" s="1446">
        <f>E7+'APRIL-2023'!E7</f>
        <v>65.289999999999992</v>
      </c>
      <c r="R7" s="434">
        <f>R20+R21+R22+R23+R24+R25+R26</f>
        <v>54.015546199999996</v>
      </c>
      <c r="S7" s="434">
        <f>S20+S21+S22+S23+S24+S25+S26</f>
        <v>58.78</v>
      </c>
      <c r="T7" s="1313">
        <f>(S7-Q7)/Q7*100</f>
        <v>-9.9708990657068348</v>
      </c>
      <c r="U7" s="1313">
        <f>(S7-R7)/R7*100</f>
        <v>8.8205232292920996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</row>
    <row r="8" spans="1:34" ht="32.25" customHeight="1" x14ac:dyDescent="0.35">
      <c r="A8" s="1231">
        <v>3</v>
      </c>
      <c r="B8" s="1155" t="s">
        <v>292</v>
      </c>
      <c r="C8" s="1433">
        <v>106.68749520000001</v>
      </c>
      <c r="D8" s="1425">
        <v>150.59</v>
      </c>
      <c r="E8" s="1446">
        <v>15.18</v>
      </c>
      <c r="F8" s="1314">
        <f>F31+F32+F33+F35+F36+F37+F38</f>
        <v>9.6264452999999985</v>
      </c>
      <c r="G8" s="1314">
        <f>G31+G32+G33+G35+G36+G37+G38</f>
        <v>9.9481878000000012</v>
      </c>
      <c r="H8" s="1313">
        <f>(G8-E8)/E8*100</f>
        <v>-34.465166007905133</v>
      </c>
      <c r="I8" s="517">
        <f>(G8-F8)/F8*100</f>
        <v>3.3422773409412376</v>
      </c>
      <c r="M8" s="1205">
        <v>3</v>
      </c>
      <c r="N8" s="1155" t="s">
        <v>292</v>
      </c>
      <c r="O8" s="1187">
        <v>106.68749520000001</v>
      </c>
      <c r="P8" s="1425">
        <v>150.59</v>
      </c>
      <c r="Q8" s="1446">
        <f>E8+'APRIL-2023'!E8</f>
        <v>26.53</v>
      </c>
      <c r="R8" s="1314">
        <f>R31+R32+R33+R35+R36+R37+R38</f>
        <v>18.203357999999998</v>
      </c>
      <c r="S8" s="1314">
        <f>S31+S32+S33+S35+S36+S37+S38</f>
        <v>19.755234299999998</v>
      </c>
      <c r="T8" s="1313">
        <f>(S8-Q8)/Q8*100</f>
        <v>-25.536244628722208</v>
      </c>
      <c r="U8" s="1313">
        <f>(S8-R8)/R8*100</f>
        <v>8.5252199072281076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</row>
    <row r="9" spans="1:34" ht="34.5" customHeight="1" x14ac:dyDescent="0.35">
      <c r="A9" s="1230">
        <v>4</v>
      </c>
      <c r="B9" s="1156" t="s">
        <v>293</v>
      </c>
      <c r="C9" s="1433">
        <v>17.701250099999996</v>
      </c>
      <c r="D9" s="1425">
        <f>D40+D41+D42</f>
        <v>19.149999999999999</v>
      </c>
      <c r="E9" s="1425">
        <f>E40+E41+E42</f>
        <v>1.595</v>
      </c>
      <c r="F9" s="434">
        <f>F40+F41+F42+F44+F45</f>
        <v>0.55297879999999999</v>
      </c>
      <c r="G9" s="434">
        <f>G40+G41+G42+G44+G45</f>
        <v>1.3126252000000003</v>
      </c>
      <c r="H9" s="1313">
        <f>(G9-E9)/E9*100</f>
        <v>-17.70374921630092</v>
      </c>
      <c r="I9" s="517">
        <f>(G9-F9)/F9*100</f>
        <v>137.37351232994831</v>
      </c>
      <c r="M9" s="1204">
        <v>4</v>
      </c>
      <c r="N9" s="1156" t="s">
        <v>293</v>
      </c>
      <c r="O9" s="1185">
        <v>17.701250099999996</v>
      </c>
      <c r="P9" s="1425">
        <f>P40+P41+P42</f>
        <v>19.149999999999999</v>
      </c>
      <c r="Q9" s="1425">
        <f>Q40+Q41+Q42</f>
        <v>3.19</v>
      </c>
      <c r="R9" s="434">
        <f>R40+R41+R42+R44+R45</f>
        <v>1.3084264000000001</v>
      </c>
      <c r="S9" s="434">
        <f>S40+S41+S42+S44+S45</f>
        <v>2.5462454999999999</v>
      </c>
      <c r="T9" s="1313">
        <f>(S9-Q9)/Q9*100</f>
        <v>-20.18039184952978</v>
      </c>
      <c r="U9" s="1313">
        <f>(S9-R9)/R9*100</f>
        <v>94.603647557096053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</row>
    <row r="10" spans="1:34" ht="28.5" customHeight="1" x14ac:dyDescent="0.35">
      <c r="A10" s="1231">
        <v>5</v>
      </c>
      <c r="B10" s="1157" t="s">
        <v>294</v>
      </c>
      <c r="C10" s="1433">
        <f>SUM(C6:C9)</f>
        <v>1551.7066947000001</v>
      </c>
      <c r="D10" s="1425">
        <f>SUM(D6:D9)</f>
        <v>1719.29</v>
      </c>
      <c r="E10" s="1447">
        <f>E6+E7+E8+E9</f>
        <v>126.495</v>
      </c>
      <c r="F10" s="321">
        <f>SUM(F6:F9)</f>
        <v>111.59604370000001</v>
      </c>
      <c r="G10" s="321">
        <f>SUM(G6:G9)</f>
        <v>133.41719470000004</v>
      </c>
      <c r="H10" s="1162">
        <f>(G10-E10)/E10*100</f>
        <v>5.4723069686549142</v>
      </c>
      <c r="I10" s="322">
        <f>(G10-F10)/F10*100</f>
        <v>19.553695880708023</v>
      </c>
      <c r="M10" s="1205">
        <v>5</v>
      </c>
      <c r="N10" s="1157" t="s">
        <v>294</v>
      </c>
      <c r="O10" s="1188">
        <v>1551.7066947000001</v>
      </c>
      <c r="P10" s="321">
        <f>SUM(P6:P9)</f>
        <v>1719.29</v>
      </c>
      <c r="Q10" s="321">
        <f>SUM(Q6:Q9)</f>
        <v>248.51999999999998</v>
      </c>
      <c r="R10" s="321">
        <f>SUM(R6:R9)</f>
        <v>222.31840400000002</v>
      </c>
      <c r="S10" s="321">
        <f>SUM(S6:S9)</f>
        <v>263.27806600000002</v>
      </c>
      <c r="T10" s="1162">
        <f>(S10-Q10)/Q10*100</f>
        <v>5.9383816191855958</v>
      </c>
      <c r="U10" s="1162">
        <f>(S10-R10)/R10*100</f>
        <v>18.423873715826065</v>
      </c>
      <c r="X10" s="12">
        <f>SUM(X6:X9)</f>
        <v>389.94179218299996</v>
      </c>
      <c r="Y10" s="12">
        <f>SUM(Y6:Y9)</f>
        <v>752.12112639999998</v>
      </c>
      <c r="Z10" s="12">
        <f>S10-Y10</f>
        <v>-488.84306039999996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</row>
    <row r="11" spans="1:34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</row>
    <row r="12" spans="1:34" ht="31.5" customHeight="1" x14ac:dyDescent="0.35">
      <c r="A12" s="1230">
        <v>6.3</v>
      </c>
      <c r="B12" s="1293" t="s">
        <v>778</v>
      </c>
      <c r="C12" s="1433">
        <v>47.027382000000003</v>
      </c>
      <c r="D12" s="1428">
        <v>55.06</v>
      </c>
      <c r="E12" s="1312">
        <f>E47+E48</f>
        <v>3.6900000000000004</v>
      </c>
      <c r="F12" s="1294">
        <f>F47+F48+F49</f>
        <v>3.1913860000000005</v>
      </c>
      <c r="G12" s="1294">
        <f>G47+G48+G49</f>
        <v>4.6799400000000002</v>
      </c>
      <c r="H12" s="1162">
        <f>(G12-E12)/E12*100</f>
        <v>26.827642276422758</v>
      </c>
      <c r="I12" s="316">
        <f>(G12-F12)/F12*100</f>
        <v>46.642869273726198</v>
      </c>
      <c r="L12" s="1476"/>
      <c r="M12" s="1204">
        <v>6.3</v>
      </c>
      <c r="N12" s="1316" t="s">
        <v>814</v>
      </c>
      <c r="O12" s="1433">
        <v>47.027382000000003</v>
      </c>
      <c r="P12" s="332">
        <v>55.06</v>
      </c>
      <c r="Q12" s="307">
        <f>Q47+Q48</f>
        <v>7.0600000000000005</v>
      </c>
      <c r="R12" s="1294">
        <f>R47+R48+R49</f>
        <v>6.1013859999999998</v>
      </c>
      <c r="S12" s="1294">
        <f>S47+S48+S49</f>
        <v>9.0828990000000012</v>
      </c>
      <c r="T12" s="1162">
        <f>(S12-Q12)/Q12*100</f>
        <v>28.652960339943352</v>
      </c>
      <c r="U12" s="1060">
        <f>(S12-R12)/R12*100</f>
        <v>48.866159262829818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</row>
    <row r="13" spans="1:34" s="1310" customFormat="1" ht="13.5" customHeight="1" x14ac:dyDescent="0.35">
      <c r="A13" s="1309"/>
      <c r="B13" s="2438" t="s">
        <v>229</v>
      </c>
      <c r="C13" s="2439"/>
      <c r="D13" s="2439"/>
      <c r="E13" s="2439"/>
      <c r="F13" s="2439"/>
      <c r="G13" s="2439"/>
      <c r="H13" s="2439"/>
      <c r="I13" s="2440"/>
      <c r="L13" s="1311"/>
      <c r="M13" s="1309"/>
      <c r="N13" s="2438" t="s">
        <v>229</v>
      </c>
      <c r="O13" s="2439"/>
      <c r="P13" s="2439"/>
      <c r="Q13" s="2439"/>
      <c r="R13" s="2439"/>
      <c r="S13" s="2439"/>
      <c r="T13" s="2439"/>
      <c r="U13" s="2440"/>
      <c r="X13" s="1311"/>
    </row>
    <row r="14" spans="1:34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L14" s="1476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34" ht="15.4" x14ac:dyDescent="0.4">
      <c r="A15" s="2374"/>
      <c r="B15" s="378" t="s">
        <v>802</v>
      </c>
      <c r="C15" s="1434">
        <v>11.460276500000001</v>
      </c>
      <c r="D15" s="1428">
        <f>'TARGET 23-24'!B26</f>
        <v>12.600000000000001</v>
      </c>
      <c r="E15" s="1249">
        <v>0.93</v>
      </c>
      <c r="F15" s="315">
        <f t="shared" ref="F15:G17" si="0">E60</f>
        <v>0.84492449999999997</v>
      </c>
      <c r="G15" s="315">
        <f t="shared" si="0"/>
        <v>1.1882771999999999</v>
      </c>
      <c r="H15" s="316">
        <f>(G15-E15)/E15*100</f>
        <v>27.771741935483856</v>
      </c>
      <c r="I15" s="314">
        <f>(G15-F15)/F15*100</f>
        <v>40.637086508912923</v>
      </c>
      <c r="J15" s="1128">
        <f>373857/10000000</f>
        <v>3.7385700000000001E-2</v>
      </c>
      <c r="L15" s="1476"/>
      <c r="M15" s="2369"/>
      <c r="N15" s="378" t="s">
        <v>816</v>
      </c>
      <c r="O15" s="1434">
        <v>11.460276500000001</v>
      </c>
      <c r="P15" s="333">
        <v>22.16</v>
      </c>
      <c r="Q15" s="315">
        <f>E15+'APRIL-2023'!E15</f>
        <v>1.6400000000000001</v>
      </c>
      <c r="R15" s="315">
        <f>F15+'APRIL-2023'!F15</f>
        <v>1.4949245</v>
      </c>
      <c r="S15" s="315">
        <f>G15+'APRIL-2023'!G15</f>
        <v>2.2648643000000002</v>
      </c>
      <c r="T15" s="316">
        <f>(S15-Q15)/Q15*100</f>
        <v>38.101481707317078</v>
      </c>
      <c r="U15" s="314">
        <f>(S15-R15)/R15*100</f>
        <v>51.503590984026296</v>
      </c>
      <c r="Y15" s="12">
        <f>R16+R17</f>
        <v>147.29614889999999</v>
      </c>
      <c r="Z15" s="12">
        <f>S16+S17</f>
        <v>179.93172190000001</v>
      </c>
      <c r="AA15" s="5">
        <f>(Z15-Y15)/Y15*100</f>
        <v>22.156433310524946</v>
      </c>
    </row>
    <row r="16" spans="1:34" ht="15.4" x14ac:dyDescent="0.4">
      <c r="A16" s="2374"/>
      <c r="B16" s="1281" t="s">
        <v>801</v>
      </c>
      <c r="C16" s="1434">
        <v>126.72018780000001</v>
      </c>
      <c r="D16" s="2379">
        <f>'TARGET 23-24'!C26</f>
        <v>1051.1300000000001</v>
      </c>
      <c r="E16" s="2065">
        <v>77.08</v>
      </c>
      <c r="F16" s="315">
        <f t="shared" si="0"/>
        <v>2.597871</v>
      </c>
      <c r="G16" s="315">
        <f t="shared" si="0"/>
        <v>19.2016822</v>
      </c>
      <c r="H16" s="2154">
        <f>L16</f>
        <v>20.560592241826662</v>
      </c>
      <c r="I16" s="314">
        <f>(G16-F16)/F16*100</f>
        <v>639.13147342573973</v>
      </c>
      <c r="J16" s="323">
        <f>F16+F17</f>
        <v>74.8961489</v>
      </c>
      <c r="K16" s="323">
        <f>G16+G17</f>
        <v>92.928104499999989</v>
      </c>
      <c r="L16" s="1476">
        <f>(K16-E16)/E16*100</f>
        <v>20.560592241826662</v>
      </c>
      <c r="M16" s="2369"/>
      <c r="N16" s="1281" t="s">
        <v>817</v>
      </c>
      <c r="O16" s="1434">
        <v>126.72018780000001</v>
      </c>
      <c r="P16" s="2166">
        <v>928.43</v>
      </c>
      <c r="Q16" s="2065">
        <f>E16+'APRIL-2023'!E16</f>
        <v>151.87</v>
      </c>
      <c r="R16" s="315">
        <f>F16+'APRIL-2023'!F16</f>
        <v>4.3878710000000005</v>
      </c>
      <c r="S16" s="315">
        <f>G16+'APRIL-2023'!G16</f>
        <v>36.725187500000004</v>
      </c>
      <c r="T16" s="2154">
        <f>X16</f>
        <v>18.477462237439919</v>
      </c>
      <c r="U16" s="314">
        <f>(S16-R16)/R16*100</f>
        <v>736.97053764798454</v>
      </c>
      <c r="W16" s="12">
        <f>S16+S17</f>
        <v>179.93172190000001</v>
      </c>
      <c r="X16" s="172">
        <f>(W16-Q16)/Q16*100</f>
        <v>18.477462237439919</v>
      </c>
    </row>
    <row r="17" spans="1:26" ht="15.4" x14ac:dyDescent="0.4">
      <c r="A17" s="2375"/>
      <c r="B17" s="320" t="s">
        <v>803</v>
      </c>
      <c r="C17" s="1434">
        <v>886.03548510000007</v>
      </c>
      <c r="D17" s="2380"/>
      <c r="E17" s="2066"/>
      <c r="F17" s="315">
        <f t="shared" si="0"/>
        <v>72.298277900000002</v>
      </c>
      <c r="G17" s="315">
        <f t="shared" si="0"/>
        <v>73.726422299999996</v>
      </c>
      <c r="H17" s="2155"/>
      <c r="I17" s="314">
        <f>(G17-F17)/F17*100</f>
        <v>1.9753505083141041</v>
      </c>
      <c r="J17" s="323">
        <f>114680295/10000000</f>
        <v>11.4680295</v>
      </c>
      <c r="L17" s="1476"/>
      <c r="M17" s="2245"/>
      <c r="N17" s="320" t="s">
        <v>818</v>
      </c>
      <c r="O17" s="1434">
        <v>886.03548510000007</v>
      </c>
      <c r="P17" s="2064"/>
      <c r="Q17" s="2066"/>
      <c r="R17" s="315">
        <f>F17+'APRIL-2023'!F17</f>
        <v>142.9082779</v>
      </c>
      <c r="S17" s="315">
        <f>G17+'APRIL-2023'!G17</f>
        <v>143.20653440000001</v>
      </c>
      <c r="T17" s="2155"/>
      <c r="U17" s="314">
        <f>(S17-R17)/R17*100</f>
        <v>0.20870484508162135</v>
      </c>
    </row>
    <row r="18" spans="1:26" x14ac:dyDescent="0.35">
      <c r="A18" s="1982">
        <v>2</v>
      </c>
      <c r="B18" s="1442" t="s">
        <v>678</v>
      </c>
      <c r="C18" s="2460" t="s">
        <v>680</v>
      </c>
      <c r="D18" s="2460"/>
      <c r="E18" s="2460"/>
      <c r="F18" s="2461" t="s">
        <v>684</v>
      </c>
      <c r="G18" s="2462"/>
      <c r="H18" s="2462"/>
      <c r="I18" s="2463"/>
      <c r="L18" s="1476"/>
      <c r="M18" s="2368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6" x14ac:dyDescent="0.35">
      <c r="A19" s="1983"/>
      <c r="B19" s="1443" t="s">
        <v>230</v>
      </c>
      <c r="C19" s="1070">
        <f>F19</f>
        <v>44702</v>
      </c>
      <c r="D19" s="1444">
        <f>G19</f>
        <v>45047</v>
      </c>
      <c r="E19" s="1443" t="s">
        <v>681</v>
      </c>
      <c r="F19" s="1444">
        <f>F4</f>
        <v>44702</v>
      </c>
      <c r="G19" s="1444">
        <f>G4</f>
        <v>45047</v>
      </c>
      <c r="H19" s="1071" t="s">
        <v>682</v>
      </c>
      <c r="I19" s="1441" t="s">
        <v>681</v>
      </c>
      <c r="L19" s="1476"/>
      <c r="M19" s="2369"/>
      <c r="N19" s="1069" t="s">
        <v>230</v>
      </c>
      <c r="O19" s="1098">
        <f>R4</f>
        <v>44702</v>
      </c>
      <c r="P19" s="1098">
        <f>S4</f>
        <v>45047</v>
      </c>
      <c r="Q19" s="1069" t="s">
        <v>681</v>
      </c>
      <c r="R19" s="1098">
        <f>R4</f>
        <v>44702</v>
      </c>
      <c r="S19" s="1098">
        <f>S4</f>
        <v>45047</v>
      </c>
      <c r="T19" s="1071" t="s">
        <v>682</v>
      </c>
      <c r="U19" s="1072" t="s">
        <v>681</v>
      </c>
    </row>
    <row r="20" spans="1:26" ht="18.75" customHeight="1" x14ac:dyDescent="0.4">
      <c r="A20" s="1983"/>
      <c r="B20" s="1055" t="s">
        <v>231</v>
      </c>
      <c r="C20" s="303">
        <v>124950</v>
      </c>
      <c r="D20" s="1409">
        <v>52189</v>
      </c>
      <c r="E20" s="314">
        <f>(D20-C20)/C20*100</f>
        <v>-58.23209283713485</v>
      </c>
      <c r="F20" s="315">
        <v>15.94</v>
      </c>
      <c r="G20" s="315">
        <v>14.1</v>
      </c>
      <c r="H20" s="1060">
        <f>G20/G7*100</f>
        <v>50.285306704707558</v>
      </c>
      <c r="I20" s="314">
        <f>(G20-F20)/F20*100</f>
        <v>-11.543287327478042</v>
      </c>
      <c r="L20" s="1476"/>
      <c r="M20" s="2369"/>
      <c r="N20" s="1055" t="s">
        <v>231</v>
      </c>
      <c r="O20" s="833">
        <f>C20+'APRIL-2023'!C20</f>
        <v>231378</v>
      </c>
      <c r="P20" s="833">
        <v>94895</v>
      </c>
      <c r="Q20" s="314">
        <f>(P20-O20)/O20*100</f>
        <v>-58.9870255599063</v>
      </c>
      <c r="R20" s="315">
        <f>F20+'APRIL-2023'!F20</f>
        <v>32.11</v>
      </c>
      <c r="S20" s="315">
        <f>G20+'APRIL-2023'!G20</f>
        <v>26.4</v>
      </c>
      <c r="T20" s="1060">
        <f>S20/S7*100</f>
        <v>44.913235794487917</v>
      </c>
      <c r="U20" s="314">
        <f>(S20-R20)/R20*100</f>
        <v>-17.782622236063535</v>
      </c>
    </row>
    <row r="21" spans="1:26" ht="18.75" customHeight="1" x14ac:dyDescent="0.4">
      <c r="A21" s="1983"/>
      <c r="B21" s="1055" t="s">
        <v>232</v>
      </c>
      <c r="C21" s="303">
        <v>56691</v>
      </c>
      <c r="D21" s="1410">
        <v>59094</v>
      </c>
      <c r="E21" s="314">
        <f>(D21-C21)/C21*100</f>
        <v>4.2387680584219716</v>
      </c>
      <c r="F21" s="315">
        <v>2.58</v>
      </c>
      <c r="G21" s="315">
        <v>3.58</v>
      </c>
      <c r="H21" s="1060">
        <f>G21/G7*100</f>
        <v>12.767475035663336</v>
      </c>
      <c r="I21" s="314">
        <f>(G21-F21)/F21*100</f>
        <v>38.759689922480618</v>
      </c>
      <c r="L21" s="1476"/>
      <c r="M21" s="2369"/>
      <c r="N21" s="1055" t="s">
        <v>232</v>
      </c>
      <c r="O21" s="833">
        <f>C21+'APRIL-2023'!C21</f>
        <v>134268</v>
      </c>
      <c r="P21" s="833">
        <v>133234</v>
      </c>
      <c r="Q21" s="314">
        <f>(P21-O21)/O21*100</f>
        <v>-0.77010158786903804</v>
      </c>
      <c r="R21" s="315">
        <f>F21+'APRIL-2023'!F21</f>
        <v>7.15</v>
      </c>
      <c r="S21" s="315">
        <f>G21+'APRIL-2023'!G21</f>
        <v>8.02</v>
      </c>
      <c r="T21" s="1060">
        <f>S21/S7*100</f>
        <v>13.644096631507313</v>
      </c>
      <c r="U21" s="314">
        <f>(S21-R21)/R21*100</f>
        <v>12.167832167832156</v>
      </c>
      <c r="W21" s="5">
        <v>2.17</v>
      </c>
      <c r="X21" s="172">
        <v>2.95</v>
      </c>
      <c r="Y21" s="5">
        <f>(X21-W21)/W21*100</f>
        <v>35.944700460829502</v>
      </c>
    </row>
    <row r="22" spans="1:26" ht="18.75" customHeight="1" x14ac:dyDescent="0.4">
      <c r="A22" s="1983"/>
      <c r="B22" s="1055" t="s">
        <v>239</v>
      </c>
      <c r="C22" s="303">
        <v>53396</v>
      </c>
      <c r="D22" s="1410">
        <v>59760</v>
      </c>
      <c r="E22" s="314">
        <f>(D22-C22)/C22*100</f>
        <v>11.918495767473219</v>
      </c>
      <c r="F22" s="315">
        <v>6.48</v>
      </c>
      <c r="G22" s="315">
        <v>9.73</v>
      </c>
      <c r="H22" s="1060">
        <f>G22/G7*100</f>
        <v>34.700427960057063</v>
      </c>
      <c r="I22" s="314">
        <f>(G22-F22)/F22*100</f>
        <v>50.154320987654323</v>
      </c>
      <c r="J22" s="1486"/>
      <c r="L22" s="1476"/>
      <c r="M22" s="2369"/>
      <c r="N22" s="1055" t="s">
        <v>239</v>
      </c>
      <c r="O22" s="833">
        <f>C22+'APRIL-2023'!C22</f>
        <v>113148</v>
      </c>
      <c r="P22" s="833">
        <v>160092</v>
      </c>
      <c r="Q22" s="314">
        <f>(P22-O22)/O22*100</f>
        <v>41.489023226216993</v>
      </c>
      <c r="R22" s="315">
        <f>F22+'APRIL-2023'!F22</f>
        <v>13.260000000000002</v>
      </c>
      <c r="S22" s="315">
        <f>G22+'APRIL-2023'!G22</f>
        <v>23</v>
      </c>
      <c r="T22" s="1060">
        <f>S22/S7*100</f>
        <v>39.128955427015995</v>
      </c>
      <c r="U22" s="314">
        <f>(S22-R22)/R22*100</f>
        <v>73.453996983408729</v>
      </c>
    </row>
    <row r="23" spans="1:26" ht="18.75" customHeight="1" x14ac:dyDescent="0.4">
      <c r="A23" s="1983"/>
      <c r="B23" s="1055" t="s">
        <v>233</v>
      </c>
      <c r="C23" s="303">
        <v>18290</v>
      </c>
      <c r="D23" s="1410">
        <v>18651</v>
      </c>
      <c r="E23" s="314">
        <f>(D23-C23)/C23*100</f>
        <v>1.9737561509021322</v>
      </c>
      <c r="F23" s="315">
        <v>0.65</v>
      </c>
      <c r="G23" s="315">
        <v>0.6</v>
      </c>
      <c r="H23" s="1060">
        <f>G23/G7*100</f>
        <v>2.1398002853067042</v>
      </c>
      <c r="I23" s="314">
        <f>(G23-F23)/F23*100</f>
        <v>-7.6923076923076987</v>
      </c>
      <c r="J23" s="1486"/>
      <c r="L23" s="1476"/>
      <c r="M23" s="2369"/>
      <c r="N23" s="1055" t="s">
        <v>233</v>
      </c>
      <c r="O23" s="833">
        <f>C23+'APRIL-2023'!C23</f>
        <v>42596</v>
      </c>
      <c r="P23" s="833">
        <v>35355</v>
      </c>
      <c r="Q23" s="314">
        <f>(P23-O23)/O23*100</f>
        <v>-16.999248755751715</v>
      </c>
      <c r="R23" s="315">
        <f>F23+'APRIL-2023'!F23</f>
        <v>1.4500000000000002</v>
      </c>
      <c r="S23" s="315">
        <f>G23+'APRIL-2023'!G23</f>
        <v>1.33</v>
      </c>
      <c r="T23" s="1060">
        <f>S23/S7*100</f>
        <v>2.2626743790404897</v>
      </c>
      <c r="U23" s="314">
        <f>(S23-R23)/R23*100</f>
        <v>-8.2758620689655249</v>
      </c>
      <c r="Z23" s="5">
        <f>25.63+0.96</f>
        <v>26.59</v>
      </c>
    </row>
    <row r="24" spans="1:26" ht="18.75" customHeight="1" x14ac:dyDescent="0.4">
      <c r="A24" s="1983"/>
      <c r="B24" s="1055" t="s">
        <v>739</v>
      </c>
      <c r="C24" s="303">
        <v>0</v>
      </c>
      <c r="D24" s="1409">
        <v>0</v>
      </c>
      <c r="E24" s="836">
        <v>0</v>
      </c>
      <c r="F24" s="833">
        <v>0</v>
      </c>
      <c r="G24" s="833">
        <v>0</v>
      </c>
      <c r="H24" s="1060">
        <f>G24/G7*100</f>
        <v>0</v>
      </c>
      <c r="I24" s="314">
        <v>0</v>
      </c>
      <c r="L24" s="1476"/>
      <c r="M24" s="2369"/>
      <c r="N24" s="1055" t="s">
        <v>739</v>
      </c>
      <c r="O24" s="833">
        <f>C24+'APRIL-2023'!C24</f>
        <v>0</v>
      </c>
      <c r="P24" s="833">
        <f>D24+'APRIL-2023'!D24</f>
        <v>0</v>
      </c>
      <c r="Q24" s="836">
        <v>0</v>
      </c>
      <c r="R24" s="315">
        <f>F24+'APRIL-2023'!F24</f>
        <v>0</v>
      </c>
      <c r="S24" s="315">
        <f>G24+'APRIL-2023'!G24</f>
        <v>0</v>
      </c>
      <c r="T24" s="1060">
        <f>S24/S7*100</f>
        <v>0</v>
      </c>
      <c r="U24" s="314">
        <v>0</v>
      </c>
    </row>
    <row r="25" spans="1:26" ht="18.75" customHeight="1" x14ac:dyDescent="0.4">
      <c r="A25" s="1983"/>
      <c r="B25" s="1055" t="s">
        <v>235</v>
      </c>
      <c r="C25" s="303">
        <v>0</v>
      </c>
      <c r="D25" s="1409">
        <v>0</v>
      </c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L25" s="1476"/>
      <c r="M25" s="2369"/>
      <c r="N25" s="1055" t="s">
        <v>235</v>
      </c>
      <c r="O25" s="833">
        <f>C25+'APRIL-2023'!C25</f>
        <v>0</v>
      </c>
      <c r="P25" s="833">
        <f>D25+'APRIL-2023'!D25</f>
        <v>0</v>
      </c>
      <c r="Q25" s="836">
        <v>0</v>
      </c>
      <c r="R25" s="315">
        <f>F25+'APRIL-2023'!F25</f>
        <v>0</v>
      </c>
      <c r="S25" s="315">
        <f>G25+'APRIL-2023'!G25</f>
        <v>0</v>
      </c>
      <c r="T25" s="1060">
        <f>S25/S7*100</f>
        <v>0</v>
      </c>
      <c r="U25" s="314">
        <v>0</v>
      </c>
    </row>
    <row r="26" spans="1:26" ht="15.75" x14ac:dyDescent="0.4">
      <c r="A26" s="1984"/>
      <c r="B26" s="1056" t="s">
        <v>693</v>
      </c>
      <c r="C26" s="1059">
        <v>0</v>
      </c>
      <c r="D26" s="1411">
        <v>0</v>
      </c>
      <c r="E26" s="836">
        <v>0</v>
      </c>
      <c r="F26" s="315">
        <v>2.5546200000000002E-2</v>
      </c>
      <c r="G26" s="833">
        <v>0.03</v>
      </c>
      <c r="H26" s="1060">
        <f>G26/G7*100</f>
        <v>0.10699001426533522</v>
      </c>
      <c r="I26" s="314" t="s">
        <v>221</v>
      </c>
      <c r="L26" s="1476"/>
      <c r="M26" s="2245"/>
      <c r="N26" s="1056" t="s">
        <v>693</v>
      </c>
      <c r="O26" s="833">
        <f>C26+'APRIL-2023'!C26</f>
        <v>0</v>
      </c>
      <c r="P26" s="833">
        <f>D26+'APRIL-2023'!D26</f>
        <v>0</v>
      </c>
      <c r="Q26" s="836">
        <v>0</v>
      </c>
      <c r="R26" s="315">
        <f>F26+'APRIL-2023'!F26</f>
        <v>4.5546200000000002E-2</v>
      </c>
      <c r="S26" s="315">
        <f>G26+'APRIL-2023'!G26</f>
        <v>0.03</v>
      </c>
      <c r="T26" s="1060">
        <f>S26/S7*100</f>
        <v>5.1037767948281722E-2</v>
      </c>
      <c r="U26" s="314">
        <f>(S26-R26)/R26*100</f>
        <v>-34.132814592655372</v>
      </c>
    </row>
    <row r="27" spans="1:26" s="26" customFormat="1" ht="19.5" customHeight="1" x14ac:dyDescent="0.4">
      <c r="A27" s="1216"/>
      <c r="B27" s="1063" t="s">
        <v>683</v>
      </c>
      <c r="C27" s="1063">
        <f>SUM(C20:C26)</f>
        <v>253327</v>
      </c>
      <c r="D27" s="1412">
        <f>SUM(D20:D26)</f>
        <v>189694</v>
      </c>
      <c r="E27" s="394">
        <f>(D27-C27)/C27*100</f>
        <v>-25.118917446620376</v>
      </c>
      <c r="F27" s="1054">
        <f>SUM(F20:F26)</f>
        <v>25.675546199999999</v>
      </c>
      <c r="G27" s="1054">
        <f>G20+G21+G22+G23+G24+G25+G26</f>
        <v>28.040000000000003</v>
      </c>
      <c r="H27" s="1066">
        <f>SUM(H20:H26)</f>
        <v>100</v>
      </c>
      <c r="I27" s="394">
        <f>(G27-F27)/F27*100</f>
        <v>9.2089717647369973</v>
      </c>
      <c r="J27" s="762"/>
      <c r="K27" s="762"/>
      <c r="L27" s="1475"/>
      <c r="M27" s="1202"/>
      <c r="N27" s="1063" t="s">
        <v>683</v>
      </c>
      <c r="O27" s="1259">
        <f>SUM(O20:O26)</f>
        <v>521390</v>
      </c>
      <c r="P27" s="1259">
        <f>SUM(P20:P26)</f>
        <v>423576</v>
      </c>
      <c r="Q27" s="394">
        <f>(P27-O27)/O27*100</f>
        <v>-18.760237058631734</v>
      </c>
      <c r="R27" s="1054">
        <f>SUM(R20:R26)</f>
        <v>54.015546199999996</v>
      </c>
      <c r="S27" s="1054">
        <f>SUM(S20:S26)</f>
        <v>58.78</v>
      </c>
      <c r="T27" s="1066">
        <f>SUM(T20:T26)</f>
        <v>100</v>
      </c>
      <c r="U27" s="394">
        <f>(S27-R27)/R27*100</f>
        <v>8.8205232292920996</v>
      </c>
      <c r="V27" s="26">
        <f>76.54+0.12</f>
        <v>76.660000000000011</v>
      </c>
      <c r="W27" s="26">
        <f>P27/1000000</f>
        <v>0.42357600000000001</v>
      </c>
      <c r="X27" s="432"/>
    </row>
    <row r="28" spans="1:26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L30" s="1476"/>
      <c r="M30" s="2384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6" ht="15.4" x14ac:dyDescent="0.4">
      <c r="A31" s="2382"/>
      <c r="B31" s="378" t="s">
        <v>2</v>
      </c>
      <c r="C31" s="1435">
        <v>24.66</v>
      </c>
      <c r="D31" s="1429">
        <v>22.5</v>
      </c>
      <c r="E31" s="315">
        <v>1.85</v>
      </c>
      <c r="F31" s="313">
        <f>'actual fig'!U5/10000000</f>
        <v>2.5457795000000001</v>
      </c>
      <c r="G31" s="313">
        <f>F71</f>
        <v>2.7613979999999998</v>
      </c>
      <c r="H31" s="314">
        <f>(G31-E31)/E31*100</f>
        <v>49.264756756756739</v>
      </c>
      <c r="I31" s="314">
        <f>(G31-F31)/F31*100</f>
        <v>8.4696455447142895</v>
      </c>
      <c r="J31" s="84">
        <f>2661720/10000000</f>
        <v>0.26617200000000002</v>
      </c>
      <c r="K31" s="84">
        <f>11596205/10000000</f>
        <v>1.1596204999999999</v>
      </c>
      <c r="L31" s="1476">
        <v>2.5110000000000001</v>
      </c>
      <c r="M31" s="2385"/>
      <c r="N31" s="378" t="s">
        <v>2</v>
      </c>
      <c r="O31" s="1435">
        <v>24.66</v>
      </c>
      <c r="P31" s="1429">
        <v>22.5</v>
      </c>
      <c r="Q31" s="315">
        <f>E31+'APRIL-2023'!E31</f>
        <v>3.7</v>
      </c>
      <c r="R31" s="315">
        <f>F31+'APRIL-2023'!F31</f>
        <v>5.0285659999999996</v>
      </c>
      <c r="S31" s="315">
        <f>G31+'APRIL-2023'!G31</f>
        <v>5.5613979999999996</v>
      </c>
      <c r="T31" s="314">
        <f>(S31-Q31)/Q31*100</f>
        <v>50.30805405405404</v>
      </c>
      <c r="U31" s="314">
        <f t="shared" ref="U31:U38" si="1">(S31-R31)/R31*100</f>
        <v>10.596102348065035</v>
      </c>
      <c r="W31" s="5">
        <f>(Q31*10000000)/100000</f>
        <v>370</v>
      </c>
    </row>
    <row r="32" spans="1:26" ht="15.4" x14ac:dyDescent="0.4">
      <c r="A32" s="2382"/>
      <c r="B32" s="378" t="s">
        <v>23</v>
      </c>
      <c r="C32" s="1435">
        <v>27.693304099999999</v>
      </c>
      <c r="D32" s="1429">
        <f>'TARGET 23-24'!K26</f>
        <v>37.010000000000005</v>
      </c>
      <c r="E32" s="315">
        <v>3.73</v>
      </c>
      <c r="F32" s="313">
        <v>2.7853634999999999</v>
      </c>
      <c r="G32" s="313">
        <f>'ACTUAL- 23-24'!Q4/10000000</f>
        <v>2.1723061000000001</v>
      </c>
      <c r="H32" s="314">
        <f>(G32-E32)/E32*100</f>
        <v>-41.761230563002677</v>
      </c>
      <c r="I32" s="314">
        <f>(G32-F32)/F32*100</f>
        <v>-22.009960279870107</v>
      </c>
      <c r="J32" s="1128">
        <f>0.42-0.02</f>
        <v>0.39999999999999997</v>
      </c>
      <c r="K32" s="84">
        <f>0.58-0.12</f>
        <v>0.45999999999999996</v>
      </c>
      <c r="L32" s="1476">
        <v>2.7853634999999999</v>
      </c>
      <c r="M32" s="2385"/>
      <c r="N32" s="378" t="s">
        <v>23</v>
      </c>
      <c r="O32" s="1435">
        <v>27.693304099999999</v>
      </c>
      <c r="P32" s="333">
        <f>D32</f>
        <v>37.010000000000005</v>
      </c>
      <c r="Q32" s="315">
        <f>E32+'APRIL-2023'!E32</f>
        <v>6.67</v>
      </c>
      <c r="R32" s="315">
        <f>F32+'APRIL-2023'!F32</f>
        <v>4.9873455</v>
      </c>
      <c r="S32" s="315">
        <f>G32+'APRIL-2023'!G32</f>
        <v>4.1638057000000002</v>
      </c>
      <c r="T32" s="314">
        <f>(S32-Q32)/Q32*100</f>
        <v>-37.574127436281856</v>
      </c>
      <c r="U32" s="314">
        <f t="shared" si="1"/>
        <v>-16.512587708230757</v>
      </c>
      <c r="W32" s="5">
        <f>(Q32*10000000)/100000</f>
        <v>667</v>
      </c>
    </row>
    <row r="33" spans="1:27" ht="15.4" x14ac:dyDescent="0.4">
      <c r="A33" s="2382"/>
      <c r="B33" s="378" t="s">
        <v>1</v>
      </c>
      <c r="C33" s="1435">
        <v>1.0446717999999999</v>
      </c>
      <c r="D33" s="1429">
        <f>'TARGET 23-24'!L26</f>
        <v>3.4</v>
      </c>
      <c r="E33" s="315">
        <v>0.36</v>
      </c>
      <c r="F33" s="313">
        <v>0.10888689999999999</v>
      </c>
      <c r="G33" s="313">
        <f>'ACTUAL- 23-24'!R4/10000000</f>
        <v>0.1215575</v>
      </c>
      <c r="H33" s="314">
        <f>(G33-E33)/E33*100</f>
        <v>-66.234027777777783</v>
      </c>
      <c r="I33" s="314">
        <f>(G33-F33)/F33*100</f>
        <v>11.63647784995257</v>
      </c>
      <c r="L33" s="1476">
        <v>0.10888689999999999</v>
      </c>
      <c r="M33" s="2385"/>
      <c r="N33" s="378" t="s">
        <v>1</v>
      </c>
      <c r="O33" s="1435">
        <v>1.0446717999999999</v>
      </c>
      <c r="P33" s="333">
        <f>D33</f>
        <v>3.4</v>
      </c>
      <c r="Q33" s="315">
        <f>E33+'APRIL-2023'!E33</f>
        <v>0.75</v>
      </c>
      <c r="R33" s="315">
        <f>F33+'APRIL-2023'!F33</f>
        <v>0.22703770000000001</v>
      </c>
      <c r="S33" s="315">
        <f>G33+'APRIL-2023'!G33</f>
        <v>0.22376019999999999</v>
      </c>
      <c r="T33" s="314">
        <f>(S33-Q33)/Q33*100</f>
        <v>-70.165306666666666</v>
      </c>
      <c r="U33" s="314">
        <f t="shared" si="1"/>
        <v>-1.4435928482362252</v>
      </c>
      <c r="W33" s="5">
        <f>(Q33*10000000)/100000</f>
        <v>75</v>
      </c>
    </row>
    <row r="34" spans="1:27" ht="15.4" x14ac:dyDescent="0.4">
      <c r="A34" s="2382"/>
      <c r="B34" s="1055" t="s">
        <v>887</v>
      </c>
      <c r="C34" s="1480">
        <f>C33+C32</f>
        <v>28.737975899999999</v>
      </c>
      <c r="D34" s="1483">
        <f>D33+D32</f>
        <v>40.410000000000004</v>
      </c>
      <c r="E34" s="1483">
        <f>E33+E32</f>
        <v>4.09</v>
      </c>
      <c r="F34" s="1483">
        <f>F33+F32</f>
        <v>2.8942503999999998</v>
      </c>
      <c r="G34" s="1483">
        <f>G33+G32</f>
        <v>2.2938636000000003</v>
      </c>
      <c r="H34" s="1484">
        <f>(G34-E34)/E34*100</f>
        <v>-43.915315403422973</v>
      </c>
      <c r="I34" s="1484">
        <f>(G34-F34)/F34*100</f>
        <v>-20.744120826587757</v>
      </c>
      <c r="L34" s="1476"/>
      <c r="M34" s="2385"/>
      <c r="N34" s="1055" t="s">
        <v>887</v>
      </c>
      <c r="O34" s="1480">
        <f>O33+O32</f>
        <v>28.737975899999999</v>
      </c>
      <c r="P34" s="1483">
        <f>P33+P32</f>
        <v>40.410000000000004</v>
      </c>
      <c r="Q34" s="1483">
        <f>Q33+Q32</f>
        <v>7.42</v>
      </c>
      <c r="R34" s="1483">
        <f>R33+R32</f>
        <v>5.2143832000000003</v>
      </c>
      <c r="S34" s="1483">
        <f>S33+S32</f>
        <v>4.3875659000000002</v>
      </c>
      <c r="T34" s="1484">
        <f>(S34-Q34)/Q34*100</f>
        <v>-40.86838409703504</v>
      </c>
      <c r="U34" s="1484">
        <f>(S34-R34)/R34*100</f>
        <v>-15.856473686091963</v>
      </c>
    </row>
    <row r="35" spans="1:27" ht="15.4" x14ac:dyDescent="0.4">
      <c r="A35" s="2382"/>
      <c r="B35" s="378" t="s">
        <v>24</v>
      </c>
      <c r="C35" s="1435">
        <v>3.1600820000000001</v>
      </c>
      <c r="D35" s="1429"/>
      <c r="E35" s="315" t="s">
        <v>221</v>
      </c>
      <c r="F35" s="313">
        <f>'actual fig'!Y5/10000000</f>
        <v>0.303392</v>
      </c>
      <c r="G35" s="313">
        <f>'ACTUAL- 23-24'!T4/10000000</f>
        <v>0.31269200000000003</v>
      </c>
      <c r="H35" s="517" t="s">
        <v>221</v>
      </c>
      <c r="I35" s="314">
        <f>(G35-F35)/F35*100</f>
        <v>3.0653412087332659</v>
      </c>
      <c r="J35" s="84">
        <f>62410/10000000</f>
        <v>6.241E-3</v>
      </c>
      <c r="L35" s="1476">
        <v>0.303392</v>
      </c>
      <c r="M35" s="2385"/>
      <c r="N35" s="378" t="s">
        <v>24</v>
      </c>
      <c r="O35" s="1435">
        <v>3.1600820000000001</v>
      </c>
      <c r="P35" s="603" t="s">
        <v>221</v>
      </c>
      <c r="Q35" s="315" t="s">
        <v>221</v>
      </c>
      <c r="R35" s="315">
        <f>F35+'APRIL-2023'!F35</f>
        <v>0.57550000000000001</v>
      </c>
      <c r="S35" s="315">
        <f>G35+'APRIL-2023'!G35</f>
        <v>0.58111599999999997</v>
      </c>
      <c r="T35" s="316" t="s">
        <v>221</v>
      </c>
      <c r="U35" s="314">
        <f t="shared" si="1"/>
        <v>0.97584708948739418</v>
      </c>
      <c r="W35" s="5" t="e">
        <f>(Q35*10000000)/100000</f>
        <v>#VALUE!</v>
      </c>
    </row>
    <row r="36" spans="1:27" ht="15.4" x14ac:dyDescent="0.4">
      <c r="A36" s="2382"/>
      <c r="B36" s="1278" t="s">
        <v>25</v>
      </c>
      <c r="C36" s="1436">
        <v>6.2230024999999998</v>
      </c>
      <c r="D36" s="1429"/>
      <c r="E36" s="315" t="s">
        <v>221</v>
      </c>
      <c r="F36" s="313">
        <f>'actual fig'!X5/10000000</f>
        <v>5.1638000000000003E-2</v>
      </c>
      <c r="G36" s="313">
        <f>'ACTUAL- 23-24'!S4/10000000</f>
        <v>0.3136891</v>
      </c>
      <c r="H36" s="517" t="s">
        <v>221</v>
      </c>
      <c r="I36" s="314">
        <v>0</v>
      </c>
      <c r="L36" s="1476">
        <v>5.1638000000000003E-2</v>
      </c>
      <c r="M36" s="2385"/>
      <c r="N36" s="1278" t="s">
        <v>25</v>
      </c>
      <c r="O36" s="1436">
        <v>6.2230024999999998</v>
      </c>
      <c r="P36" s="603" t="s">
        <v>221</v>
      </c>
      <c r="Q36" s="315" t="s">
        <v>221</v>
      </c>
      <c r="R36" s="315">
        <f>F36+'APRIL-2023'!F36</f>
        <v>0.1202854</v>
      </c>
      <c r="S36" s="315">
        <f>G36+'APRIL-2023'!G36</f>
        <v>1.0784777999999999</v>
      </c>
      <c r="T36" s="316" t="s">
        <v>221</v>
      </c>
      <c r="U36" s="314">
        <f t="shared" si="1"/>
        <v>796.59908850118131</v>
      </c>
    </row>
    <row r="37" spans="1:27" ht="17.25" customHeight="1" x14ac:dyDescent="0.4">
      <c r="A37" s="2383"/>
      <c r="B37" s="1467" t="s">
        <v>241</v>
      </c>
      <c r="C37" s="1436">
        <v>43.050880200000002</v>
      </c>
      <c r="D37" s="1429"/>
      <c r="E37" s="315" t="s">
        <v>221</v>
      </c>
      <c r="F37" s="313">
        <f>'actual fig'!T5/10000000</f>
        <v>3.7502597999999998</v>
      </c>
      <c r="G37" s="313">
        <f>'ACTUAL- 23-24'!O4/10000000</f>
        <v>4.2475021999999996</v>
      </c>
      <c r="H37" s="517" t="s">
        <v>221</v>
      </c>
      <c r="I37" s="314">
        <f>(G37-F37)/F37*100</f>
        <v>13.258878758212958</v>
      </c>
      <c r="J37" s="323">
        <f>(3613355)/10000000</f>
        <v>0.36133549999999998</v>
      </c>
      <c r="K37" s="323">
        <f>(20880+ 10612529)/10000000</f>
        <v>1.0633409</v>
      </c>
      <c r="L37" s="1476">
        <v>3.7502597999999998</v>
      </c>
      <c r="M37" s="2385"/>
      <c r="N37" s="1279" t="s">
        <v>241</v>
      </c>
      <c r="O37" s="1436">
        <v>43.050880200000002</v>
      </c>
      <c r="P37" s="540" t="s">
        <v>221</v>
      </c>
      <c r="Q37" s="315" t="s">
        <v>221</v>
      </c>
      <c r="R37" s="315">
        <f>F37+'APRIL-2023'!F37</f>
        <v>7.1112244999999996</v>
      </c>
      <c r="S37" s="315">
        <f>G37+'APRIL-2023'!G37</f>
        <v>8.0475530000000006</v>
      </c>
      <c r="T37" s="316" t="s">
        <v>221</v>
      </c>
      <c r="U37" s="314">
        <f t="shared" si="1"/>
        <v>13.16690958076209</v>
      </c>
    </row>
    <row r="38" spans="1:27" ht="15.4" x14ac:dyDescent="0.4">
      <c r="A38" s="1234"/>
      <c r="B38" s="378" t="s">
        <v>260</v>
      </c>
      <c r="C38" s="1435">
        <v>0.85555460000000005</v>
      </c>
      <c r="D38" s="1429"/>
      <c r="E38" s="315" t="s">
        <v>221</v>
      </c>
      <c r="F38" s="313">
        <f>'actual fig'!Z5/10000000</f>
        <v>8.1125600000000006E-2</v>
      </c>
      <c r="G38" s="313">
        <f>'ACTUAL- 23-24'!U4/10000000</f>
        <v>1.9042900000000001E-2</v>
      </c>
      <c r="H38" s="413"/>
      <c r="I38" s="314">
        <v>0</v>
      </c>
      <c r="L38" s="1476">
        <v>8.1125600000000006E-2</v>
      </c>
      <c r="M38" s="2386"/>
      <c r="N38" s="378" t="s">
        <v>260</v>
      </c>
      <c r="O38" s="1435">
        <v>0.85555460000000005</v>
      </c>
      <c r="P38" s="540" t="s">
        <v>221</v>
      </c>
      <c r="Q38" s="315" t="s">
        <v>221</v>
      </c>
      <c r="R38" s="315">
        <f>F38+'APRIL-2023'!F38</f>
        <v>0.1533989</v>
      </c>
      <c r="S38" s="315">
        <f>G38+'APRIL-2023'!G38</f>
        <v>9.9123600000000006E-2</v>
      </c>
      <c r="T38" s="413"/>
      <c r="U38" s="314">
        <f t="shared" si="1"/>
        <v>-35.381805215030873</v>
      </c>
    </row>
    <row r="39" spans="1:27" x14ac:dyDescent="0.35">
      <c r="A39" s="2387">
        <v>4</v>
      </c>
      <c r="B39" s="2309" t="s">
        <v>861</v>
      </c>
      <c r="C39" s="2310"/>
      <c r="D39" s="2310"/>
      <c r="E39" s="2310"/>
      <c r="F39" s="2310"/>
      <c r="G39" s="2310"/>
      <c r="H39" s="2310"/>
      <c r="I39" s="2311"/>
      <c r="L39" s="1476"/>
      <c r="M39" s="1286">
        <v>4</v>
      </c>
      <c r="N39" s="2309" t="s">
        <v>622</v>
      </c>
      <c r="O39" s="2310"/>
      <c r="P39" s="2310"/>
      <c r="Q39" s="2310"/>
      <c r="R39" s="2310"/>
      <c r="S39" s="2310"/>
      <c r="T39" s="2310"/>
      <c r="U39" s="2311"/>
    </row>
    <row r="40" spans="1:27" ht="15.4" x14ac:dyDescent="0.4">
      <c r="A40" s="2387"/>
      <c r="B40" s="378" t="s">
        <v>27</v>
      </c>
      <c r="C40" s="1435">
        <v>12.02</v>
      </c>
      <c r="D40" s="1429">
        <v>13.95</v>
      </c>
      <c r="E40" s="315">
        <v>1.1624999999999999</v>
      </c>
      <c r="F40" s="313">
        <v>0.45281149999999998</v>
      </c>
      <c r="G40" s="313">
        <f>'ACTUAL- 23-24'!O21/10000000</f>
        <v>1.0164221</v>
      </c>
      <c r="H40" s="314">
        <f>(G40-E40)/E40*100</f>
        <v>-12.565840860215044</v>
      </c>
      <c r="I40" s="314">
        <f>(G40-F40)/F40*100</f>
        <v>124.46914444531556</v>
      </c>
      <c r="J40" s="84">
        <f t="shared" ref="J40:J45" si="2">E40*8</f>
        <v>9.2999999999999989</v>
      </c>
      <c r="L40" s="1476"/>
      <c r="M40" s="1286"/>
      <c r="N40" s="378" t="s">
        <v>27</v>
      </c>
      <c r="O40" s="1435">
        <v>12.02</v>
      </c>
      <c r="P40" s="1429">
        <v>13.95</v>
      </c>
      <c r="Q40" s="315">
        <f>E40+'APRIL-2023'!E40</f>
        <v>2.3249999999999997</v>
      </c>
      <c r="R40" s="315">
        <f>F40+'APRIL-2023'!F40</f>
        <v>1.0165616</v>
      </c>
      <c r="S40" s="315">
        <f>G40+'APRIL-2023'!G40</f>
        <v>1.7534106</v>
      </c>
      <c r="T40" s="314">
        <f>(S40-Q40)/Q40*100</f>
        <v>-24.584490322580635</v>
      </c>
      <c r="U40" s="314">
        <f>(S40-R40)/R40*100</f>
        <v>72.484441670824481</v>
      </c>
      <c r="W40" s="5">
        <f>(E40*10000000)/100000</f>
        <v>116.24999999999999</v>
      </c>
      <c r="X40" s="172">
        <v>141.05000000000001</v>
      </c>
      <c r="Y40" s="5">
        <v>70.17</v>
      </c>
      <c r="Z40" s="11">
        <f t="shared" ref="Z40:Z45" si="3">(X40-W40)/W40*100</f>
        <v>21.333333333333357</v>
      </c>
      <c r="AA40" s="11">
        <f t="shared" ref="AA40:AA45" si="4">(X40-Y40)/Y40*100</f>
        <v>101.01182841670231</v>
      </c>
    </row>
    <row r="41" spans="1:27" ht="15.4" x14ac:dyDescent="0.4">
      <c r="A41" s="2387"/>
      <c r="B41" s="378" t="s">
        <v>28</v>
      </c>
      <c r="C41" s="1435">
        <v>1.94</v>
      </c>
      <c r="D41" s="1429">
        <v>1.95</v>
      </c>
      <c r="E41" s="315">
        <v>0.16250000000000001</v>
      </c>
      <c r="F41" s="313">
        <v>1.67677E-2</v>
      </c>
      <c r="G41" s="313">
        <f>'ACTUAL- 23-24'!P21/10000000</f>
        <v>6.1580500000000003E-2</v>
      </c>
      <c r="H41" s="314">
        <f>(G41-E41)/E41*100</f>
        <v>-62.104307692307692</v>
      </c>
      <c r="I41" s="314">
        <f>(G41-F41)/F41*100</f>
        <v>267.25668994555008</v>
      </c>
      <c r="J41" s="84">
        <f t="shared" si="2"/>
        <v>1.3</v>
      </c>
      <c r="L41" s="1476">
        <v>2.1361249999999998</v>
      </c>
      <c r="M41" s="1286"/>
      <c r="N41" s="378" t="s">
        <v>28</v>
      </c>
      <c r="O41" s="1435">
        <v>1.94</v>
      </c>
      <c r="P41" s="1429">
        <v>1.95</v>
      </c>
      <c r="Q41" s="315">
        <f>E41+'APRIL-2023'!E41</f>
        <v>0.32500000000000001</v>
      </c>
      <c r="R41" s="315">
        <f>F41+'APRIL-2023'!F41</f>
        <v>3.9023799999999997E-2</v>
      </c>
      <c r="S41" s="315">
        <f>G41+'APRIL-2023'!G41</f>
        <v>0.20584910000000001</v>
      </c>
      <c r="T41" s="314">
        <f>(S41-Q41)/Q41*100</f>
        <v>-36.661815384615387</v>
      </c>
      <c r="U41" s="314">
        <f>(S41-R41)/R41*100</f>
        <v>427.4962971314942</v>
      </c>
      <c r="W41" s="5">
        <f>(E41*10000000)/100000</f>
        <v>16.25</v>
      </c>
      <c r="X41" s="172">
        <v>19.73</v>
      </c>
      <c r="Y41" s="5">
        <v>3.12</v>
      </c>
      <c r="Z41" s="11">
        <f t="shared" si="3"/>
        <v>21.415384615384617</v>
      </c>
      <c r="AA41" s="11">
        <f t="shared" si="4"/>
        <v>532.3717948717948</v>
      </c>
    </row>
    <row r="42" spans="1:27" ht="15.4" x14ac:dyDescent="0.4">
      <c r="A42" s="2387"/>
      <c r="B42" s="378" t="s">
        <v>224</v>
      </c>
      <c r="C42" s="1435">
        <v>1.96</v>
      </c>
      <c r="D42" s="1429">
        <v>3.25</v>
      </c>
      <c r="E42" s="315">
        <v>0.27</v>
      </c>
      <c r="F42" s="313">
        <v>0</v>
      </c>
      <c r="G42" s="313">
        <f>'ACTUAL- 23-24'!Q21/10000000</f>
        <v>0.13616039999999999</v>
      </c>
      <c r="H42" s="314">
        <f>(G42-E42)/E42*100</f>
        <v>-49.570222222222235</v>
      </c>
      <c r="I42" s="314" t="e">
        <f>(G42-F42)/F42*100</f>
        <v>#DIV/0!</v>
      </c>
      <c r="J42" s="323">
        <f t="shared" si="2"/>
        <v>2.16</v>
      </c>
      <c r="L42" s="1476">
        <v>0.11442669999999999</v>
      </c>
      <c r="M42" s="1286"/>
      <c r="N42" s="378" t="s">
        <v>224</v>
      </c>
      <c r="O42" s="1435">
        <v>1.96</v>
      </c>
      <c r="P42" s="1429">
        <v>3.25</v>
      </c>
      <c r="Q42" s="315">
        <f>E42+'APRIL-2023'!E42</f>
        <v>0.54</v>
      </c>
      <c r="R42" s="315">
        <f>F42+'APRIL-2023'!F42</f>
        <v>3.2181599999999998E-2</v>
      </c>
      <c r="S42" s="315">
        <f>G42+'APRIL-2023'!G42</f>
        <v>0.1824752</v>
      </c>
      <c r="T42" s="314">
        <f>(S42-Q42)/Q42*100</f>
        <v>-66.208296296296297</v>
      </c>
      <c r="U42" s="314">
        <f>(S42-R42)/R42*100</f>
        <v>467.0171775175877</v>
      </c>
      <c r="W42" s="11">
        <f>(E42*10000000)/100000</f>
        <v>27</v>
      </c>
      <c r="X42" s="172">
        <v>45.45</v>
      </c>
      <c r="Y42" s="5">
        <v>0</v>
      </c>
      <c r="Z42" s="11">
        <f t="shared" si="3"/>
        <v>68.333333333333343</v>
      </c>
      <c r="AA42" s="11" t="e">
        <f t="shared" si="4"/>
        <v>#DIV/0!</v>
      </c>
    </row>
    <row r="43" spans="1:27" ht="15.4" hidden="1" x14ac:dyDescent="0.4">
      <c r="A43" s="2387"/>
      <c r="B43" s="378" t="s">
        <v>64</v>
      </c>
      <c r="C43" s="1435">
        <v>0</v>
      </c>
      <c r="D43" s="1429">
        <v>0</v>
      </c>
      <c r="E43" s="315" t="s">
        <v>221</v>
      </c>
      <c r="F43" s="313">
        <v>0</v>
      </c>
      <c r="G43" s="313"/>
      <c r="H43" s="314" t="e">
        <f>(G43-E43)/E43*100</f>
        <v>#VALUE!</v>
      </c>
      <c r="I43" s="314" t="e">
        <f>(G43-F43)/F43*100</f>
        <v>#DIV/0!</v>
      </c>
      <c r="J43" s="84" t="e">
        <f t="shared" si="2"/>
        <v>#VALUE!</v>
      </c>
      <c r="L43" s="1476">
        <v>0.1548958</v>
      </c>
      <c r="M43" s="1286"/>
      <c r="N43" s="378" t="s">
        <v>30</v>
      </c>
      <c r="O43" s="1435">
        <v>0</v>
      </c>
      <c r="P43" s="540" t="s">
        <v>221</v>
      </c>
      <c r="Q43" s="307" t="s">
        <v>221</v>
      </c>
      <c r="R43" s="315">
        <f>F43+'APRIL-2023'!F43</f>
        <v>0</v>
      </c>
      <c r="S43" s="315">
        <f>G43+'APRIL-2023'!G43</f>
        <v>0</v>
      </c>
      <c r="T43" s="314" t="s">
        <v>221</v>
      </c>
      <c r="U43" s="314">
        <v>0</v>
      </c>
      <c r="W43" s="5" t="e">
        <f>(E43*10000000)/100000</f>
        <v>#VALUE!</v>
      </c>
      <c r="Z43" s="11" t="e">
        <f t="shared" si="3"/>
        <v>#VALUE!</v>
      </c>
      <c r="AA43" s="11" t="e">
        <f t="shared" si="4"/>
        <v>#DIV/0!</v>
      </c>
    </row>
    <row r="44" spans="1:27" ht="15.4" x14ac:dyDescent="0.4">
      <c r="A44" s="2387"/>
      <c r="B44" s="378" t="s">
        <v>4</v>
      </c>
      <c r="C44" s="1435">
        <v>0.211532</v>
      </c>
      <c r="D44" s="1429"/>
      <c r="E44" s="315" t="s">
        <v>221</v>
      </c>
      <c r="F44" s="313">
        <v>1.9599999999999999E-2</v>
      </c>
      <c r="G44" s="313">
        <f>'ACTUAL- 23-24'!R21/10000000</f>
        <v>2.0658999999999999E-3</v>
      </c>
      <c r="H44" s="314"/>
      <c r="I44" s="314" t="s">
        <v>221</v>
      </c>
      <c r="J44" s="84" t="e">
        <f t="shared" si="2"/>
        <v>#VALUE!</v>
      </c>
      <c r="L44" s="1476">
        <v>0</v>
      </c>
      <c r="M44" s="1286"/>
      <c r="N44" s="378" t="s">
        <v>4</v>
      </c>
      <c r="O44" s="1435">
        <v>0.211532</v>
      </c>
      <c r="P44" s="540" t="s">
        <v>221</v>
      </c>
      <c r="Q44" s="307" t="s">
        <v>221</v>
      </c>
      <c r="R44" s="315">
        <f>F44+'APRIL-2023'!F44</f>
        <v>1.9599999999999999E-2</v>
      </c>
      <c r="S44" s="315">
        <f>G44+'APRIL-2023'!G44</f>
        <v>0.21744540000000001</v>
      </c>
      <c r="T44" s="314" t="s">
        <v>221</v>
      </c>
      <c r="U44" s="314">
        <f>(S44-R44)/R44*100</f>
        <v>1009.4153061224491</v>
      </c>
      <c r="X44" s="172">
        <v>0</v>
      </c>
      <c r="Y44" s="5">
        <v>0.06</v>
      </c>
      <c r="Z44" s="11" t="e">
        <f t="shared" si="3"/>
        <v>#DIV/0!</v>
      </c>
      <c r="AA44" s="11">
        <f t="shared" si="4"/>
        <v>-100</v>
      </c>
    </row>
    <row r="45" spans="1:27" ht="15.4" x14ac:dyDescent="0.4">
      <c r="A45" s="780"/>
      <c r="B45" s="378" t="s">
        <v>259</v>
      </c>
      <c r="C45" s="1435">
        <v>1.5697181</v>
      </c>
      <c r="D45" s="1429"/>
      <c r="E45" s="315" t="s">
        <v>221</v>
      </c>
      <c r="F45" s="313">
        <v>6.3799599999999998E-2</v>
      </c>
      <c r="G45" s="313">
        <f>'ACTUAL- 23-24'!S21/10000000</f>
        <v>9.6396300000000004E-2</v>
      </c>
      <c r="H45" s="314"/>
      <c r="I45" s="314" t="s">
        <v>221</v>
      </c>
      <c r="J45" s="84" t="e">
        <f t="shared" si="2"/>
        <v>#VALUE!</v>
      </c>
      <c r="L45" s="1476">
        <v>4.0018400000000003E-2</v>
      </c>
      <c r="M45" s="1204"/>
      <c r="N45" s="378" t="s">
        <v>259</v>
      </c>
      <c r="O45" s="1435">
        <v>1.5697181</v>
      </c>
      <c r="P45" s="540" t="s">
        <v>221</v>
      </c>
      <c r="Q45" s="315" t="s">
        <v>221</v>
      </c>
      <c r="R45" s="315">
        <f>F45+'APRIL-2023'!F45</f>
        <v>0.2010594</v>
      </c>
      <c r="S45" s="315">
        <f>G45+'APRIL-2023'!G45</f>
        <v>0.18706519999999999</v>
      </c>
      <c r="T45" s="407" t="s">
        <v>221</v>
      </c>
      <c r="U45" s="314">
        <f>(S45-R45)/R45*100</f>
        <v>-6.9602316529344126</v>
      </c>
      <c r="W45" s="595">
        <f>W40+W41+W42+W44</f>
        <v>159.5</v>
      </c>
      <c r="X45" s="172">
        <f>X40+X41+X42+X44</f>
        <v>206.23000000000002</v>
      </c>
      <c r="Y45" s="172">
        <f>Y40+Y41+Y42+Y44</f>
        <v>73.350000000000009</v>
      </c>
      <c r="Z45" s="11">
        <f t="shared" si="3"/>
        <v>29.297805642633239</v>
      </c>
      <c r="AA45" s="11">
        <f t="shared" si="4"/>
        <v>181.15882753919561</v>
      </c>
    </row>
    <row r="46" spans="1:27" x14ac:dyDescent="0.35">
      <c r="A46" s="2387"/>
      <c r="B46" s="2309" t="s">
        <v>888</v>
      </c>
      <c r="C46" s="2310"/>
      <c r="D46" s="2310"/>
      <c r="E46" s="2310"/>
      <c r="F46" s="2310"/>
      <c r="G46" s="2310"/>
      <c r="H46" s="2310"/>
      <c r="I46" s="2311"/>
      <c r="L46" s="1476">
        <v>0.93056630000000007</v>
      </c>
      <c r="M46" s="2388"/>
      <c r="N46" s="2309" t="s">
        <v>419</v>
      </c>
      <c r="O46" s="2310"/>
      <c r="P46" s="2310"/>
      <c r="Q46" s="2310"/>
      <c r="R46" s="2310"/>
      <c r="S46" s="2310"/>
      <c r="T46" s="2310"/>
      <c r="U46" s="2311"/>
    </row>
    <row r="47" spans="1:27" ht="15.4" x14ac:dyDescent="0.4">
      <c r="A47" s="2387"/>
      <c r="B47" s="378" t="s">
        <v>798</v>
      </c>
      <c r="C47" s="1435">
        <v>18.824966</v>
      </c>
      <c r="D47" s="315">
        <f>'TARGET 23-24'!B53</f>
        <v>22.09</v>
      </c>
      <c r="E47" s="315">
        <v>1.57</v>
      </c>
      <c r="F47" s="315">
        <f t="shared" ref="F47:G49" si="5">E66</f>
        <v>1.359308</v>
      </c>
      <c r="G47" s="315">
        <f t="shared" si="5"/>
        <v>1.778316</v>
      </c>
      <c r="H47" s="316">
        <f>(G47-E47)/E47*100</f>
        <v>13.268535031847129</v>
      </c>
      <c r="I47" s="314">
        <f>(G47-F47)/F47*100</f>
        <v>30.825096298999199</v>
      </c>
      <c r="J47" s="84">
        <f>94132</f>
        <v>94132</v>
      </c>
      <c r="L47" s="1476"/>
      <c r="M47" s="2388"/>
      <c r="N47" s="378" t="s">
        <v>794</v>
      </c>
      <c r="O47" s="1435">
        <v>18.824966</v>
      </c>
      <c r="P47" s="331">
        <v>22.9</v>
      </c>
      <c r="Q47" s="315">
        <f>E47+'APRIL-2023'!E47</f>
        <v>2.89</v>
      </c>
      <c r="R47" s="315">
        <f>F47+'APRIL-2023'!F47</f>
        <v>2.4993080000000001</v>
      </c>
      <c r="S47" s="315">
        <f>G47+'APRIL-2023'!G47</f>
        <v>3.4776150000000001</v>
      </c>
      <c r="T47" s="316">
        <f>(S47-Q47)/Q47*100</f>
        <v>20.332698961937716</v>
      </c>
      <c r="U47" s="314">
        <f>(S47-R47)/R47*100</f>
        <v>39.143114814180564</v>
      </c>
    </row>
    <row r="48" spans="1:27" ht="15.4" x14ac:dyDescent="0.4">
      <c r="A48" s="2387"/>
      <c r="B48" s="1280" t="s">
        <v>799</v>
      </c>
      <c r="C48" s="1437">
        <v>15.344440000000001</v>
      </c>
      <c r="D48" s="2154">
        <f>'TARGET 23-24'!C53</f>
        <v>32.97</v>
      </c>
      <c r="E48" s="2154">
        <v>2.12</v>
      </c>
      <c r="F48" s="315">
        <f t="shared" si="5"/>
        <v>0.69669300000000001</v>
      </c>
      <c r="G48" s="315">
        <f t="shared" si="5"/>
        <v>1.9221239999999999</v>
      </c>
      <c r="H48" s="2027">
        <f>L48</f>
        <v>36.869056603773572</v>
      </c>
      <c r="I48" s="314">
        <f>(G48-F48)/F48*100</f>
        <v>175.89253803325136</v>
      </c>
      <c r="J48" s="84">
        <v>31105</v>
      </c>
      <c r="K48" s="12">
        <f>G48+G49</f>
        <v>2.901624</v>
      </c>
      <c r="L48" s="172">
        <f>(K48-E48)/E48*100</f>
        <v>36.869056603773572</v>
      </c>
      <c r="M48" s="2388"/>
      <c r="N48" s="1280" t="s">
        <v>792</v>
      </c>
      <c r="O48" s="1437">
        <v>15.344440000000001</v>
      </c>
      <c r="P48" s="2067">
        <v>32.97</v>
      </c>
      <c r="Q48" s="2154">
        <f>E48+'APRIL-2023'!E48</f>
        <v>4.17</v>
      </c>
      <c r="R48" s="315">
        <f>F48+'APRIL-2023'!F48</f>
        <v>1.2866930000000001</v>
      </c>
      <c r="S48" s="315">
        <f>G48+'APRIL-2023'!G48</f>
        <v>3.6410650000000002</v>
      </c>
      <c r="T48" s="2027">
        <f>X48</f>
        <v>34.419280575539574</v>
      </c>
      <c r="U48" s="314">
        <f>(S48-R48)/R48*100</f>
        <v>182.97853489527029</v>
      </c>
      <c r="W48" s="12">
        <f>S48+S49</f>
        <v>5.6052840000000002</v>
      </c>
      <c r="X48" s="172">
        <f>(W48-Q48)/Q48*100</f>
        <v>34.419280575539574</v>
      </c>
    </row>
    <row r="49" spans="1:33" ht="16.5" x14ac:dyDescent="0.55000000000000004">
      <c r="A49" s="2387"/>
      <c r="B49" s="320" t="s">
        <v>800</v>
      </c>
      <c r="C49" s="1437">
        <v>12.857975999999999</v>
      </c>
      <c r="D49" s="2155"/>
      <c r="E49" s="2155"/>
      <c r="F49" s="315">
        <f t="shared" si="5"/>
        <v>1.1353850000000001</v>
      </c>
      <c r="G49" s="315">
        <f t="shared" si="5"/>
        <v>0.97950000000000004</v>
      </c>
      <c r="H49" s="2029"/>
      <c r="I49" s="314">
        <f>(G49-F49)/F49*100</f>
        <v>-13.729704021102979</v>
      </c>
      <c r="J49" s="1198">
        <v>205039</v>
      </c>
      <c r="K49" s="1198"/>
      <c r="L49" s="1477">
        <f>(K48-E48)/E48*100</f>
        <v>36.869056603773572</v>
      </c>
      <c r="M49" s="2388"/>
      <c r="N49" s="320" t="s">
        <v>793</v>
      </c>
      <c r="O49" s="1437">
        <v>12.857975999999999</v>
      </c>
      <c r="P49" s="2068"/>
      <c r="Q49" s="2155"/>
      <c r="R49" s="315">
        <f>F49+'APRIL-2023'!F49</f>
        <v>2.315385</v>
      </c>
      <c r="S49" s="315">
        <f>G49+'APRIL-2023'!G49</f>
        <v>1.9642189999999999</v>
      </c>
      <c r="T49" s="2029"/>
      <c r="U49" s="314">
        <f>(S49-R49)/R49*100</f>
        <v>-15.166635354379512</v>
      </c>
    </row>
    <row r="50" spans="1:33" ht="15.75" customHeight="1" x14ac:dyDescent="0.35">
      <c r="A50" s="2387">
        <v>6</v>
      </c>
      <c r="B50" s="2309" t="s">
        <v>893</v>
      </c>
      <c r="C50" s="2310"/>
      <c r="D50" s="2310"/>
      <c r="E50" s="2310"/>
      <c r="F50" s="2310"/>
      <c r="G50" s="2310"/>
      <c r="H50" s="2310"/>
      <c r="I50" s="2311"/>
      <c r="L50" s="1476"/>
      <c r="M50" s="2388">
        <v>6</v>
      </c>
      <c r="N50" s="2309" t="s">
        <v>893</v>
      </c>
      <c r="O50" s="2310"/>
      <c r="P50" s="2310"/>
      <c r="Q50" s="2310"/>
      <c r="R50" s="2310"/>
      <c r="S50" s="2310"/>
      <c r="T50" s="2310"/>
      <c r="U50" s="2311"/>
    </row>
    <row r="51" spans="1:33" ht="15.4" x14ac:dyDescent="0.4">
      <c r="A51" s="2387"/>
      <c r="B51" s="378" t="s">
        <v>36</v>
      </c>
      <c r="C51" s="1438"/>
      <c r="D51" s="2024" t="s">
        <v>221</v>
      </c>
      <c r="E51" s="2024" t="s">
        <v>221</v>
      </c>
      <c r="F51" s="313">
        <v>138.88999999999999</v>
      </c>
      <c r="G51" s="313">
        <v>90.83</v>
      </c>
      <c r="H51" s="2027" t="s">
        <v>221</v>
      </c>
      <c r="I51" s="314">
        <f>(G51-F51)/F51*100</f>
        <v>-34.602923176614581</v>
      </c>
      <c r="M51" s="2388"/>
      <c r="N51" s="2006" t="s">
        <v>36</v>
      </c>
      <c r="O51" s="2007"/>
      <c r="P51" s="2368" t="s">
        <v>221</v>
      </c>
      <c r="Q51" s="2024" t="s">
        <v>221</v>
      </c>
      <c r="R51" s="313">
        <v>138.88999999999999</v>
      </c>
      <c r="S51" s="313">
        <v>90.83</v>
      </c>
      <c r="T51" s="2027"/>
      <c r="U51" s="314">
        <f>(S51-R51)/R51*100</f>
        <v>-34.602923176614581</v>
      </c>
    </row>
    <row r="52" spans="1:33" ht="15.4" x14ac:dyDescent="0.4">
      <c r="A52" s="2387"/>
      <c r="B52" s="378" t="s">
        <v>37</v>
      </c>
      <c r="C52" s="1438"/>
      <c r="D52" s="2025"/>
      <c r="E52" s="2025"/>
      <c r="F52" s="313">
        <v>42.12</v>
      </c>
      <c r="G52" s="313">
        <v>9.48</v>
      </c>
      <c r="H52" s="2028"/>
      <c r="I52" s="314">
        <f>(G52-F52)/F52*100</f>
        <v>-77.492877492877497</v>
      </c>
      <c r="M52" s="2388"/>
      <c r="N52" s="2006" t="s">
        <v>37</v>
      </c>
      <c r="O52" s="2007"/>
      <c r="P52" s="2369"/>
      <c r="Q52" s="2025"/>
      <c r="R52" s="313">
        <v>42.12</v>
      </c>
      <c r="S52" s="313">
        <v>9.48</v>
      </c>
      <c r="T52" s="2028"/>
      <c r="U52" s="314">
        <f>(S52-R52)/R52*100</f>
        <v>-77.492877492877497</v>
      </c>
    </row>
    <row r="53" spans="1:33" ht="15.4" x14ac:dyDescent="0.4">
      <c r="A53" s="2387"/>
      <c r="B53" s="378" t="s">
        <v>38</v>
      </c>
      <c r="C53" s="1438"/>
      <c r="D53" s="2026"/>
      <c r="E53" s="2026"/>
      <c r="F53" s="313">
        <f>SUM(F51:F52)</f>
        <v>181.01</v>
      </c>
      <c r="G53" s="313">
        <f>SUM(G51:G52)</f>
        <v>100.31</v>
      </c>
      <c r="H53" s="2029"/>
      <c r="I53" s="314">
        <f>(G53-F53)/F53*100</f>
        <v>-44.583172200430909</v>
      </c>
      <c r="M53" s="2388"/>
      <c r="N53" s="2006" t="s">
        <v>38</v>
      </c>
      <c r="O53" s="2007"/>
      <c r="P53" s="2245"/>
      <c r="Q53" s="2026"/>
      <c r="R53" s="313">
        <f>SUM(R51:R52)</f>
        <v>181.01</v>
      </c>
      <c r="S53" s="313">
        <f>SUM(S51:S52)</f>
        <v>100.31</v>
      </c>
      <c r="T53" s="2029"/>
      <c r="U53" s="314">
        <f>(S53-R53)/R53*100</f>
        <v>-44.583172200430909</v>
      </c>
    </row>
    <row r="54" spans="1:33" x14ac:dyDescent="0.4">
      <c r="H54" s="41"/>
      <c r="I54" s="41"/>
    </row>
    <row r="55" spans="1:33" ht="15.4" x14ac:dyDescent="0.4">
      <c r="E55" s="12"/>
      <c r="F55" s="12"/>
      <c r="G55" s="12"/>
      <c r="H55" s="314"/>
      <c r="I55" s="314"/>
      <c r="J55" s="314">
        <f>210288-1860</f>
        <v>208428</v>
      </c>
      <c r="Q55" s="12"/>
      <c r="R55" s="12">
        <f t="shared" ref="R55:S57" si="6">(R47*1000000)/100000</f>
        <v>24.993079999999999</v>
      </c>
      <c r="S55" s="12">
        <f t="shared" si="6"/>
        <v>34.776150000000001</v>
      </c>
      <c r="T55" s="314"/>
      <c r="U55" s="314">
        <f>(S55-R55)/R55*100</f>
        <v>39.143114814180571</v>
      </c>
      <c r="W55" s="12">
        <f>R56+R57</f>
        <v>36.020780000000002</v>
      </c>
      <c r="X55" s="12">
        <f>S56+S57</f>
        <v>56.052839999999996</v>
      </c>
      <c r="Z55" s="314">
        <f>(X55-W55)/W55*100</f>
        <v>55.61251033431256</v>
      </c>
    </row>
    <row r="56" spans="1:33" ht="15.4" x14ac:dyDescent="0.4">
      <c r="H56" s="35"/>
      <c r="I56" s="5"/>
      <c r="J56" s="35"/>
      <c r="K56" s="5"/>
      <c r="P56" s="12"/>
      <c r="Q56" s="12"/>
      <c r="R56" s="12">
        <f t="shared" si="6"/>
        <v>12.86693</v>
      </c>
      <c r="S56" s="12">
        <f t="shared" si="6"/>
        <v>36.410649999999997</v>
      </c>
      <c r="U56" s="314">
        <f>(S56-R56)/R56*100</f>
        <v>182.97853489527026</v>
      </c>
    </row>
    <row r="57" spans="1:33" ht="15.4" x14ac:dyDescent="0.4">
      <c r="L57" s="35"/>
      <c r="R57" s="12">
        <f t="shared" si="6"/>
        <v>23.153849999999998</v>
      </c>
      <c r="S57" s="12">
        <f t="shared" si="6"/>
        <v>19.642189999999999</v>
      </c>
      <c r="U57" s="314">
        <f>(S57-R57)/R57*100</f>
        <v>-15.166635354379506</v>
      </c>
    </row>
    <row r="58" spans="1:33" x14ac:dyDescent="0.4">
      <c r="D58" s="1407"/>
      <c r="E58" s="1192">
        <v>44703</v>
      </c>
      <c r="F58" s="1192">
        <v>45069</v>
      </c>
      <c r="H58" s="1192">
        <f>E58</f>
        <v>44703</v>
      </c>
      <c r="I58" s="1192">
        <f>F58</f>
        <v>45069</v>
      </c>
      <c r="K58" s="84">
        <v>2.94</v>
      </c>
      <c r="R58" s="12">
        <f>SUM(R55:R57)</f>
        <v>61.013860000000001</v>
      </c>
      <c r="S58" s="12">
        <f>SUM(S55:S57)</f>
        <v>90.828990000000005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33" ht="15.75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S59" s="9" t="s">
        <v>152</v>
      </c>
      <c r="T59" s="1291">
        <f>E58</f>
        <v>44703</v>
      </c>
      <c r="U59" s="1291">
        <f>F58</f>
        <v>45069</v>
      </c>
      <c r="V59" s="26"/>
      <c r="W59" s="1291">
        <v>44958</v>
      </c>
      <c r="X59" s="1291">
        <v>44958</v>
      </c>
      <c r="Y59" s="26"/>
      <c r="Z59" s="1291">
        <f>T59</f>
        <v>44703</v>
      </c>
      <c r="AA59" s="1291">
        <f>X59</f>
        <v>44958</v>
      </c>
      <c r="AC59" s="5">
        <v>57578</v>
      </c>
      <c r="AD59" s="5">
        <v>76550</v>
      </c>
    </row>
    <row r="60" spans="1:33" ht="16.149999999999999" x14ac:dyDescent="0.55000000000000004">
      <c r="D60" s="1407" t="s">
        <v>94</v>
      </c>
      <c r="E60" s="1193">
        <f>H60/10000000</f>
        <v>0.84492449999999997</v>
      </c>
      <c r="F60" s="1193">
        <f t="shared" ref="E60:F62" si="7">I60/10000000</f>
        <v>1.1882771999999999</v>
      </c>
      <c r="H60" s="598">
        <v>8449245</v>
      </c>
      <c r="I60" s="598">
        <v>11882772</v>
      </c>
      <c r="J60" s="1320"/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33" ht="16.149999999999999" x14ac:dyDescent="0.55000000000000004">
      <c r="D61" s="1407" t="s">
        <v>502</v>
      </c>
      <c r="E61" s="1193">
        <f t="shared" si="7"/>
        <v>2.597871</v>
      </c>
      <c r="F61" s="1193">
        <f t="shared" si="7"/>
        <v>19.2016822</v>
      </c>
      <c r="H61" s="598">
        <v>25978710</v>
      </c>
      <c r="I61" s="598">
        <v>192016822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33" ht="16.899999999999999" thickBot="1" x14ac:dyDescent="0.6">
      <c r="D62" s="1407" t="s">
        <v>767</v>
      </c>
      <c r="E62" s="1193">
        <f t="shared" si="7"/>
        <v>72.298277900000002</v>
      </c>
      <c r="F62" s="1193">
        <f t="shared" si="7"/>
        <v>73.726422299999996</v>
      </c>
      <c r="H62" s="660">
        <v>722982779</v>
      </c>
      <c r="I62" s="1124">
        <v>737264223</v>
      </c>
      <c r="J62" s="1215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33" ht="15.4" x14ac:dyDescent="0.4">
      <c r="E63" s="428"/>
      <c r="F63" s="428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33" ht="15.4" x14ac:dyDescent="0.4">
      <c r="E64" s="428"/>
      <c r="F64" s="428"/>
      <c r="I64" s="82">
        <f>J64/1000000</f>
        <v>0.23699999999999999</v>
      </c>
      <c r="J64" s="84">
        <f>2.37*100000</f>
        <v>237000</v>
      </c>
      <c r="K64" s="212"/>
      <c r="L64" s="1217"/>
      <c r="S64" s="1261"/>
      <c r="T64" s="331"/>
      <c r="U64" s="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6.149999999999999" x14ac:dyDescent="0.55000000000000004">
      <c r="D65" s="1418" t="s">
        <v>768</v>
      </c>
      <c r="E65" s="1193"/>
      <c r="F65" s="1193"/>
      <c r="J65" s="755"/>
      <c r="K65" s="259"/>
      <c r="L65" s="1217"/>
      <c r="S65" s="26" t="s">
        <v>187</v>
      </c>
      <c r="T65" s="26">
        <f>SUM(T60:T64)</f>
        <v>665125</v>
      </c>
      <c r="U65" s="26">
        <f t="shared" ref="U65:AA65" si="8">SUM(U60:U64)</f>
        <v>3363834</v>
      </c>
      <c r="V65" s="26"/>
      <c r="W65" s="9">
        <f>SUM(W60:W64)</f>
        <v>1174725</v>
      </c>
      <c r="X65" s="9">
        <f t="shared" si="8"/>
        <v>7176648</v>
      </c>
      <c r="Y65" s="26"/>
      <c r="Z65" s="9">
        <f t="shared" si="8"/>
        <v>403700</v>
      </c>
      <c r="AA65" s="9">
        <f t="shared" si="8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6.149999999999999" x14ac:dyDescent="0.55000000000000004">
      <c r="D66" s="1407" t="s">
        <v>94</v>
      </c>
      <c r="E66" s="1193">
        <f t="shared" ref="E66:F68" si="9">H66/1000000</f>
        <v>1.359308</v>
      </c>
      <c r="F66" s="1193">
        <f t="shared" si="9"/>
        <v>1.778316</v>
      </c>
      <c r="H66" s="598">
        <v>1359308</v>
      </c>
      <c r="I66" s="598">
        <v>1778316</v>
      </c>
      <c r="J66" s="323">
        <f t="shared" ref="J66:K68" si="10">H66/100000</f>
        <v>13.59308</v>
      </c>
      <c r="K66" s="323">
        <f t="shared" si="10"/>
        <v>17.783159999999999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6.149999999999999" x14ac:dyDescent="0.55000000000000004">
      <c r="D67" s="1407" t="s">
        <v>502</v>
      </c>
      <c r="E67" s="1193">
        <f t="shared" si="9"/>
        <v>0.69669300000000001</v>
      </c>
      <c r="F67" s="1193">
        <f t="shared" si="9"/>
        <v>1.9221239999999999</v>
      </c>
      <c r="H67" s="598">
        <v>696693</v>
      </c>
      <c r="I67" s="598">
        <v>1922124</v>
      </c>
      <c r="J67" s="323">
        <f t="shared" si="10"/>
        <v>6.9669299999999996</v>
      </c>
      <c r="K67" s="323">
        <f t="shared" si="10"/>
        <v>19.221240000000002</v>
      </c>
      <c r="L67" s="491">
        <f>K66/100000</f>
        <v>1.778316E-4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6.149999999999999" x14ac:dyDescent="0.55000000000000004">
      <c r="D68" s="1407" t="s">
        <v>767</v>
      </c>
      <c r="E68" s="1193">
        <f t="shared" si="9"/>
        <v>1.1353850000000001</v>
      </c>
      <c r="F68" s="1193">
        <f t="shared" si="9"/>
        <v>0.97950000000000004</v>
      </c>
      <c r="H68" s="1253">
        <v>1135385</v>
      </c>
      <c r="I68" s="1124">
        <v>979500</v>
      </c>
      <c r="J68" s="323">
        <f t="shared" si="10"/>
        <v>11.35385</v>
      </c>
      <c r="K68" s="323">
        <f t="shared" si="10"/>
        <v>9.7949999999999999</v>
      </c>
      <c r="L68" s="491">
        <f>K67/100000</f>
        <v>1.9221240000000001E-4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K69" s="212"/>
      <c r="L69" s="491">
        <f>K68/100000</f>
        <v>9.7949999999999996E-5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6.149999999999999" x14ac:dyDescent="0.55000000000000004">
      <c r="D71" s="1418" t="s">
        <v>436</v>
      </c>
      <c r="E71" s="134">
        <f>H71</f>
        <v>2.1160030000000001</v>
      </c>
      <c r="F71" s="134">
        <f>I71</f>
        <v>2.7613979999999998</v>
      </c>
      <c r="H71" s="1372">
        <f>J71/10000000</f>
        <v>2.1160030000000001</v>
      </c>
      <c r="I71" s="1372">
        <f>K71/10000000</f>
        <v>2.7613979999999998</v>
      </c>
      <c r="J71" s="786">
        <v>21160030</v>
      </c>
      <c r="K71" s="786">
        <f>'ACTUAL- 23-24'!P4</f>
        <v>27613980</v>
      </c>
      <c r="L71" s="1217"/>
      <c r="N71" s="755">
        <v>6531262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1439">
        <f>66.07-3.11</f>
        <v>62.959999999999994</v>
      </c>
      <c r="D72" s="1418" t="s">
        <v>769</v>
      </c>
      <c r="E72" s="134">
        <f>J79/100</f>
        <v>2.1745000000000001</v>
      </c>
      <c r="F72" s="134">
        <f>K79/100</f>
        <v>1.825</v>
      </c>
      <c r="H72" s="1263"/>
      <c r="I72" s="1263"/>
      <c r="K72" s="323"/>
      <c r="L72" s="1217"/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8.5500000000000007E-2</v>
      </c>
      <c r="F73" s="283">
        <f>K77/100</f>
        <v>9.11E-2</v>
      </c>
      <c r="H73" s="1263"/>
      <c r="I73" s="1263"/>
      <c r="J73" s="1128"/>
      <c r="K73" s="1128"/>
      <c r="L73" s="1217"/>
      <c r="U73" s="1239"/>
      <c r="AB73" s="1239"/>
    </row>
    <row r="74" spans="3:30" ht="15.4" x14ac:dyDescent="0.45">
      <c r="D74" s="1418" t="s">
        <v>196</v>
      </c>
      <c r="E74" s="134">
        <f>H74</f>
        <v>0.303392</v>
      </c>
      <c r="F74" s="134">
        <f t="shared" ref="E74:F76" si="11">I74</f>
        <v>0.2741035</v>
      </c>
      <c r="H74" s="1372">
        <f>J74/10000000</f>
        <v>0.303392</v>
      </c>
      <c r="I74" s="1372">
        <f t="shared" ref="H74:I76" si="12">K74/10000000</f>
        <v>0.2741035</v>
      </c>
      <c r="J74" s="98">
        <v>3033920</v>
      </c>
      <c r="K74" s="212">
        <f>J115</f>
        <v>2741035</v>
      </c>
      <c r="L74" s="1217"/>
      <c r="M74" s="1210"/>
      <c r="N74" s="12"/>
      <c r="X74" s="5"/>
    </row>
    <row r="75" spans="3:30" ht="16.149999999999999" x14ac:dyDescent="0.55000000000000004">
      <c r="D75" s="1418" t="s">
        <v>123</v>
      </c>
      <c r="E75" s="134">
        <f>H75</f>
        <v>3.7349E-2</v>
      </c>
      <c r="F75" s="134">
        <f t="shared" si="11"/>
        <v>3.1637999999999999E-2</v>
      </c>
      <c r="H75" s="1372">
        <f t="shared" si="12"/>
        <v>3.7349E-2</v>
      </c>
      <c r="I75" s="1372">
        <f t="shared" si="12"/>
        <v>3.1637999999999999E-2</v>
      </c>
      <c r="J75" s="212">
        <f>L153</f>
        <v>373490</v>
      </c>
      <c r="K75" s="1198">
        <f>L116</f>
        <v>316380</v>
      </c>
    </row>
    <row r="76" spans="3:30" ht="16.5" thickBot="1" x14ac:dyDescent="0.6">
      <c r="D76" s="1418" t="s">
        <v>435</v>
      </c>
      <c r="E76" s="134">
        <f t="shared" si="11"/>
        <v>3.7502597999999998</v>
      </c>
      <c r="F76" s="134">
        <f>I76</f>
        <v>3.8764101000000002</v>
      </c>
      <c r="H76" s="1372">
        <f t="shared" si="12"/>
        <v>3.7502597999999998</v>
      </c>
      <c r="I76" s="1372">
        <f t="shared" si="12"/>
        <v>3.8764101000000002</v>
      </c>
      <c r="J76" s="1463">
        <v>37502598</v>
      </c>
      <c r="K76" s="1464">
        <f>K115</f>
        <v>38764101</v>
      </c>
      <c r="N76" s="755"/>
    </row>
    <row r="77" spans="3:30" x14ac:dyDescent="0.4">
      <c r="H77" s="1224"/>
      <c r="I77" s="1225"/>
      <c r="J77" s="84">
        <v>8.5500000000000007</v>
      </c>
      <c r="K77" s="323">
        <v>9.11</v>
      </c>
    </row>
    <row r="78" spans="3:30" x14ac:dyDescent="0.4">
      <c r="E78" s="428"/>
      <c r="F78" s="428"/>
      <c r="J78" s="84">
        <v>226</v>
      </c>
      <c r="K78" s="84">
        <v>191.61</v>
      </c>
      <c r="L78" s="172">
        <f>J77/100</f>
        <v>8.5500000000000007E-2</v>
      </c>
    </row>
    <row r="79" spans="3:30" x14ac:dyDescent="0.4">
      <c r="E79" s="428"/>
      <c r="F79" s="428"/>
      <c r="J79" s="84">
        <f>J78-J77</f>
        <v>217.45</v>
      </c>
      <c r="K79" s="323">
        <f>K78-K77</f>
        <v>182.5</v>
      </c>
    </row>
    <row r="80" spans="3:30" x14ac:dyDescent="0.4">
      <c r="E80" s="428"/>
      <c r="F80" s="428"/>
      <c r="L80" s="172">
        <f>J79/100</f>
        <v>2.1745000000000001</v>
      </c>
    </row>
    <row r="81" spans="3:12" x14ac:dyDescent="0.4">
      <c r="D81" s="1417" t="s">
        <v>164</v>
      </c>
      <c r="E81" s="428" t="s">
        <v>710</v>
      </c>
      <c r="F81" s="84" t="s">
        <v>164</v>
      </c>
      <c r="G81" s="428" t="s">
        <v>710</v>
      </c>
      <c r="H81" s="84" t="s">
        <v>164</v>
      </c>
      <c r="I81" s="428" t="s">
        <v>710</v>
      </c>
      <c r="J81" s="84" t="s">
        <v>196</v>
      </c>
    </row>
    <row r="82" spans="3:12" x14ac:dyDescent="0.4">
      <c r="D82" s="1417">
        <v>23</v>
      </c>
      <c r="E82" s="84">
        <v>23</v>
      </c>
      <c r="F82" s="84">
        <v>23</v>
      </c>
      <c r="G82" s="84">
        <v>23</v>
      </c>
      <c r="H82" s="84">
        <v>23</v>
      </c>
      <c r="I82" s="84">
        <v>23</v>
      </c>
      <c r="J82" s="84">
        <v>23</v>
      </c>
      <c r="K82" s="1292">
        <v>23</v>
      </c>
    </row>
    <row r="83" spans="3:12" x14ac:dyDescent="0.4">
      <c r="D83" s="2437" t="s">
        <v>795</v>
      </c>
      <c r="E83" s="2437"/>
      <c r="F83" s="2437" t="s">
        <v>796</v>
      </c>
      <c r="G83" s="2437"/>
      <c r="H83" s="2437" t="s">
        <v>797</v>
      </c>
      <c r="I83" s="2437"/>
      <c r="J83" s="5" t="s">
        <v>196</v>
      </c>
      <c r="K83" s="5" t="s">
        <v>882</v>
      </c>
    </row>
    <row r="84" spans="3:12" x14ac:dyDescent="0.4">
      <c r="C84" s="1440">
        <v>45047</v>
      </c>
      <c r="D84" s="1449">
        <v>55235</v>
      </c>
      <c r="E84" s="476">
        <v>425049</v>
      </c>
      <c r="F84" s="7">
        <v>72799</v>
      </c>
      <c r="G84" s="7">
        <v>8061498</v>
      </c>
      <c r="H84" s="7"/>
      <c r="I84" s="1450"/>
      <c r="J84" s="210">
        <v>120810</v>
      </c>
      <c r="K84" s="85"/>
      <c r="L84" s="172" t="s">
        <v>123</v>
      </c>
    </row>
    <row r="85" spans="3:12" x14ac:dyDescent="0.4">
      <c r="C85" s="1440">
        <v>45048</v>
      </c>
      <c r="D85" s="1451">
        <v>80074</v>
      </c>
      <c r="E85" s="476">
        <v>459735</v>
      </c>
      <c r="F85" s="7">
        <v>76275</v>
      </c>
      <c r="G85" s="7">
        <v>6821534</v>
      </c>
      <c r="H85" s="7"/>
      <c r="I85" s="210"/>
      <c r="J85" s="210">
        <v>103800</v>
      </c>
      <c r="K85" s="85"/>
      <c r="L85" s="1297"/>
    </row>
    <row r="86" spans="3:12" x14ac:dyDescent="0.4">
      <c r="C86" s="1440">
        <v>45049</v>
      </c>
      <c r="D86" s="1451">
        <v>68662</v>
      </c>
      <c r="E86" s="476">
        <v>401098</v>
      </c>
      <c r="F86" s="7">
        <v>64184</v>
      </c>
      <c r="G86" s="7">
        <v>5985779</v>
      </c>
      <c r="H86" s="7"/>
      <c r="I86" s="210"/>
      <c r="J86" s="210">
        <v>101150</v>
      </c>
      <c r="K86" s="85"/>
      <c r="L86" s="1297"/>
    </row>
    <row r="87" spans="3:12" x14ac:dyDescent="0.4">
      <c r="C87" s="1440">
        <v>45050</v>
      </c>
      <c r="D87" s="1451">
        <v>54557</v>
      </c>
      <c r="E87" s="476">
        <v>356676</v>
      </c>
      <c r="F87" s="7">
        <v>58434</v>
      </c>
      <c r="G87" s="7">
        <v>5657428</v>
      </c>
      <c r="H87" s="7"/>
      <c r="I87" s="210"/>
      <c r="J87" s="210">
        <v>96190</v>
      </c>
      <c r="K87" s="85"/>
      <c r="L87" s="1297"/>
    </row>
    <row r="88" spans="3:12" x14ac:dyDescent="0.4">
      <c r="C88" s="1440">
        <v>45051</v>
      </c>
      <c r="D88" s="1451">
        <v>50737</v>
      </c>
      <c r="E88" s="476">
        <v>343700</v>
      </c>
      <c r="F88" s="7">
        <v>54963</v>
      </c>
      <c r="G88" s="7">
        <v>5854547</v>
      </c>
      <c r="H88" s="7"/>
      <c r="I88" s="210"/>
      <c r="J88" s="210">
        <v>96120</v>
      </c>
      <c r="K88" s="85"/>
      <c r="L88" s="1297"/>
    </row>
    <row r="89" spans="3:12" x14ac:dyDescent="0.4">
      <c r="C89" s="1440">
        <v>45052</v>
      </c>
      <c r="D89" s="1451">
        <v>52022</v>
      </c>
      <c r="E89" s="476">
        <v>372865</v>
      </c>
      <c r="F89" s="6">
        <v>62987</v>
      </c>
      <c r="G89" s="6">
        <v>6450085</v>
      </c>
      <c r="H89" s="31"/>
      <c r="I89" s="79"/>
      <c r="J89" s="85">
        <v>102730</v>
      </c>
      <c r="K89" s="85"/>
      <c r="L89" s="1297"/>
    </row>
    <row r="90" spans="3:12" x14ac:dyDescent="0.4">
      <c r="C90" s="1440">
        <v>45053</v>
      </c>
      <c r="D90" s="1451">
        <v>47767</v>
      </c>
      <c r="E90" s="476">
        <v>373811</v>
      </c>
      <c r="F90" s="6">
        <v>62908</v>
      </c>
      <c r="G90" s="6">
        <v>6716788</v>
      </c>
      <c r="H90" s="1461"/>
      <c r="I90" s="1460"/>
      <c r="J90" s="85">
        <v>106770</v>
      </c>
      <c r="K90" s="85"/>
      <c r="L90" s="1297"/>
    </row>
    <row r="91" spans="3:12" x14ac:dyDescent="0.4">
      <c r="C91" s="1440">
        <v>45054</v>
      </c>
      <c r="D91" s="1451">
        <v>76584</v>
      </c>
      <c r="E91" s="476">
        <v>445706</v>
      </c>
      <c r="F91" s="6">
        <v>71689</v>
      </c>
      <c r="G91" s="6">
        <v>6133058</v>
      </c>
      <c r="H91" s="31"/>
      <c r="I91" s="79"/>
      <c r="J91" s="85">
        <v>102370</v>
      </c>
      <c r="K91" s="85"/>
      <c r="L91" s="1297"/>
    </row>
    <row r="92" spans="3:12" x14ac:dyDescent="0.4">
      <c r="C92" s="1440">
        <v>45055</v>
      </c>
      <c r="D92" s="1451">
        <v>64521</v>
      </c>
      <c r="E92" s="476">
        <v>381460</v>
      </c>
      <c r="F92" s="6">
        <v>64719</v>
      </c>
      <c r="G92" s="6">
        <v>6310776</v>
      </c>
      <c r="H92" s="31"/>
      <c r="I92" s="79"/>
      <c r="J92" s="85">
        <v>89770</v>
      </c>
      <c r="K92" s="85"/>
      <c r="L92" s="1297"/>
    </row>
    <row r="93" spans="3:12" ht="15.75" x14ac:dyDescent="0.4">
      <c r="C93" s="1440">
        <v>45056</v>
      </c>
      <c r="D93" s="1451">
        <v>67562</v>
      </c>
      <c r="E93" s="476">
        <v>400984</v>
      </c>
      <c r="F93" s="6">
        <v>63944</v>
      </c>
      <c r="G93" s="6">
        <v>5876043</v>
      </c>
      <c r="H93" s="1453"/>
      <c r="I93" s="1453"/>
      <c r="J93" s="85">
        <v>96330</v>
      </c>
      <c r="K93" s="1453"/>
      <c r="L93" s="1297">
        <v>142890</v>
      </c>
    </row>
    <row r="94" spans="3:12" x14ac:dyDescent="0.4">
      <c r="C94" s="1440">
        <v>45057</v>
      </c>
      <c r="D94" s="1451">
        <v>62410</v>
      </c>
      <c r="E94" s="476">
        <v>385432</v>
      </c>
      <c r="F94" s="6">
        <v>60337</v>
      </c>
      <c r="G94" s="6">
        <v>5912514</v>
      </c>
      <c r="H94" s="31"/>
      <c r="I94" s="79"/>
      <c r="J94" s="85">
        <v>95610</v>
      </c>
      <c r="K94" s="85"/>
      <c r="L94" s="1297">
        <v>173490</v>
      </c>
    </row>
    <row r="95" spans="3:12" ht="15.75" x14ac:dyDescent="0.4">
      <c r="C95" s="1440">
        <v>45058</v>
      </c>
      <c r="D95" s="1451">
        <v>55257</v>
      </c>
      <c r="E95" s="476">
        <v>363421</v>
      </c>
      <c r="F95" s="6">
        <v>59108</v>
      </c>
      <c r="G95" s="6">
        <v>6491561</v>
      </c>
      <c r="H95" s="1255"/>
      <c r="I95" s="1453"/>
      <c r="J95" s="85">
        <v>93500</v>
      </c>
      <c r="K95" s="85"/>
      <c r="L95" s="1297"/>
    </row>
    <row r="96" spans="3:12" x14ac:dyDescent="0.4">
      <c r="C96" s="1440">
        <v>45059</v>
      </c>
      <c r="D96" s="1451">
        <v>48469</v>
      </c>
      <c r="E96" s="476">
        <v>353854</v>
      </c>
      <c r="F96" s="6">
        <v>64035</v>
      </c>
      <c r="G96" s="6">
        <v>6966842</v>
      </c>
      <c r="H96" s="31"/>
      <c r="I96" s="79"/>
      <c r="J96" s="85">
        <v>106660</v>
      </c>
      <c r="K96" s="85"/>
      <c r="L96" s="1297"/>
    </row>
    <row r="97" spans="3:12" ht="16.5" thickBot="1" x14ac:dyDescent="0.6">
      <c r="C97" s="1440">
        <v>45060</v>
      </c>
      <c r="D97" s="1451">
        <v>46965</v>
      </c>
      <c r="E97" s="476">
        <v>381204</v>
      </c>
      <c r="F97" s="6">
        <v>63728</v>
      </c>
      <c r="G97" s="6">
        <v>7043355</v>
      </c>
      <c r="H97" s="1131"/>
      <c r="I97" s="1131"/>
      <c r="J97" s="85">
        <v>108640</v>
      </c>
      <c r="K97" s="824"/>
      <c r="L97" s="1297"/>
    </row>
    <row r="98" spans="3:12" x14ac:dyDescent="0.4">
      <c r="C98" s="1440">
        <v>45061</v>
      </c>
      <c r="D98" s="1451">
        <v>80319</v>
      </c>
      <c r="E98" s="476">
        <v>475992</v>
      </c>
      <c r="F98" s="6">
        <v>76436</v>
      </c>
      <c r="G98" s="6">
        <v>6544903</v>
      </c>
      <c r="H98" s="31"/>
      <c r="I98" s="79"/>
      <c r="J98" s="85">
        <v>10615</v>
      </c>
      <c r="K98" s="85"/>
      <c r="L98" s="1297"/>
    </row>
    <row r="99" spans="3:12" ht="16.149999999999999" x14ac:dyDescent="0.55000000000000004">
      <c r="C99" s="1440">
        <v>45062</v>
      </c>
      <c r="D99" s="1451">
        <v>65026</v>
      </c>
      <c r="E99" s="476">
        <v>407318</v>
      </c>
      <c r="F99" s="6">
        <v>62758</v>
      </c>
      <c r="G99" s="6">
        <v>6313024</v>
      </c>
      <c r="H99" s="828"/>
      <c r="I99" s="1453"/>
      <c r="J99" s="85">
        <v>97400</v>
      </c>
      <c r="K99" s="85"/>
      <c r="L99" s="1297"/>
    </row>
    <row r="100" spans="3:12" x14ac:dyDescent="0.4">
      <c r="C100" s="1440">
        <v>45063</v>
      </c>
      <c r="D100" s="1452">
        <v>65711</v>
      </c>
      <c r="E100" s="476">
        <v>401960</v>
      </c>
      <c r="F100" s="6">
        <v>64710</v>
      </c>
      <c r="G100" s="6">
        <v>6201958</v>
      </c>
      <c r="H100" s="31"/>
      <c r="I100" s="79"/>
      <c r="J100" s="85">
        <v>102890</v>
      </c>
      <c r="K100" s="85"/>
      <c r="L100" s="1297"/>
    </row>
    <row r="101" spans="3:12" x14ac:dyDescent="0.4">
      <c r="C101" s="1440">
        <v>45064</v>
      </c>
      <c r="D101" s="1451">
        <v>59927</v>
      </c>
      <c r="E101" s="476">
        <v>381001</v>
      </c>
      <c r="F101" s="6">
        <v>59870</v>
      </c>
      <c r="G101" s="6">
        <v>5948857</v>
      </c>
      <c r="H101" s="31"/>
      <c r="I101" s="79"/>
      <c r="J101" s="85">
        <v>100950</v>
      </c>
      <c r="K101" s="85"/>
      <c r="L101" s="1297"/>
    </row>
    <row r="102" spans="3:12" x14ac:dyDescent="0.4">
      <c r="C102" s="1440">
        <v>45065</v>
      </c>
      <c r="D102" s="234">
        <v>51307</v>
      </c>
      <c r="E102" s="476">
        <v>334301</v>
      </c>
      <c r="F102" s="6">
        <v>59964</v>
      </c>
      <c r="G102" s="6">
        <v>6604435</v>
      </c>
      <c r="H102" s="31"/>
      <c r="I102" s="79"/>
      <c r="J102" s="85">
        <v>96700</v>
      </c>
      <c r="K102" s="85"/>
      <c r="L102" s="1297"/>
    </row>
    <row r="103" spans="3:12" ht="16.149999999999999" x14ac:dyDescent="0.55000000000000004">
      <c r="C103" s="1440">
        <v>45066</v>
      </c>
      <c r="D103" s="1451">
        <v>51228</v>
      </c>
      <c r="E103" s="476">
        <v>380888</v>
      </c>
      <c r="F103" s="6">
        <v>62302</v>
      </c>
      <c r="G103" s="6">
        <v>6685630</v>
      </c>
      <c r="H103" s="828"/>
      <c r="I103" s="828"/>
      <c r="J103" s="85">
        <v>105580</v>
      </c>
      <c r="K103" s="828"/>
      <c r="L103" s="1297"/>
    </row>
    <row r="104" spans="3:12" ht="16.5" thickBot="1" x14ac:dyDescent="0.6">
      <c r="C104" s="1440">
        <v>45067</v>
      </c>
      <c r="D104" s="1478">
        <v>47949</v>
      </c>
      <c r="E104" s="1479">
        <v>387986</v>
      </c>
      <c r="F104" s="32">
        <v>62945</v>
      </c>
      <c r="G104" s="32">
        <v>6939592</v>
      </c>
      <c r="H104" s="824"/>
      <c r="I104" s="755"/>
      <c r="J104" s="85">
        <v>110480</v>
      </c>
      <c r="K104" s="755"/>
      <c r="L104" s="1297"/>
    </row>
    <row r="105" spans="3:12" x14ac:dyDescent="0.4">
      <c r="C105" s="1440">
        <v>45068</v>
      </c>
      <c r="D105" s="1451">
        <v>67451</v>
      </c>
      <c r="E105" s="476">
        <v>426727</v>
      </c>
      <c r="F105" s="6">
        <v>68938</v>
      </c>
      <c r="G105" s="6">
        <v>6019596</v>
      </c>
      <c r="H105" s="31"/>
      <c r="I105" s="79"/>
      <c r="J105" s="85">
        <v>103850</v>
      </c>
      <c r="K105" s="85"/>
      <c r="L105" s="1297"/>
    </row>
    <row r="106" spans="3:12" x14ac:dyDescent="0.4">
      <c r="C106" s="1440">
        <v>45069</v>
      </c>
      <c r="D106" s="1451">
        <v>55234</v>
      </c>
      <c r="E106" s="476">
        <v>395388</v>
      </c>
      <c r="F106" s="6">
        <v>56046</v>
      </c>
      <c r="G106" s="6">
        <v>5656631</v>
      </c>
      <c r="H106" s="31"/>
      <c r="I106" s="79"/>
      <c r="J106" s="85">
        <v>91920</v>
      </c>
      <c r="K106" s="85"/>
      <c r="L106" s="1297"/>
    </row>
    <row r="107" spans="3:12" x14ac:dyDescent="0.4">
      <c r="C107" s="1440">
        <v>45070</v>
      </c>
      <c r="D107" s="1452">
        <v>54424</v>
      </c>
      <c r="E107" s="476">
        <v>357124</v>
      </c>
      <c r="F107" s="6">
        <v>55768</v>
      </c>
      <c r="G107" s="6">
        <v>5313025</v>
      </c>
      <c r="H107" s="31"/>
      <c r="I107" s="79"/>
      <c r="J107" s="85">
        <v>98340</v>
      </c>
      <c r="K107" s="85"/>
      <c r="L107" s="1297"/>
    </row>
    <row r="108" spans="3:12" x14ac:dyDescent="0.4">
      <c r="C108" s="1440">
        <v>45071</v>
      </c>
      <c r="D108" s="1454">
        <v>53439</v>
      </c>
      <c r="E108" s="1243">
        <v>361175</v>
      </c>
      <c r="F108" s="1243">
        <v>56734</v>
      </c>
      <c r="G108" s="1243">
        <v>5625075</v>
      </c>
      <c r="H108" s="1243"/>
      <c r="I108" s="1243"/>
      <c r="J108" s="1243">
        <v>96060</v>
      </c>
      <c r="K108" s="1243"/>
      <c r="L108" s="1297"/>
    </row>
    <row r="109" spans="3:12" x14ac:dyDescent="0.4">
      <c r="C109" s="1440">
        <v>45072</v>
      </c>
      <c r="D109" s="1407">
        <v>46726</v>
      </c>
      <c r="E109" s="476">
        <v>336516</v>
      </c>
      <c r="F109" s="6">
        <v>51659</v>
      </c>
      <c r="G109" s="6">
        <v>5647267</v>
      </c>
      <c r="H109" s="31"/>
      <c r="I109" s="79"/>
      <c r="J109" s="85">
        <v>91210</v>
      </c>
      <c r="K109" s="85"/>
      <c r="L109" s="1297"/>
    </row>
    <row r="110" spans="3:12" x14ac:dyDescent="0.4">
      <c r="C110" s="1440">
        <v>45073</v>
      </c>
      <c r="D110" s="1407">
        <v>43793</v>
      </c>
      <c r="E110" s="476">
        <v>359389</v>
      </c>
      <c r="F110" s="6">
        <v>57302</v>
      </c>
      <c r="G110" s="6">
        <v>6101199</v>
      </c>
      <c r="H110" s="31"/>
      <c r="I110" s="79"/>
      <c r="J110" s="85">
        <v>104930</v>
      </c>
      <c r="K110" s="85"/>
      <c r="L110" s="1297"/>
    </row>
    <row r="111" spans="3:12" ht="16.5" thickBot="1" x14ac:dyDescent="0.6">
      <c r="C111" s="1440">
        <v>45074</v>
      </c>
      <c r="D111" s="1407">
        <v>45870</v>
      </c>
      <c r="E111" s="476">
        <v>376303</v>
      </c>
      <c r="F111" s="6">
        <v>59839</v>
      </c>
      <c r="G111" s="6">
        <v>6156071</v>
      </c>
      <c r="H111" s="824">
        <v>888540</v>
      </c>
      <c r="I111" s="910">
        <v>667747440</v>
      </c>
      <c r="J111" s="85">
        <v>109660</v>
      </c>
      <c r="K111" s="755">
        <v>38764101</v>
      </c>
      <c r="L111" s="1297"/>
    </row>
    <row r="112" spans="3:12" x14ac:dyDescent="0.4">
      <c r="C112" s="1440">
        <v>45075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34" x14ac:dyDescent="0.4">
      <c r="C113" s="1440">
        <v>45076</v>
      </c>
      <c r="D113" s="1407"/>
      <c r="E113" s="476"/>
      <c r="F113" s="6"/>
      <c r="G113" s="6"/>
      <c r="H113" s="31"/>
      <c r="I113" s="79"/>
      <c r="J113" s="85"/>
      <c r="K113" s="85"/>
      <c r="L113" s="1297"/>
    </row>
    <row r="114" spans="1:34" x14ac:dyDescent="0.4">
      <c r="C114" s="1440">
        <v>45077</v>
      </c>
      <c r="D114" s="1455"/>
      <c r="E114" s="277"/>
      <c r="F114" s="44"/>
      <c r="G114" s="44"/>
      <c r="H114" s="1456"/>
      <c r="I114" s="278"/>
      <c r="J114" s="1448"/>
      <c r="K114" s="1448"/>
      <c r="L114" s="1297"/>
    </row>
    <row r="115" spans="1:34" x14ac:dyDescent="0.4">
      <c r="C115" s="1457" t="s">
        <v>548</v>
      </c>
      <c r="D115" s="1462">
        <f t="shared" ref="D115:K115" si="13">SUM(D84:D114)</f>
        <v>1619226</v>
      </c>
      <c r="E115" s="1481">
        <f t="shared" si="13"/>
        <v>10827063</v>
      </c>
      <c r="F115" s="1462">
        <f t="shared" si="13"/>
        <v>1755381</v>
      </c>
      <c r="G115" s="1462">
        <f t="shared" si="13"/>
        <v>176039071</v>
      </c>
      <c r="H115" s="1462">
        <f t="shared" si="13"/>
        <v>888540</v>
      </c>
      <c r="I115" s="1462">
        <f t="shared" si="13"/>
        <v>667747440</v>
      </c>
      <c r="J115" s="1462">
        <f t="shared" si="13"/>
        <v>2741035</v>
      </c>
      <c r="K115" s="1462">
        <f t="shared" si="13"/>
        <v>38764101</v>
      </c>
      <c r="L115" s="1297"/>
    </row>
    <row r="116" spans="1:34" x14ac:dyDescent="0.4">
      <c r="L116" s="1462">
        <f>SUM(L85:L115)</f>
        <v>316380</v>
      </c>
    </row>
    <row r="118" spans="1:34" s="172" customFormat="1" x14ac:dyDescent="0.4">
      <c r="A118" s="1235"/>
      <c r="B118" s="300"/>
      <c r="C118" s="1457"/>
      <c r="D118" s="1407" t="s">
        <v>164</v>
      </c>
      <c r="E118" s="264" t="s">
        <v>710</v>
      </c>
      <c r="F118" s="85" t="s">
        <v>164</v>
      </c>
      <c r="G118" s="264" t="s">
        <v>710</v>
      </c>
      <c r="H118" s="85" t="s">
        <v>164</v>
      </c>
      <c r="I118" s="264" t="s">
        <v>710</v>
      </c>
      <c r="J118" s="85" t="s">
        <v>196</v>
      </c>
      <c r="K118" s="85"/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 s="172" customFormat="1" x14ac:dyDescent="0.4">
      <c r="A119" s="1235"/>
      <c r="B119" s="300"/>
      <c r="C119" s="1457"/>
      <c r="D119" s="1407">
        <v>22</v>
      </c>
      <c r="E119" s="85">
        <v>22</v>
      </c>
      <c r="F119" s="85">
        <v>22</v>
      </c>
      <c r="G119" s="85">
        <v>22</v>
      </c>
      <c r="H119" s="85">
        <v>22</v>
      </c>
      <c r="I119" s="85">
        <v>22</v>
      </c>
      <c r="J119" s="85">
        <v>22</v>
      </c>
      <c r="K119" s="476">
        <v>22</v>
      </c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 s="172" customFormat="1" x14ac:dyDescent="0.4">
      <c r="A120" s="1235"/>
      <c r="B120" s="300"/>
      <c r="C120" s="1457"/>
      <c r="D120" s="1934" t="s">
        <v>795</v>
      </c>
      <c r="E120" s="1934"/>
      <c r="F120" s="1934" t="s">
        <v>796</v>
      </c>
      <c r="G120" s="1934"/>
      <c r="H120" s="1934" t="s">
        <v>797</v>
      </c>
      <c r="I120" s="1934"/>
      <c r="J120" s="6" t="s">
        <v>196</v>
      </c>
      <c r="K120" s="6" t="s">
        <v>435</v>
      </c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 s="172" customFormat="1" ht="16.149999999999999" x14ac:dyDescent="0.55000000000000004">
      <c r="A121" s="1235"/>
      <c r="B121" s="300"/>
      <c r="C121" s="1458">
        <v>44682</v>
      </c>
      <c r="D121" s="1449">
        <v>33730</v>
      </c>
      <c r="E121" s="476">
        <v>246749</v>
      </c>
      <c r="F121" s="6">
        <v>19832</v>
      </c>
      <c r="G121" s="6">
        <v>868219</v>
      </c>
      <c r="H121" s="828"/>
      <c r="I121" s="1459"/>
      <c r="J121" s="85">
        <v>120900</v>
      </c>
      <c r="K121" s="85"/>
      <c r="L121" s="172" t="s">
        <v>123</v>
      </c>
      <c r="M121" s="1209"/>
      <c r="N121" s="5"/>
      <c r="O121" s="5"/>
      <c r="P121" s="5"/>
      <c r="Q121" s="5"/>
      <c r="R121" s="5"/>
      <c r="S121" s="5"/>
      <c r="T121" s="5"/>
      <c r="U121" s="5"/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 s="172" customFormat="1" x14ac:dyDescent="0.4">
      <c r="A122" s="1235"/>
      <c r="B122" s="300"/>
      <c r="C122" s="1458">
        <v>44683</v>
      </c>
      <c r="D122" s="1451">
        <v>56297</v>
      </c>
      <c r="E122" s="476">
        <v>307310</v>
      </c>
      <c r="F122" s="6">
        <v>26274</v>
      </c>
      <c r="G122" s="6">
        <v>741700</v>
      </c>
      <c r="H122" s="31"/>
      <c r="I122" s="79"/>
      <c r="J122" s="85">
        <v>100970</v>
      </c>
      <c r="K122" s="85"/>
      <c r="M122" s="1209"/>
      <c r="N122" s="5"/>
      <c r="O122" s="5"/>
      <c r="P122" s="5"/>
      <c r="Q122" s="5"/>
      <c r="R122" s="5"/>
      <c r="S122" s="5"/>
      <c r="T122" s="5"/>
      <c r="U122" s="5"/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 s="172" customFormat="1" x14ac:dyDescent="0.4">
      <c r="A123" s="1235"/>
      <c r="B123" s="300"/>
      <c r="C123" s="1458">
        <v>44684</v>
      </c>
      <c r="D123" s="1451">
        <v>34289</v>
      </c>
      <c r="E123" s="476">
        <v>214267</v>
      </c>
      <c r="F123" s="6">
        <v>18685</v>
      </c>
      <c r="G123" s="6">
        <v>629330</v>
      </c>
      <c r="H123" s="31"/>
      <c r="I123" s="79"/>
      <c r="J123" s="85">
        <v>101160</v>
      </c>
      <c r="K123" s="85"/>
      <c r="M123" s="1209"/>
      <c r="N123" s="5"/>
      <c r="O123" s="5"/>
      <c r="P123" s="5"/>
      <c r="Q123" s="5"/>
      <c r="R123" s="5"/>
      <c r="S123" s="5"/>
      <c r="T123" s="5"/>
      <c r="U123" s="5"/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 s="172" customFormat="1" x14ac:dyDescent="0.4">
      <c r="A124" s="1235"/>
      <c r="B124" s="300"/>
      <c r="C124" s="1458">
        <v>44685</v>
      </c>
      <c r="D124" s="1451">
        <v>65152</v>
      </c>
      <c r="E124" s="476">
        <v>330599</v>
      </c>
      <c r="F124" s="6">
        <v>33042</v>
      </c>
      <c r="G124" s="6">
        <v>1028816</v>
      </c>
      <c r="H124" s="31"/>
      <c r="I124" s="79"/>
      <c r="J124" s="85">
        <v>95310</v>
      </c>
      <c r="K124" s="85"/>
      <c r="M124" s="1209"/>
      <c r="N124" s="5"/>
      <c r="O124" s="5"/>
      <c r="P124" s="5"/>
      <c r="Q124" s="5"/>
      <c r="R124" s="5"/>
      <c r="S124" s="5"/>
      <c r="T124" s="5"/>
      <c r="U124" s="5"/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 s="172" customFormat="1" x14ac:dyDescent="0.4">
      <c r="A125" s="1235"/>
      <c r="B125" s="300"/>
      <c r="C125" s="1458">
        <v>44686</v>
      </c>
      <c r="D125" s="1451">
        <v>51527</v>
      </c>
      <c r="E125" s="476">
        <v>278815</v>
      </c>
      <c r="F125" s="6">
        <v>29644</v>
      </c>
      <c r="G125" s="6">
        <v>876735</v>
      </c>
      <c r="H125" s="31"/>
      <c r="I125" s="79"/>
      <c r="J125" s="85">
        <v>97280</v>
      </c>
      <c r="K125" s="85"/>
      <c r="M125" s="1209"/>
      <c r="N125" s="5"/>
      <c r="O125" s="5"/>
      <c r="P125" s="5"/>
      <c r="Q125" s="5"/>
      <c r="R125" s="5"/>
      <c r="S125" s="5"/>
      <c r="T125" s="5"/>
      <c r="U125" s="5"/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 s="172" customFormat="1" x14ac:dyDescent="0.4">
      <c r="A126" s="1235"/>
      <c r="B126" s="300"/>
      <c r="C126" s="1458">
        <v>44687</v>
      </c>
      <c r="D126" s="1451">
        <v>44762</v>
      </c>
      <c r="E126" s="476">
        <v>248599</v>
      </c>
      <c r="F126" s="6">
        <v>23214</v>
      </c>
      <c r="G126" s="6">
        <v>770115</v>
      </c>
      <c r="H126" s="31"/>
      <c r="I126" s="79"/>
      <c r="J126" s="85">
        <v>97280</v>
      </c>
      <c r="K126" s="85"/>
      <c r="L126" s="172">
        <v>200000</v>
      </c>
      <c r="M126" s="1209"/>
      <c r="N126" s="5"/>
      <c r="O126" s="5"/>
      <c r="P126" s="5"/>
      <c r="Q126" s="5"/>
      <c r="R126" s="5"/>
      <c r="S126" s="5"/>
      <c r="T126" s="5"/>
      <c r="U126" s="5"/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 s="172" customFormat="1" ht="16.149999999999999" thickBot="1" x14ac:dyDescent="0.55000000000000004">
      <c r="A127" s="1235"/>
      <c r="B127" s="300"/>
      <c r="C127" s="1458">
        <v>44688</v>
      </c>
      <c r="D127" s="1451">
        <v>40660</v>
      </c>
      <c r="E127" s="476">
        <v>258746</v>
      </c>
      <c r="F127" s="6">
        <v>23305</v>
      </c>
      <c r="G127" s="6">
        <v>878335</v>
      </c>
      <c r="H127" s="7"/>
      <c r="I127" s="1319"/>
      <c r="J127" s="85">
        <v>117730</v>
      </c>
      <c r="K127" s="1222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 s="172" customFormat="1" x14ac:dyDescent="0.4">
      <c r="A128" s="1235"/>
      <c r="B128" s="300"/>
      <c r="C128" s="1458">
        <v>44689</v>
      </c>
      <c r="D128" s="1451">
        <v>35346</v>
      </c>
      <c r="E128" s="476">
        <v>264833</v>
      </c>
      <c r="F128" s="6">
        <v>21625</v>
      </c>
      <c r="G128" s="6">
        <v>1057527</v>
      </c>
      <c r="H128" s="31"/>
      <c r="I128" s="79"/>
      <c r="J128" s="85">
        <v>121190</v>
      </c>
      <c r="K128" s="85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458">
        <v>44690</v>
      </c>
      <c r="D129" s="1451">
        <v>64637</v>
      </c>
      <c r="E129" s="476">
        <v>345554</v>
      </c>
      <c r="F129" s="6">
        <v>33556</v>
      </c>
      <c r="G129" s="6">
        <v>960807</v>
      </c>
      <c r="H129" s="31"/>
      <c r="I129" s="79"/>
      <c r="J129" s="85">
        <v>110590</v>
      </c>
      <c r="K129" s="85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5.75" x14ac:dyDescent="0.5">
      <c r="A130" s="1235"/>
      <c r="B130" s="300"/>
      <c r="C130" s="1458">
        <v>44691</v>
      </c>
      <c r="D130" s="1451">
        <v>53251</v>
      </c>
      <c r="E130" s="476">
        <v>296796</v>
      </c>
      <c r="F130" s="6">
        <v>25037</v>
      </c>
      <c r="G130" s="6">
        <v>811628</v>
      </c>
      <c r="H130" s="31"/>
      <c r="I130" s="1459"/>
      <c r="J130" s="85">
        <v>108700</v>
      </c>
      <c r="K130" s="85"/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x14ac:dyDescent="0.4">
      <c r="A131" s="1235"/>
      <c r="B131" s="300"/>
      <c r="C131" s="1458">
        <v>44692</v>
      </c>
      <c r="D131" s="1451"/>
      <c r="E131" s="476"/>
      <c r="F131" s="6"/>
      <c r="G131" s="6"/>
      <c r="H131" s="31"/>
      <c r="I131" s="79"/>
      <c r="J131" s="85"/>
      <c r="K131" s="85"/>
      <c r="L131" s="172">
        <v>173490</v>
      </c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6.149999999999999" x14ac:dyDescent="0.55000000000000004">
      <c r="A132" s="1235"/>
      <c r="B132" s="300"/>
      <c r="C132" s="1458">
        <v>44693</v>
      </c>
      <c r="D132" s="1451"/>
      <c r="E132" s="476"/>
      <c r="F132" s="6"/>
      <c r="G132" s="6"/>
      <c r="H132" s="828"/>
      <c r="I132" s="828"/>
      <c r="J132" s="85"/>
      <c r="K132" s="85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x14ac:dyDescent="0.4">
      <c r="A133" s="1235"/>
      <c r="B133" s="300"/>
      <c r="C133" s="1458">
        <v>44694</v>
      </c>
      <c r="D133" s="1451"/>
      <c r="E133" s="476"/>
      <c r="F133" s="6"/>
      <c r="G133" s="6"/>
      <c r="H133" s="31"/>
      <c r="I133" s="79"/>
      <c r="J133" s="85"/>
      <c r="K133" s="85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6.5" thickBot="1" x14ac:dyDescent="0.6">
      <c r="A134" s="1235"/>
      <c r="B134" s="300"/>
      <c r="C134" s="1458">
        <v>44695</v>
      </c>
      <c r="D134" s="1452"/>
      <c r="E134" s="264"/>
      <c r="F134" s="6"/>
      <c r="G134" s="6"/>
      <c r="H134" s="755"/>
      <c r="I134" s="824"/>
      <c r="J134" s="85"/>
      <c r="K134" s="824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x14ac:dyDescent="0.4">
      <c r="A135" s="1235"/>
      <c r="B135" s="300"/>
      <c r="C135" s="1458">
        <v>44696</v>
      </c>
      <c r="D135" s="1452"/>
      <c r="E135" s="264"/>
      <c r="F135" s="6"/>
      <c r="G135" s="6"/>
      <c r="H135" s="31"/>
      <c r="I135" s="79"/>
      <c r="J135" s="85"/>
      <c r="K135" s="85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6.149999999999999" x14ac:dyDescent="0.55000000000000004">
      <c r="A136" s="1235"/>
      <c r="B136" s="300"/>
      <c r="C136" s="1458">
        <v>44697</v>
      </c>
      <c r="D136" s="1452"/>
      <c r="E136" s="264"/>
      <c r="F136" s="6"/>
      <c r="G136" s="6"/>
      <c r="H136" s="828"/>
      <c r="I136" s="828"/>
      <c r="J136" s="85"/>
      <c r="K136" s="85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458">
        <v>44698</v>
      </c>
      <c r="D137" s="1452"/>
      <c r="E137" s="264"/>
      <c r="F137" s="6"/>
      <c r="G137" s="6"/>
      <c r="H137" s="31"/>
      <c r="I137" s="79"/>
      <c r="J137" s="85"/>
      <c r="K137" s="85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x14ac:dyDescent="0.4">
      <c r="A138" s="1235"/>
      <c r="B138" s="300"/>
      <c r="C138" s="1458">
        <v>44699</v>
      </c>
      <c r="D138" s="1452"/>
      <c r="E138" s="264"/>
      <c r="F138" s="6"/>
      <c r="G138" s="6"/>
      <c r="H138" s="31"/>
      <c r="I138" s="79"/>
      <c r="J138" s="85"/>
      <c r="K138" s="85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x14ac:dyDescent="0.4">
      <c r="A139" s="1235"/>
      <c r="B139" s="300"/>
      <c r="C139" s="1458">
        <v>44700</v>
      </c>
      <c r="D139" s="1452"/>
      <c r="E139" s="264"/>
      <c r="F139" s="6"/>
      <c r="G139" s="6"/>
      <c r="H139" s="31"/>
      <c r="I139" s="79"/>
      <c r="J139" s="85"/>
      <c r="K139" s="85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x14ac:dyDescent="0.4">
      <c r="A140" s="1235"/>
      <c r="B140" s="300"/>
      <c r="C140" s="1458">
        <v>44701</v>
      </c>
      <c r="D140" s="1451">
        <v>429230</v>
      </c>
      <c r="E140" s="210">
        <v>2643147</v>
      </c>
      <c r="F140" s="210">
        <v>194377</v>
      </c>
      <c r="G140" s="210">
        <v>7641458</v>
      </c>
      <c r="H140" s="210"/>
      <c r="I140" s="1243"/>
      <c r="J140" s="210">
        <v>1443850</v>
      </c>
      <c r="K140" s="85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6.5" thickBot="1" x14ac:dyDescent="0.6">
      <c r="A141" s="1235"/>
      <c r="B141" s="300"/>
      <c r="C141" s="1458">
        <v>44702</v>
      </c>
      <c r="D141" s="1407">
        <v>36894</v>
      </c>
      <c r="E141" s="33">
        <v>254912</v>
      </c>
      <c r="F141" s="85">
        <v>17727</v>
      </c>
      <c r="G141" s="85">
        <v>810920</v>
      </c>
      <c r="H141" s="755">
        <v>773634</v>
      </c>
      <c r="I141" s="824">
        <v>485446857</v>
      </c>
      <c r="J141" s="85">
        <v>254470</v>
      </c>
      <c r="K141" s="755">
        <v>25843747</v>
      </c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6.149999999999999" x14ac:dyDescent="0.55000000000000004">
      <c r="A142" s="1235"/>
      <c r="B142" s="300"/>
      <c r="C142" s="1458">
        <v>44703</v>
      </c>
      <c r="D142" s="1407"/>
      <c r="E142" s="33"/>
      <c r="F142" s="85"/>
      <c r="G142" s="85"/>
      <c r="H142" s="828"/>
      <c r="I142" s="1255"/>
      <c r="J142" s="85"/>
      <c r="K142" s="1453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458">
        <v>44704</v>
      </c>
      <c r="D143" s="1407"/>
      <c r="E143" s="33"/>
      <c r="F143" s="6"/>
      <c r="G143" s="6"/>
      <c r="H143" s="31"/>
      <c r="I143" s="79"/>
      <c r="J143" s="85"/>
      <c r="K143" s="85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x14ac:dyDescent="0.4">
      <c r="A144" s="1235"/>
      <c r="B144" s="300"/>
      <c r="C144" s="1458">
        <v>44705</v>
      </c>
      <c r="D144" s="1454"/>
      <c r="E144" s="1243"/>
      <c r="F144" s="1243"/>
      <c r="G144" s="1243"/>
      <c r="H144" s="1243"/>
      <c r="I144" s="1243"/>
      <c r="J144" s="1243"/>
      <c r="K144" s="1243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 s="172" customFormat="1" x14ac:dyDescent="0.4">
      <c r="A145" s="1235"/>
      <c r="B145" s="300"/>
      <c r="C145" s="1458">
        <v>44706</v>
      </c>
      <c r="D145" s="1407"/>
      <c r="E145" s="33"/>
      <c r="F145" s="6"/>
      <c r="G145" s="6"/>
      <c r="H145" s="31"/>
      <c r="I145" s="79"/>
      <c r="J145" s="85"/>
      <c r="K145" s="85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 x14ac:dyDescent="0.4">
      <c r="C146" s="1458">
        <v>44707</v>
      </c>
      <c r="D146" s="1407"/>
      <c r="E146" s="33"/>
      <c r="F146" s="6"/>
      <c r="G146" s="6"/>
      <c r="H146" s="31"/>
      <c r="I146" s="79"/>
      <c r="J146" s="85"/>
      <c r="K146" s="85"/>
    </row>
    <row r="147" spans="1:34" x14ac:dyDescent="0.4">
      <c r="C147" s="1458">
        <v>44708</v>
      </c>
      <c r="D147" s="1407"/>
      <c r="E147" s="33"/>
      <c r="F147" s="6"/>
      <c r="G147" s="6"/>
      <c r="H147" s="31"/>
      <c r="I147" s="79"/>
      <c r="J147" s="85"/>
      <c r="K147" s="85"/>
    </row>
    <row r="148" spans="1:34" x14ac:dyDescent="0.4">
      <c r="C148" s="1458">
        <v>44709</v>
      </c>
      <c r="D148" s="1407"/>
      <c r="E148" s="33"/>
      <c r="F148" s="6"/>
      <c r="G148" s="6"/>
      <c r="H148" s="31"/>
      <c r="I148" s="79"/>
      <c r="J148" s="85"/>
      <c r="K148" s="85"/>
    </row>
    <row r="149" spans="1:34" x14ac:dyDescent="0.4">
      <c r="C149" s="1458">
        <v>44710</v>
      </c>
      <c r="D149" s="1407"/>
      <c r="E149" s="33"/>
      <c r="F149" s="6"/>
      <c r="G149" s="6"/>
      <c r="H149" s="31"/>
      <c r="I149" s="79"/>
      <c r="J149" s="85"/>
      <c r="K149" s="85"/>
    </row>
    <row r="150" spans="1:34" x14ac:dyDescent="0.4">
      <c r="C150" s="1458">
        <v>44711</v>
      </c>
      <c r="D150" s="1407"/>
      <c r="E150" s="33"/>
      <c r="F150" s="6"/>
      <c r="G150" s="6"/>
      <c r="H150" s="31"/>
      <c r="I150" s="79"/>
      <c r="J150" s="85"/>
      <c r="K150" s="85"/>
    </row>
    <row r="151" spans="1:34" x14ac:dyDescent="0.4">
      <c r="C151" s="1458">
        <v>44712</v>
      </c>
      <c r="D151" s="1407"/>
      <c r="E151" s="33"/>
      <c r="F151" s="6"/>
      <c r="G151" s="6"/>
      <c r="H151" s="31"/>
      <c r="I151" s="79"/>
      <c r="J151" s="85"/>
      <c r="K151" s="85"/>
    </row>
    <row r="152" spans="1:34" x14ac:dyDescent="0.4">
      <c r="C152" s="1457" t="s">
        <v>548</v>
      </c>
      <c r="D152" s="1462">
        <f t="shared" ref="D152:K152" si="14">SUM(D121:D151)</f>
        <v>945775</v>
      </c>
      <c r="E152" s="1462">
        <f t="shared" si="14"/>
        <v>5690327</v>
      </c>
      <c r="F152" s="1462">
        <f t="shared" si="14"/>
        <v>466318</v>
      </c>
      <c r="G152" s="1462">
        <f t="shared" si="14"/>
        <v>17075590</v>
      </c>
      <c r="H152" s="1462">
        <f t="shared" si="14"/>
        <v>773634</v>
      </c>
      <c r="I152" s="1462">
        <f t="shared" si="14"/>
        <v>485446857</v>
      </c>
      <c r="J152" s="1462">
        <f t="shared" si="14"/>
        <v>2769430</v>
      </c>
      <c r="K152" s="1462">
        <f t="shared" si="14"/>
        <v>25843747</v>
      </c>
    </row>
    <row r="153" spans="1:34" x14ac:dyDescent="0.4">
      <c r="L153" s="1462">
        <f>SUM(L122:L152)</f>
        <v>373490</v>
      </c>
    </row>
  </sheetData>
  <mergeCells count="86">
    <mergeCell ref="AC3:AH3"/>
    <mergeCell ref="A1:I1"/>
    <mergeCell ref="M1:U1"/>
    <mergeCell ref="A2:I2"/>
    <mergeCell ref="M2:U2"/>
    <mergeCell ref="AC2:AH2"/>
    <mergeCell ref="A3:A5"/>
    <mergeCell ref="B3:B5"/>
    <mergeCell ref="D3:E3"/>
    <mergeCell ref="F3:G3"/>
    <mergeCell ref="H3:I3"/>
    <mergeCell ref="H4:H5"/>
    <mergeCell ref="I4:I5"/>
    <mergeCell ref="T4:T5"/>
    <mergeCell ref="U4:U5"/>
    <mergeCell ref="D5:E5"/>
    <mergeCell ref="T3:U3"/>
    <mergeCell ref="A11:I11"/>
    <mergeCell ref="M11:U11"/>
    <mergeCell ref="B13:I13"/>
    <mergeCell ref="N13:U13"/>
    <mergeCell ref="P5:Q5"/>
    <mergeCell ref="M3:M5"/>
    <mergeCell ref="N3:N5"/>
    <mergeCell ref="P3:Q3"/>
    <mergeCell ref="R3:S3"/>
    <mergeCell ref="C18:E18"/>
    <mergeCell ref="F18:I18"/>
    <mergeCell ref="M18:M26"/>
    <mergeCell ref="O18:Q18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R18:U18"/>
    <mergeCell ref="A18:A26"/>
    <mergeCell ref="A39:A44"/>
    <mergeCell ref="B39:I39"/>
    <mergeCell ref="N39:U39"/>
    <mergeCell ref="B28:C29"/>
    <mergeCell ref="D28:E28"/>
    <mergeCell ref="F28:G28"/>
    <mergeCell ref="H28:I28"/>
    <mergeCell ref="N28:O29"/>
    <mergeCell ref="P28:Q28"/>
    <mergeCell ref="R28:S28"/>
    <mergeCell ref="T28:U28"/>
    <mergeCell ref="A30:A37"/>
    <mergeCell ref="B30:I30"/>
    <mergeCell ref="N30:U30"/>
    <mergeCell ref="M30:M38"/>
    <mergeCell ref="A46:A49"/>
    <mergeCell ref="B46:I46"/>
    <mergeCell ref="M46:M49"/>
    <mergeCell ref="N46:U46"/>
    <mergeCell ref="E48:E49"/>
    <mergeCell ref="P48:P49"/>
    <mergeCell ref="Q48:Q49"/>
    <mergeCell ref="T48:T49"/>
    <mergeCell ref="D48:D49"/>
    <mergeCell ref="H48:H49"/>
    <mergeCell ref="A50:A53"/>
    <mergeCell ref="B50:I50"/>
    <mergeCell ref="M50:M53"/>
    <mergeCell ref="N50:U50"/>
    <mergeCell ref="E51:E53"/>
    <mergeCell ref="H51:H53"/>
    <mergeCell ref="N51:O51"/>
    <mergeCell ref="P51:P53"/>
    <mergeCell ref="Q51:Q53"/>
    <mergeCell ref="T51:T53"/>
    <mergeCell ref="N52:O52"/>
    <mergeCell ref="N53:O53"/>
    <mergeCell ref="D51:D53"/>
    <mergeCell ref="D83:E83"/>
    <mergeCell ref="F83:G83"/>
    <mergeCell ref="H83:I83"/>
    <mergeCell ref="D120:E120"/>
    <mergeCell ref="F120:G120"/>
    <mergeCell ref="H120:I120"/>
  </mergeCells>
  <pageMargins left="0.2" right="0.2" top="0.75" bottom="0.75" header="0.3" footer="0.3"/>
  <pageSetup paperSize="9" scale="20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8C958-0982-4F4A-90C4-8188C9CAC818}">
  <sheetPr>
    <pageSetUpPr fitToPage="1"/>
  </sheetPr>
  <dimension ref="A1:AH152"/>
  <sheetViews>
    <sheetView topLeftCell="A7" zoomScale="80" zoomScaleNormal="80" workbookViewId="0">
      <selection activeCell="P35" sqref="P35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1439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1328125" style="1209" customWidth="1"/>
    <col min="14" max="14" width="43.73046875" style="5" customWidth="1"/>
    <col min="15" max="15" width="12.1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1" width="11.1328125" style="5" customWidth="1"/>
    <col min="22" max="22" width="9.1328125" style="5"/>
    <col min="23" max="23" width="12.3984375" style="5" bestFit="1" customWidth="1"/>
    <col min="24" max="24" width="13.3984375" style="172" customWidth="1"/>
    <col min="25" max="25" width="11.265625" style="5" bestFit="1" customWidth="1"/>
    <col min="26" max="26" width="10.265625" style="5" bestFit="1" customWidth="1"/>
    <col min="27" max="27" width="10.59765625" style="5" bestFit="1" customWidth="1"/>
    <col min="28" max="28" width="9.1328125" style="5"/>
    <col min="29" max="29" width="37.3984375" style="5" customWidth="1"/>
    <col min="30" max="30" width="16.59765625" style="5" customWidth="1"/>
    <col min="31" max="31" width="16.86328125" style="5" customWidth="1"/>
    <col min="32" max="32" width="17.59765625" style="5" customWidth="1"/>
    <col min="33" max="33" width="16.3984375" style="5" bestFit="1" customWidth="1"/>
    <col min="34" max="34" width="15.1328125" style="5" customWidth="1"/>
    <col min="35" max="16384" width="9.1328125" style="5"/>
  </cols>
  <sheetData>
    <row r="1" spans="1:34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  <c r="M1" s="2156" t="s">
        <v>902</v>
      </c>
      <c r="N1" s="2156"/>
      <c r="O1" s="2156"/>
      <c r="P1" s="2156"/>
      <c r="Q1" s="2156"/>
      <c r="R1" s="2156"/>
      <c r="S1" s="2156"/>
      <c r="T1" s="2156"/>
      <c r="U1" s="2156"/>
    </row>
    <row r="2" spans="1:34" s="301" customFormat="1" ht="18" thickBot="1" x14ac:dyDescent="0.4">
      <c r="A2" s="2346" t="s">
        <v>895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346" t="s">
        <v>906</v>
      </c>
      <c r="N2" s="2347"/>
      <c r="O2" s="2347"/>
      <c r="P2" s="2347"/>
      <c r="Q2" s="2347"/>
      <c r="R2" s="2347"/>
      <c r="S2" s="2347"/>
      <c r="T2" s="2347"/>
      <c r="U2" s="2348"/>
      <c r="X2" s="1149"/>
      <c r="AC2" s="2326" t="s">
        <v>781</v>
      </c>
      <c r="AD2" s="2326"/>
      <c r="AE2" s="2326"/>
      <c r="AF2" s="2326"/>
      <c r="AG2" s="2326"/>
      <c r="AH2" s="2326"/>
    </row>
    <row r="3" spans="1:34" ht="17.25" customHeight="1" thickTop="1" x14ac:dyDescent="0.5">
      <c r="A3" s="2360" t="s">
        <v>144</v>
      </c>
      <c r="B3" s="2342" t="s">
        <v>353</v>
      </c>
      <c r="C3" s="1430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</row>
    <row r="4" spans="1:34" s="35" customFormat="1" ht="21.75" customHeight="1" x14ac:dyDescent="0.35">
      <c r="A4" s="2360"/>
      <c r="B4" s="2343"/>
      <c r="C4" s="1431" t="s">
        <v>666</v>
      </c>
      <c r="D4" s="1424" t="s">
        <v>879</v>
      </c>
      <c r="E4" s="1445">
        <f>G4</f>
        <v>45078</v>
      </c>
      <c r="F4" s="422">
        <v>44733</v>
      </c>
      <c r="G4" s="422">
        <v>45078</v>
      </c>
      <c r="H4" s="2335" t="s">
        <v>12</v>
      </c>
      <c r="I4" s="2335" t="s">
        <v>13</v>
      </c>
      <c r="J4" s="84"/>
      <c r="K4" s="84"/>
      <c r="L4" s="1150"/>
      <c r="M4" s="2358"/>
      <c r="N4" s="2343"/>
      <c r="O4" s="1183" t="s">
        <v>666</v>
      </c>
      <c r="P4" s="421" t="s">
        <v>9</v>
      </c>
      <c r="Q4" s="422">
        <f>E4</f>
        <v>45078</v>
      </c>
      <c r="R4" s="422">
        <f>F4</f>
        <v>44733</v>
      </c>
      <c r="S4" s="422">
        <f>G4</f>
        <v>45078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</row>
    <row r="5" spans="1:34" ht="18.75" hidden="1" customHeight="1" x14ac:dyDescent="0.5">
      <c r="A5" s="2361"/>
      <c r="B5" s="2344"/>
      <c r="C5" s="1432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</row>
    <row r="6" spans="1:34" ht="30" customHeight="1" x14ac:dyDescent="0.35">
      <c r="A6" s="1229">
        <v>1</v>
      </c>
      <c r="B6" s="1191" t="s">
        <v>290</v>
      </c>
      <c r="C6" s="1433">
        <v>1024.2159494</v>
      </c>
      <c r="D6" s="1425">
        <v>1063.73</v>
      </c>
      <c r="E6" s="1446">
        <v>80.709999999999994</v>
      </c>
      <c r="F6" s="434">
        <v>77.743882999999997</v>
      </c>
      <c r="G6" s="434">
        <v>89.975232300000002</v>
      </c>
      <c r="H6" s="1313">
        <f>(G6-E6)/E6*100</f>
        <v>11.479658406641072</v>
      </c>
      <c r="I6" s="517">
        <f>(G6-F6)/F6*100</f>
        <v>15.732876758934211</v>
      </c>
      <c r="M6" s="1203">
        <v>1</v>
      </c>
      <c r="N6" s="1179" t="s">
        <v>290</v>
      </c>
      <c r="O6" s="1185">
        <v>1024.2159494</v>
      </c>
      <c r="P6" s="1425">
        <v>1063.73</v>
      </c>
      <c r="Q6" s="1446">
        <f>Q15+Q16</f>
        <v>234.22</v>
      </c>
      <c r="R6" s="434">
        <f>R15+R16+R17</f>
        <v>226.5349564</v>
      </c>
      <c r="S6" s="434">
        <f>S15+S16+S17</f>
        <v>272.17181849999997</v>
      </c>
      <c r="T6" s="1313">
        <f>(S6-Q6)/Q6*100</f>
        <v>16.20349180257876</v>
      </c>
      <c r="U6" s="1313">
        <f>(S6-R6)/R6*100</f>
        <v>20.145615857809386</v>
      </c>
      <c r="V6" s="12">
        <f>(S6-P6)/P6*100</f>
        <v>-74.413449042520199</v>
      </c>
      <c r="W6" s="5">
        <f>(S6-P6)/P6*100</f>
        <v>-74.413449042520199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</row>
    <row r="7" spans="1:34" ht="26.25" customHeight="1" x14ac:dyDescent="0.35">
      <c r="A7" s="1230">
        <v>2</v>
      </c>
      <c r="B7" s="1154" t="s">
        <v>291</v>
      </c>
      <c r="C7" s="1433">
        <v>403.10200000000003</v>
      </c>
      <c r="D7" s="1425">
        <v>485.81999999999994</v>
      </c>
      <c r="E7" s="1446">
        <v>42.52</v>
      </c>
      <c r="F7" s="434">
        <v>35.26</v>
      </c>
      <c r="G7" s="434">
        <v>36.14</v>
      </c>
      <c r="H7" s="1313">
        <f>(G7-E7)/E7*100</f>
        <v>-15.004703668861715</v>
      </c>
      <c r="I7" s="517">
        <f>(G7-F7)/F7*100</f>
        <v>2.4957458876914425</v>
      </c>
      <c r="M7" s="1204">
        <v>2</v>
      </c>
      <c r="N7" s="1154" t="s">
        <v>291</v>
      </c>
      <c r="O7" s="1186">
        <v>403.10200000000003</v>
      </c>
      <c r="P7" s="1425">
        <v>485.81999999999994</v>
      </c>
      <c r="Q7" s="1446">
        <f>E7+'MAY-2023'!Q7</f>
        <v>107.81</v>
      </c>
      <c r="R7" s="434">
        <f>R20+R21+R22+R23+R24+R25+R26</f>
        <v>89.275546200000008</v>
      </c>
      <c r="S7" s="434">
        <f>S20+S21+S22+S23+S24+S25+S26</f>
        <v>92.14</v>
      </c>
      <c r="T7" s="1313">
        <f>(S7-Q7)/Q7*100</f>
        <v>-14.534829793154625</v>
      </c>
      <c r="U7" s="1313">
        <f>(S7-R7)/R7*100</f>
        <v>3.2085536543040409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</row>
    <row r="8" spans="1:34" ht="32.25" customHeight="1" x14ac:dyDescent="0.35">
      <c r="A8" s="1231">
        <v>3</v>
      </c>
      <c r="B8" s="1155" t="s">
        <v>292</v>
      </c>
      <c r="C8" s="1433">
        <v>106.68749520000001</v>
      </c>
      <c r="D8" s="1425">
        <v>150.59</v>
      </c>
      <c r="E8" s="1446">
        <v>16.22</v>
      </c>
      <c r="F8" s="1314">
        <v>11.640122699999999</v>
      </c>
      <c r="G8" s="1314">
        <v>10.099521899999999</v>
      </c>
      <c r="H8" s="1313">
        <f>(G8-E8)/E8*100</f>
        <v>-37.734143649815046</v>
      </c>
      <c r="I8" s="517">
        <f>(G8-F8)/F8*100</f>
        <v>-13.235262545814919</v>
      </c>
      <c r="M8" s="1205">
        <v>3</v>
      </c>
      <c r="N8" s="1155" t="s">
        <v>292</v>
      </c>
      <c r="O8" s="1187">
        <v>106.68749520000001</v>
      </c>
      <c r="P8" s="1425">
        <v>150.59</v>
      </c>
      <c r="Q8" s="1446">
        <f>E8+'MAY-2023'!Q8</f>
        <v>42.75</v>
      </c>
      <c r="R8" s="1314">
        <f>R31+R32+R33+R35+R36+R37+R38</f>
        <v>29.843480700000001</v>
      </c>
      <c r="S8" s="1314">
        <f>S31+S32+S33+S35+S36+S37+S38</f>
        <v>29.854756199999997</v>
      </c>
      <c r="T8" s="1313">
        <f>(S8-Q8)/Q8*100</f>
        <v>-30.164312982456149</v>
      </c>
      <c r="U8" s="1313">
        <f>(S8-R8)/R8*100</f>
        <v>3.7782121037900386E-2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</row>
    <row r="9" spans="1:34" ht="34.5" customHeight="1" x14ac:dyDescent="0.35">
      <c r="A9" s="1230">
        <v>4</v>
      </c>
      <c r="B9" s="1156" t="s">
        <v>293</v>
      </c>
      <c r="C9" s="1433">
        <v>17.701250099999996</v>
      </c>
      <c r="D9" s="1425">
        <f>D40+D41+D42</f>
        <v>19.149999999999999</v>
      </c>
      <c r="E9" s="1425">
        <v>1.595</v>
      </c>
      <c r="F9" s="434">
        <v>1.1415768000000002</v>
      </c>
      <c r="G9" s="434">
        <v>1.7763000999999998</v>
      </c>
      <c r="H9" s="1313">
        <f>(G9-E9)/E9*100</f>
        <v>11.366777429467076</v>
      </c>
      <c r="I9" s="517">
        <f>(G9-F9)/F9*100</f>
        <v>55.60057807762032</v>
      </c>
      <c r="M9" s="1204">
        <v>4</v>
      </c>
      <c r="N9" s="1156" t="s">
        <v>293</v>
      </c>
      <c r="O9" s="1185">
        <v>17.701250099999996</v>
      </c>
      <c r="P9" s="1425">
        <f>P40+P41+P42</f>
        <v>19.149999999999999</v>
      </c>
      <c r="Q9" s="1425">
        <f>Q40+Q41+Q42</f>
        <v>4.7850000000000001</v>
      </c>
      <c r="R9" s="434">
        <f>R40+R41+R42+R44+R45</f>
        <v>2.4500032000000003</v>
      </c>
      <c r="S9" s="434">
        <f>S40+S41+S42+S44+S45</f>
        <v>4.3225456000000007</v>
      </c>
      <c r="T9" s="1313">
        <f>(S9-Q9)/Q9*100</f>
        <v>-9.6646687565308138</v>
      </c>
      <c r="U9" s="1313">
        <f>(S9-R9)/R9*100</f>
        <v>76.430202213613441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</row>
    <row r="10" spans="1:34" ht="28.5" customHeight="1" x14ac:dyDescent="0.35">
      <c r="A10" s="1231">
        <v>5</v>
      </c>
      <c r="B10" s="1157" t="s">
        <v>294</v>
      </c>
      <c r="C10" s="1433">
        <f>SUM(C6:C9)</f>
        <v>1551.7066947000001</v>
      </c>
      <c r="D10" s="1425">
        <f>SUM(D6:D9)</f>
        <v>1719.29</v>
      </c>
      <c r="E10" s="1447">
        <f>E6+E7+E8+E9</f>
        <v>141.04499999999999</v>
      </c>
      <c r="F10" s="321">
        <f>SUM(F6:F9)</f>
        <v>125.7855825</v>
      </c>
      <c r="G10" s="321">
        <f>SUM(G6:G9)</f>
        <v>137.9910543</v>
      </c>
      <c r="H10" s="1162">
        <f>(G10-E10)/E10*100</f>
        <v>-2.1652279059874409</v>
      </c>
      <c r="I10" s="322">
        <f>(G10-F10)/F10*100</f>
        <v>9.7033949021939758</v>
      </c>
      <c r="M10" s="1205">
        <v>5</v>
      </c>
      <c r="N10" s="1157" t="s">
        <v>294</v>
      </c>
      <c r="O10" s="1188">
        <v>1551.7066947000001</v>
      </c>
      <c r="P10" s="321">
        <f>SUM(P6:P9)</f>
        <v>1719.29</v>
      </c>
      <c r="Q10" s="321">
        <f>SUM(Q6:Q9)</f>
        <v>389.565</v>
      </c>
      <c r="R10" s="321">
        <f>SUM(R6:R9)</f>
        <v>348.10398650000002</v>
      </c>
      <c r="S10" s="321">
        <f>SUM(S6:S9)</f>
        <v>398.48912029999997</v>
      </c>
      <c r="T10" s="1162">
        <f>(S10-Q10)/Q10*100</f>
        <v>2.2907910874950188</v>
      </c>
      <c r="U10" s="1162">
        <f>(S10-R10)/R10*100</f>
        <v>14.474161674100777</v>
      </c>
      <c r="X10" s="12">
        <f>SUM(X6:X9)</f>
        <v>389.94179218299996</v>
      </c>
      <c r="Y10" s="12">
        <f>SUM(Y6:Y9)</f>
        <v>752.12112639999998</v>
      </c>
      <c r="Z10" s="12">
        <f>S10-Y10</f>
        <v>-353.63200610000001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</row>
    <row r="11" spans="1:34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</row>
    <row r="12" spans="1:34" ht="31.5" customHeight="1" x14ac:dyDescent="0.35">
      <c r="A12" s="1230">
        <v>6.3</v>
      </c>
      <c r="B12" s="1293" t="s">
        <v>778</v>
      </c>
      <c r="C12" s="1433">
        <v>47.027382000000003</v>
      </c>
      <c r="D12" s="1428">
        <v>55.06</v>
      </c>
      <c r="E12" s="1312">
        <f>E47+E48</f>
        <v>3.8499999999999996</v>
      </c>
      <c r="F12" s="1294">
        <f>F47+F48+F49</f>
        <v>3.30911</v>
      </c>
      <c r="G12" s="1294">
        <f>G47+G48+G49</f>
        <v>4.3931339999999999</v>
      </c>
      <c r="H12" s="1162">
        <f>(G12-E12)/E12*100</f>
        <v>14.107376623376631</v>
      </c>
      <c r="I12" s="316">
        <f>(G12-F12)/F12*100</f>
        <v>32.7587780400168</v>
      </c>
      <c r="L12" s="1476"/>
      <c r="M12" s="1204">
        <v>6.3</v>
      </c>
      <c r="N12" s="1316" t="s">
        <v>814</v>
      </c>
      <c r="O12" s="1185">
        <v>47.027382000000003</v>
      </c>
      <c r="P12" s="332">
        <v>55.06</v>
      </c>
      <c r="Q12" s="307">
        <f>Q47+Q48</f>
        <v>10.91</v>
      </c>
      <c r="R12" s="1294">
        <f>R47+R48+R49</f>
        <v>9.4104959999999984</v>
      </c>
      <c r="S12" s="1294">
        <f>S47+S48+S49</f>
        <v>13.476033000000001</v>
      </c>
      <c r="T12" s="1162">
        <f>(S12-Q12)/Q12*100</f>
        <v>23.520009165902849</v>
      </c>
      <c r="U12" s="1060">
        <f>(S12-R12)/R12*100</f>
        <v>43.20215427539636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</row>
    <row r="13" spans="1:34" s="1310" customFormat="1" ht="13.5" customHeight="1" x14ac:dyDescent="0.35">
      <c r="A13" s="1309"/>
      <c r="B13" s="2438" t="s">
        <v>229</v>
      </c>
      <c r="C13" s="2439"/>
      <c r="D13" s="2439"/>
      <c r="E13" s="2439"/>
      <c r="F13" s="2439"/>
      <c r="G13" s="2439"/>
      <c r="H13" s="2439"/>
      <c r="I13" s="2440"/>
      <c r="L13" s="1311"/>
      <c r="M13" s="1309"/>
      <c r="N13" s="2438" t="s">
        <v>229</v>
      </c>
      <c r="O13" s="2439"/>
      <c r="P13" s="2439"/>
      <c r="Q13" s="2439"/>
      <c r="R13" s="2439"/>
      <c r="S13" s="2439"/>
      <c r="T13" s="2439"/>
      <c r="U13" s="2440"/>
      <c r="X13" s="1311"/>
    </row>
    <row r="14" spans="1:34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L14" s="1476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34" ht="15.4" x14ac:dyDescent="0.4">
      <c r="A15" s="2374"/>
      <c r="B15" s="378" t="s">
        <v>802</v>
      </c>
      <c r="C15" s="1434">
        <v>11.460276500000001</v>
      </c>
      <c r="D15" s="1428">
        <f>'TARGET 23-24'!B26</f>
        <v>12.600000000000001</v>
      </c>
      <c r="E15" s="1249">
        <v>0.94</v>
      </c>
      <c r="F15" s="315">
        <v>0.86312160000000004</v>
      </c>
      <c r="G15" s="315">
        <v>1.1307984</v>
      </c>
      <c r="H15" s="316">
        <f>(G15-E15)/E15*100</f>
        <v>20.297702127659576</v>
      </c>
      <c r="I15" s="314">
        <f>(G15-F15)/F15*100</f>
        <v>31.012640629084004</v>
      </c>
      <c r="J15" s="1128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12.6</v>
      </c>
      <c r="Q15" s="307">
        <f>E15+'MAY-2023'!E15+'APRIL-2023'!E15</f>
        <v>2.58</v>
      </c>
      <c r="R15" s="315">
        <f>F15+'MAY-2023'!F15+'APRIL-2023'!F15</f>
        <v>2.3580461000000001</v>
      </c>
      <c r="S15" s="315">
        <f>G15+'MAY-2023'!G15+'APRIL-2023'!G15</f>
        <v>3.3956626999999999</v>
      </c>
      <c r="T15" s="316">
        <f>(S15-Q15)/Q15*100</f>
        <v>31.614833333333326</v>
      </c>
      <c r="U15" s="314">
        <f>(S15-R15)/R15*100</f>
        <v>44.003236408312787</v>
      </c>
      <c r="Y15" s="12">
        <f>R16+R17</f>
        <v>224.1769103</v>
      </c>
      <c r="Z15" s="12">
        <f>S16+S17</f>
        <v>268.77615579999997</v>
      </c>
      <c r="AA15" s="5">
        <f>(Z15-Y15)/Y15*100</f>
        <v>19.89466508406953</v>
      </c>
    </row>
    <row r="16" spans="1:34" ht="15.4" x14ac:dyDescent="0.4">
      <c r="A16" s="2374"/>
      <c r="B16" s="1281" t="s">
        <v>801</v>
      </c>
      <c r="C16" s="1434">
        <v>126.72018780000001</v>
      </c>
      <c r="D16" s="2379">
        <f>'TARGET 23-24'!C26</f>
        <v>1051.1300000000001</v>
      </c>
      <c r="E16" s="2065">
        <v>79.77</v>
      </c>
      <c r="F16" s="315">
        <v>3.1360679999999999</v>
      </c>
      <c r="G16" s="315">
        <v>16.26257</v>
      </c>
      <c r="H16" s="2154">
        <f>L16</f>
        <v>11.375747649492295</v>
      </c>
      <c r="I16" s="314">
        <f>(G16-F16)/F16*100</f>
        <v>418.5656050825429</v>
      </c>
      <c r="J16" s="323">
        <f>F16+F17</f>
        <v>76.880761399999997</v>
      </c>
      <c r="K16" s="323">
        <f>G16+G17</f>
        <v>88.844433899999999</v>
      </c>
      <c r="L16" s="1476">
        <f>(K16-E16)/E16*100</f>
        <v>11.375747649492295</v>
      </c>
      <c r="M16" s="2369"/>
      <c r="N16" s="1281" t="s">
        <v>817</v>
      </c>
      <c r="O16" s="1282">
        <v>126.72018780000001</v>
      </c>
      <c r="P16" s="2379">
        <v>1051.1300000000001</v>
      </c>
      <c r="Q16" s="2065">
        <f>E16+'MAY-2023'!E16+'APRIL-2023'!E16</f>
        <v>231.64</v>
      </c>
      <c r="R16" s="315">
        <f>F16+'MAY-2023'!F16+'APRIL-2023'!F16</f>
        <v>7.5239389999999995</v>
      </c>
      <c r="S16" s="315">
        <f>G16+'MAY-2023'!G16+'APRIL-2023'!G16</f>
        <v>52.987757500000001</v>
      </c>
      <c r="T16" s="2154">
        <f>X16</f>
        <v>16.031840701087887</v>
      </c>
      <c r="U16" s="314">
        <f>(S16-R16)/R16*100</f>
        <v>604.2555435390957</v>
      </c>
      <c r="W16" s="12">
        <f>S16+S17</f>
        <v>268.77615579999997</v>
      </c>
      <c r="X16" s="172">
        <f>(W16-Q16)/Q16*100</f>
        <v>16.031840701087887</v>
      </c>
    </row>
    <row r="17" spans="1:26" ht="15.4" x14ac:dyDescent="0.4">
      <c r="A17" s="2375"/>
      <c r="B17" s="320" t="s">
        <v>803</v>
      </c>
      <c r="C17" s="1434">
        <v>886.03548510000007</v>
      </c>
      <c r="D17" s="2380"/>
      <c r="E17" s="2066"/>
      <c r="F17" s="315">
        <v>73.744693400000003</v>
      </c>
      <c r="G17" s="315">
        <v>72.581863900000002</v>
      </c>
      <c r="H17" s="2155"/>
      <c r="I17" s="314">
        <f>(G17-F17)/F17*100</f>
        <v>-1.576831425269714</v>
      </c>
      <c r="J17" s="323">
        <f>114680295/10000000</f>
        <v>11.4680295</v>
      </c>
      <c r="L17" s="1476"/>
      <c r="M17" s="2245"/>
      <c r="N17" s="320" t="s">
        <v>818</v>
      </c>
      <c r="O17" s="1282">
        <v>886.03548510000007</v>
      </c>
      <c r="P17" s="2380"/>
      <c r="Q17" s="2066"/>
      <c r="R17" s="315">
        <f>F17+'MAY-2023'!F17+'APRIL-2023'!F17</f>
        <v>216.65297129999999</v>
      </c>
      <c r="S17" s="315">
        <f>G17+'MAY-2023'!G17+'APRIL-2023'!G17</f>
        <v>215.78839829999998</v>
      </c>
      <c r="T17" s="2155"/>
      <c r="U17" s="314">
        <f>(S17-R17)/R17*100</f>
        <v>-0.39905891657623771</v>
      </c>
    </row>
    <row r="18" spans="1:26" x14ac:dyDescent="0.35">
      <c r="A18" s="1982">
        <v>2</v>
      </c>
      <c r="B18" s="1442" t="s">
        <v>678</v>
      </c>
      <c r="C18" s="2460" t="s">
        <v>680</v>
      </c>
      <c r="D18" s="2460"/>
      <c r="E18" s="2460"/>
      <c r="F18" s="2461" t="s">
        <v>684</v>
      </c>
      <c r="G18" s="2462"/>
      <c r="H18" s="2462"/>
      <c r="I18" s="2463"/>
      <c r="L18" s="1476"/>
      <c r="M18" s="2368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6" x14ac:dyDescent="0.35">
      <c r="A19" s="1983"/>
      <c r="B19" s="1443" t="s">
        <v>230</v>
      </c>
      <c r="C19" s="1070">
        <f>F19</f>
        <v>44733</v>
      </c>
      <c r="D19" s="1444">
        <f>G19</f>
        <v>45078</v>
      </c>
      <c r="E19" s="1443" t="s">
        <v>681</v>
      </c>
      <c r="F19" s="1444">
        <f>F4</f>
        <v>44733</v>
      </c>
      <c r="G19" s="1444">
        <f>G4</f>
        <v>45078</v>
      </c>
      <c r="H19" s="1071" t="s">
        <v>682</v>
      </c>
      <c r="I19" s="1441" t="s">
        <v>681</v>
      </c>
      <c r="L19" s="1476"/>
      <c r="M19" s="2369"/>
      <c r="N19" s="1069" t="s">
        <v>230</v>
      </c>
      <c r="O19" s="1098">
        <f>R4</f>
        <v>44733</v>
      </c>
      <c r="P19" s="1098">
        <f>S4</f>
        <v>45078</v>
      </c>
      <c r="Q19" s="1069" t="s">
        <v>681</v>
      </c>
      <c r="R19" s="1098">
        <f>R4</f>
        <v>44733</v>
      </c>
      <c r="S19" s="1098">
        <f>S4</f>
        <v>45078</v>
      </c>
      <c r="T19" s="1071" t="s">
        <v>682</v>
      </c>
      <c r="U19" s="1072" t="s">
        <v>681</v>
      </c>
    </row>
    <row r="20" spans="1:26" ht="18.75" customHeight="1" x14ac:dyDescent="0.4">
      <c r="A20" s="1983"/>
      <c r="B20" s="1055" t="s">
        <v>231</v>
      </c>
      <c r="C20" s="303">
        <v>149076</v>
      </c>
      <c r="D20" s="1409">
        <v>46746</v>
      </c>
      <c r="E20" s="314">
        <f>(D20-C20)/C20*100</f>
        <v>-68.642839893745474</v>
      </c>
      <c r="F20" s="315">
        <v>23.74</v>
      </c>
      <c r="G20" s="315">
        <v>13.35</v>
      </c>
      <c r="H20" s="1060">
        <f>G20/G7*100</f>
        <v>36.939679026009955</v>
      </c>
      <c r="I20" s="314">
        <f>(G20-F20)/F20*100</f>
        <v>-43.765796124684073</v>
      </c>
      <c r="L20" s="1476"/>
      <c r="M20" s="2369"/>
      <c r="N20" s="1055" t="s">
        <v>231</v>
      </c>
      <c r="O20" s="833">
        <f>C20+'MAY-2023'!C20+'APRIL-2023'!C20</f>
        <v>380454</v>
      </c>
      <c r="P20" s="833">
        <f>D20+'MAY-2023'!D20+'APRIL-2023'!D20</f>
        <v>138974</v>
      </c>
      <c r="Q20" s="314">
        <f>(P20-O20)/O20*100</f>
        <v>-63.471536637806416</v>
      </c>
      <c r="R20" s="315">
        <f>F20+'MAY-2023'!F20+'APRIL-2023'!F20</f>
        <v>55.85</v>
      </c>
      <c r="S20" s="315">
        <f>G20+'MAY-2023'!G20+'APRIL-2023'!G20</f>
        <v>39.75</v>
      </c>
      <c r="T20" s="1060">
        <f>S20/S7*100</f>
        <v>43.140872585196441</v>
      </c>
      <c r="U20" s="314">
        <f>(S20-R20)/R20*100</f>
        <v>-28.827215756490602</v>
      </c>
    </row>
    <row r="21" spans="1:26" ht="18.75" customHeight="1" x14ac:dyDescent="0.4">
      <c r="A21" s="1983"/>
      <c r="B21" s="1055" t="s">
        <v>232</v>
      </c>
      <c r="C21" s="303">
        <v>56881</v>
      </c>
      <c r="D21" s="1410">
        <v>65099</v>
      </c>
      <c r="E21" s="314">
        <f>(D21-C21)/C21*100</f>
        <v>14.447706615565831</v>
      </c>
      <c r="F21" s="315">
        <v>3.98</v>
      </c>
      <c r="G21" s="315">
        <v>8.31</v>
      </c>
      <c r="H21" s="1060">
        <f>G21/G7*100</f>
        <v>22.993912562257886</v>
      </c>
      <c r="I21" s="314">
        <f>(G21-F21)/F21*100</f>
        <v>108.79396984924622</v>
      </c>
      <c r="L21" s="1476"/>
      <c r="M21" s="2369"/>
      <c r="N21" s="1055" t="s">
        <v>232</v>
      </c>
      <c r="O21" s="833">
        <f>C21+'MAY-2023'!C21+'APRIL-2023'!C21</f>
        <v>191149</v>
      </c>
      <c r="P21" s="833">
        <f>D21+'MAY-2023'!D21+'APRIL-2023'!D21</f>
        <v>198333</v>
      </c>
      <c r="Q21" s="314">
        <f>(P21-O21)/O21*100</f>
        <v>3.7583246577277416</v>
      </c>
      <c r="R21" s="315">
        <f>F21+'MAY-2023'!F21+'APRIL-2023'!F21</f>
        <v>11.13</v>
      </c>
      <c r="S21" s="315">
        <f>G21+'MAY-2023'!G21+'APRIL-2023'!G21</f>
        <v>16.330000000000002</v>
      </c>
      <c r="T21" s="1060">
        <f>S21/S7*100</f>
        <v>17.723030171478189</v>
      </c>
      <c r="U21" s="314">
        <f>(S21-R21)/R21*100</f>
        <v>46.720575022461816</v>
      </c>
      <c r="W21" s="5">
        <v>2.17</v>
      </c>
      <c r="X21" s="172">
        <v>2.95</v>
      </c>
      <c r="Y21" s="5">
        <f>(X21-W21)/W21*100</f>
        <v>35.944700460829502</v>
      </c>
    </row>
    <row r="22" spans="1:26" ht="18.75" customHeight="1" x14ac:dyDescent="0.4">
      <c r="A22" s="1983"/>
      <c r="B22" s="1055" t="s">
        <v>239</v>
      </c>
      <c r="C22" s="303">
        <v>58691</v>
      </c>
      <c r="D22" s="1410">
        <v>63164</v>
      </c>
      <c r="E22" s="314">
        <f>(D22-C22)/C22*100</f>
        <v>7.6212707229387808</v>
      </c>
      <c r="F22" s="315">
        <v>6.91</v>
      </c>
      <c r="G22" s="315">
        <v>10.45</v>
      </c>
      <c r="H22" s="1060">
        <f>G22/G7*100</f>
        <v>28.915329275041501</v>
      </c>
      <c r="I22" s="314">
        <f>(G22-F22)/F22*100</f>
        <v>51.230101302460184</v>
      </c>
      <c r="J22" s="1486"/>
      <c r="L22" s="1476"/>
      <c r="M22" s="2369"/>
      <c r="N22" s="1055" t="s">
        <v>239</v>
      </c>
      <c r="O22" s="833">
        <f>C22+'MAY-2023'!C22+'APRIL-2023'!C22</f>
        <v>171839</v>
      </c>
      <c r="P22" s="833">
        <f>D22+'MAY-2023'!D22+'APRIL-2023'!D22</f>
        <v>218847</v>
      </c>
      <c r="Q22" s="314">
        <f>(P22-O22)/O22*100</f>
        <v>27.355838895710523</v>
      </c>
      <c r="R22" s="315">
        <f>F22+'MAY-2023'!F22+'APRIL-2023'!F22</f>
        <v>20.170000000000002</v>
      </c>
      <c r="S22" s="315">
        <f>G22+'MAY-2023'!G22+'APRIL-2023'!G22</f>
        <v>33.450000000000003</v>
      </c>
      <c r="T22" s="1060">
        <f>S22/S7*100</f>
        <v>36.303451269806821</v>
      </c>
      <c r="U22" s="314">
        <f>(S22-R22)/R22*100</f>
        <v>65.840356965790775</v>
      </c>
    </row>
    <row r="23" spans="1:26" ht="18.75" customHeight="1" x14ac:dyDescent="0.4">
      <c r="A23" s="1983"/>
      <c r="B23" s="1055" t="s">
        <v>233</v>
      </c>
      <c r="C23" s="303">
        <v>16678</v>
      </c>
      <c r="D23" s="1410">
        <v>32423</v>
      </c>
      <c r="E23" s="314">
        <f>(D23-C23)/C23*100</f>
        <v>94.405804053243799</v>
      </c>
      <c r="F23" s="315">
        <v>0.61</v>
      </c>
      <c r="G23" s="315">
        <v>1.22</v>
      </c>
      <c r="H23" s="1060">
        <f>G23/G7*100</f>
        <v>3.3757609297177646</v>
      </c>
      <c r="I23" s="314">
        <f>(G23-F23)/F23*100</f>
        <v>100</v>
      </c>
      <c r="J23" s="1486"/>
      <c r="L23" s="1476"/>
      <c r="M23" s="2369"/>
      <c r="N23" s="1055" t="s">
        <v>233</v>
      </c>
      <c r="O23" s="833">
        <f>C23+'MAY-2023'!C23+'APRIL-2023'!C23</f>
        <v>59274</v>
      </c>
      <c r="P23" s="833">
        <f>D23+'MAY-2023'!D23+'APRIL-2023'!D23</f>
        <v>67778</v>
      </c>
      <c r="Q23" s="314">
        <f>(P23-O23)/O23*100</f>
        <v>14.346931200863786</v>
      </c>
      <c r="R23" s="315">
        <f>F23+'MAY-2023'!F23+'APRIL-2023'!F23</f>
        <v>2.06</v>
      </c>
      <c r="S23" s="315">
        <f>G23+'MAY-2023'!G23+'APRIL-2023'!G23</f>
        <v>2.5499999999999998</v>
      </c>
      <c r="T23" s="1060">
        <f>S23/S7*100</f>
        <v>2.7675276752767526</v>
      </c>
      <c r="U23" s="314">
        <f>(S23-R23)/R23*100</f>
        <v>23.78640776699028</v>
      </c>
      <c r="Z23" s="5">
        <f>25.63+0.96</f>
        <v>26.59</v>
      </c>
    </row>
    <row r="24" spans="1:26" ht="18.75" customHeight="1" x14ac:dyDescent="0.4">
      <c r="A24" s="1983"/>
      <c r="B24" s="1055" t="s">
        <v>739</v>
      </c>
      <c r="C24" s="303"/>
      <c r="D24" s="1409"/>
      <c r="E24" s="836">
        <v>0</v>
      </c>
      <c r="F24" s="833">
        <v>0</v>
      </c>
      <c r="G24" s="833">
        <v>0</v>
      </c>
      <c r="H24" s="1060">
        <f>G24/G7*100</f>
        <v>0</v>
      </c>
      <c r="I24" s="314">
        <v>0</v>
      </c>
      <c r="L24" s="1476"/>
      <c r="M24" s="2369"/>
      <c r="N24" s="1055" t="s">
        <v>739</v>
      </c>
      <c r="O24" s="833">
        <f>C24+'MAY-2023'!C24+'APRIL-2023'!C24</f>
        <v>0</v>
      </c>
      <c r="P24" s="833">
        <f>D24+'MAY-2023'!D24+'APRIL-2023'!D24</f>
        <v>0</v>
      </c>
      <c r="Q24" s="836">
        <v>0</v>
      </c>
      <c r="R24" s="315">
        <f>F24+'MAY-2023'!F24+'APRIL-2023'!F24</f>
        <v>0</v>
      </c>
      <c r="S24" s="315">
        <f>G24+'MAY-2023'!G24+'APRIL-2023'!G24</f>
        <v>0</v>
      </c>
      <c r="T24" s="1060">
        <f>S24/S7*100</f>
        <v>0</v>
      </c>
      <c r="U24" s="314">
        <v>0</v>
      </c>
    </row>
    <row r="25" spans="1:26" ht="18.75" customHeight="1" x14ac:dyDescent="0.4">
      <c r="A25" s="1983"/>
      <c r="B25" s="1055" t="s">
        <v>235</v>
      </c>
      <c r="C25" s="303"/>
      <c r="D25" s="1409"/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L25" s="1476"/>
      <c r="M25" s="2369"/>
      <c r="N25" s="1055" t="s">
        <v>235</v>
      </c>
      <c r="O25" s="833">
        <f>C25+'MAY-2023'!C25+'APRIL-2023'!C25</f>
        <v>0</v>
      </c>
      <c r="P25" s="833">
        <f>D25+'MAY-2023'!D25+'APRIL-2023'!D25</f>
        <v>0</v>
      </c>
      <c r="Q25" s="836">
        <v>0</v>
      </c>
      <c r="R25" s="315">
        <f>F25+'MAY-2023'!F25+'APRIL-2023'!F25</f>
        <v>0</v>
      </c>
      <c r="S25" s="315">
        <f>G25+'MAY-2023'!G25+'APRIL-2023'!G25</f>
        <v>0</v>
      </c>
      <c r="T25" s="1060">
        <f>S25/S7*100</f>
        <v>0</v>
      </c>
      <c r="U25" s="314">
        <v>0</v>
      </c>
    </row>
    <row r="26" spans="1:26" ht="15.75" x14ac:dyDescent="0.4">
      <c r="A26" s="1984"/>
      <c r="B26" s="1056" t="s">
        <v>693</v>
      </c>
      <c r="C26" s="1059"/>
      <c r="D26" s="1411"/>
      <c r="E26" s="836">
        <v>0</v>
      </c>
      <c r="F26" s="315">
        <v>0.02</v>
      </c>
      <c r="G26" s="315">
        <v>0.03</v>
      </c>
      <c r="H26" s="1060">
        <f>G26/G7*100</f>
        <v>8.3010514665190924E-2</v>
      </c>
      <c r="I26" s="314" t="s">
        <v>221</v>
      </c>
      <c r="L26" s="1476"/>
      <c r="M26" s="2245"/>
      <c r="N26" s="1056" t="s">
        <v>693</v>
      </c>
      <c r="O26" s="833">
        <f>C26+'MAY-2023'!C26+'APRIL-2023'!C26</f>
        <v>0</v>
      </c>
      <c r="P26" s="833">
        <f>D26+'MAY-2023'!D26+'APRIL-2023'!D26</f>
        <v>0</v>
      </c>
      <c r="Q26" s="836">
        <v>0</v>
      </c>
      <c r="R26" s="315">
        <f>F26+'MAY-2023'!F26+'APRIL-2023'!F26</f>
        <v>6.5546199999999999E-2</v>
      </c>
      <c r="S26" s="315">
        <f>G26+'MAY-2023'!G26+'APRIL-2023'!G26</f>
        <v>0.06</v>
      </c>
      <c r="T26" s="1060">
        <f>S26/S7*100</f>
        <v>6.5118298241805955E-2</v>
      </c>
      <c r="U26" s="314">
        <f>(S26-R26)/R26*100</f>
        <v>-8.4615126429907477</v>
      </c>
    </row>
    <row r="27" spans="1:26" s="26" customFormat="1" ht="19.5" customHeight="1" x14ac:dyDescent="0.4">
      <c r="A27" s="1216"/>
      <c r="B27" s="1063" t="s">
        <v>683</v>
      </c>
      <c r="C27" s="1063">
        <f>SUM(C20:C26)</f>
        <v>281326</v>
      </c>
      <c r="D27" s="1412">
        <f>SUM(D20:D26)</f>
        <v>207432</v>
      </c>
      <c r="E27" s="394">
        <f>(D27-C27)/C27*100</f>
        <v>-26.266324477652258</v>
      </c>
      <c r="F27" s="1054">
        <f>SUM(F20:F26)</f>
        <v>35.26</v>
      </c>
      <c r="G27" s="1054">
        <f>G20+G21+G22+G23+G24+G25+G26</f>
        <v>33.36</v>
      </c>
      <c r="H27" s="1066">
        <f>SUM(H20:H26)</f>
        <v>92.307692307692307</v>
      </c>
      <c r="I27" s="394">
        <f>(G27-F27)/F27*100</f>
        <v>-5.3885422575155948</v>
      </c>
      <c r="J27" s="762"/>
      <c r="K27" s="762"/>
      <c r="L27" s="1475"/>
      <c r="M27" s="1202"/>
      <c r="N27" s="1063" t="s">
        <v>683</v>
      </c>
      <c r="O27" s="1259">
        <f>SUM(O20:O26)</f>
        <v>802716</v>
      </c>
      <c r="P27" s="1259">
        <f>SUM(P20:P26)</f>
        <v>623932</v>
      </c>
      <c r="Q27" s="394">
        <f>(P27-O27)/O27*100</f>
        <v>-22.272385252069224</v>
      </c>
      <c r="R27" s="1054">
        <f>SUM(R20:R26)</f>
        <v>89.275546200000008</v>
      </c>
      <c r="S27" s="1054">
        <f>SUM(S20:S26)</f>
        <v>92.14</v>
      </c>
      <c r="T27" s="1066">
        <f>SUM(T20:T26)</f>
        <v>100.00000000000001</v>
      </c>
      <c r="U27" s="394">
        <f>(S27-R27)/R27*100</f>
        <v>3.2085536543040409</v>
      </c>
      <c r="V27" s="26">
        <f>76.54+0.12</f>
        <v>76.660000000000011</v>
      </c>
      <c r="W27" s="26">
        <f>P27/1000000</f>
        <v>0.62393200000000004</v>
      </c>
      <c r="X27" s="432"/>
    </row>
    <row r="28" spans="1:26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L30" s="1476"/>
      <c r="M30" s="2384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6" ht="15.4" x14ac:dyDescent="0.4">
      <c r="A31" s="2382"/>
      <c r="B31" s="378" t="s">
        <v>2</v>
      </c>
      <c r="C31" s="1435">
        <v>24.66</v>
      </c>
      <c r="D31" s="1429">
        <v>22.5</v>
      </c>
      <c r="E31" s="315">
        <v>2.15</v>
      </c>
      <c r="F31" s="313">
        <v>2.0496884999999998</v>
      </c>
      <c r="G31" s="313">
        <v>2.6578195999999998</v>
      </c>
      <c r="H31" s="314">
        <f>(G31-E31)/E31*100</f>
        <v>23.619516279069767</v>
      </c>
      <c r="I31" s="314">
        <f>(G31-F31)/F31*100</f>
        <v>29.669440014909586</v>
      </c>
      <c r="J31" s="84">
        <v>2.0496884999999998</v>
      </c>
      <c r="K31" s="84">
        <f>11596205/10000000</f>
        <v>1.1596204999999999</v>
      </c>
      <c r="L31" s="1476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f>E31+'MAY-2023'!E31+'APRIL-2023'!E31</f>
        <v>5.85</v>
      </c>
      <c r="R31" s="315">
        <f>F31+'MAY-2023'!F31+'APRIL-2023'!F31</f>
        <v>7.0782544999999999</v>
      </c>
      <c r="S31" s="315">
        <f>G31+'MAY-2023'!G31+'APRIL-2023'!G31</f>
        <v>8.2192176000000003</v>
      </c>
      <c r="T31" s="314">
        <f>(S31-Q31)/Q31*100</f>
        <v>40.499446153846172</v>
      </c>
      <c r="U31" s="314">
        <f t="shared" ref="U31:U38" si="0">(S31-R31)/R31*100</f>
        <v>16.119272060647162</v>
      </c>
      <c r="W31" s="5">
        <f>(Q31*10000000)/100000</f>
        <v>585</v>
      </c>
    </row>
    <row r="32" spans="1:26" ht="15.4" x14ac:dyDescent="0.4">
      <c r="A32" s="2382"/>
      <c r="B32" s="378" t="s">
        <v>23</v>
      </c>
      <c r="C32" s="1435">
        <v>27.693304099999999</v>
      </c>
      <c r="D32" s="1429">
        <f>'TARGET 23-24'!K26</f>
        <v>37.010000000000005</v>
      </c>
      <c r="E32" s="315">
        <v>3.33</v>
      </c>
      <c r="F32" s="313">
        <v>2.4922323999999998</v>
      </c>
      <c r="G32" s="638">
        <v>2.4424983</v>
      </c>
      <c r="H32" s="314">
        <f>(G32-E32)/E32*100</f>
        <v>-26.651702702702707</v>
      </c>
      <c r="I32" s="314">
        <f>(G32-F32)/F32*100</f>
        <v>-1.9955642980967501</v>
      </c>
      <c r="J32" s="1128">
        <v>2.4922323999999998</v>
      </c>
      <c r="K32" s="84">
        <f>0.58-0.12</f>
        <v>0.45999999999999996</v>
      </c>
      <c r="L32" s="1476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f>E32+'MAY-2023'!E32+'APRIL-2023'!E32</f>
        <v>10</v>
      </c>
      <c r="R32" s="315">
        <f>F32+'MAY-2023'!F32+'APRIL-2023'!F32</f>
        <v>7.4795778999999998</v>
      </c>
      <c r="S32" s="315">
        <f>G32+'MAY-2023'!G32+'APRIL-2023'!G32</f>
        <v>6.6063040000000006</v>
      </c>
      <c r="T32" s="314">
        <f>(S32-Q32)/Q32*100</f>
        <v>-33.936959999999992</v>
      </c>
      <c r="U32" s="314">
        <f t="shared" si="0"/>
        <v>-11.675443610260402</v>
      </c>
      <c r="W32" s="5">
        <f>(Q32*10000000)/100000</f>
        <v>1000</v>
      </c>
    </row>
    <row r="33" spans="1:27" ht="15.4" x14ac:dyDescent="0.4">
      <c r="A33" s="2382"/>
      <c r="B33" s="378" t="s">
        <v>1</v>
      </c>
      <c r="C33" s="1435">
        <v>1.0446717999999999</v>
      </c>
      <c r="D33" s="1429">
        <f>'TARGET 23-24'!L26</f>
        <v>3.4</v>
      </c>
      <c r="E33" s="315">
        <v>0.28999999999999998</v>
      </c>
      <c r="F33" s="313">
        <v>9.1728299999999999E-2</v>
      </c>
      <c r="G33" s="638">
        <v>0.1000381</v>
      </c>
      <c r="H33" s="314">
        <f>(G33-E33)/E33*100</f>
        <v>-65.504103448275856</v>
      </c>
      <c r="I33" s="314">
        <f>(G33-F33)/F33*100</f>
        <v>9.0591453237441506</v>
      </c>
      <c r="J33" s="84">
        <v>9.1728299999999999E-2</v>
      </c>
      <c r="L33" s="1476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f>E33+'MAY-2023'!E33+'APRIL-2023'!E33</f>
        <v>1.04</v>
      </c>
      <c r="R33" s="315">
        <f>F33+'MAY-2023'!F33+'APRIL-2023'!F33</f>
        <v>0.31876599999999999</v>
      </c>
      <c r="S33" s="315">
        <f>G33+'MAY-2023'!G33+'APRIL-2023'!G33</f>
        <v>0.32379829999999998</v>
      </c>
      <c r="T33" s="314">
        <f>(S33-Q33)/Q33*100</f>
        <v>-68.865548076923076</v>
      </c>
      <c r="U33" s="314">
        <f t="shared" si="0"/>
        <v>1.5786815406912873</v>
      </c>
      <c r="W33" s="5">
        <f>(Q33*10000000)/100000</f>
        <v>104</v>
      </c>
    </row>
    <row r="34" spans="1:27" ht="15.4" x14ac:dyDescent="0.4">
      <c r="A34" s="2382"/>
      <c r="B34" s="1055" t="s">
        <v>904</v>
      </c>
      <c r="C34" s="1480">
        <f>C33+C32</f>
        <v>28.737975899999999</v>
      </c>
      <c r="D34" s="1483">
        <f>D33+D32</f>
        <v>40.410000000000004</v>
      </c>
      <c r="E34" s="1483">
        <v>3.62</v>
      </c>
      <c r="F34" s="1483">
        <v>2.5839607</v>
      </c>
      <c r="G34" s="1483">
        <v>2.5425363999999999</v>
      </c>
      <c r="H34" s="1484">
        <f>(G34-E34)/E34*100</f>
        <v>-29.764187845303873</v>
      </c>
      <c r="I34" s="1484">
        <f>(G34-F34)/F34*100</f>
        <v>-1.6031319671386675</v>
      </c>
      <c r="J34" s="84">
        <v>0.30458299999999999</v>
      </c>
      <c r="L34" s="1476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11.04</v>
      </c>
      <c r="R34" s="1483">
        <f>R33+R32</f>
        <v>7.7983438999999999</v>
      </c>
      <c r="S34" s="1483">
        <f>S33+S32</f>
        <v>6.9301023000000006</v>
      </c>
      <c r="T34" s="1484">
        <f>(S34-Q34)/Q34*100</f>
        <v>-37.227334239130421</v>
      </c>
      <c r="U34" s="1484">
        <f>(S34-R34)/R34*100</f>
        <v>-11.133666469877012</v>
      </c>
    </row>
    <row r="35" spans="1:27" ht="15.4" x14ac:dyDescent="0.4">
      <c r="A35" s="2382"/>
      <c r="B35" s="378" t="s">
        <v>24</v>
      </c>
      <c r="C35" s="1435">
        <v>3.1600820000000001</v>
      </c>
      <c r="D35" s="1429"/>
      <c r="E35" s="315" t="s">
        <v>221</v>
      </c>
      <c r="F35" s="313">
        <v>0.30458299999999999</v>
      </c>
      <c r="G35" s="638">
        <v>0.28077200000000002</v>
      </c>
      <c r="H35" s="517" t="s">
        <v>221</v>
      </c>
      <c r="I35" s="314">
        <f>(G35-F35)/F35*100</f>
        <v>-7.8175735349641879</v>
      </c>
      <c r="J35" s="84">
        <v>3.3313066999999998</v>
      </c>
      <c r="L35" s="1476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f>F35+'MAY-2023'!F35+'APRIL-2023'!F35</f>
        <v>0.88008299999999995</v>
      </c>
      <c r="S35" s="315">
        <f>G35+'MAY-2023'!G35+'APRIL-2023'!G35</f>
        <v>0.86188799999999999</v>
      </c>
      <c r="T35" s="316" t="s">
        <v>221</v>
      </c>
      <c r="U35" s="314">
        <f t="shared" si="0"/>
        <v>-2.0674186411963373</v>
      </c>
      <c r="W35" s="5" t="e">
        <f>(Q35*10000000)/100000</f>
        <v>#VALUE!</v>
      </c>
    </row>
    <row r="36" spans="1:27" ht="15.4" x14ac:dyDescent="0.4">
      <c r="A36" s="2382"/>
      <c r="B36" s="1278" t="s">
        <v>25</v>
      </c>
      <c r="C36" s="1436">
        <v>6.2230024999999998</v>
      </c>
      <c r="D36" s="1429"/>
      <c r="E36" s="315" t="s">
        <v>221</v>
      </c>
      <c r="F36" s="313">
        <v>3.3313066999999998</v>
      </c>
      <c r="G36" s="638">
        <v>0.77930279999999996</v>
      </c>
      <c r="H36" s="517" t="s">
        <v>221</v>
      </c>
      <c r="I36" s="314">
        <v>0</v>
      </c>
      <c r="J36" s="84">
        <v>3.3116533000000001</v>
      </c>
      <c r="L36" s="1476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f>F36+'MAY-2023'!F36+'APRIL-2023'!F36</f>
        <v>3.4515921000000001</v>
      </c>
      <c r="S36" s="315">
        <f>G36+'MAY-2023'!G36+'APRIL-2023'!G36</f>
        <v>1.8577805999999999</v>
      </c>
      <c r="T36" s="316" t="s">
        <v>221</v>
      </c>
      <c r="U36" s="314">
        <f t="shared" si="0"/>
        <v>-46.176125504517181</v>
      </c>
    </row>
    <row r="37" spans="1:27" ht="17.25" customHeight="1" x14ac:dyDescent="0.4">
      <c r="A37" s="2383"/>
      <c r="B37" s="1467" t="s">
        <v>241</v>
      </c>
      <c r="C37" s="1436">
        <v>43.050880200000002</v>
      </c>
      <c r="D37" s="1429"/>
      <c r="E37" s="315" t="s">
        <v>221</v>
      </c>
      <c r="F37" s="313">
        <v>3.3116533000000001</v>
      </c>
      <c r="G37" s="313">
        <v>3.7221085</v>
      </c>
      <c r="H37" s="517" t="s">
        <v>221</v>
      </c>
      <c r="I37" s="314">
        <f>(G37-F37)/F37*100</f>
        <v>12.394268445914912</v>
      </c>
      <c r="J37" s="323">
        <v>5.8930499999999997E-2</v>
      </c>
      <c r="K37" s="323">
        <f>(20880+ 10612529)/10000000</f>
        <v>1.0633409</v>
      </c>
      <c r="L37" s="1476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f>F37+'MAY-2023'!F37+'APRIL-2023'!F37</f>
        <v>10.4228778</v>
      </c>
      <c r="S37" s="315">
        <f>G37+'MAY-2023'!G37+'APRIL-2023'!G37</f>
        <v>11.7696615</v>
      </c>
      <c r="T37" s="316" t="s">
        <v>221</v>
      </c>
      <c r="U37" s="314">
        <f t="shared" si="0"/>
        <v>12.921418881069483</v>
      </c>
    </row>
    <row r="38" spans="1:27" ht="15.4" x14ac:dyDescent="0.4">
      <c r="A38" s="1234"/>
      <c r="B38" s="378" t="s">
        <v>260</v>
      </c>
      <c r="C38" s="1435">
        <v>0.85555460000000005</v>
      </c>
      <c r="D38" s="1429"/>
      <c r="E38" s="315" t="s">
        <v>221</v>
      </c>
      <c r="F38" s="313">
        <v>5.8930499999999997E-2</v>
      </c>
      <c r="G38" s="313">
        <v>0.11698260000000001</v>
      </c>
      <c r="H38" s="413"/>
      <c r="I38" s="314">
        <v>0</v>
      </c>
      <c r="L38" s="1476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f>F38+'MAY-2023'!F38+'APRIL-2023'!F38</f>
        <v>0.2123294</v>
      </c>
      <c r="S38" s="315">
        <f>G38+'MAY-2023'!G38+'APRIL-2023'!G38</f>
        <v>0.21610620000000003</v>
      </c>
      <c r="T38" s="413"/>
      <c r="U38" s="314">
        <f t="shared" si="0"/>
        <v>1.7787456659322847</v>
      </c>
    </row>
    <row r="39" spans="1:27" x14ac:dyDescent="0.35">
      <c r="A39" s="2387">
        <v>4</v>
      </c>
      <c r="B39" s="2309" t="s">
        <v>861</v>
      </c>
      <c r="C39" s="2310"/>
      <c r="D39" s="2310"/>
      <c r="E39" s="2310"/>
      <c r="F39" s="2310"/>
      <c r="G39" s="2310"/>
      <c r="H39" s="2310"/>
      <c r="I39" s="2311"/>
      <c r="L39" s="1476"/>
      <c r="M39" s="1286">
        <v>4</v>
      </c>
      <c r="N39" s="2309" t="s">
        <v>622</v>
      </c>
      <c r="O39" s="2310"/>
      <c r="P39" s="2310"/>
      <c r="Q39" s="2310"/>
      <c r="R39" s="2310"/>
      <c r="S39" s="2310"/>
      <c r="T39" s="2310"/>
      <c r="U39" s="2311"/>
    </row>
    <row r="40" spans="1:27" ht="15.4" x14ac:dyDescent="0.4">
      <c r="A40" s="2387"/>
      <c r="B40" s="378" t="s">
        <v>27</v>
      </c>
      <c r="C40" s="1435">
        <v>12.02</v>
      </c>
      <c r="D40" s="1429">
        <v>13.95</v>
      </c>
      <c r="E40" s="315">
        <v>1.1624999999999999</v>
      </c>
      <c r="F40" s="313">
        <v>0.99820699999999996</v>
      </c>
      <c r="G40" s="313">
        <v>1.0995942999999999</v>
      </c>
      <c r="H40" s="314">
        <f>(G40-E40)/E40*100</f>
        <v>-5.4112430107526848</v>
      </c>
      <c r="I40" s="314">
        <f>(G40-F40)/F40*100</f>
        <v>10.156941395922885</v>
      </c>
      <c r="J40" s="84">
        <f t="shared" ref="J40:J45" si="1">E40*8</f>
        <v>9.2999999999999989</v>
      </c>
      <c r="L40" s="1476"/>
      <c r="M40" s="1286"/>
      <c r="N40" s="378" t="s">
        <v>27</v>
      </c>
      <c r="O40" s="1283">
        <v>12.02</v>
      </c>
      <c r="P40" s="1429">
        <v>13.95</v>
      </c>
      <c r="Q40" s="307">
        <f>E40+'MAY-2023'!E40+'APRIL-2023'!E40</f>
        <v>3.4874999999999998</v>
      </c>
      <c r="R40" s="315">
        <f>F40+'MAY-2023'!F40+'APRIL-2023'!F40</f>
        <v>2.0147686</v>
      </c>
      <c r="S40" s="315">
        <f>G40+'MAY-2023'!G40+'APRIL-2023'!G40</f>
        <v>2.8530049000000002</v>
      </c>
      <c r="T40" s="314">
        <f>(S40-Q40)/Q40*100</f>
        <v>-18.193407885304648</v>
      </c>
      <c r="U40" s="314">
        <f>(S40-R40)/R40*100</f>
        <v>41.604594195085234</v>
      </c>
      <c r="W40" s="5">
        <f>(E40*10000000)/100000</f>
        <v>116.24999999999999</v>
      </c>
      <c r="X40" s="172">
        <v>141.05000000000001</v>
      </c>
      <c r="Y40" s="5">
        <v>70.17</v>
      </c>
      <c r="Z40" s="11">
        <f t="shared" ref="Z40:Z45" si="2">(X40-W40)/W40*100</f>
        <v>21.333333333333357</v>
      </c>
      <c r="AA40" s="11">
        <f t="shared" ref="AA40:AA45" si="3">(X40-Y40)/Y40*100</f>
        <v>101.01182841670231</v>
      </c>
    </row>
    <row r="41" spans="1:27" ht="15.4" x14ac:dyDescent="0.4">
      <c r="A41" s="2387"/>
      <c r="B41" s="378" t="s">
        <v>28</v>
      </c>
      <c r="C41" s="1435">
        <v>1.94</v>
      </c>
      <c r="D41" s="1429">
        <v>1.95</v>
      </c>
      <c r="E41" s="315">
        <v>0.16250000000000001</v>
      </c>
      <c r="F41" s="313">
        <v>4.2574899999999999E-2</v>
      </c>
      <c r="G41" s="313">
        <v>0.47974169999999999</v>
      </c>
      <c r="H41" s="314">
        <f>(G41-E41)/E41*100</f>
        <v>195.22566153846151</v>
      </c>
      <c r="I41" s="314">
        <f>(G41-F41)/F41*100</f>
        <v>1026.8181487214297</v>
      </c>
      <c r="J41" s="84">
        <f t="shared" si="1"/>
        <v>1.3</v>
      </c>
      <c r="L41" s="1476">
        <v>2.1361249999999998</v>
      </c>
      <c r="M41" s="1286"/>
      <c r="N41" s="378" t="s">
        <v>28</v>
      </c>
      <c r="O41" s="1283">
        <v>1.94</v>
      </c>
      <c r="P41" s="1429">
        <v>1.95</v>
      </c>
      <c r="Q41" s="307">
        <f>E41+'MAY-2023'!E41+'APRIL-2023'!E41</f>
        <v>0.48750000000000004</v>
      </c>
      <c r="R41" s="315">
        <f>F41+'MAY-2023'!F41+'APRIL-2023'!F41</f>
        <v>8.1598699999999996E-2</v>
      </c>
      <c r="S41" s="315">
        <f>G41+'MAY-2023'!G41+'APRIL-2023'!G41</f>
        <v>0.68559079999999994</v>
      </c>
      <c r="T41" s="314">
        <f>(S41-Q41)/Q41*100</f>
        <v>40.634010256410228</v>
      </c>
      <c r="U41" s="314">
        <f>(S41-R41)/R41*100</f>
        <v>740.19818943193934</v>
      </c>
      <c r="W41" s="5">
        <f>(E41*10000000)/100000</f>
        <v>16.25</v>
      </c>
      <c r="X41" s="172">
        <v>19.73</v>
      </c>
      <c r="Y41" s="5">
        <v>3.12</v>
      </c>
      <c r="Z41" s="11">
        <f t="shared" si="2"/>
        <v>21.415384615384617</v>
      </c>
      <c r="AA41" s="11">
        <f t="shared" si="3"/>
        <v>532.3717948717948</v>
      </c>
    </row>
    <row r="42" spans="1:27" ht="15.4" x14ac:dyDescent="0.4">
      <c r="A42" s="2387"/>
      <c r="B42" s="378" t="s">
        <v>224</v>
      </c>
      <c r="C42" s="1435">
        <v>1.96</v>
      </c>
      <c r="D42" s="1429">
        <v>3.25</v>
      </c>
      <c r="E42" s="315">
        <v>0.27</v>
      </c>
      <c r="F42" s="313">
        <v>2.3478599999999999E-2</v>
      </c>
      <c r="G42" s="313">
        <v>0.14486599999999999</v>
      </c>
      <c r="H42" s="314">
        <f>(G42-E42)/E42*100</f>
        <v>-46.345925925925933</v>
      </c>
      <c r="I42" s="314">
        <f>(G42-F42)/F42*100</f>
        <v>517.01293944272652</v>
      </c>
      <c r="J42" s="323">
        <f t="shared" si="1"/>
        <v>2.16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7">
        <f>E42+'MAY-2023'!E42+'APRIL-2023'!E42</f>
        <v>0.81</v>
      </c>
      <c r="R42" s="315">
        <f>F42+'MAY-2023'!F42+'APRIL-2023'!F42</f>
        <v>5.5660199999999993E-2</v>
      </c>
      <c r="S42" s="315">
        <f>G42+'MAY-2023'!G42+'APRIL-2023'!G42</f>
        <v>0.3273412</v>
      </c>
      <c r="T42" s="314">
        <f>(S42-Q42)/Q42*100</f>
        <v>-59.587506172839511</v>
      </c>
      <c r="U42" s="314">
        <f>(S42-R42)/R42*100</f>
        <v>488.10640277972419</v>
      </c>
      <c r="W42" s="11">
        <f>(E42*10000000)/100000</f>
        <v>27</v>
      </c>
      <c r="X42" s="172">
        <v>45.45</v>
      </c>
      <c r="Y42" s="5">
        <v>0</v>
      </c>
      <c r="Z42" s="11">
        <f t="shared" si="2"/>
        <v>68.333333333333343</v>
      </c>
      <c r="AA42" s="11" t="e">
        <f t="shared" si="3"/>
        <v>#DIV/0!</v>
      </c>
    </row>
    <row r="43" spans="1:27" ht="15.4" hidden="1" x14ac:dyDescent="0.4">
      <c r="A43" s="2387"/>
      <c r="B43" s="378" t="s">
        <v>64</v>
      </c>
      <c r="C43" s="1435">
        <v>0</v>
      </c>
      <c r="D43" s="1429">
        <v>0</v>
      </c>
      <c r="E43" s="315" t="s">
        <v>221</v>
      </c>
      <c r="F43" s="313">
        <v>0</v>
      </c>
      <c r="G43" s="313"/>
      <c r="H43" s="314" t="e">
        <f>(G43-E43)/E43*100</f>
        <v>#VALUE!</v>
      </c>
      <c r="I43" s="314" t="e">
        <f>(G43-F43)/F43*100</f>
        <v>#DIV/0!</v>
      </c>
      <c r="J43" s="84" t="e">
        <f t="shared" si="1"/>
        <v>#VALUE!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15">
        <f>F43+'MAY-2023'!F43+'APRIL-2023'!F43</f>
        <v>0</v>
      </c>
      <c r="S43" s="315">
        <f>G43+'MAY-2023'!G43+'APRIL-2023'!G43</f>
        <v>0</v>
      </c>
      <c r="T43" s="314" t="s">
        <v>221</v>
      </c>
      <c r="U43" s="314">
        <v>0</v>
      </c>
      <c r="W43" s="5" t="e">
        <f>(E43*10000000)/100000</f>
        <v>#VALUE!</v>
      </c>
      <c r="Z43" s="11" t="e">
        <f t="shared" si="2"/>
        <v>#VALUE!</v>
      </c>
      <c r="AA43" s="11" t="e">
        <f t="shared" si="3"/>
        <v>#DIV/0!</v>
      </c>
    </row>
    <row r="44" spans="1:27" ht="15.4" x14ac:dyDescent="0.4">
      <c r="A44" s="2387"/>
      <c r="B44" s="378" t="s">
        <v>4</v>
      </c>
      <c r="C44" s="1435">
        <v>0.211532</v>
      </c>
      <c r="D44" s="1429"/>
      <c r="E44" s="315" t="s">
        <v>221</v>
      </c>
      <c r="F44" s="313">
        <v>0</v>
      </c>
      <c r="G44" s="313">
        <v>0</v>
      </c>
      <c r="H44" s="314"/>
      <c r="I44" s="314" t="s">
        <v>221</v>
      </c>
      <c r="J44" s="84" t="e">
        <f t="shared" si="1"/>
        <v>#VALUE!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15">
        <f>F44+'MAY-2023'!F44+'APRIL-2023'!F44</f>
        <v>1.9599999999999999E-2</v>
      </c>
      <c r="S44" s="315">
        <f>G44+'MAY-2023'!G44+'APRIL-2023'!G44</f>
        <v>0.21744540000000001</v>
      </c>
      <c r="T44" s="314" t="s">
        <v>221</v>
      </c>
      <c r="U44" s="314">
        <f>(S44-R44)/R44*100</f>
        <v>1009.4153061224491</v>
      </c>
      <c r="X44" s="172">
        <v>0</v>
      </c>
      <c r="Y44" s="5">
        <v>0.06</v>
      </c>
      <c r="Z44" s="11" t="e">
        <f t="shared" si="2"/>
        <v>#DIV/0!</v>
      </c>
      <c r="AA44" s="11">
        <f t="shared" si="3"/>
        <v>-100</v>
      </c>
    </row>
    <row r="45" spans="1:27" ht="15.4" x14ac:dyDescent="0.4">
      <c r="A45" s="780"/>
      <c r="B45" s="378" t="s">
        <v>259</v>
      </c>
      <c r="C45" s="1435">
        <v>1.5697181</v>
      </c>
      <c r="D45" s="1429"/>
      <c r="E45" s="315" t="s">
        <v>221</v>
      </c>
      <c r="F45" s="313">
        <v>7.7316300000000004E-2</v>
      </c>
      <c r="G45" s="313">
        <v>5.2098100000000001E-2</v>
      </c>
      <c r="H45" s="314"/>
      <c r="I45" s="314" t="s">
        <v>221</v>
      </c>
      <c r="J45" s="84" t="e">
        <f t="shared" si="1"/>
        <v>#VALUE!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15">
        <f>F45+'MAY-2023'!F45+'APRIL-2023'!F45</f>
        <v>0.2783757</v>
      </c>
      <c r="S45" s="315">
        <f>G45+'MAY-2023'!G45+'APRIL-2023'!G45</f>
        <v>0.2391633</v>
      </c>
      <c r="T45" s="407" t="s">
        <v>221</v>
      </c>
      <c r="U45" s="314">
        <f>(S45-R45)/R45*100</f>
        <v>-14.086143294835004</v>
      </c>
      <c r="W45" s="595">
        <f>W40+W41+W42+W44</f>
        <v>159.5</v>
      </c>
      <c r="X45" s="172">
        <f>X40+X41+X42+X44</f>
        <v>206.23000000000002</v>
      </c>
      <c r="Y45" s="172">
        <f>Y40+Y41+Y42+Y44</f>
        <v>73.350000000000009</v>
      </c>
      <c r="Z45" s="11">
        <f t="shared" si="2"/>
        <v>29.297805642633239</v>
      </c>
      <c r="AA45" s="11">
        <f t="shared" si="3"/>
        <v>181.15882753919561</v>
      </c>
    </row>
    <row r="46" spans="1:27" x14ac:dyDescent="0.35">
      <c r="A46" s="2387"/>
      <c r="B46" s="2309" t="s">
        <v>888</v>
      </c>
      <c r="C46" s="2310"/>
      <c r="D46" s="2310"/>
      <c r="E46" s="2310"/>
      <c r="F46" s="2310"/>
      <c r="G46" s="2310"/>
      <c r="H46" s="2310"/>
      <c r="I46" s="2311"/>
      <c r="L46" s="1476">
        <v>0.93056630000000007</v>
      </c>
      <c r="M46" s="2388"/>
      <c r="N46" s="2309" t="s">
        <v>419</v>
      </c>
      <c r="O46" s="2310"/>
      <c r="P46" s="2310"/>
      <c r="Q46" s="2310"/>
      <c r="R46" s="2310"/>
      <c r="S46" s="2310"/>
      <c r="T46" s="2310"/>
      <c r="U46" s="2311"/>
    </row>
    <row r="47" spans="1:27" ht="15.4" x14ac:dyDescent="0.4">
      <c r="A47" s="2387"/>
      <c r="B47" s="378" t="s">
        <v>798</v>
      </c>
      <c r="C47" s="1435">
        <v>18.824966</v>
      </c>
      <c r="D47" s="307">
        <f>'TARGET 23-24'!B53</f>
        <v>22.09</v>
      </c>
      <c r="E47" s="315">
        <v>1.64</v>
      </c>
      <c r="F47" s="315">
        <v>1.401597</v>
      </c>
      <c r="G47" s="315">
        <v>1.7409319999999999</v>
      </c>
      <c r="H47" s="316">
        <f>(G47-E47)/E47*100</f>
        <v>6.1543902439024407</v>
      </c>
      <c r="I47" s="314">
        <f>(G47-F47)/F47*100</f>
        <v>24.21059691195115</v>
      </c>
      <c r="J47" s="84">
        <f>94132</f>
        <v>94132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f>E47+'MAY-2023'!E47+'APRIL-2023'!E47</f>
        <v>4.53</v>
      </c>
      <c r="R47" s="315">
        <f>F47+'MAY-2023'!F47+'APRIL-2023'!F47</f>
        <v>3.9009049999999998</v>
      </c>
      <c r="S47" s="315">
        <f>G47+'MAY-2023'!G47+'APRIL-2023'!G47</f>
        <v>5.218547</v>
      </c>
      <c r="T47" s="316">
        <f>(S47-Q47)/Q47*100</f>
        <v>15.199713024282554</v>
      </c>
      <c r="U47" s="314">
        <f>(S47-R47)/R47*100</f>
        <v>33.777854113340375</v>
      </c>
    </row>
    <row r="48" spans="1:27" ht="15.4" x14ac:dyDescent="0.4">
      <c r="A48" s="2387"/>
      <c r="B48" s="1280" t="s">
        <v>799</v>
      </c>
      <c r="C48" s="1437">
        <v>15.344440000000001</v>
      </c>
      <c r="D48" s="2065">
        <f>'TARGET 23-24'!C53</f>
        <v>32.97</v>
      </c>
      <c r="E48" s="2154">
        <v>2.21</v>
      </c>
      <c r="F48" s="315">
        <v>0.80140699999999998</v>
      </c>
      <c r="G48" s="315">
        <v>1.686331</v>
      </c>
      <c r="H48" s="2027">
        <f>L48</f>
        <v>20.009140271493212</v>
      </c>
      <c r="I48" s="314">
        <f>(G48-F48)/F48*100</f>
        <v>110.421296544702</v>
      </c>
      <c r="J48" s="84">
        <v>31105</v>
      </c>
      <c r="K48" s="12">
        <f>G48+G49</f>
        <v>2.6522019999999999</v>
      </c>
      <c r="L48" s="172">
        <f>(K48-E48)/E48*100</f>
        <v>20.009140271493212</v>
      </c>
      <c r="M48" s="2388"/>
      <c r="N48" s="1280" t="s">
        <v>792</v>
      </c>
      <c r="O48" s="1285">
        <v>15.344440000000001</v>
      </c>
      <c r="P48" s="2067">
        <v>32.97</v>
      </c>
      <c r="Q48" s="2154">
        <f>E48+'MAY-2023'!E48+'APRIL-2023'!E48</f>
        <v>6.38</v>
      </c>
      <c r="R48" s="315">
        <f>F48+'MAY-2023'!F48+'APRIL-2023'!F48</f>
        <v>2.0880999999999998</v>
      </c>
      <c r="S48" s="315">
        <f>G48+'MAY-2023'!G48+'APRIL-2023'!G48</f>
        <v>5.3273960000000002</v>
      </c>
      <c r="T48" s="2027">
        <f>X48</f>
        <v>29.427680250783705</v>
      </c>
      <c r="U48" s="314">
        <f>(S48-R48)/R48*100</f>
        <v>155.1312676595949</v>
      </c>
      <c r="W48" s="12">
        <f>S48+S49</f>
        <v>8.2574860000000001</v>
      </c>
      <c r="X48" s="172">
        <f>(W48-Q48)/Q48*100</f>
        <v>29.427680250783705</v>
      </c>
    </row>
    <row r="49" spans="1:33" ht="16.5" x14ac:dyDescent="0.55000000000000004">
      <c r="A49" s="2387"/>
      <c r="B49" s="320" t="s">
        <v>800</v>
      </c>
      <c r="C49" s="1437">
        <v>12.857975999999999</v>
      </c>
      <c r="D49" s="2066"/>
      <c r="E49" s="2155"/>
      <c r="F49" s="315">
        <v>1.106106</v>
      </c>
      <c r="G49" s="315">
        <v>0.96587100000000004</v>
      </c>
      <c r="H49" s="2029"/>
      <c r="I49" s="314">
        <f>(G49-F49)/F49*100</f>
        <v>-12.678260492213223</v>
      </c>
      <c r="J49" s="1198">
        <v>205039</v>
      </c>
      <c r="K49" s="1198"/>
      <c r="L49" s="1477">
        <f>(K48-E48)/E48*100</f>
        <v>20.009140271493212</v>
      </c>
      <c r="M49" s="2388"/>
      <c r="N49" s="320" t="s">
        <v>793</v>
      </c>
      <c r="O49" s="1285">
        <v>12.857975999999999</v>
      </c>
      <c r="P49" s="2068"/>
      <c r="Q49" s="2155"/>
      <c r="R49" s="315">
        <f>F49+'MAY-2023'!F49+'APRIL-2023'!F49</f>
        <v>3.4214909999999996</v>
      </c>
      <c r="S49" s="315">
        <f>G49+'MAY-2023'!G49+'APRIL-2023'!G49</f>
        <v>2.9300900000000003</v>
      </c>
      <c r="T49" s="2029"/>
      <c r="U49" s="314">
        <f>(S49-R49)/R49*100</f>
        <v>-14.362188881981549</v>
      </c>
    </row>
    <row r="50" spans="1:33" ht="15.75" customHeight="1" x14ac:dyDescent="0.35">
      <c r="A50" s="2387">
        <v>6</v>
      </c>
      <c r="B50" s="2309" t="s">
        <v>903</v>
      </c>
      <c r="C50" s="2310"/>
      <c r="D50" s="2310"/>
      <c r="E50" s="2310"/>
      <c r="F50" s="2310"/>
      <c r="G50" s="2310"/>
      <c r="H50" s="2310"/>
      <c r="I50" s="2311"/>
      <c r="L50" s="1476"/>
      <c r="M50" s="2388">
        <v>6</v>
      </c>
      <c r="N50" s="2309" t="s">
        <v>903</v>
      </c>
      <c r="O50" s="2310"/>
      <c r="P50" s="2310"/>
      <c r="Q50" s="2310"/>
      <c r="R50" s="2310"/>
      <c r="S50" s="2310"/>
      <c r="T50" s="2310"/>
      <c r="U50" s="2311"/>
    </row>
    <row r="51" spans="1:33" ht="15.4" x14ac:dyDescent="0.4">
      <c r="A51" s="2387"/>
      <c r="B51" s="378" t="s">
        <v>36</v>
      </c>
      <c r="C51" s="1438"/>
      <c r="D51" s="2368">
        <v>0.55000000000000004</v>
      </c>
      <c r="E51" s="2024" t="s">
        <v>221</v>
      </c>
      <c r="F51" s="313">
        <v>197.64</v>
      </c>
      <c r="G51" s="313">
        <v>86.18</v>
      </c>
      <c r="H51" s="2027" t="s">
        <v>221</v>
      </c>
      <c r="I51" s="314">
        <f>(G51-F51)/F51*100</f>
        <v>-56.395466504756122</v>
      </c>
      <c r="M51" s="2388"/>
      <c r="N51" s="2006" t="s">
        <v>36</v>
      </c>
      <c r="O51" s="2007"/>
      <c r="P51" s="2368">
        <v>0.55000000000000004</v>
      </c>
      <c r="Q51" s="2024" t="s">
        <v>221</v>
      </c>
      <c r="R51" s="313">
        <v>197.64</v>
      </c>
      <c r="S51" s="313">
        <v>86.18</v>
      </c>
      <c r="T51" s="2027"/>
      <c r="U51" s="314">
        <f>(S51-R51)/R51*100</f>
        <v>-56.395466504756122</v>
      </c>
    </row>
    <row r="52" spans="1:33" ht="15.4" x14ac:dyDescent="0.4">
      <c r="A52" s="2387"/>
      <c r="B52" s="378" t="s">
        <v>37</v>
      </c>
      <c r="C52" s="1438"/>
      <c r="D52" s="2369"/>
      <c r="E52" s="2025"/>
      <c r="F52" s="313">
        <v>43.06</v>
      </c>
      <c r="G52" s="313">
        <v>19.239999999999998</v>
      </c>
      <c r="H52" s="2028"/>
      <c r="I52" s="314">
        <f>(G52-F52)/F52*100</f>
        <v>-55.318160705991644</v>
      </c>
      <c r="M52" s="2388"/>
      <c r="N52" s="2006" t="s">
        <v>37</v>
      </c>
      <c r="O52" s="2007"/>
      <c r="P52" s="2369"/>
      <c r="Q52" s="2025"/>
      <c r="R52" s="313">
        <v>43.06</v>
      </c>
      <c r="S52" s="313">
        <v>19.239999999999998</v>
      </c>
      <c r="T52" s="2028"/>
      <c r="U52" s="314">
        <f>(S52-R52)/R52*100</f>
        <v>-55.318160705991644</v>
      </c>
    </row>
    <row r="53" spans="1:33" ht="15.4" x14ac:dyDescent="0.4">
      <c r="A53" s="2387"/>
      <c r="B53" s="378" t="s">
        <v>38</v>
      </c>
      <c r="C53" s="1438"/>
      <c r="D53" s="2245"/>
      <c r="E53" s="2026"/>
      <c r="F53" s="313">
        <f>SUM(F51:F52)</f>
        <v>240.7</v>
      </c>
      <c r="G53" s="313">
        <f>SUM(G51:G52)</f>
        <v>105.42</v>
      </c>
      <c r="H53" s="2029"/>
      <c r="I53" s="314">
        <f>(G53-F53)/F53*100</f>
        <v>-56.20274200249272</v>
      </c>
      <c r="M53" s="2388"/>
      <c r="N53" s="2006" t="s">
        <v>38</v>
      </c>
      <c r="O53" s="2007"/>
      <c r="P53" s="2245"/>
      <c r="Q53" s="2026"/>
      <c r="R53" s="313">
        <f>SUM(R51:R52)</f>
        <v>240.7</v>
      </c>
      <c r="S53" s="313">
        <f>SUM(S51:S52)</f>
        <v>105.42</v>
      </c>
      <c r="T53" s="2029"/>
      <c r="U53" s="314">
        <f>(S53-R53)/R53*100</f>
        <v>-56.20274200249272</v>
      </c>
    </row>
    <row r="54" spans="1:33" x14ac:dyDescent="0.4">
      <c r="H54" s="41"/>
      <c r="I54" s="41"/>
    </row>
    <row r="55" spans="1:33" ht="15.4" x14ac:dyDescent="0.4">
      <c r="E55" s="12"/>
      <c r="F55" s="12"/>
      <c r="G55" s="12"/>
      <c r="H55" s="314"/>
      <c r="I55" s="314"/>
      <c r="J55" s="314">
        <f>210288-1860</f>
        <v>208428</v>
      </c>
      <c r="Q55" s="12"/>
      <c r="R55" s="12">
        <f t="shared" ref="R55:S57" si="4">(R47*1000000)/100000</f>
        <v>39.009050000000002</v>
      </c>
      <c r="S55" s="12">
        <f t="shared" si="4"/>
        <v>52.185470000000002</v>
      </c>
      <c r="T55" s="314"/>
      <c r="U55" s="314">
        <f>(S55-R55)/R55*100</f>
        <v>33.777854113340368</v>
      </c>
      <c r="W55" s="12">
        <f>R56+R57</f>
        <v>55.095909999999989</v>
      </c>
      <c r="X55" s="12">
        <f>S56+S57</f>
        <v>82.574860000000001</v>
      </c>
      <c r="Z55" s="314">
        <f>(X55-W55)/W55*100</f>
        <v>49.874754768548186</v>
      </c>
    </row>
    <row r="56" spans="1:33" ht="15.4" x14ac:dyDescent="0.4">
      <c r="H56" s="35"/>
      <c r="I56" s="5"/>
      <c r="J56" s="35"/>
      <c r="K56" s="5"/>
      <c r="P56" s="12"/>
      <c r="Q56" s="12"/>
      <c r="R56" s="12">
        <f t="shared" si="4"/>
        <v>20.880999999999997</v>
      </c>
      <c r="S56" s="12">
        <f t="shared" si="4"/>
        <v>53.273960000000002</v>
      </c>
      <c r="U56" s="314">
        <f>(S56-R56)/R56*100</f>
        <v>155.1312676595949</v>
      </c>
    </row>
    <row r="57" spans="1:33" ht="15.4" x14ac:dyDescent="0.4">
      <c r="L57" s="35"/>
      <c r="R57" s="12">
        <f t="shared" si="4"/>
        <v>34.214909999999996</v>
      </c>
      <c r="S57" s="12">
        <f t="shared" si="4"/>
        <v>29.300900000000006</v>
      </c>
      <c r="U57" s="314">
        <f>(S57-R57)/R57*100</f>
        <v>-14.362188881981542</v>
      </c>
    </row>
    <row r="58" spans="1:33" x14ac:dyDescent="0.4">
      <c r="D58" s="1407"/>
      <c r="E58" s="1192">
        <v>44734</v>
      </c>
      <c r="F58" s="1192">
        <v>45100</v>
      </c>
      <c r="H58" s="1192">
        <f>E58</f>
        <v>44734</v>
      </c>
      <c r="I58" s="1192">
        <f>F58</f>
        <v>45100</v>
      </c>
      <c r="K58" s="84">
        <v>2.94</v>
      </c>
      <c r="R58" s="12">
        <f>SUM(R55:R57)</f>
        <v>94.104960000000005</v>
      </c>
      <c r="S58" s="12">
        <f>SUM(S55:S57)</f>
        <v>134.76033000000001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33" ht="15.75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S59" s="9" t="s">
        <v>152</v>
      </c>
      <c r="T59" s="1291">
        <f>E58</f>
        <v>44734</v>
      </c>
      <c r="U59" s="1291">
        <f>F58</f>
        <v>45100</v>
      </c>
      <c r="V59" s="26"/>
      <c r="W59" s="1291">
        <v>44958</v>
      </c>
      <c r="X59" s="1291">
        <v>44958</v>
      </c>
      <c r="Y59" s="26"/>
      <c r="Z59" s="1291">
        <f>T59</f>
        <v>44734</v>
      </c>
      <c r="AA59" s="1291">
        <f>X59</f>
        <v>44958</v>
      </c>
      <c r="AC59" s="5">
        <v>57578</v>
      </c>
      <c r="AD59" s="5">
        <v>76550</v>
      </c>
    </row>
    <row r="60" spans="1:33" ht="16.149999999999999" x14ac:dyDescent="0.55000000000000004">
      <c r="D60" s="1407" t="s">
        <v>94</v>
      </c>
      <c r="E60" s="1193">
        <f t="shared" ref="E60:F62" si="5">H60/10000000</f>
        <v>0.72854249999999998</v>
      </c>
      <c r="F60" s="1193">
        <f t="shared" si="5"/>
        <v>0.94647068000000012</v>
      </c>
      <c r="H60" s="598">
        <f>E152</f>
        <v>7285425</v>
      </c>
      <c r="I60" s="598">
        <f>E115</f>
        <v>9464706.8000000007</v>
      </c>
      <c r="J60" s="1320"/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33" ht="16.149999999999999" x14ac:dyDescent="0.55000000000000004">
      <c r="D61" s="1407" t="s">
        <v>502</v>
      </c>
      <c r="E61" s="1193">
        <f t="shared" si="5"/>
        <v>2.4229970999999999</v>
      </c>
      <c r="F61" s="1193">
        <f t="shared" si="5"/>
        <v>13.304672800000001</v>
      </c>
      <c r="H61" s="598">
        <f>G152</f>
        <v>24229971</v>
      </c>
      <c r="I61" s="598">
        <f>G115</f>
        <v>133046728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33" ht="16.899999999999999" thickBot="1" x14ac:dyDescent="0.6">
      <c r="D62" s="1407" t="s">
        <v>767</v>
      </c>
      <c r="E62" s="1193">
        <f t="shared" si="5"/>
        <v>42.830525100000003</v>
      </c>
      <c r="F62" s="1193">
        <f t="shared" si="5"/>
        <v>42.391166300000002</v>
      </c>
      <c r="H62" s="1496">
        <f>I152</f>
        <v>428305251</v>
      </c>
      <c r="I62" s="1496">
        <f>I115</f>
        <v>423911663</v>
      </c>
      <c r="J62" s="1215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33" ht="15.4" x14ac:dyDescent="0.4">
      <c r="E63" s="428"/>
      <c r="F63" s="428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33" ht="15.4" x14ac:dyDescent="0.4">
      <c r="E64" s="428"/>
      <c r="F64" s="428"/>
      <c r="I64" s="82">
        <f>J64/1000000</f>
        <v>0.23699999999999999</v>
      </c>
      <c r="J64" s="84">
        <f>2.37*100000</f>
        <v>237000</v>
      </c>
      <c r="K64" s="212"/>
      <c r="L64" s="1217"/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6.149999999999999" x14ac:dyDescent="0.55000000000000004">
      <c r="D65" s="1418" t="s">
        <v>768</v>
      </c>
      <c r="E65" s="1193"/>
      <c r="F65" s="1193"/>
      <c r="J65" s="755"/>
      <c r="K65" s="259"/>
      <c r="L65" s="1217"/>
      <c r="S65" s="26" t="s">
        <v>187</v>
      </c>
      <c r="T65" s="26">
        <f>SUM(T60:T64)</f>
        <v>665125</v>
      </c>
      <c r="U65" s="26">
        <f t="shared" ref="U65:AA65" si="6">SUM(U60:U64)</f>
        <v>3363834</v>
      </c>
      <c r="W65" s="9">
        <f>SUM(W60:W64)</f>
        <v>1174725</v>
      </c>
      <c r="X65" s="9">
        <f t="shared" si="6"/>
        <v>7176648</v>
      </c>
      <c r="Y65" s="26"/>
      <c r="Z65" s="9">
        <f t="shared" si="6"/>
        <v>403700</v>
      </c>
      <c r="AA65" s="9">
        <f t="shared" si="6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6.149999999999999" x14ac:dyDescent="0.55000000000000004">
      <c r="D66" s="1407" t="s">
        <v>94</v>
      </c>
      <c r="E66" s="1193">
        <f t="shared" ref="E66:F68" si="7">H66/1000000</f>
        <v>1.1900040000000001</v>
      </c>
      <c r="F66" s="1193">
        <f t="shared" si="7"/>
        <v>1.4681409999999999</v>
      </c>
      <c r="H66" s="598">
        <f>D152</f>
        <v>1190004</v>
      </c>
      <c r="I66" s="598">
        <f>D115</f>
        <v>1468141</v>
      </c>
      <c r="J66" s="323">
        <f t="shared" ref="J66:K68" si="8">H66/100000</f>
        <v>11.900040000000001</v>
      </c>
      <c r="K66" s="323">
        <f t="shared" si="8"/>
        <v>14.68141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6.149999999999999" x14ac:dyDescent="0.55000000000000004">
      <c r="D67" s="1407" t="s">
        <v>502</v>
      </c>
      <c r="E67" s="1193">
        <f t="shared" si="7"/>
        <v>0.66410899999999995</v>
      </c>
      <c r="F67" s="1193">
        <f t="shared" si="7"/>
        <v>1.3902330000000001</v>
      </c>
      <c r="H67" s="598">
        <f>F152</f>
        <v>664109</v>
      </c>
      <c r="I67" s="598">
        <f>F115</f>
        <v>1390233</v>
      </c>
      <c r="J67" s="323">
        <f t="shared" si="8"/>
        <v>6.6410900000000002</v>
      </c>
      <c r="K67" s="323">
        <f t="shared" si="8"/>
        <v>13.902329999999999</v>
      </c>
      <c r="L67" s="491">
        <f>K66/100000</f>
        <v>1.468141E-4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6.149999999999999" x14ac:dyDescent="0.55000000000000004">
      <c r="D68" s="1407" t="s">
        <v>767</v>
      </c>
      <c r="E68" s="1193">
        <f t="shared" si="7"/>
        <v>0.66281900000000005</v>
      </c>
      <c r="F68" s="1193">
        <f t="shared" si="7"/>
        <v>0.57625099999999996</v>
      </c>
      <c r="H68" s="1497">
        <f>H152</f>
        <v>662819</v>
      </c>
      <c r="I68" s="1496">
        <f>H115</f>
        <v>576251</v>
      </c>
      <c r="J68" s="323">
        <f t="shared" si="8"/>
        <v>6.62819</v>
      </c>
      <c r="K68" s="323">
        <f t="shared" si="8"/>
        <v>5.7625099999999998</v>
      </c>
      <c r="L68" s="491">
        <f>K67/100000</f>
        <v>1.3902329999999999E-4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K69" s="212"/>
      <c r="L69" s="491">
        <f>K68/100000</f>
        <v>5.7625099999999998E-5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6.149999999999999" x14ac:dyDescent="0.55000000000000004">
      <c r="D71" s="1418" t="s">
        <v>436</v>
      </c>
      <c r="E71" s="134">
        <f>H71</f>
        <v>1.1114200000000001</v>
      </c>
      <c r="F71" s="134">
        <f>I71</f>
        <v>1.2023364000000001</v>
      </c>
      <c r="H71" s="1372">
        <f>J71/10000000</f>
        <v>1.1114200000000001</v>
      </c>
      <c r="I71" s="1372">
        <f>K71/10000000</f>
        <v>1.2023364000000001</v>
      </c>
      <c r="J71" s="122">
        <v>11114200</v>
      </c>
      <c r="K71" s="122">
        <v>12023364</v>
      </c>
      <c r="L71" s="1217"/>
      <c r="N71" s="755">
        <v>6531262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1439">
        <f>66.07-3.11</f>
        <v>62.959999999999994</v>
      </c>
      <c r="D72" s="1418" t="s">
        <v>769</v>
      </c>
      <c r="E72" s="134">
        <f>J79/100</f>
        <v>1.5004</v>
      </c>
      <c r="F72" s="134">
        <f>K79/100</f>
        <v>1.3026000000000002</v>
      </c>
      <c r="H72" s="1263"/>
      <c r="I72" s="1263"/>
      <c r="J72" s="85"/>
      <c r="K72" s="134"/>
      <c r="L72" s="1217"/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4.8799999999999996E-2</v>
      </c>
      <c r="F73" s="283">
        <f>K77/100</f>
        <v>8.3499999999999991E-2</v>
      </c>
      <c r="H73" s="1263"/>
      <c r="I73" s="1263"/>
      <c r="J73" s="283"/>
      <c r="K73" s="283"/>
      <c r="L73" s="1217"/>
      <c r="U73" s="1239"/>
      <c r="AB73" s="1239"/>
    </row>
    <row r="74" spans="3:30" ht="15.4" x14ac:dyDescent="0.45">
      <c r="D74" s="1418" t="s">
        <v>196</v>
      </c>
      <c r="E74" s="134">
        <f>H74</f>
        <v>0.25853500000000001</v>
      </c>
      <c r="F74" s="134">
        <f t="shared" ref="E74:F76" si="9">I74</f>
        <v>0.23103199999999999</v>
      </c>
      <c r="H74" s="1372">
        <f>J74/10000000</f>
        <v>0.25853500000000001</v>
      </c>
      <c r="I74" s="1372">
        <f t="shared" ref="H74:I76" si="10">K74/10000000</f>
        <v>0.23103199999999999</v>
      </c>
      <c r="J74" s="598">
        <f>J152</f>
        <v>2585350</v>
      </c>
      <c r="K74" s="210">
        <f>J115</f>
        <v>2310320</v>
      </c>
      <c r="L74" s="1217"/>
      <c r="M74" s="1210"/>
      <c r="N74" s="12"/>
      <c r="X74" s="5"/>
    </row>
    <row r="75" spans="3:30" ht="16.149999999999999" x14ac:dyDescent="0.55000000000000004">
      <c r="D75" s="1418" t="s">
        <v>123</v>
      </c>
      <c r="E75" s="134">
        <f>H75</f>
        <v>2.4368303999999998</v>
      </c>
      <c r="F75" s="134">
        <f t="shared" si="9"/>
        <v>0.76195380000000001</v>
      </c>
      <c r="H75" s="1372">
        <f t="shared" si="10"/>
        <v>2.4368303999999998</v>
      </c>
      <c r="I75" s="1372">
        <f t="shared" si="10"/>
        <v>0.76195380000000001</v>
      </c>
      <c r="J75" s="210">
        <f>L152</f>
        <v>24368304</v>
      </c>
      <c r="K75" s="1498">
        <f>L115</f>
        <v>7619538</v>
      </c>
    </row>
    <row r="76" spans="3:30" ht="16.149999999999999" x14ac:dyDescent="0.55000000000000004">
      <c r="D76" s="1418" t="s">
        <v>435</v>
      </c>
      <c r="E76" s="134">
        <f t="shared" si="9"/>
        <v>2.0818986000000002</v>
      </c>
      <c r="F76" s="134">
        <f>I76</f>
        <v>2.2671956999999998</v>
      </c>
      <c r="H76" s="1372">
        <f t="shared" si="10"/>
        <v>2.0818986000000002</v>
      </c>
      <c r="I76" s="1372">
        <f t="shared" si="10"/>
        <v>2.2671956999999998</v>
      </c>
      <c r="J76" s="1498">
        <f>K152</f>
        <v>20818986</v>
      </c>
      <c r="K76" s="1499">
        <f>K115</f>
        <v>22671957</v>
      </c>
      <c r="N76" s="755"/>
    </row>
    <row r="77" spans="3:30" x14ac:dyDescent="0.4">
      <c r="H77" s="1224"/>
      <c r="I77" s="1225"/>
      <c r="J77" s="85">
        <v>4.88</v>
      </c>
      <c r="K77" s="134">
        <v>8.35</v>
      </c>
    </row>
    <row r="78" spans="3:30" x14ac:dyDescent="0.4">
      <c r="E78" s="428"/>
      <c r="F78" s="428"/>
      <c r="J78" s="85">
        <v>154.91999999999999</v>
      </c>
      <c r="K78" s="85">
        <v>138.61000000000001</v>
      </c>
      <c r="L78" s="172">
        <f>J77/100</f>
        <v>4.8799999999999996E-2</v>
      </c>
    </row>
    <row r="79" spans="3:30" x14ac:dyDescent="0.4">
      <c r="E79" s="428"/>
      <c r="F79" s="428"/>
      <c r="J79" s="85">
        <f>J78-J77</f>
        <v>150.04</v>
      </c>
      <c r="K79" s="134">
        <f>K78-K77</f>
        <v>130.26000000000002</v>
      </c>
    </row>
    <row r="80" spans="3:30" x14ac:dyDescent="0.4">
      <c r="E80" s="428"/>
      <c r="F80" s="428"/>
      <c r="L80" s="172">
        <f>J79/100</f>
        <v>1.5004</v>
      </c>
    </row>
    <row r="81" spans="3:12" x14ac:dyDescent="0.4">
      <c r="D81" s="1417" t="s">
        <v>164</v>
      </c>
      <c r="E81" s="428" t="s">
        <v>710</v>
      </c>
      <c r="F81" s="84" t="s">
        <v>164</v>
      </c>
      <c r="G81" s="428" t="s">
        <v>710</v>
      </c>
      <c r="H81" s="84" t="s">
        <v>164</v>
      </c>
      <c r="I81" s="428" t="s">
        <v>710</v>
      </c>
      <c r="J81" s="84" t="s">
        <v>196</v>
      </c>
    </row>
    <row r="82" spans="3:12" x14ac:dyDescent="0.4">
      <c r="D82" s="1417">
        <v>23</v>
      </c>
      <c r="E82" s="84">
        <v>23</v>
      </c>
      <c r="F82" s="84">
        <v>23</v>
      </c>
      <c r="G82" s="84">
        <v>23</v>
      </c>
      <c r="H82" s="84">
        <v>23</v>
      </c>
      <c r="I82" s="84">
        <v>23</v>
      </c>
      <c r="J82" s="84">
        <v>23</v>
      </c>
      <c r="K82" s="1292">
        <v>23</v>
      </c>
    </row>
    <row r="83" spans="3:12" x14ac:dyDescent="0.4">
      <c r="D83" s="2437" t="s">
        <v>795</v>
      </c>
      <c r="E83" s="2437"/>
      <c r="F83" s="2437" t="s">
        <v>796</v>
      </c>
      <c r="G83" s="2437"/>
      <c r="H83" s="2437" t="s">
        <v>797</v>
      </c>
      <c r="I83" s="2437"/>
      <c r="J83" s="5" t="s">
        <v>196</v>
      </c>
      <c r="K83" s="5" t="s">
        <v>882</v>
      </c>
      <c r="L83" s="172" t="s">
        <v>123</v>
      </c>
    </row>
    <row r="84" spans="3:12" ht="16.5" thickBot="1" x14ac:dyDescent="0.6">
      <c r="C84" s="1440">
        <v>45078</v>
      </c>
      <c r="D84" s="1449">
        <v>59687</v>
      </c>
      <c r="E84" s="476">
        <v>383094</v>
      </c>
      <c r="F84" s="7">
        <v>56132</v>
      </c>
      <c r="G84" s="7">
        <v>5303552</v>
      </c>
      <c r="H84" s="910"/>
      <c r="I84" s="755"/>
      <c r="J84" s="210">
        <v>92380</v>
      </c>
      <c r="K84" s="755"/>
      <c r="L84" s="172">
        <v>3704933</v>
      </c>
    </row>
    <row r="85" spans="3:12" x14ac:dyDescent="0.4">
      <c r="C85" s="1440">
        <v>45079</v>
      </c>
      <c r="D85" s="1451">
        <v>56275</v>
      </c>
      <c r="E85" s="476">
        <v>360546</v>
      </c>
      <c r="F85" s="7">
        <v>58042</v>
      </c>
      <c r="G85" s="7">
        <v>5715382</v>
      </c>
      <c r="H85" s="7"/>
      <c r="I85" s="210"/>
      <c r="J85" s="210">
        <v>92540</v>
      </c>
      <c r="K85" s="85"/>
      <c r="L85" s="1297"/>
    </row>
    <row r="86" spans="3:12" x14ac:dyDescent="0.4">
      <c r="C86" s="1440">
        <v>45080</v>
      </c>
      <c r="D86" s="1451">
        <v>47660</v>
      </c>
      <c r="E86" s="476">
        <v>349644</v>
      </c>
      <c r="F86" s="7">
        <v>55799</v>
      </c>
      <c r="G86" s="7">
        <v>5458400</v>
      </c>
      <c r="H86" s="7"/>
      <c r="I86" s="210"/>
      <c r="J86" s="210">
        <v>104480</v>
      </c>
      <c r="K86" s="85"/>
      <c r="L86" s="1297">
        <v>86745</v>
      </c>
    </row>
    <row r="87" spans="3:12" x14ac:dyDescent="0.4">
      <c r="C87" s="1440">
        <v>45081</v>
      </c>
      <c r="D87" s="1451">
        <v>47132</v>
      </c>
      <c r="E87" s="476">
        <v>374225</v>
      </c>
      <c r="F87" s="7">
        <v>55724</v>
      </c>
      <c r="G87" s="7">
        <v>5663065</v>
      </c>
      <c r="H87" s="7"/>
      <c r="I87" s="210"/>
      <c r="J87" s="210">
        <v>108930</v>
      </c>
      <c r="K87" s="85"/>
      <c r="L87" s="1297"/>
    </row>
    <row r="88" spans="3:12" x14ac:dyDescent="0.4">
      <c r="C88" s="1440">
        <v>45082</v>
      </c>
      <c r="D88" s="1451">
        <v>79748</v>
      </c>
      <c r="E88" s="476">
        <v>469701</v>
      </c>
      <c r="F88" s="7">
        <v>69910</v>
      </c>
      <c r="G88" s="7">
        <v>5322447</v>
      </c>
      <c r="H88" s="7"/>
      <c r="I88" s="210"/>
      <c r="J88" s="210">
        <v>102440</v>
      </c>
      <c r="K88" s="85"/>
      <c r="L88" s="1297"/>
    </row>
    <row r="89" spans="3:12" x14ac:dyDescent="0.4">
      <c r="C89" s="1440">
        <v>45083</v>
      </c>
      <c r="D89" s="1451">
        <v>64939</v>
      </c>
      <c r="E89" s="476">
        <v>396998</v>
      </c>
      <c r="F89" s="6">
        <v>59969</v>
      </c>
      <c r="G89" s="6">
        <v>5212691</v>
      </c>
      <c r="H89" s="31"/>
      <c r="I89" s="79"/>
      <c r="J89" s="85">
        <v>96030</v>
      </c>
      <c r="K89" s="85"/>
      <c r="L89" s="1297"/>
    </row>
    <row r="90" spans="3:12" x14ac:dyDescent="0.4">
      <c r="C90" s="1440">
        <v>45084</v>
      </c>
      <c r="D90" s="1451">
        <v>56607</v>
      </c>
      <c r="E90" s="476">
        <v>376916</v>
      </c>
      <c r="F90" s="6">
        <v>50891</v>
      </c>
      <c r="G90" s="6">
        <v>4834317</v>
      </c>
      <c r="H90" s="1461"/>
      <c r="I90" s="1460"/>
      <c r="J90" s="85">
        <v>94890</v>
      </c>
      <c r="K90" s="85"/>
      <c r="L90" s="1297"/>
    </row>
    <row r="91" spans="3:12" x14ac:dyDescent="0.4">
      <c r="C91" s="1440">
        <v>45085</v>
      </c>
      <c r="D91" s="1451">
        <v>60856</v>
      </c>
      <c r="E91" s="476">
        <v>376649</v>
      </c>
      <c r="F91" s="6">
        <v>54681</v>
      </c>
      <c r="G91" s="6">
        <v>4699960</v>
      </c>
      <c r="H91" s="31"/>
      <c r="I91" s="79"/>
      <c r="J91" s="85">
        <v>91910</v>
      </c>
      <c r="K91" s="85"/>
      <c r="L91" s="1297"/>
    </row>
    <row r="92" spans="3:12" x14ac:dyDescent="0.4">
      <c r="C92" s="1440">
        <v>45086</v>
      </c>
      <c r="D92" s="1451">
        <v>54734</v>
      </c>
      <c r="E92" s="476">
        <v>358465</v>
      </c>
      <c r="F92" s="6">
        <v>55597</v>
      </c>
      <c r="G92" s="6">
        <v>5349507</v>
      </c>
      <c r="H92" s="31"/>
      <c r="I92" s="79"/>
      <c r="J92" s="85">
        <v>88910</v>
      </c>
      <c r="K92" s="85"/>
      <c r="L92" s="1297"/>
    </row>
    <row r="93" spans="3:12" ht="15.75" x14ac:dyDescent="0.4">
      <c r="C93" s="1440">
        <v>45087</v>
      </c>
      <c r="D93" s="1451">
        <v>51579</v>
      </c>
      <c r="E93" s="476">
        <v>385093</v>
      </c>
      <c r="F93" s="6">
        <v>57897</v>
      </c>
      <c r="G93" s="6">
        <v>5922980</v>
      </c>
      <c r="H93" s="1453"/>
      <c r="I93" s="1453"/>
      <c r="J93" s="85">
        <v>110670</v>
      </c>
      <c r="K93" s="1453"/>
      <c r="L93" s="1297"/>
    </row>
    <row r="94" spans="3:12" ht="16.5" thickBot="1" x14ac:dyDescent="0.6">
      <c r="C94" s="1440">
        <v>45088</v>
      </c>
      <c r="D94" s="1451">
        <v>55236</v>
      </c>
      <c r="E94" s="476">
        <v>433432</v>
      </c>
      <c r="F94" s="6">
        <v>63958</v>
      </c>
      <c r="G94" s="6">
        <v>6722327</v>
      </c>
      <c r="H94" s="824"/>
      <c r="I94" s="755"/>
      <c r="J94" s="85">
        <v>114530</v>
      </c>
      <c r="K94" s="755"/>
      <c r="L94" s="1297"/>
    </row>
    <row r="95" spans="3:12" ht="15.75" x14ac:dyDescent="0.4">
      <c r="C95" s="1440">
        <v>45089</v>
      </c>
      <c r="D95" s="1451">
        <v>98535</v>
      </c>
      <c r="E95" s="476">
        <v>587975.80000000005</v>
      </c>
      <c r="F95" s="6">
        <v>74392</v>
      </c>
      <c r="G95" s="6">
        <v>5443157</v>
      </c>
      <c r="H95" s="1255"/>
      <c r="I95" s="1453"/>
      <c r="J95" s="85">
        <v>88820</v>
      </c>
      <c r="K95" s="85"/>
      <c r="L95" s="1297">
        <v>3654370</v>
      </c>
    </row>
    <row r="96" spans="3:12" x14ac:dyDescent="0.4">
      <c r="C96" s="1440">
        <v>45090</v>
      </c>
      <c r="D96" s="1451">
        <v>73401</v>
      </c>
      <c r="E96" s="476">
        <v>432895</v>
      </c>
      <c r="F96" s="6">
        <v>65454</v>
      </c>
      <c r="G96" s="6">
        <v>5910533</v>
      </c>
      <c r="H96" s="31"/>
      <c r="I96" s="79"/>
      <c r="J96" s="85">
        <v>96040</v>
      </c>
      <c r="K96" s="85"/>
      <c r="L96" s="1297"/>
    </row>
    <row r="97" spans="3:12" ht="16.5" thickBot="1" x14ac:dyDescent="0.6">
      <c r="C97" s="1440">
        <v>45091</v>
      </c>
      <c r="D97" s="1451">
        <v>72270</v>
      </c>
      <c r="E97" s="476">
        <v>418254</v>
      </c>
      <c r="F97" s="6">
        <v>61002</v>
      </c>
      <c r="G97" s="6">
        <v>5811502</v>
      </c>
      <c r="H97" s="1131"/>
      <c r="I97" s="1131"/>
      <c r="J97" s="85">
        <v>99090</v>
      </c>
      <c r="K97" s="824"/>
      <c r="L97" s="1297"/>
    </row>
    <row r="98" spans="3:12" x14ac:dyDescent="0.4">
      <c r="C98" s="1440">
        <v>45092</v>
      </c>
      <c r="D98" s="1451">
        <v>76341</v>
      </c>
      <c r="E98" s="476">
        <v>439207</v>
      </c>
      <c r="F98" s="6">
        <v>59731</v>
      </c>
      <c r="G98" s="6">
        <v>5325642</v>
      </c>
      <c r="H98" s="31"/>
      <c r="I98" s="79"/>
      <c r="J98" s="85">
        <v>93970</v>
      </c>
      <c r="K98" s="85"/>
      <c r="L98" s="1297"/>
    </row>
    <row r="99" spans="3:12" ht="16.149999999999999" x14ac:dyDescent="0.55000000000000004">
      <c r="C99" s="1440">
        <v>45093</v>
      </c>
      <c r="D99" s="1451">
        <v>59159</v>
      </c>
      <c r="E99" s="476">
        <v>377859</v>
      </c>
      <c r="F99" s="6">
        <v>57918</v>
      </c>
      <c r="G99" s="6">
        <v>5566334</v>
      </c>
      <c r="H99" s="828"/>
      <c r="I99" s="1453"/>
      <c r="J99" s="85">
        <v>88720</v>
      </c>
      <c r="K99" s="85"/>
      <c r="L99" s="1297">
        <v>86745</v>
      </c>
    </row>
    <row r="100" spans="3:12" x14ac:dyDescent="0.4">
      <c r="C100" s="1440">
        <v>45094</v>
      </c>
      <c r="D100" s="1451">
        <v>54506</v>
      </c>
      <c r="E100" s="476">
        <v>383536</v>
      </c>
      <c r="F100" s="6">
        <v>58357</v>
      </c>
      <c r="G100" s="6">
        <v>5780703</v>
      </c>
      <c r="H100" s="31"/>
      <c r="I100" s="79"/>
      <c r="J100" s="85">
        <v>99540</v>
      </c>
      <c r="K100" s="85"/>
      <c r="L100" s="1297">
        <v>86745</v>
      </c>
    </row>
    <row r="101" spans="3:12" ht="16.5" thickBot="1" x14ac:dyDescent="0.6">
      <c r="C101" s="1440">
        <v>45095</v>
      </c>
      <c r="D101" s="1451">
        <v>50470</v>
      </c>
      <c r="E101" s="476">
        <v>401149</v>
      </c>
      <c r="F101" s="6">
        <v>61755</v>
      </c>
      <c r="G101" s="6">
        <v>6950274</v>
      </c>
      <c r="H101" s="824">
        <v>576251</v>
      </c>
      <c r="I101" s="755">
        <v>423911663</v>
      </c>
      <c r="J101" s="85">
        <v>115770</v>
      </c>
      <c r="K101" s="755">
        <v>22671957</v>
      </c>
      <c r="L101" s="1297"/>
    </row>
    <row r="102" spans="3:12" x14ac:dyDescent="0.4">
      <c r="C102" s="1440">
        <v>45096</v>
      </c>
      <c r="D102" s="234">
        <v>84172</v>
      </c>
      <c r="E102" s="476">
        <v>465182</v>
      </c>
      <c r="F102" s="6">
        <v>70937</v>
      </c>
      <c r="G102" s="6">
        <v>5662250</v>
      </c>
      <c r="H102" s="31"/>
      <c r="I102" s="79"/>
      <c r="J102" s="85">
        <v>95620</v>
      </c>
      <c r="K102" s="85"/>
      <c r="L102" s="1297"/>
    </row>
    <row r="103" spans="3:12" ht="16.149999999999999" x14ac:dyDescent="0.55000000000000004">
      <c r="C103" s="1440">
        <v>45097</v>
      </c>
      <c r="D103" s="1451">
        <v>63669</v>
      </c>
      <c r="E103" s="476">
        <v>370609</v>
      </c>
      <c r="F103" s="6">
        <v>56520</v>
      </c>
      <c r="G103" s="6">
        <v>5935632</v>
      </c>
      <c r="H103" s="828"/>
      <c r="I103" s="828"/>
      <c r="J103" s="85">
        <v>94630</v>
      </c>
      <c r="K103" s="828"/>
      <c r="L103" s="1297"/>
    </row>
    <row r="104" spans="3:12" ht="16.5" thickBot="1" x14ac:dyDescent="0.6">
      <c r="C104" s="1440">
        <v>45098</v>
      </c>
      <c r="D104" s="1478">
        <v>53920</v>
      </c>
      <c r="E104" s="1479">
        <v>335177</v>
      </c>
      <c r="F104" s="32">
        <v>49299</v>
      </c>
      <c r="G104" s="32">
        <v>5278810</v>
      </c>
      <c r="H104" s="824"/>
      <c r="I104" s="755"/>
      <c r="J104" s="85">
        <v>90420</v>
      </c>
      <c r="K104" s="755"/>
      <c r="L104" s="1297"/>
    </row>
    <row r="105" spans="3:12" x14ac:dyDescent="0.4">
      <c r="C105" s="1440">
        <v>45099</v>
      </c>
      <c r="D105" s="1451">
        <v>53512</v>
      </c>
      <c r="E105" s="476">
        <v>334409</v>
      </c>
      <c r="F105" s="6">
        <v>41969</v>
      </c>
      <c r="G105" s="6">
        <v>4425988</v>
      </c>
      <c r="H105" s="31"/>
      <c r="I105" s="79"/>
      <c r="J105" s="85">
        <v>76860</v>
      </c>
      <c r="K105" s="85"/>
      <c r="L105" s="1297"/>
    </row>
    <row r="106" spans="3:12" x14ac:dyDescent="0.4">
      <c r="C106" s="1440">
        <v>45100</v>
      </c>
      <c r="D106" s="1451">
        <v>46990</v>
      </c>
      <c r="E106" s="476">
        <v>312027</v>
      </c>
      <c r="F106" s="476">
        <v>46752</v>
      </c>
      <c r="G106" s="6">
        <v>5235830</v>
      </c>
      <c r="H106" s="31"/>
      <c r="I106" s="79"/>
      <c r="J106" s="85">
        <v>81970</v>
      </c>
      <c r="K106" s="85"/>
      <c r="L106" s="1297"/>
    </row>
    <row r="107" spans="3:12" x14ac:dyDescent="0.4">
      <c r="C107" s="1440">
        <v>45101</v>
      </c>
      <c r="D107" s="1452">
        <v>46743</v>
      </c>
      <c r="E107" s="476">
        <v>341664</v>
      </c>
      <c r="F107" s="6">
        <v>47547</v>
      </c>
      <c r="G107" s="6">
        <v>5515445</v>
      </c>
      <c r="H107" s="31"/>
      <c r="I107" s="79"/>
      <c r="J107" s="85">
        <v>91160</v>
      </c>
      <c r="K107" s="85"/>
      <c r="L107" s="1297"/>
    </row>
    <row r="108" spans="3:12" x14ac:dyDescent="0.4">
      <c r="C108" s="1440">
        <v>45102</v>
      </c>
      <c r="D108" s="1454"/>
      <c r="E108" s="1243"/>
      <c r="F108" s="1243"/>
      <c r="G108" s="1243"/>
      <c r="H108" s="1243"/>
      <c r="I108" s="1243"/>
      <c r="J108" s="1243"/>
      <c r="K108" s="1243"/>
      <c r="L108" s="1297"/>
    </row>
    <row r="109" spans="3:12" x14ac:dyDescent="0.4">
      <c r="C109" s="1440">
        <v>45103</v>
      </c>
      <c r="D109" s="1407"/>
      <c r="E109" s="476"/>
      <c r="F109" s="6"/>
      <c r="G109" s="6"/>
      <c r="H109" s="31"/>
      <c r="I109" s="79"/>
      <c r="J109" s="85"/>
      <c r="K109" s="85"/>
      <c r="L109" s="1297"/>
    </row>
    <row r="110" spans="3:12" x14ac:dyDescent="0.4">
      <c r="C110" s="1440">
        <v>45104</v>
      </c>
      <c r="D110" s="1407"/>
      <c r="E110" s="476"/>
      <c r="F110" s="6"/>
      <c r="G110" s="6"/>
      <c r="H110" s="31"/>
      <c r="I110" s="79"/>
      <c r="J110" s="85"/>
      <c r="K110" s="85"/>
      <c r="L110" s="1297"/>
    </row>
    <row r="111" spans="3:12" ht="16.5" thickBot="1" x14ac:dyDescent="0.6">
      <c r="C111" s="1440">
        <v>45105</v>
      </c>
      <c r="D111" s="1407"/>
      <c r="E111" s="476"/>
      <c r="F111" s="6"/>
      <c r="G111" s="6"/>
      <c r="H111" s="824"/>
      <c r="I111" s="910"/>
      <c r="J111" s="85"/>
      <c r="K111" s="755"/>
      <c r="L111" s="1297"/>
    </row>
    <row r="112" spans="3:12" x14ac:dyDescent="0.4">
      <c r="C112" s="1440">
        <v>45106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34" x14ac:dyDescent="0.4">
      <c r="C113" s="1440">
        <v>45107</v>
      </c>
      <c r="D113" s="1407"/>
      <c r="E113" s="476"/>
      <c r="F113" s="6"/>
      <c r="G113" s="6"/>
      <c r="H113" s="31"/>
      <c r="I113" s="79"/>
      <c r="J113" s="85"/>
      <c r="K113" s="85"/>
      <c r="L113" s="1297"/>
    </row>
    <row r="114" spans="1:34" x14ac:dyDescent="0.4">
      <c r="C114" s="1440"/>
      <c r="D114" s="1455"/>
      <c r="E114" s="277"/>
      <c r="F114" s="44"/>
      <c r="G114" s="44"/>
      <c r="H114" s="1456"/>
      <c r="I114" s="278"/>
      <c r="J114" s="1448"/>
      <c r="K114" s="1448"/>
      <c r="L114" s="1297"/>
    </row>
    <row r="115" spans="1:34" x14ac:dyDescent="0.4">
      <c r="C115" s="1457" t="s">
        <v>548</v>
      </c>
      <c r="D115" s="1462">
        <f>SUM(D84:D114)</f>
        <v>1468141</v>
      </c>
      <c r="E115" s="1481">
        <f>SUM(E84:E114)</f>
        <v>9464706.8000000007</v>
      </c>
      <c r="F115" s="1462">
        <f t="shared" ref="F115:I115" si="11">SUM(F84:F114)</f>
        <v>1390233</v>
      </c>
      <c r="G115" s="1462">
        <f t="shared" si="11"/>
        <v>133046728</v>
      </c>
      <c r="H115" s="1462">
        <f>SUM(H84:H114)</f>
        <v>576251</v>
      </c>
      <c r="I115" s="1462">
        <f t="shared" si="11"/>
        <v>423911663</v>
      </c>
      <c r="J115" s="1462">
        <f>SUM(J84:J114)</f>
        <v>2310320</v>
      </c>
      <c r="K115" s="1462">
        <f>SUM(K84:K114)</f>
        <v>22671957</v>
      </c>
      <c r="L115" s="1462">
        <f>SUM(L84:L114)</f>
        <v>7619538</v>
      </c>
    </row>
    <row r="117" spans="1:34" x14ac:dyDescent="0.4">
      <c r="L117" s="1297"/>
    </row>
    <row r="118" spans="1:34" s="172" customFormat="1" x14ac:dyDescent="0.4">
      <c r="A118" s="1235"/>
      <c r="B118" s="300"/>
      <c r="C118" s="1457"/>
      <c r="D118" s="1407" t="s">
        <v>164</v>
      </c>
      <c r="E118" s="264" t="s">
        <v>710</v>
      </c>
      <c r="F118" s="85" t="s">
        <v>164</v>
      </c>
      <c r="G118" s="264" t="s">
        <v>710</v>
      </c>
      <c r="H118" s="85" t="s">
        <v>164</v>
      </c>
      <c r="I118" s="264" t="s">
        <v>710</v>
      </c>
      <c r="J118" s="85" t="s">
        <v>196</v>
      </c>
      <c r="K118" s="1488"/>
      <c r="L118" s="1297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 s="172" customFormat="1" x14ac:dyDescent="0.4">
      <c r="A119" s="1235"/>
      <c r="B119" s="300"/>
      <c r="C119" s="1457"/>
      <c r="D119" s="1407">
        <v>22</v>
      </c>
      <c r="E119" s="85">
        <v>22</v>
      </c>
      <c r="F119" s="85">
        <v>22</v>
      </c>
      <c r="G119" s="85">
        <v>22</v>
      </c>
      <c r="H119" s="85">
        <v>22</v>
      </c>
      <c r="I119" s="85">
        <v>22</v>
      </c>
      <c r="J119" s="85">
        <v>22</v>
      </c>
      <c r="K119" s="1489">
        <v>22</v>
      </c>
      <c r="L119" s="1297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 s="172" customFormat="1" x14ac:dyDescent="0.4">
      <c r="A120" s="1235"/>
      <c r="B120" s="300"/>
      <c r="C120" s="1457"/>
      <c r="D120" s="1934" t="s">
        <v>795</v>
      </c>
      <c r="E120" s="1934"/>
      <c r="F120" s="1934" t="s">
        <v>796</v>
      </c>
      <c r="G120" s="1934"/>
      <c r="H120" s="1934" t="s">
        <v>797</v>
      </c>
      <c r="I120" s="1934"/>
      <c r="J120" s="6" t="s">
        <v>196</v>
      </c>
      <c r="K120" s="1490" t="s">
        <v>435</v>
      </c>
      <c r="L120" s="1297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 s="172" customFormat="1" ht="16.5" thickBot="1" x14ac:dyDescent="0.6">
      <c r="A121" s="1235"/>
      <c r="B121" s="300"/>
      <c r="C121" s="1458">
        <v>44713</v>
      </c>
      <c r="D121" s="1449">
        <v>52865</v>
      </c>
      <c r="E121" s="476">
        <v>303706</v>
      </c>
      <c r="F121" s="6">
        <v>33775</v>
      </c>
      <c r="G121" s="6">
        <v>1030190</v>
      </c>
      <c r="H121" s="755"/>
      <c r="I121" s="755"/>
      <c r="J121" s="85">
        <v>103110</v>
      </c>
      <c r="K121" s="824"/>
      <c r="L121" s="1297"/>
      <c r="M121" s="1209"/>
      <c r="N121" s="5"/>
      <c r="O121" s="5"/>
      <c r="P121" s="5"/>
      <c r="Q121" s="5"/>
      <c r="R121" s="5"/>
      <c r="S121" s="5"/>
      <c r="T121" s="5"/>
      <c r="U121" s="5"/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 s="172" customFormat="1" x14ac:dyDescent="0.4">
      <c r="A122" s="1235"/>
      <c r="B122" s="300"/>
      <c r="C122" s="1458">
        <v>44714</v>
      </c>
      <c r="D122" s="1451">
        <v>50098</v>
      </c>
      <c r="E122" s="476">
        <v>298431</v>
      </c>
      <c r="F122" s="6">
        <v>31762</v>
      </c>
      <c r="G122" s="6">
        <v>956952</v>
      </c>
      <c r="H122" s="31"/>
      <c r="I122" s="79"/>
      <c r="J122" s="85">
        <v>109770</v>
      </c>
      <c r="K122" s="1488"/>
      <c r="L122" s="1297"/>
      <c r="M122" s="1209"/>
      <c r="N122" s="5"/>
      <c r="O122" s="5"/>
      <c r="P122" s="5"/>
      <c r="Q122" s="5"/>
      <c r="R122" s="5"/>
      <c r="S122" s="5"/>
      <c r="T122" s="5"/>
      <c r="U122" s="5"/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 s="172" customFormat="1" x14ac:dyDescent="0.4">
      <c r="A123" s="1235"/>
      <c r="B123" s="300"/>
      <c r="C123" s="1458">
        <v>44715</v>
      </c>
      <c r="D123" s="1451">
        <v>44546</v>
      </c>
      <c r="E123" s="476">
        <v>266899</v>
      </c>
      <c r="F123" s="6">
        <v>27607</v>
      </c>
      <c r="G123" s="6">
        <v>911955</v>
      </c>
      <c r="H123" s="31"/>
      <c r="I123" s="79"/>
      <c r="J123" s="85">
        <v>100690</v>
      </c>
      <c r="K123" s="1488"/>
      <c r="L123" s="1297">
        <v>4967585</v>
      </c>
      <c r="M123" s="1209"/>
      <c r="N123" s="5"/>
      <c r="O123" s="5"/>
      <c r="P123" s="5"/>
      <c r="Q123" s="5"/>
      <c r="R123" s="5"/>
      <c r="S123" s="5"/>
      <c r="T123" s="5"/>
      <c r="U123" s="5"/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 s="172" customFormat="1" x14ac:dyDescent="0.4">
      <c r="A124" s="1235"/>
      <c r="B124" s="300"/>
      <c r="C124" s="1458">
        <v>44716</v>
      </c>
      <c r="D124" s="1451">
        <v>41612</v>
      </c>
      <c r="E124" s="476">
        <v>289094</v>
      </c>
      <c r="F124" s="6">
        <v>25292</v>
      </c>
      <c r="G124" s="6">
        <v>1061830</v>
      </c>
      <c r="H124" s="31"/>
      <c r="I124" s="79"/>
      <c r="J124" s="85">
        <v>111810</v>
      </c>
      <c r="K124" s="1488"/>
      <c r="L124" s="1297"/>
      <c r="M124" s="1209"/>
      <c r="N124" s="5"/>
      <c r="O124" s="5"/>
      <c r="P124" s="5"/>
      <c r="Q124" s="5"/>
      <c r="R124" s="5"/>
      <c r="S124" s="5"/>
      <c r="T124" s="5"/>
      <c r="U124" s="5"/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 s="172" customFormat="1" x14ac:dyDescent="0.4">
      <c r="A125" s="1235"/>
      <c r="B125" s="300"/>
      <c r="C125" s="1458">
        <v>44717</v>
      </c>
      <c r="D125" s="1451">
        <v>36225</v>
      </c>
      <c r="E125" s="476">
        <v>286789</v>
      </c>
      <c r="F125" s="6">
        <v>27606</v>
      </c>
      <c r="G125" s="6">
        <v>1293510</v>
      </c>
      <c r="H125" s="31"/>
      <c r="I125" s="79"/>
      <c r="J125" s="85">
        <v>127910</v>
      </c>
      <c r="K125" s="1488"/>
      <c r="L125" s="1297"/>
      <c r="M125" s="1209"/>
      <c r="N125" s="5"/>
      <c r="O125" s="5"/>
      <c r="P125" s="5"/>
      <c r="Q125" s="5"/>
      <c r="R125" s="5"/>
      <c r="S125" s="5"/>
      <c r="T125" s="5"/>
      <c r="U125" s="5"/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 s="172" customFormat="1" x14ac:dyDescent="0.4">
      <c r="A126" s="1235"/>
      <c r="B126" s="300"/>
      <c r="C126" s="1458">
        <v>44718</v>
      </c>
      <c r="D126" s="1451">
        <v>74608</v>
      </c>
      <c r="E126" s="476">
        <v>394114</v>
      </c>
      <c r="F126" s="6">
        <v>40220</v>
      </c>
      <c r="G126" s="6">
        <v>1136174</v>
      </c>
      <c r="H126" s="31"/>
      <c r="I126" s="79"/>
      <c r="J126" s="85">
        <v>110650</v>
      </c>
      <c r="K126" s="1488"/>
      <c r="L126" s="1297"/>
      <c r="M126" s="1209"/>
      <c r="N126" s="5"/>
      <c r="O126" s="5"/>
      <c r="P126" s="5"/>
      <c r="Q126" s="5"/>
      <c r="R126" s="5"/>
      <c r="S126" s="5"/>
      <c r="T126" s="5"/>
      <c r="U126" s="5"/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 s="172" customFormat="1" ht="16.149999999999999" thickBot="1" x14ac:dyDescent="0.55000000000000004">
      <c r="A127" s="1235"/>
      <c r="B127" s="300"/>
      <c r="C127" s="1458">
        <v>44719</v>
      </c>
      <c r="D127" s="1451">
        <v>54204</v>
      </c>
      <c r="E127" s="476">
        <v>297025</v>
      </c>
      <c r="F127" s="6">
        <v>32554</v>
      </c>
      <c r="G127" s="6">
        <v>946131</v>
      </c>
      <c r="H127" s="7"/>
      <c r="I127" s="1319"/>
      <c r="J127" s="85">
        <v>105230</v>
      </c>
      <c r="K127" s="1491"/>
      <c r="L127" s="1297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 s="172" customFormat="1" x14ac:dyDescent="0.4">
      <c r="A128" s="1235"/>
      <c r="B128" s="300"/>
      <c r="C128" s="1458">
        <v>44720</v>
      </c>
      <c r="D128" s="1451">
        <v>49356</v>
      </c>
      <c r="E128" s="476">
        <v>280719</v>
      </c>
      <c r="F128" s="6">
        <v>27316</v>
      </c>
      <c r="G128" s="6">
        <v>1047648</v>
      </c>
      <c r="H128" s="31"/>
      <c r="I128" s="79"/>
      <c r="J128" s="85">
        <v>103650</v>
      </c>
      <c r="K128" s="1488"/>
      <c r="L128" s="1297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458">
        <v>44721</v>
      </c>
      <c r="D129" s="1451">
        <v>50934</v>
      </c>
      <c r="E129" s="476">
        <v>293466</v>
      </c>
      <c r="F129" s="6">
        <v>25433</v>
      </c>
      <c r="G129" s="6">
        <v>877005</v>
      </c>
      <c r="H129" s="31"/>
      <c r="I129" s="79"/>
      <c r="J129" s="85">
        <v>103640</v>
      </c>
      <c r="K129" s="1488"/>
      <c r="L129" s="1297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5.75" x14ac:dyDescent="0.5">
      <c r="A130" s="1235"/>
      <c r="B130" s="300"/>
      <c r="C130" s="1458">
        <v>44722</v>
      </c>
      <c r="D130" s="1451">
        <v>44764</v>
      </c>
      <c r="E130" s="476">
        <v>265055</v>
      </c>
      <c r="F130" s="6">
        <v>23750</v>
      </c>
      <c r="G130" s="6">
        <v>894092</v>
      </c>
      <c r="H130" s="31"/>
      <c r="I130" s="1459"/>
      <c r="J130" s="85">
        <v>94190</v>
      </c>
      <c r="K130" s="1488"/>
      <c r="L130" s="1297">
        <v>8711585</v>
      </c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6.5" thickBot="1" x14ac:dyDescent="0.6">
      <c r="A131" s="1235"/>
      <c r="B131" s="300"/>
      <c r="C131" s="1458">
        <v>44723</v>
      </c>
      <c r="D131" s="1451">
        <v>39904</v>
      </c>
      <c r="E131" s="476">
        <v>290331</v>
      </c>
      <c r="F131" s="6">
        <v>22950</v>
      </c>
      <c r="G131" s="6">
        <v>1043707</v>
      </c>
      <c r="H131" s="755"/>
      <c r="I131" s="824"/>
      <c r="J131" s="85">
        <v>116220</v>
      </c>
      <c r="K131" s="755"/>
      <c r="L131" s="1297"/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6.149999999999999" x14ac:dyDescent="0.55000000000000004">
      <c r="A132" s="1235"/>
      <c r="B132" s="300"/>
      <c r="C132" s="1458">
        <v>44724</v>
      </c>
      <c r="D132" s="1451">
        <v>39636</v>
      </c>
      <c r="E132" s="476">
        <v>313827</v>
      </c>
      <c r="F132" s="6">
        <v>23985</v>
      </c>
      <c r="G132" s="6">
        <v>1234523</v>
      </c>
      <c r="H132" s="828"/>
      <c r="I132" s="828"/>
      <c r="J132" s="85">
        <v>131930</v>
      </c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x14ac:dyDescent="0.4">
      <c r="A133" s="1235"/>
      <c r="B133" s="300"/>
      <c r="C133" s="1458">
        <v>44725</v>
      </c>
      <c r="D133" s="1451">
        <v>74521</v>
      </c>
      <c r="E133" s="476">
        <v>406259</v>
      </c>
      <c r="F133" s="6">
        <v>39786</v>
      </c>
      <c r="G133" s="6">
        <v>1093025</v>
      </c>
      <c r="H133" s="31"/>
      <c r="I133" s="79"/>
      <c r="J133" s="85">
        <v>107810</v>
      </c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6.149999999999999" x14ac:dyDescent="0.55000000000000004">
      <c r="A134" s="1235"/>
      <c r="B134" s="300"/>
      <c r="C134" s="1458">
        <v>44726</v>
      </c>
      <c r="D134" s="1452">
        <v>45953</v>
      </c>
      <c r="E134" s="476">
        <v>260607</v>
      </c>
      <c r="F134" s="6">
        <v>24704</v>
      </c>
      <c r="G134" s="6">
        <v>788766</v>
      </c>
      <c r="H134" s="828"/>
      <c r="I134" s="1255"/>
      <c r="J134" s="85">
        <v>99460</v>
      </c>
      <c r="K134" s="1492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x14ac:dyDescent="0.4">
      <c r="A135" s="1235"/>
      <c r="B135" s="300"/>
      <c r="C135" s="1458">
        <v>44727</v>
      </c>
      <c r="D135" s="1452">
        <v>46902</v>
      </c>
      <c r="E135" s="476">
        <v>264989</v>
      </c>
      <c r="F135" s="6">
        <v>22150</v>
      </c>
      <c r="G135" s="6">
        <v>791703</v>
      </c>
      <c r="H135" s="31"/>
      <c r="I135" s="79"/>
      <c r="J135" s="85">
        <v>101880</v>
      </c>
      <c r="K135" s="1488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6.149999999999999" x14ac:dyDescent="0.55000000000000004">
      <c r="A136" s="1235"/>
      <c r="B136" s="300"/>
      <c r="C136" s="1458">
        <v>44728</v>
      </c>
      <c r="D136" s="1452">
        <v>47771</v>
      </c>
      <c r="E136" s="476">
        <v>277237</v>
      </c>
      <c r="F136" s="6">
        <v>23041</v>
      </c>
      <c r="G136" s="6">
        <v>880500</v>
      </c>
      <c r="H136" s="828"/>
      <c r="I136" s="828"/>
      <c r="J136" s="85">
        <v>101080</v>
      </c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458">
        <v>44729</v>
      </c>
      <c r="D137" s="1452">
        <v>40921</v>
      </c>
      <c r="E137" s="476">
        <v>246526</v>
      </c>
      <c r="F137" s="6">
        <v>22150</v>
      </c>
      <c r="G137" s="6">
        <v>897871</v>
      </c>
      <c r="H137" s="31"/>
      <c r="I137" s="79"/>
      <c r="J137" s="85">
        <v>89220</v>
      </c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6.5" thickBot="1" x14ac:dyDescent="0.6">
      <c r="A138" s="1235"/>
      <c r="B138" s="300"/>
      <c r="C138" s="1458">
        <v>44730</v>
      </c>
      <c r="D138" s="1452">
        <v>38982</v>
      </c>
      <c r="E138" s="476">
        <v>270143</v>
      </c>
      <c r="F138" s="6">
        <v>22016</v>
      </c>
      <c r="G138" s="6">
        <v>932135</v>
      </c>
      <c r="H138" s="824">
        <v>662819</v>
      </c>
      <c r="I138" s="755">
        <v>428305251</v>
      </c>
      <c r="J138" s="85">
        <v>108370</v>
      </c>
      <c r="K138" s="755">
        <v>20818986</v>
      </c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x14ac:dyDescent="0.4">
      <c r="A139" s="1235"/>
      <c r="B139" s="300"/>
      <c r="C139" s="1458">
        <v>44731</v>
      </c>
      <c r="D139" s="1452">
        <v>35588</v>
      </c>
      <c r="E139" s="476">
        <v>284419</v>
      </c>
      <c r="F139" s="6">
        <v>22394</v>
      </c>
      <c r="G139" s="6">
        <v>1122006</v>
      </c>
      <c r="H139" s="31"/>
      <c r="I139" s="79"/>
      <c r="J139" s="85">
        <v>113320</v>
      </c>
      <c r="K139" s="1488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x14ac:dyDescent="0.4">
      <c r="A140" s="1235"/>
      <c r="B140" s="300"/>
      <c r="C140" s="1458">
        <v>44732</v>
      </c>
      <c r="D140" s="1451">
        <v>62531</v>
      </c>
      <c r="E140" s="210">
        <v>342915</v>
      </c>
      <c r="F140" s="7">
        <v>33114</v>
      </c>
      <c r="G140" s="7">
        <v>1057150</v>
      </c>
      <c r="H140" s="210"/>
      <c r="I140" s="1243"/>
      <c r="J140" s="210">
        <v>100360</v>
      </c>
      <c r="K140" s="1488"/>
      <c r="L140" s="1488">
        <v>5721549</v>
      </c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6.149999999999999" x14ac:dyDescent="0.55000000000000004">
      <c r="A141" s="1235"/>
      <c r="B141" s="300"/>
      <c r="C141" s="1458">
        <v>44733</v>
      </c>
      <c r="D141" s="1407">
        <v>48797</v>
      </c>
      <c r="E141" s="33">
        <v>281417</v>
      </c>
      <c r="F141" s="6">
        <v>23860</v>
      </c>
      <c r="G141" s="6">
        <v>780140</v>
      </c>
      <c r="H141" s="828"/>
      <c r="I141" s="1255"/>
      <c r="J141" s="85">
        <v>90470</v>
      </c>
      <c r="K141" s="1493"/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6.149999999999999" x14ac:dyDescent="0.55000000000000004">
      <c r="A142" s="1235"/>
      <c r="B142" s="300"/>
      <c r="C142" s="1458">
        <v>44734</v>
      </c>
      <c r="D142" s="1407">
        <v>48931</v>
      </c>
      <c r="E142" s="33">
        <v>290312</v>
      </c>
      <c r="F142" s="6">
        <v>21135</v>
      </c>
      <c r="G142" s="6">
        <v>738405</v>
      </c>
      <c r="H142" s="828"/>
      <c r="I142" s="1255"/>
      <c r="J142" s="85">
        <v>86690</v>
      </c>
      <c r="K142" s="1494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458">
        <v>44735</v>
      </c>
      <c r="D143" s="1407">
        <v>48220</v>
      </c>
      <c r="E143" s="33">
        <v>283999</v>
      </c>
      <c r="F143" s="6">
        <v>21553</v>
      </c>
      <c r="G143" s="6">
        <v>813299</v>
      </c>
      <c r="H143" s="31"/>
      <c r="I143" s="79"/>
      <c r="J143" s="85">
        <v>91220</v>
      </c>
      <c r="K143" s="1488"/>
      <c r="L143" s="1297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x14ac:dyDescent="0.4">
      <c r="A144" s="1235"/>
      <c r="B144" s="300"/>
      <c r="C144" s="1458">
        <v>44736</v>
      </c>
      <c r="D144" s="1454">
        <v>38317</v>
      </c>
      <c r="E144" s="1243">
        <v>236657</v>
      </c>
      <c r="F144" s="1246">
        <v>21714</v>
      </c>
      <c r="G144" s="1246">
        <v>886530</v>
      </c>
      <c r="H144" s="1243"/>
      <c r="I144" s="1243"/>
      <c r="J144" s="1243">
        <v>76440</v>
      </c>
      <c r="K144" s="1495"/>
      <c r="L144" s="1297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 s="172" customFormat="1" x14ac:dyDescent="0.4">
      <c r="A145" s="1235"/>
      <c r="B145" s="300"/>
      <c r="C145" s="1458">
        <v>44737</v>
      </c>
      <c r="D145" s="1407">
        <v>33818</v>
      </c>
      <c r="E145" s="33">
        <v>260489</v>
      </c>
      <c r="F145" s="6">
        <v>24242</v>
      </c>
      <c r="G145" s="6">
        <v>1014724</v>
      </c>
      <c r="H145" s="31"/>
      <c r="I145" s="79"/>
      <c r="J145" s="85">
        <v>100230</v>
      </c>
      <c r="K145" s="1488"/>
      <c r="L145" s="1297">
        <v>4967585</v>
      </c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 x14ac:dyDescent="0.4">
      <c r="C146" s="1458">
        <v>44738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34" x14ac:dyDescent="0.4">
      <c r="C147" s="1458">
        <v>44739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34" x14ac:dyDescent="0.4">
      <c r="C148" s="1458">
        <v>44740</v>
      </c>
      <c r="D148" s="1407"/>
      <c r="E148" s="33"/>
      <c r="F148" s="6"/>
      <c r="G148" s="6"/>
      <c r="H148" s="31"/>
      <c r="I148" s="79"/>
      <c r="J148" s="85"/>
      <c r="K148" s="1488"/>
      <c r="L148" s="1297"/>
    </row>
    <row r="149" spans="1:34" x14ac:dyDescent="0.4">
      <c r="C149" s="1458">
        <v>44741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34" x14ac:dyDescent="0.4">
      <c r="C150" s="1458">
        <v>44742</v>
      </c>
      <c r="D150" s="1407"/>
      <c r="E150" s="33"/>
      <c r="F150" s="6"/>
      <c r="G150" s="6"/>
      <c r="H150" s="31"/>
      <c r="I150" s="79"/>
      <c r="J150" s="85"/>
      <c r="K150" s="1488"/>
    </row>
    <row r="151" spans="1:34" x14ac:dyDescent="0.4">
      <c r="C151" s="1458"/>
      <c r="D151" s="1407"/>
      <c r="E151" s="33"/>
      <c r="F151" s="6"/>
      <c r="G151" s="6"/>
      <c r="H151" s="31"/>
      <c r="I151" s="79"/>
      <c r="J151" s="85"/>
      <c r="K151" s="1488"/>
    </row>
    <row r="152" spans="1:34" x14ac:dyDescent="0.4">
      <c r="C152" s="1458"/>
      <c r="D152" s="1462">
        <f>SUM(D121:D151)</f>
        <v>1190004</v>
      </c>
      <c r="E152" s="1462">
        <f t="shared" ref="E152:L152" si="12">SUM(E121:E151)</f>
        <v>7285425</v>
      </c>
      <c r="F152" s="1462">
        <f t="shared" si="12"/>
        <v>664109</v>
      </c>
      <c r="G152" s="1462">
        <f t="shared" si="12"/>
        <v>24229971</v>
      </c>
      <c r="H152" s="1462">
        <f t="shared" si="12"/>
        <v>662819</v>
      </c>
      <c r="I152" s="1462">
        <f t="shared" si="12"/>
        <v>428305251</v>
      </c>
      <c r="J152" s="1462">
        <f t="shared" si="12"/>
        <v>2585350</v>
      </c>
      <c r="K152" s="1462">
        <f t="shared" si="12"/>
        <v>20818986</v>
      </c>
      <c r="L152" s="1462">
        <f t="shared" si="12"/>
        <v>24368304</v>
      </c>
    </row>
  </sheetData>
  <mergeCells count="86">
    <mergeCell ref="D83:E83"/>
    <mergeCell ref="F83:G83"/>
    <mergeCell ref="H83:I83"/>
    <mergeCell ref="D120:E120"/>
    <mergeCell ref="F120:G120"/>
    <mergeCell ref="H120:I120"/>
    <mergeCell ref="A50:A53"/>
    <mergeCell ref="B50:I50"/>
    <mergeCell ref="M50:M53"/>
    <mergeCell ref="N50:U50"/>
    <mergeCell ref="D51:D53"/>
    <mergeCell ref="E51:E53"/>
    <mergeCell ref="H51:H53"/>
    <mergeCell ref="N51:O51"/>
    <mergeCell ref="P51:P53"/>
    <mergeCell ref="Q51:Q53"/>
    <mergeCell ref="T51:T53"/>
    <mergeCell ref="N52:O52"/>
    <mergeCell ref="N53:O53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P48:P49"/>
    <mergeCell ref="Q48:Q49"/>
    <mergeCell ref="T48:T49"/>
    <mergeCell ref="R28:S28"/>
    <mergeCell ref="T28:U28"/>
    <mergeCell ref="A30:A37"/>
    <mergeCell ref="B30:I30"/>
    <mergeCell ref="M30:M38"/>
    <mergeCell ref="N30:U30"/>
    <mergeCell ref="B28:C29"/>
    <mergeCell ref="D28:E28"/>
    <mergeCell ref="F28:G28"/>
    <mergeCell ref="H28:I28"/>
    <mergeCell ref="N28:O29"/>
    <mergeCell ref="P28:Q28"/>
    <mergeCell ref="M18:M26"/>
    <mergeCell ref="O18:Q18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R18:U18"/>
    <mergeCell ref="A18:A26"/>
    <mergeCell ref="C18:E18"/>
    <mergeCell ref="F18:I18"/>
    <mergeCell ref="T3:U3"/>
    <mergeCell ref="A11:I11"/>
    <mergeCell ref="M11:U11"/>
    <mergeCell ref="B13:I13"/>
    <mergeCell ref="N13:U13"/>
    <mergeCell ref="P5:Q5"/>
    <mergeCell ref="M3:M5"/>
    <mergeCell ref="N3:N5"/>
    <mergeCell ref="P3:Q3"/>
    <mergeCell ref="R3:S3"/>
    <mergeCell ref="AC3:AH3"/>
    <mergeCell ref="A1:I1"/>
    <mergeCell ref="M1:U1"/>
    <mergeCell ref="A2:I2"/>
    <mergeCell ref="M2:U2"/>
    <mergeCell ref="AC2:AH2"/>
    <mergeCell ref="A3:A5"/>
    <mergeCell ref="B3:B5"/>
    <mergeCell ref="D3:E3"/>
    <mergeCell ref="F3:G3"/>
    <mergeCell ref="H3:I3"/>
    <mergeCell ref="H4:H5"/>
    <mergeCell ref="I4:I5"/>
    <mergeCell ref="T4:T5"/>
    <mergeCell ref="U4:U5"/>
    <mergeCell ref="D5:E5"/>
  </mergeCells>
  <pageMargins left="0.2" right="0.21" top="0.3" bottom="0.37" header="0.3" footer="0.3"/>
  <pageSetup paperSize="9" scale="20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pageSetUpPr fitToPage="1"/>
  </sheetPr>
  <dimension ref="A1:AB86"/>
  <sheetViews>
    <sheetView topLeftCell="A22" zoomScale="80" zoomScaleNormal="80" workbookViewId="0">
      <selection activeCell="S10" sqref="S10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0" style="5" customWidth="1"/>
    <col min="4" max="4" width="11.398437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86328125" style="11" customWidth="1"/>
    <col min="9" max="9" width="14.265625" style="82" customWidth="1"/>
    <col min="10" max="10" width="9.1328125" style="84"/>
    <col min="11" max="11" width="10.1328125" style="84" bestFit="1" customWidth="1"/>
    <col min="12" max="12" width="9.1328125" style="5"/>
    <col min="13" max="13" width="5" style="5" customWidth="1"/>
    <col min="14" max="14" width="37.265625" style="5" customWidth="1"/>
    <col min="15" max="15" width="16.73046875" style="5" customWidth="1"/>
    <col min="16" max="16" width="11.3984375" style="5" bestFit="1" customWidth="1"/>
    <col min="17" max="17" width="11.265625" style="5" bestFit="1" customWidth="1"/>
    <col min="18" max="19" width="14" style="5" customWidth="1"/>
    <col min="20" max="20" width="11.1328125" style="5" customWidth="1"/>
    <col min="21" max="21" width="12" style="5" customWidth="1"/>
    <col min="22" max="16384" width="9.1328125" style="5"/>
  </cols>
  <sheetData>
    <row r="1" spans="1:24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  <c r="M1" s="2345" t="s">
        <v>5</v>
      </c>
      <c r="N1" s="2345"/>
      <c r="O1" s="2345"/>
      <c r="P1" s="2345"/>
      <c r="Q1" s="2345"/>
      <c r="R1" s="2345"/>
      <c r="S1" s="2345"/>
      <c r="T1" s="2345"/>
      <c r="U1" s="2345"/>
    </row>
    <row r="2" spans="1:24" s="301" customFormat="1" ht="21.75" customHeight="1" thickBot="1" x14ac:dyDescent="0.4">
      <c r="A2" s="2346" t="s">
        <v>731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M2" s="2092" t="s">
        <v>740</v>
      </c>
      <c r="N2" s="2093"/>
      <c r="O2" s="2093"/>
      <c r="P2" s="2093"/>
      <c r="Q2" s="2093"/>
      <c r="R2" s="2093"/>
      <c r="S2" s="2093"/>
      <c r="T2" s="2093"/>
      <c r="U2" s="2094"/>
    </row>
    <row r="3" spans="1:24" ht="17.25" thickTop="1" x14ac:dyDescent="0.5">
      <c r="A3" s="2484" t="s">
        <v>144</v>
      </c>
      <c r="B3" s="2486" t="s">
        <v>7</v>
      </c>
      <c r="C3" s="2487"/>
      <c r="D3" s="2447" t="s">
        <v>8</v>
      </c>
      <c r="E3" s="2448"/>
      <c r="F3" s="2447" t="s">
        <v>10</v>
      </c>
      <c r="G3" s="2448"/>
      <c r="H3" s="2490" t="s">
        <v>11</v>
      </c>
      <c r="I3" s="2491"/>
      <c r="M3" s="2035" t="s">
        <v>144</v>
      </c>
      <c r="N3" s="2045" t="s">
        <v>7</v>
      </c>
      <c r="O3" s="2046"/>
      <c r="P3" s="2107" t="s">
        <v>8</v>
      </c>
      <c r="Q3" s="2108"/>
      <c r="R3" s="2107" t="s">
        <v>10</v>
      </c>
      <c r="S3" s="2108"/>
      <c r="T3" s="2109" t="s">
        <v>11</v>
      </c>
      <c r="U3" s="2110"/>
    </row>
    <row r="4" spans="1:24" s="35" customFormat="1" ht="33.75" customHeight="1" x14ac:dyDescent="0.35">
      <c r="A4" s="2484"/>
      <c r="B4" s="2488"/>
      <c r="C4" s="2489"/>
      <c r="D4" s="1064" t="s">
        <v>9</v>
      </c>
      <c r="E4" s="1133" t="str">
        <f>G4</f>
        <v xml:space="preserve"> JULY-22</v>
      </c>
      <c r="F4" s="1133" t="s">
        <v>733</v>
      </c>
      <c r="G4" s="1133" t="s">
        <v>732</v>
      </c>
      <c r="H4" s="1061" t="s">
        <v>12</v>
      </c>
      <c r="I4" s="1061" t="s">
        <v>13</v>
      </c>
      <c r="J4" s="84"/>
      <c r="K4" s="84"/>
      <c r="M4" s="2035"/>
      <c r="N4" s="2047"/>
      <c r="O4" s="2048"/>
      <c r="P4" s="421" t="s">
        <v>9</v>
      </c>
      <c r="Q4" s="383" t="str">
        <f>S4</f>
        <v>upto
 JULY-22</v>
      </c>
      <c r="R4" s="383" t="s">
        <v>736</v>
      </c>
      <c r="S4" s="383" t="s">
        <v>737</v>
      </c>
      <c r="T4" s="1061" t="s">
        <v>12</v>
      </c>
      <c r="U4" s="1061" t="s">
        <v>13</v>
      </c>
    </row>
    <row r="5" spans="1:24" ht="20.25" customHeight="1" x14ac:dyDescent="0.5">
      <c r="A5" s="2485"/>
      <c r="B5" s="2488"/>
      <c r="C5" s="2489"/>
      <c r="D5" s="2492" t="s">
        <v>249</v>
      </c>
      <c r="E5" s="2493"/>
      <c r="F5" s="1134" t="s">
        <v>249</v>
      </c>
      <c r="G5" s="1134" t="s">
        <v>438</v>
      </c>
      <c r="H5" s="1062"/>
      <c r="I5" s="1062"/>
      <c r="M5" s="2036"/>
      <c r="N5" s="2047"/>
      <c r="O5" s="2048"/>
      <c r="P5" s="2157" t="s">
        <v>249</v>
      </c>
      <c r="Q5" s="2158"/>
      <c r="R5" s="602" t="s">
        <v>249</v>
      </c>
      <c r="S5" s="602" t="s">
        <v>438</v>
      </c>
      <c r="T5" s="1062"/>
      <c r="U5" s="1062"/>
    </row>
    <row r="6" spans="1:24" ht="30" customHeight="1" x14ac:dyDescent="0.35">
      <c r="A6" s="1135">
        <v>1</v>
      </c>
      <c r="B6" s="2477" t="s">
        <v>290</v>
      </c>
      <c r="C6" s="2477"/>
      <c r="D6" s="304">
        <v>908.2</v>
      </c>
      <c r="E6" s="636">
        <v>84.28</v>
      </c>
      <c r="F6" s="305">
        <v>45.223879600000004</v>
      </c>
      <c r="G6" s="305">
        <v>88.302739400000007</v>
      </c>
      <c r="H6" s="306">
        <f>(G6-E6)/E6*100</f>
        <v>4.7730652586616111</v>
      </c>
      <c r="I6" s="306">
        <f>(G6-F6)/F6*100</f>
        <v>95.25688680632345</v>
      </c>
      <c r="M6" s="372">
        <v>1</v>
      </c>
      <c r="N6" s="2049" t="s">
        <v>290</v>
      </c>
      <c r="O6" s="2049"/>
      <c r="P6" s="304">
        <v>908.2</v>
      </c>
      <c r="Q6" s="305">
        <f>'target FY 22-23'!D65</f>
        <v>342.38</v>
      </c>
      <c r="R6" s="305">
        <f>R15+R16+R17</f>
        <v>123.985919857</v>
      </c>
      <c r="S6" s="305">
        <f>S15+S16+S17</f>
        <v>314.83769580000001</v>
      </c>
      <c r="T6" s="306">
        <f>(S6-Q6)/Q6*100</f>
        <v>-8.044367135930834</v>
      </c>
      <c r="U6" s="306">
        <f>(S6-R6)/R6*100</f>
        <v>153.9302012382698</v>
      </c>
    </row>
    <row r="7" spans="1:24" ht="26.25" customHeight="1" x14ac:dyDescent="0.35">
      <c r="A7" s="1136">
        <v>2</v>
      </c>
      <c r="B7" s="2478" t="s">
        <v>291</v>
      </c>
      <c r="C7" s="2479"/>
      <c r="D7" s="307">
        <v>322.42</v>
      </c>
      <c r="E7" s="1129">
        <v>16.93</v>
      </c>
      <c r="F7" s="307">
        <v>14.448741999999999</v>
      </c>
      <c r="G7" s="307">
        <v>40.544100000000007</v>
      </c>
      <c r="H7" s="308">
        <f>(G7-E7)/E7*100</f>
        <v>139.4808033077378</v>
      </c>
      <c r="I7" s="308">
        <f>(G7-F7)/F7*100</f>
        <v>180.60643618662448</v>
      </c>
      <c r="M7" s="373">
        <v>2</v>
      </c>
      <c r="N7" s="2050" t="s">
        <v>291</v>
      </c>
      <c r="O7" s="2051"/>
      <c r="P7" s="307">
        <v>322.42</v>
      </c>
      <c r="Q7" s="307">
        <f>'target FY 22-23'!E40</f>
        <v>84.960000000000008</v>
      </c>
      <c r="R7" s="307">
        <f>R20+R21+R22+R23+R24+R25+R26</f>
        <v>68.524171800000005</v>
      </c>
      <c r="S7" s="307">
        <f>S20+S21+S22+S23+S24+S25+S26</f>
        <v>129.82030659999998</v>
      </c>
      <c r="T7" s="308">
        <f>(S7-Q7)/Q7*100</f>
        <v>52.801679143126144</v>
      </c>
      <c r="U7" s="308">
        <f>(S7-R7)/R7*100</f>
        <v>89.451843327495666</v>
      </c>
    </row>
    <row r="8" spans="1:24" ht="32.25" customHeight="1" x14ac:dyDescent="0.35">
      <c r="A8" s="1137">
        <v>3</v>
      </c>
      <c r="B8" s="2376" t="s">
        <v>292</v>
      </c>
      <c r="C8" s="2378"/>
      <c r="D8" s="364">
        <v>96.78</v>
      </c>
      <c r="E8" s="636">
        <v>5.28</v>
      </c>
      <c r="F8" s="364">
        <v>4.8137546000000002</v>
      </c>
      <c r="G8" s="364">
        <v>9.0670879000000006</v>
      </c>
      <c r="H8" s="306">
        <f>(G8-E8)/E8*100</f>
        <v>71.725149621212125</v>
      </c>
      <c r="I8" s="306">
        <f>(G8-F8)/F8*100</f>
        <v>88.357917123569209</v>
      </c>
      <c r="M8" s="374">
        <v>3</v>
      </c>
      <c r="N8" s="2021" t="s">
        <v>292</v>
      </c>
      <c r="O8" s="2023"/>
      <c r="P8" s="364">
        <v>96.78</v>
      </c>
      <c r="Q8" s="364">
        <f>'target FY 22-23'!F40</f>
        <v>23.04</v>
      </c>
      <c r="R8" s="364">
        <f>R31+R32+R33+R34+R35+R36+R37</f>
        <v>17.937638799999998</v>
      </c>
      <c r="S8" s="364">
        <f>S31+S32+S33+S34+S35+S36+S37</f>
        <v>38.875789100000006</v>
      </c>
      <c r="T8" s="306">
        <f>(S8-Q8)/Q8*100</f>
        <v>68.731723524305593</v>
      </c>
      <c r="U8" s="306">
        <f>(S8-R8)/R8*100</f>
        <v>116.72746080716048</v>
      </c>
    </row>
    <row r="9" spans="1:24" ht="34.5" customHeight="1" x14ac:dyDescent="0.35">
      <c r="A9" s="1136">
        <v>4</v>
      </c>
      <c r="B9" s="2480" t="s">
        <v>293</v>
      </c>
      <c r="C9" s="2481"/>
      <c r="D9" s="307">
        <v>17.53</v>
      </c>
      <c r="E9" s="1129">
        <v>1.46</v>
      </c>
      <c r="F9" s="307">
        <v>0.20224810000000001</v>
      </c>
      <c r="G9" s="307">
        <v>0.70899999999999996</v>
      </c>
      <c r="H9" s="306">
        <f>(G9-E9)/E9*100</f>
        <v>-51.438356164383556</v>
      </c>
      <c r="I9" s="308">
        <f>(G9-F9)/F9*100</f>
        <v>250.55953554075413</v>
      </c>
      <c r="M9" s="373">
        <v>4</v>
      </c>
      <c r="N9" s="2052" t="s">
        <v>293</v>
      </c>
      <c r="O9" s="2053"/>
      <c r="P9" s="307">
        <v>17.53</v>
      </c>
      <c r="Q9" s="307">
        <v>5.6</v>
      </c>
      <c r="R9" s="307">
        <f>R39+R40+R41+R42+R43+R44</f>
        <v>1.0138529000000001</v>
      </c>
      <c r="S9" s="307">
        <f>S39+S40+S41+S42+S43+S44</f>
        <v>3.1435998999999999</v>
      </c>
      <c r="T9" s="306">
        <f>(S9-Q9)/Q9*100</f>
        <v>-43.864287499999996</v>
      </c>
      <c r="U9" s="308">
        <f>(S9-R9)/R9*100</f>
        <v>210.06469478954983</v>
      </c>
    </row>
    <row r="10" spans="1:24" ht="28.5" customHeight="1" x14ac:dyDescent="0.35">
      <c r="A10" s="1137">
        <v>5</v>
      </c>
      <c r="B10" s="2482" t="s">
        <v>294</v>
      </c>
      <c r="C10" s="2483"/>
      <c r="D10" s="321">
        <f>SUM(D6:D9)</f>
        <v>1344.93</v>
      </c>
      <c r="E10" s="321">
        <f>SUM(E6:E9)</f>
        <v>107.95</v>
      </c>
      <c r="F10" s="321">
        <f>SUM(F6:F9)</f>
        <v>64.688624300000001</v>
      </c>
      <c r="G10" s="321">
        <f>SUM(G6:G9)</f>
        <v>138.62292730000001</v>
      </c>
      <c r="H10" s="322">
        <f>(G10-E10)/E10*100</f>
        <v>28.414013246873566</v>
      </c>
      <c r="I10" s="322">
        <f>(G10-F10)/F10*100</f>
        <v>114.29258822559318</v>
      </c>
      <c r="M10" s="374">
        <v>5</v>
      </c>
      <c r="N10" s="2054" t="s">
        <v>294</v>
      </c>
      <c r="O10" s="2055"/>
      <c r="P10" s="321">
        <f>SUM(P6:P9)</f>
        <v>1344.93</v>
      </c>
      <c r="Q10" s="321">
        <f>SUM(Q6:Q9)</f>
        <v>455.98000000000008</v>
      </c>
      <c r="R10" s="321">
        <f>SUM(R6:R9)</f>
        <v>211.46158335699999</v>
      </c>
      <c r="S10" s="321">
        <f>SUM(S6:S9)</f>
        <v>486.67739140000003</v>
      </c>
      <c r="T10" s="322">
        <f>(S10-Q10)/Q10*100</f>
        <v>6.7321793499714806</v>
      </c>
      <c r="U10" s="322">
        <f>(S10-R10)/R10*100</f>
        <v>130.14931775024451</v>
      </c>
    </row>
    <row r="11" spans="1:24" ht="6.75" customHeight="1" thickBot="1" x14ac:dyDescent="0.4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</row>
    <row r="12" spans="1:24" ht="27" customHeight="1" thickBot="1" x14ac:dyDescent="0.4">
      <c r="A12" s="1138">
        <v>6.3</v>
      </c>
      <c r="B12" s="2465" t="s">
        <v>250</v>
      </c>
      <c r="C12" s="2466"/>
      <c r="D12" s="1041">
        <f>D46+D47</f>
        <v>80.319999999999993</v>
      </c>
      <c r="E12" s="1042">
        <f>E46+E47</f>
        <v>7.3900000000000006</v>
      </c>
      <c r="F12" s="1043">
        <f>F46+F47+F48</f>
        <v>0.98824999999999996</v>
      </c>
      <c r="G12" s="1043">
        <f>G46+G47+G48</f>
        <v>3.6372059999999999</v>
      </c>
      <c r="H12" s="1044">
        <f>(G12-E12)/E12*100</f>
        <v>-50.782056833558862</v>
      </c>
      <c r="I12" s="1045">
        <f>(G12-F12)/F12*100</f>
        <v>268.04513028079941</v>
      </c>
      <c r="M12" s="1040">
        <v>6.3</v>
      </c>
      <c r="N12" s="2324" t="s">
        <v>250</v>
      </c>
      <c r="O12" s="2325"/>
      <c r="P12" s="1041">
        <f>P46+P47</f>
        <v>80.319999999999993</v>
      </c>
      <c r="Q12" s="1042">
        <f>Q46+Q47</f>
        <v>22.08</v>
      </c>
      <c r="R12" s="1043">
        <f>R46+R47+R48</f>
        <v>2.6228349999999998</v>
      </c>
      <c r="S12" s="1043">
        <f>S46+S47+S48</f>
        <v>13.047702000000001</v>
      </c>
      <c r="T12" s="1044">
        <f>(S12-Q12)/Q12*100</f>
        <v>-40.907146739130425</v>
      </c>
      <c r="U12" s="1045">
        <f>(S12-R12)/R12*100</f>
        <v>397.46560496561932</v>
      </c>
    </row>
    <row r="13" spans="1:24" ht="17.649999999999999" x14ac:dyDescent="0.35">
      <c r="A13" s="1139"/>
      <c r="B13" s="2467" t="s">
        <v>229</v>
      </c>
      <c r="C13" s="2468"/>
      <c r="D13" s="2468"/>
      <c r="E13" s="2468"/>
      <c r="F13" s="2468"/>
      <c r="G13" s="2468"/>
      <c r="H13" s="2468"/>
      <c r="I13" s="2469"/>
      <c r="M13" s="376"/>
      <c r="N13" s="2058" t="s">
        <v>229</v>
      </c>
      <c r="O13" s="2059"/>
      <c r="P13" s="2059"/>
      <c r="Q13" s="2059"/>
      <c r="R13" s="2059"/>
      <c r="S13" s="2059"/>
      <c r="T13" s="2059"/>
      <c r="U13" s="2060"/>
    </row>
    <row r="14" spans="1:24" ht="15" x14ac:dyDescent="0.35">
      <c r="A14" s="2470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003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24" ht="15.4" x14ac:dyDescent="0.4">
      <c r="A15" s="2471"/>
      <c r="B15" s="2473" t="s">
        <v>16</v>
      </c>
      <c r="C15" s="2474"/>
      <c r="D15" s="1140">
        <f>'target FY 22-23'!K56</f>
        <v>21.180000000000003</v>
      </c>
      <c r="E15" s="307">
        <v>2.11</v>
      </c>
      <c r="F15" s="315">
        <v>6.56606E-2</v>
      </c>
      <c r="G15" s="315">
        <v>0.93236140000000001</v>
      </c>
      <c r="H15" s="316">
        <f>(G15-E15)/E15*100</f>
        <v>-55.812255924170614</v>
      </c>
      <c r="I15" s="314">
        <f>(G15-F15)/F15*100</f>
        <v>1319.9708805585085</v>
      </c>
      <c r="J15" s="1128">
        <f>324369/10000000</f>
        <v>3.2436899999999998E-2</v>
      </c>
      <c r="M15" s="2004"/>
      <c r="N15" s="2006" t="s">
        <v>16</v>
      </c>
      <c r="O15" s="2007"/>
      <c r="P15" s="333">
        <f>D15</f>
        <v>21.180000000000003</v>
      </c>
      <c r="Q15" s="307">
        <v>7.73</v>
      </c>
      <c r="R15" s="315">
        <f>F15+UPTOJUNE!F15</f>
        <v>0.19839005700000001</v>
      </c>
      <c r="S15" s="315">
        <f>G15+UPTOJUNE!G15</f>
        <v>3.2904075000000002</v>
      </c>
      <c r="T15" s="316">
        <f>(S15-Q15)/Q15*100</f>
        <v>-57.433279430789128</v>
      </c>
      <c r="U15" s="314">
        <f>(S15-R15)/R15*100</f>
        <v>1558.5546421814879</v>
      </c>
    </row>
    <row r="16" spans="1:24" ht="15.4" x14ac:dyDescent="0.4">
      <c r="A16" s="2471"/>
      <c r="B16" s="2422" t="s">
        <v>15</v>
      </c>
      <c r="C16" s="1141" t="s">
        <v>166</v>
      </c>
      <c r="D16" s="2475">
        <f>'target FY 22-23'!L56</f>
        <v>887.02</v>
      </c>
      <c r="E16" s="2065">
        <v>82.17</v>
      </c>
      <c r="F16" s="315">
        <v>5.0837E-2</v>
      </c>
      <c r="G16" s="315">
        <v>8.8698466000000007</v>
      </c>
      <c r="H16" s="2154">
        <f>L16</f>
        <v>6.3288036996470733</v>
      </c>
      <c r="I16" s="314">
        <f>(G16-F16)/F16*100</f>
        <v>17347.62004052167</v>
      </c>
      <c r="J16" s="1128">
        <f>252170/10000000</f>
        <v>2.5217E-2</v>
      </c>
      <c r="K16" s="12">
        <f>G16+G17</f>
        <v>87.370378000000002</v>
      </c>
      <c r="L16" s="5">
        <f>(K16-E16)/E16*100</f>
        <v>6.3288036996470733</v>
      </c>
      <c r="M16" s="2004"/>
      <c r="N16" s="2071" t="s">
        <v>15</v>
      </c>
      <c r="O16" s="320" t="s">
        <v>166</v>
      </c>
      <c r="P16" s="2166">
        <f>D16</f>
        <v>887.02</v>
      </c>
      <c r="Q16" s="2065">
        <v>334.65</v>
      </c>
      <c r="R16" s="315">
        <f>F16+UPTOJUNE!F16</f>
        <v>0.15637589999999998</v>
      </c>
      <c r="S16" s="315">
        <f>G16+UPTOJUNE!G16</f>
        <v>16.393785600000001</v>
      </c>
      <c r="T16" s="2154">
        <f>X16</f>
        <v>-6.9035445091887011</v>
      </c>
      <c r="U16" s="314">
        <f>(S16-R16)/R16*100</f>
        <v>10383.575538174362</v>
      </c>
      <c r="W16" s="12">
        <f>S16+S17</f>
        <v>311.54728829999999</v>
      </c>
      <c r="X16" s="5">
        <f>(W16-Q16)/Q16*100</f>
        <v>-6.9035445091887011</v>
      </c>
    </row>
    <row r="17" spans="1:26" ht="15.4" x14ac:dyDescent="0.4">
      <c r="A17" s="2472"/>
      <c r="B17" s="2422"/>
      <c r="C17" s="1141" t="s">
        <v>228</v>
      </c>
      <c r="D17" s="2476"/>
      <c r="E17" s="2066"/>
      <c r="F17" s="315">
        <v>45.107382000000001</v>
      </c>
      <c r="G17" s="315">
        <v>78.5005314</v>
      </c>
      <c r="H17" s="2155"/>
      <c r="I17" s="314">
        <f>(G17-F17)/F17*100</f>
        <v>74.030342527970248</v>
      </c>
      <c r="J17" s="323">
        <f>156178349/10000000</f>
        <v>15.6178349</v>
      </c>
      <c r="M17" s="2005"/>
      <c r="N17" s="2071"/>
      <c r="O17" s="320" t="s">
        <v>228</v>
      </c>
      <c r="P17" s="2064"/>
      <c r="Q17" s="2066"/>
      <c r="R17" s="315">
        <f>F17+UPTOJUNE!F17</f>
        <v>123.6311539</v>
      </c>
      <c r="S17" s="315">
        <f>G17+UPTOJUNE!G17</f>
        <v>295.15350269999999</v>
      </c>
      <c r="T17" s="2155"/>
      <c r="U17" s="314">
        <f>(S17-R17)/R17*100</f>
        <v>138.73715757659039</v>
      </c>
    </row>
    <row r="18" spans="1:26" ht="21.75" customHeight="1" x14ac:dyDescent="0.35">
      <c r="A18" s="2003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  <c r="M18" s="2003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6" ht="27" customHeight="1" x14ac:dyDescent="0.35">
      <c r="A19" s="2004"/>
      <c r="B19" s="1069" t="s">
        <v>230</v>
      </c>
      <c r="C19" s="1098" t="str">
        <f>F4</f>
        <v xml:space="preserve"> JULY-21</v>
      </c>
      <c r="D19" s="1098" t="str">
        <f>G4</f>
        <v xml:space="preserve"> JULY-22</v>
      </c>
      <c r="E19" s="1069" t="s">
        <v>681</v>
      </c>
      <c r="F19" s="1098" t="str">
        <f>F4</f>
        <v xml:space="preserve"> JULY-21</v>
      </c>
      <c r="G19" s="1098" t="str">
        <f>G4</f>
        <v xml:space="preserve"> JULY-22</v>
      </c>
      <c r="H19" s="1071" t="s">
        <v>682</v>
      </c>
      <c r="I19" s="1072" t="s">
        <v>681</v>
      </c>
      <c r="M19" s="2004"/>
      <c r="N19" s="1069" t="s">
        <v>230</v>
      </c>
      <c r="O19" s="1098" t="str">
        <f>R4</f>
        <v>upto
 JULY-21</v>
      </c>
      <c r="P19" s="1098" t="str">
        <f>S4</f>
        <v>upto
 JULY-22</v>
      </c>
      <c r="Q19" s="1069" t="s">
        <v>681</v>
      </c>
      <c r="R19" s="1098" t="str">
        <f>R4</f>
        <v>upto
 JULY-21</v>
      </c>
      <c r="S19" s="1098" t="str">
        <f>S4</f>
        <v>upto
 JULY-22</v>
      </c>
      <c r="T19" s="1071" t="s">
        <v>682</v>
      </c>
      <c r="U19" s="1072" t="s">
        <v>681</v>
      </c>
      <c r="Z19" s="5">
        <v>19.45</v>
      </c>
    </row>
    <row r="20" spans="1:26" ht="18.75" customHeight="1" x14ac:dyDescent="0.4">
      <c r="A20" s="2004"/>
      <c r="B20" s="1055" t="s">
        <v>231</v>
      </c>
      <c r="C20" s="85"/>
      <c r="D20" s="303"/>
      <c r="E20" s="314" t="e">
        <f>(D20-C20)/C20*100</f>
        <v>#DIV/0!</v>
      </c>
      <c r="F20" s="315">
        <v>10.217117699999999</v>
      </c>
      <c r="G20" s="315">
        <v>19.95</v>
      </c>
      <c r="H20" s="1060">
        <f>G20/G7*100</f>
        <v>49.205679741318704</v>
      </c>
      <c r="I20" s="314">
        <f>(G20-F20)/F20*100</f>
        <v>95.26054789405039</v>
      </c>
      <c r="M20" s="2004"/>
      <c r="N20" s="1055" t="s">
        <v>231</v>
      </c>
      <c r="O20" s="210">
        <v>308803</v>
      </c>
      <c r="P20" s="210">
        <v>454934</v>
      </c>
      <c r="Q20" s="314">
        <f>(P20-O20)/O20*100</f>
        <v>47.321755293828105</v>
      </c>
      <c r="R20" s="315">
        <f>F20+UPTOJUNE!F20</f>
        <v>53.443939499999999</v>
      </c>
      <c r="S20" s="315">
        <f>G20+UPTOJUNE!G20</f>
        <v>75.813210999999995</v>
      </c>
      <c r="T20" s="1060">
        <f>S20/S7*100</f>
        <v>58.39857645198321</v>
      </c>
      <c r="U20" s="314">
        <f>(S20-R20)/R20*100</f>
        <v>41.855581211411256</v>
      </c>
      <c r="Z20" s="5">
        <v>12.59</v>
      </c>
    </row>
    <row r="21" spans="1:26" ht="18.75" customHeight="1" x14ac:dyDescent="0.4">
      <c r="A21" s="2004"/>
      <c r="B21" s="1055" t="s">
        <v>232</v>
      </c>
      <c r="C21" s="303"/>
      <c r="D21" s="303"/>
      <c r="E21" s="314" t="e">
        <f>(D21-C21)/C21*100</f>
        <v>#DIV/0!</v>
      </c>
      <c r="F21" s="315">
        <v>0</v>
      </c>
      <c r="G21" s="315">
        <v>12.6</v>
      </c>
      <c r="H21" s="1060">
        <f>G21/G7*100</f>
        <v>31.077271415569708</v>
      </c>
      <c r="I21" s="314" t="e">
        <f>(G21-F21)/F21*100</f>
        <v>#DIV/0!</v>
      </c>
      <c r="M21" s="2004"/>
      <c r="N21" s="1055" t="s">
        <v>232</v>
      </c>
      <c r="O21" s="210">
        <v>18415</v>
      </c>
      <c r="P21" s="210">
        <v>280187</v>
      </c>
      <c r="Q21" s="314">
        <f>(P21-O21)/O21*100</f>
        <v>1421.515069237035</v>
      </c>
      <c r="R21" s="315">
        <f>F21+UPTOJUNE!F21</f>
        <v>1.3090758</v>
      </c>
      <c r="S21" s="315">
        <f>G21+UPTOJUNE!G21</f>
        <v>23.697490199999997</v>
      </c>
      <c r="T21" s="1060">
        <f>S21/S7*100</f>
        <v>18.254070430611662</v>
      </c>
      <c r="U21" s="314">
        <f>(S21-R21)/R21*100</f>
        <v>1710.2458390873928</v>
      </c>
      <c r="Z21" s="5">
        <v>7.06</v>
      </c>
    </row>
    <row r="22" spans="1:26" ht="18.75" customHeight="1" x14ac:dyDescent="0.4">
      <c r="A22" s="2004"/>
      <c r="B22" s="1055" t="s">
        <v>239</v>
      </c>
      <c r="C22" s="303"/>
      <c r="D22" s="303"/>
      <c r="E22" s="314" t="e">
        <f>(D22-C22)/C22*100</f>
        <v>#DIV/0!</v>
      </c>
      <c r="F22" s="315">
        <v>3.3622909999999999</v>
      </c>
      <c r="G22" s="315">
        <v>7.06</v>
      </c>
      <c r="H22" s="1060">
        <f>G22/G7*100</f>
        <v>17.413137793168424</v>
      </c>
      <c r="I22" s="314">
        <f>(G22-F22)/F22*100</f>
        <v>109.97587656749519</v>
      </c>
      <c r="M22" s="2004"/>
      <c r="N22" s="1055" t="s">
        <v>239</v>
      </c>
      <c r="O22" s="210">
        <v>89611</v>
      </c>
      <c r="P22" s="210">
        <v>224403</v>
      </c>
      <c r="Q22" s="314">
        <f>(P22-O22)/O22*100</f>
        <v>150.41903337759874</v>
      </c>
      <c r="R22" s="315">
        <f>F22+UPTOJUNE!F22</f>
        <v>9.9226676000000005</v>
      </c>
      <c r="S22" s="315">
        <f>G22+UPTOJUNE!G22</f>
        <v>27.243634599999996</v>
      </c>
      <c r="T22" s="1060">
        <f>S22/S7*100</f>
        <v>20.98564955938873</v>
      </c>
      <c r="U22" s="314">
        <f>(S22-R22)/R22*100</f>
        <v>174.55958113521805</v>
      </c>
      <c r="Z22" s="5">
        <v>0.84</v>
      </c>
    </row>
    <row r="23" spans="1:26" ht="18.75" customHeight="1" x14ac:dyDescent="0.4">
      <c r="A23" s="2004"/>
      <c r="B23" s="1055" t="s">
        <v>233</v>
      </c>
      <c r="C23" s="303"/>
      <c r="D23" s="303"/>
      <c r="E23" s="314" t="e">
        <f>(D23-C23)/C23*100</f>
        <v>#DIV/0!</v>
      </c>
      <c r="F23" s="315">
        <v>0.84378710000000001</v>
      </c>
      <c r="G23" s="315">
        <v>0.84</v>
      </c>
      <c r="H23" s="1060">
        <f>G23/G7*100</f>
        <v>2.0718180943713138</v>
      </c>
      <c r="I23" s="314">
        <f>(G23-F23)/F23*100</f>
        <v>-0.44882174662305735</v>
      </c>
      <c r="M23" s="2004"/>
      <c r="N23" s="1055" t="s">
        <v>233</v>
      </c>
      <c r="O23" s="210">
        <v>109022</v>
      </c>
      <c r="P23" s="210">
        <v>79176</v>
      </c>
      <c r="Q23" s="314">
        <f>(P23-O23)/O23*100</f>
        <v>-27.376125919539174</v>
      </c>
      <c r="R23" s="315">
        <f>F23+UPTOJUNE!F23</f>
        <v>3.5329427000000004</v>
      </c>
      <c r="S23" s="315">
        <f>G23+UPTOJUNE!G23</f>
        <v>2.8990007999999996</v>
      </c>
      <c r="T23" s="1060">
        <f>S23/S7*100</f>
        <v>2.2330873157866966</v>
      </c>
      <c r="U23" s="314">
        <f>(S23-R23)/R23*100</f>
        <v>-17.943735685268848</v>
      </c>
      <c r="Z23" s="5">
        <v>5.1999999999999998E-2</v>
      </c>
    </row>
    <row r="24" spans="1:26" ht="18.75" customHeight="1" x14ac:dyDescent="0.4">
      <c r="A24" s="2004"/>
      <c r="B24" s="1055" t="s">
        <v>739</v>
      </c>
      <c r="C24" s="303"/>
      <c r="D24" s="303"/>
      <c r="E24" s="836">
        <v>0</v>
      </c>
      <c r="F24" s="315">
        <v>0</v>
      </c>
      <c r="G24" s="315">
        <v>4.1799999999999997E-2</v>
      </c>
      <c r="H24" s="1060">
        <f>G24/G7*100</f>
        <v>0.10309761469609632</v>
      </c>
      <c r="I24" s="314">
        <v>0</v>
      </c>
      <c r="M24" s="2004"/>
      <c r="N24" s="1055" t="s">
        <v>234</v>
      </c>
      <c r="O24" s="210">
        <v>0</v>
      </c>
      <c r="P24" s="210">
        <v>0</v>
      </c>
      <c r="Q24" s="836">
        <v>0</v>
      </c>
      <c r="R24" s="315">
        <f>F24+UPTOJUNE!F24</f>
        <v>0</v>
      </c>
      <c r="S24" s="315">
        <f>G24+UPTOJUNE!G24</f>
        <v>4.1799999999999997E-2</v>
      </c>
      <c r="T24" s="1060">
        <f>S24/S7*100</f>
        <v>3.2198352549569473E-2</v>
      </c>
      <c r="U24" s="314">
        <v>0</v>
      </c>
      <c r="Z24" s="5">
        <v>4.1000000000000002E-2</v>
      </c>
    </row>
    <row r="25" spans="1:26" ht="18.75" customHeight="1" x14ac:dyDescent="0.4">
      <c r="A25" s="2004"/>
      <c r="B25" s="1055" t="s">
        <v>235</v>
      </c>
      <c r="C25" s="303"/>
      <c r="D25" s="303"/>
      <c r="E25" s="836">
        <v>0</v>
      </c>
      <c r="F25" s="315">
        <v>0</v>
      </c>
      <c r="G25" s="315">
        <v>0</v>
      </c>
      <c r="H25" s="1060">
        <f>G25/G7*100</f>
        <v>0</v>
      </c>
      <c r="I25" s="314">
        <v>0</v>
      </c>
      <c r="M25" s="2004"/>
      <c r="N25" s="1055" t="s">
        <v>235</v>
      </c>
      <c r="O25" s="210">
        <f>1377</f>
        <v>1377</v>
      </c>
      <c r="P25" s="210">
        <v>0</v>
      </c>
      <c r="Q25" s="836">
        <v>0</v>
      </c>
      <c r="R25" s="315">
        <f>F25+UPTOJUNE!F25</f>
        <v>0.04</v>
      </c>
      <c r="S25" s="315">
        <f>G25+UPTOJUNE!G25</f>
        <v>0</v>
      </c>
      <c r="T25" s="1060">
        <f>S25/S7*100</f>
        <v>0</v>
      </c>
      <c r="U25" s="314">
        <v>0</v>
      </c>
      <c r="Z25" s="5">
        <f>SUM(Z19:Z24)</f>
        <v>40.033000000000001</v>
      </c>
    </row>
    <row r="26" spans="1:26" ht="27" customHeight="1" x14ac:dyDescent="0.4">
      <c r="A26" s="2005"/>
      <c r="B26" s="1056" t="s">
        <v>693</v>
      </c>
      <c r="C26" s="1059"/>
      <c r="D26" s="1059"/>
      <c r="E26" s="836">
        <v>0</v>
      </c>
      <c r="F26" s="315">
        <v>2.5546200000000002E-2</v>
      </c>
      <c r="G26" s="315">
        <v>5.2299999999999999E-2</v>
      </c>
      <c r="H26" s="1060">
        <f>G26/G7*100</f>
        <v>0.12899534087573775</v>
      </c>
      <c r="I26" s="314">
        <f>(G26-F26)/F26*100</f>
        <v>104.72712184199607</v>
      </c>
      <c r="M26" s="2005"/>
      <c r="N26" s="1056" t="s">
        <v>693</v>
      </c>
      <c r="O26" s="210">
        <f>1329+121</f>
        <v>1450</v>
      </c>
      <c r="P26" s="210">
        <v>0</v>
      </c>
      <c r="Q26" s="836">
        <v>0</v>
      </c>
      <c r="R26" s="315">
        <f>F26+UPTOJUNE!F26</f>
        <v>0.27554620000000002</v>
      </c>
      <c r="S26" s="315">
        <f>G26+UPTOJUNE!G26</f>
        <v>0.12517</v>
      </c>
      <c r="T26" s="1060">
        <f>S26/S7*100</f>
        <v>9.6417889680134233E-2</v>
      </c>
      <c r="U26" s="314">
        <f>(S26-R26)/R26*100</f>
        <v>-54.573860935117239</v>
      </c>
    </row>
    <row r="27" spans="1:26" s="26" customFormat="1" ht="19.5" customHeight="1" x14ac:dyDescent="0.4">
      <c r="A27" s="1053"/>
      <c r="B27" s="1063" t="s">
        <v>683</v>
      </c>
      <c r="C27" s="1063">
        <f>SUM(C20:C26)</f>
        <v>0</v>
      </c>
      <c r="D27" s="1063">
        <f>SUM(D20:D26)</f>
        <v>0</v>
      </c>
      <c r="E27" s="394" t="e">
        <f>(D27-C27)/C27*100</f>
        <v>#DIV/0!</v>
      </c>
      <c r="F27" s="1054">
        <f>SUM(F20:F26)</f>
        <v>14.448741999999999</v>
      </c>
      <c r="G27" s="1054">
        <f>G20+G21+G22+G23+G24+G25+G26</f>
        <v>40.544100000000007</v>
      </c>
      <c r="H27" s="1066">
        <f>SUM(H20:H26)</f>
        <v>99.999999999999972</v>
      </c>
      <c r="I27" s="394">
        <f>(G27-F27)/F27*100</f>
        <v>180.60643618662448</v>
      </c>
      <c r="J27" s="762"/>
      <c r="K27" s="762"/>
      <c r="M27" s="1053"/>
      <c r="N27" s="1063" t="s">
        <v>683</v>
      </c>
      <c r="O27" s="1063">
        <f>SUM(O20:O26)</f>
        <v>528678</v>
      </c>
      <c r="P27" s="1063">
        <f>SUM(P20:P26)</f>
        <v>1038700</v>
      </c>
      <c r="Q27" s="394">
        <f>(P27-O27)/O27*100</f>
        <v>96.4711979692743</v>
      </c>
      <c r="R27" s="1054">
        <f>SUM(R20:R26)</f>
        <v>68.524171800000005</v>
      </c>
      <c r="S27" s="1054">
        <f>SUM(S20:S26)</f>
        <v>129.82030659999998</v>
      </c>
      <c r="T27" s="1066">
        <f>SUM(T20:T26)</f>
        <v>100</v>
      </c>
      <c r="U27" s="394">
        <f>(S27-R27)/R27*100</f>
        <v>89.451843327495666</v>
      </c>
    </row>
    <row r="28" spans="1:26" ht="13.9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6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hidden="1" customHeight="1" x14ac:dyDescent="0.35">
      <c r="A29" s="1064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1064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ht="15" x14ac:dyDescent="0.35">
      <c r="A30" s="2014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2014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6" ht="15.4" x14ac:dyDescent="0.4">
      <c r="A31" s="2015"/>
      <c r="B31" s="2006" t="s">
        <v>2</v>
      </c>
      <c r="C31" s="2007"/>
      <c r="D31" s="331">
        <v>12.05</v>
      </c>
      <c r="E31" s="315">
        <v>0.75</v>
      </c>
      <c r="F31" s="313">
        <v>0.38526060000000001</v>
      </c>
      <c r="G31" s="313">
        <v>1.5301545000000001</v>
      </c>
      <c r="H31" s="314">
        <f>(G31-E31)/E31*100</f>
        <v>104.02060000000002</v>
      </c>
      <c r="I31" s="314">
        <f t="shared" ref="I31:I37" si="0">(G31-F31)/F31*100</f>
        <v>297.1738869741676</v>
      </c>
      <c r="J31" s="84">
        <f>2661720/10000000</f>
        <v>0.26617200000000002</v>
      </c>
      <c r="K31" s="84">
        <f>11596205/10000000</f>
        <v>1.1596204999999999</v>
      </c>
      <c r="M31" s="2015"/>
      <c r="N31" s="2006" t="s">
        <v>2</v>
      </c>
      <c r="O31" s="2007"/>
      <c r="P31" s="331">
        <v>12.05</v>
      </c>
      <c r="Q31" s="315">
        <v>4.3499999999999996</v>
      </c>
      <c r="R31" s="313">
        <f>F31+UPTOJUNE!F31</f>
        <v>1.1096170000000001</v>
      </c>
      <c r="S31" s="313">
        <f>G31+UPTOJUNE!G31</f>
        <v>8.5736295000000009</v>
      </c>
      <c r="T31" s="314">
        <f>(S31-Q31)/Q31*100</f>
        <v>97.094931034482798</v>
      </c>
      <c r="U31" s="314">
        <f t="shared" ref="U31:U37" si="1">(S31-R31)/R31*100</f>
        <v>672.66565851099983</v>
      </c>
    </row>
    <row r="32" spans="1:26" ht="15.4" x14ac:dyDescent="0.4">
      <c r="A32" s="2015"/>
      <c r="B32" s="2006" t="s">
        <v>23</v>
      </c>
      <c r="C32" s="2007"/>
      <c r="D32" s="331">
        <v>27.75</v>
      </c>
      <c r="E32" s="315">
        <v>2.19</v>
      </c>
      <c r="F32" s="313">
        <v>2.0230337</v>
      </c>
      <c r="G32" s="313">
        <v>2.8321035000000001</v>
      </c>
      <c r="H32" s="314">
        <f>(G32-E32)/E32*100</f>
        <v>29.319794520547955</v>
      </c>
      <c r="I32" s="314">
        <f t="shared" si="0"/>
        <v>39.992897795029322</v>
      </c>
      <c r="M32" s="2015"/>
      <c r="N32" s="2006" t="s">
        <v>23</v>
      </c>
      <c r="O32" s="2007"/>
      <c r="P32" s="331">
        <v>27.75</v>
      </c>
      <c r="Q32" s="315">
        <v>7.7899999999999991</v>
      </c>
      <c r="R32" s="313">
        <f>F32+UPTOJUNE!F32</f>
        <v>7.1898678</v>
      </c>
      <c r="S32" s="313">
        <f>G32+UPTOJUNE!G32</f>
        <v>10.311681399999999</v>
      </c>
      <c r="T32" s="314">
        <f>(S32-Q32)/Q32*100</f>
        <v>32.370749679075743</v>
      </c>
      <c r="U32" s="314">
        <f t="shared" si="1"/>
        <v>43.419624488784052</v>
      </c>
    </row>
    <row r="33" spans="1:28" ht="15.4" x14ac:dyDescent="0.4">
      <c r="A33" s="2015"/>
      <c r="B33" s="2006" t="s">
        <v>1</v>
      </c>
      <c r="C33" s="2007"/>
      <c r="D33" s="331">
        <v>5.77</v>
      </c>
      <c r="E33" s="315">
        <v>0.62</v>
      </c>
      <c r="F33" s="313">
        <v>0.1169375</v>
      </c>
      <c r="G33" s="313">
        <v>9.5558599999999994E-2</v>
      </c>
      <c r="H33" s="314">
        <f>(G33-E33)/E33*100</f>
        <v>-84.58732258064515</v>
      </c>
      <c r="I33" s="314">
        <f t="shared" si="0"/>
        <v>-18.282330304649925</v>
      </c>
      <c r="M33" s="2015"/>
      <c r="N33" s="2006" t="s">
        <v>1</v>
      </c>
      <c r="O33" s="2007"/>
      <c r="P33" s="331">
        <v>5.77</v>
      </c>
      <c r="Q33" s="315">
        <v>1.8599999999999999</v>
      </c>
      <c r="R33" s="313">
        <f>F33+UPTOJUNE!F33</f>
        <v>0.36056250000000001</v>
      </c>
      <c r="S33" s="313">
        <f>G33+UPTOJUNE!G33</f>
        <v>0.41432459999999999</v>
      </c>
      <c r="T33" s="314">
        <f>(S33-Q33)/Q33*100</f>
        <v>-77.724483870967745</v>
      </c>
      <c r="U33" s="314">
        <f t="shared" si="1"/>
        <v>14.910618824752984</v>
      </c>
    </row>
    <row r="34" spans="1:28" ht="15.4" x14ac:dyDescent="0.4">
      <c r="A34" s="2015"/>
      <c r="B34" s="2006" t="s">
        <v>24</v>
      </c>
      <c r="C34" s="2007"/>
      <c r="D34" s="603" t="s">
        <v>221</v>
      </c>
      <c r="E34" s="315"/>
      <c r="F34" s="313">
        <v>1.5003000000000001E-2</v>
      </c>
      <c r="G34" s="313">
        <v>0.227191</v>
      </c>
      <c r="H34" s="316" t="s">
        <v>221</v>
      </c>
      <c r="I34" s="314">
        <f t="shared" si="0"/>
        <v>1414.3038059054857</v>
      </c>
      <c r="M34" s="2015"/>
      <c r="N34" s="2006" t="s">
        <v>24</v>
      </c>
      <c r="O34" s="2007"/>
      <c r="P34" s="603" t="s">
        <v>221</v>
      </c>
      <c r="Q34" s="315"/>
      <c r="R34" s="313">
        <f>F34+UPTOJUNE!F34</f>
        <v>6.7908999999999997E-2</v>
      </c>
      <c r="S34" s="313">
        <f>G34+UPTOJUNE!G34</f>
        <v>1.1072739999999999</v>
      </c>
      <c r="T34" s="316" t="s">
        <v>221</v>
      </c>
      <c r="U34" s="314">
        <f t="shared" si="1"/>
        <v>1530.5261452826576</v>
      </c>
    </row>
    <row r="35" spans="1:28" ht="15.4" x14ac:dyDescent="0.4">
      <c r="A35" s="2015"/>
      <c r="B35" s="2017" t="s">
        <v>25</v>
      </c>
      <c r="C35" s="2030"/>
      <c r="D35" s="603" t="s">
        <v>221</v>
      </c>
      <c r="E35" s="315"/>
      <c r="F35" s="313">
        <v>0.65775939999999999</v>
      </c>
      <c r="G35" s="313">
        <v>1.0650203</v>
      </c>
      <c r="H35" s="316" t="s">
        <v>221</v>
      </c>
      <c r="I35" s="314">
        <f t="shared" si="0"/>
        <v>61.916393745190113</v>
      </c>
      <c r="M35" s="2015"/>
      <c r="N35" s="2017" t="s">
        <v>25</v>
      </c>
      <c r="O35" s="2030"/>
      <c r="P35" s="603" t="s">
        <v>221</v>
      </c>
      <c r="Q35" s="315"/>
      <c r="R35" s="313">
        <f>F35+UPTOJUNE!F35</f>
        <v>0.68822640000000002</v>
      </c>
      <c r="S35" s="313">
        <f>G35+UPTOJUNE!G35</f>
        <v>4.5166123999999996</v>
      </c>
      <c r="T35" s="316" t="s">
        <v>221</v>
      </c>
      <c r="U35" s="314">
        <f t="shared" si="1"/>
        <v>556.26840237456736</v>
      </c>
    </row>
    <row r="36" spans="1:28" ht="15.4" x14ac:dyDescent="0.4">
      <c r="A36" s="2016"/>
      <c r="B36" s="2017" t="s">
        <v>241</v>
      </c>
      <c r="C36" s="2030"/>
      <c r="D36" s="540" t="s">
        <v>221</v>
      </c>
      <c r="E36" s="316"/>
      <c r="F36" s="313">
        <v>1.5740901</v>
      </c>
      <c r="G36" s="313">
        <v>3.2202381999999998</v>
      </c>
      <c r="H36" s="316" t="s">
        <v>221</v>
      </c>
      <c r="I36" s="314">
        <f t="shared" si="0"/>
        <v>104.57775574600208</v>
      </c>
      <c r="J36" s="323">
        <f>(4823156)/10000000</f>
        <v>0.48231560000000001</v>
      </c>
      <c r="K36" s="323">
        <f>(20880+ 10612529)/10000000</f>
        <v>1.0633409</v>
      </c>
      <c r="M36" s="2016"/>
      <c r="N36" s="2017" t="s">
        <v>241</v>
      </c>
      <c r="O36" s="2030"/>
      <c r="P36" s="540" t="s">
        <v>221</v>
      </c>
      <c r="Q36" s="316"/>
      <c r="R36" s="313">
        <f>F36+UPTOJUNE!F36</f>
        <v>8.3930916999999994</v>
      </c>
      <c r="S36" s="313">
        <f>G36+UPTOJUNE!G36</f>
        <v>13.643115999999999</v>
      </c>
      <c r="T36" s="316" t="s">
        <v>221</v>
      </c>
      <c r="U36" s="314">
        <f t="shared" si="1"/>
        <v>62.551732873358226</v>
      </c>
    </row>
    <row r="37" spans="1:28" x14ac:dyDescent="0.4">
      <c r="A37" s="403"/>
      <c r="B37" s="2006" t="s">
        <v>260</v>
      </c>
      <c r="C37" s="2019"/>
      <c r="D37" s="540" t="s">
        <v>221</v>
      </c>
      <c r="E37" s="316"/>
      <c r="F37" s="313">
        <v>4.16703E-2</v>
      </c>
      <c r="G37" s="313">
        <v>9.68218E-2</v>
      </c>
      <c r="H37" s="413"/>
      <c r="I37" s="314">
        <f t="shared" si="0"/>
        <v>132.35205890046387</v>
      </c>
      <c r="M37" s="403"/>
      <c r="N37" s="2006" t="s">
        <v>260</v>
      </c>
      <c r="O37" s="2019"/>
      <c r="P37" s="540" t="s">
        <v>221</v>
      </c>
      <c r="Q37" s="316"/>
      <c r="R37" s="313">
        <f>F37+UPTOJUNE!F37</f>
        <v>0.12836439999999999</v>
      </c>
      <c r="S37" s="313">
        <f>G37+UPTOJUNE!G37</f>
        <v>0.30915120000000001</v>
      </c>
      <c r="T37" s="413"/>
      <c r="U37" s="314">
        <f t="shared" si="1"/>
        <v>140.83873721997691</v>
      </c>
    </row>
    <row r="38" spans="1:28" ht="15" x14ac:dyDescent="0.35">
      <c r="A38" s="2020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  <c r="M38" s="2020">
        <v>4</v>
      </c>
      <c r="N38" s="2309" t="s">
        <v>622</v>
      </c>
      <c r="O38" s="2310"/>
      <c r="P38" s="2310"/>
      <c r="Q38" s="2310"/>
      <c r="R38" s="2310"/>
      <c r="S38" s="2310"/>
      <c r="T38" s="2310"/>
      <c r="U38" s="2311"/>
    </row>
    <row r="39" spans="1:28" ht="15.4" x14ac:dyDescent="0.4">
      <c r="A39" s="2020"/>
      <c r="B39" s="2006" t="s">
        <v>27</v>
      </c>
      <c r="C39" s="2007"/>
      <c r="D39" s="331">
        <v>12.24</v>
      </c>
      <c r="E39" s="404">
        <v>1.02</v>
      </c>
      <c r="F39" s="313">
        <v>0.1072304</v>
      </c>
      <c r="G39" s="313">
        <v>0.5185746</v>
      </c>
      <c r="H39" s="314">
        <f>(G39-E39)/E39*100</f>
        <v>-49.159352941176472</v>
      </c>
      <c r="I39" s="314">
        <f t="shared" ref="I39:I44" si="2">(G39-F39)/F39*100</f>
        <v>383.60782017039941</v>
      </c>
      <c r="M39" s="2020"/>
      <c r="N39" s="2006" t="s">
        <v>27</v>
      </c>
      <c r="O39" s="2007"/>
      <c r="P39" s="331">
        <v>12.24</v>
      </c>
      <c r="Q39" s="315">
        <v>4.08</v>
      </c>
      <c r="R39" s="313">
        <f>F39+UPTOJUNE!F39</f>
        <v>0.76439520000000005</v>
      </c>
      <c r="S39" s="313">
        <f>G39+UPTOJUNE!G39</f>
        <v>2.5333432</v>
      </c>
      <c r="T39" s="314">
        <f>(S39-Q39)/Q39*100</f>
        <v>-37.908254901960788</v>
      </c>
      <c r="U39" s="314">
        <f t="shared" ref="U39:U44" si="3">(S39-R39)/R39*100</f>
        <v>231.41798901929263</v>
      </c>
      <c r="W39" s="5">
        <f>P39/12</f>
        <v>1.02</v>
      </c>
      <c r="X39" s="5">
        <f>W39*4</f>
        <v>4.08</v>
      </c>
    </row>
    <row r="40" spans="1:28" ht="15.4" x14ac:dyDescent="0.4">
      <c r="A40" s="2020"/>
      <c r="B40" s="2006" t="s">
        <v>28</v>
      </c>
      <c r="C40" s="2007"/>
      <c r="D40" s="333">
        <v>2.84</v>
      </c>
      <c r="E40" s="315">
        <v>0.23599999999999999</v>
      </c>
      <c r="F40" s="314">
        <v>6.2489099999999999E-2</v>
      </c>
      <c r="G40" s="381">
        <v>1.5909099999999999E-2</v>
      </c>
      <c r="H40" s="314">
        <f>(G40-E40)/E40*100</f>
        <v>-93.258855932203389</v>
      </c>
      <c r="I40" s="314">
        <f t="shared" si="2"/>
        <v>-74.540999950391338</v>
      </c>
      <c r="M40" s="2020"/>
      <c r="N40" s="2006" t="s">
        <v>28</v>
      </c>
      <c r="O40" s="2007"/>
      <c r="P40" s="333">
        <v>2.1</v>
      </c>
      <c r="Q40" s="315">
        <v>0.7</v>
      </c>
      <c r="R40" s="381">
        <f>F40+UPTOJUNE!F40</f>
        <v>8.7867000000000001E-2</v>
      </c>
      <c r="S40" s="313">
        <f>G40+UPTOJUNE!G40</f>
        <v>9.7507799999999992E-2</v>
      </c>
      <c r="T40" s="314">
        <f>(S40-Q40)/Q40*100</f>
        <v>-86.070314285714275</v>
      </c>
      <c r="U40" s="314">
        <f t="shared" si="3"/>
        <v>10.972037283621827</v>
      </c>
      <c r="W40" s="5">
        <f>P40/12</f>
        <v>0.17500000000000002</v>
      </c>
      <c r="X40" s="5">
        <f>W40*4</f>
        <v>0.70000000000000007</v>
      </c>
      <c r="Z40" s="5">
        <v>2.4500000000000002</v>
      </c>
      <c r="AA40" s="5">
        <f>Z40/12</f>
        <v>0.20416666666666669</v>
      </c>
      <c r="AB40" s="13">
        <f>AA40*4</f>
        <v>0.81666666666666676</v>
      </c>
    </row>
    <row r="41" spans="1:28" ht="15.4" x14ac:dyDescent="0.4">
      <c r="A41" s="2020"/>
      <c r="B41" s="378" t="s">
        <v>224</v>
      </c>
      <c r="C41" s="379"/>
      <c r="D41" s="331">
        <v>2.4500000000000002</v>
      </c>
      <c r="E41" s="323">
        <v>0.20416666666666669</v>
      </c>
      <c r="F41" s="381">
        <v>5.0520000000000003E-4</v>
      </c>
      <c r="G41" s="313">
        <v>7.9338400000000003E-2</v>
      </c>
      <c r="H41" s="314">
        <f>(G41-E41)/E41*100</f>
        <v>-61.14037551020408</v>
      </c>
      <c r="I41" s="314">
        <f t="shared" si="2"/>
        <v>15604.354711005541</v>
      </c>
      <c r="M41" s="2020"/>
      <c r="N41" s="378" t="s">
        <v>224</v>
      </c>
      <c r="O41" s="379"/>
      <c r="P41" s="331">
        <v>2.4500000000000002</v>
      </c>
      <c r="Q41" s="315">
        <v>0.82</v>
      </c>
      <c r="R41" s="313">
        <f>F41+UPTOJUNE!F41</f>
        <v>1.03111E-2</v>
      </c>
      <c r="S41" s="313">
        <f>G41+UPTOJUNE!G41</f>
        <v>0.1349986</v>
      </c>
      <c r="T41" s="314">
        <f>(S41-Q41)/Q41*100</f>
        <v>-83.536756097560982</v>
      </c>
      <c r="U41" s="314">
        <f t="shared" si="3"/>
        <v>1209.255074628313</v>
      </c>
      <c r="W41" s="5">
        <f>P41/12</f>
        <v>0.20416666666666669</v>
      </c>
      <c r="X41" s="5">
        <f>W41*4</f>
        <v>0.81666666666666676</v>
      </c>
    </row>
    <row r="42" spans="1:28" ht="15.4" x14ac:dyDescent="0.4">
      <c r="A42" s="2020"/>
      <c r="B42" s="2006" t="s">
        <v>64</v>
      </c>
      <c r="C42" s="2007"/>
      <c r="D42" s="540" t="s">
        <v>221</v>
      </c>
      <c r="E42" s="315"/>
      <c r="F42" s="314">
        <v>0</v>
      </c>
      <c r="G42" s="313">
        <v>0</v>
      </c>
      <c r="H42" s="314" t="s">
        <v>221</v>
      </c>
      <c r="I42" s="314" t="e">
        <f t="shared" si="2"/>
        <v>#DIV/0!</v>
      </c>
      <c r="M42" s="2020"/>
      <c r="N42" s="2006" t="s">
        <v>64</v>
      </c>
      <c r="O42" s="2007"/>
      <c r="P42" s="540" t="s">
        <v>221</v>
      </c>
      <c r="Q42" s="315"/>
      <c r="R42" s="313">
        <f>F42+UPTOJUNE!F42</f>
        <v>0</v>
      </c>
      <c r="S42" s="313">
        <f>G42+UPTOJUNE!G42</f>
        <v>0</v>
      </c>
      <c r="T42" s="314" t="s">
        <v>221</v>
      </c>
      <c r="U42" s="314" t="e">
        <f t="shared" si="3"/>
        <v>#DIV/0!</v>
      </c>
    </row>
    <row r="43" spans="1:28" ht="15.4" x14ac:dyDescent="0.4">
      <c r="A43" s="2020"/>
      <c r="B43" s="2006" t="s">
        <v>4</v>
      </c>
      <c r="C43" s="2007"/>
      <c r="D43" s="540" t="s">
        <v>221</v>
      </c>
      <c r="E43" s="315"/>
      <c r="F43" s="314">
        <v>0</v>
      </c>
      <c r="G43" s="381">
        <v>6.3045000000000002E-3</v>
      </c>
      <c r="H43" s="314" t="s">
        <v>221</v>
      </c>
      <c r="I43" s="314" t="e">
        <f t="shared" si="2"/>
        <v>#DIV/0!</v>
      </c>
      <c r="M43" s="2020"/>
      <c r="N43" s="2006" t="s">
        <v>4</v>
      </c>
      <c r="O43" s="2007"/>
      <c r="P43" s="540" t="s">
        <v>221</v>
      </c>
      <c r="Q43" s="315"/>
      <c r="R43" s="313">
        <f>F43+UPTOJUNE!F43</f>
        <v>3.9713100000000001E-2</v>
      </c>
      <c r="S43" s="313">
        <f>G43+UPTOJUNE!G43</f>
        <v>2.59045E-2</v>
      </c>
      <c r="T43" s="314" t="s">
        <v>221</v>
      </c>
      <c r="U43" s="314">
        <f t="shared" si="3"/>
        <v>-34.770894238928719</v>
      </c>
    </row>
    <row r="44" spans="1:28" x14ac:dyDescent="0.4">
      <c r="A44" s="373"/>
      <c r="B44" s="2006" t="s">
        <v>259</v>
      </c>
      <c r="C44" s="2019"/>
      <c r="D44" s="540" t="s">
        <v>221</v>
      </c>
      <c r="E44" s="315"/>
      <c r="F44" s="1039">
        <v>3.20234E-2</v>
      </c>
      <c r="G44" s="313">
        <v>7.3470099999999997E-2</v>
      </c>
      <c r="H44" s="407" t="s">
        <v>221</v>
      </c>
      <c r="I44" s="314">
        <f t="shared" si="2"/>
        <v>129.42629452213069</v>
      </c>
      <c r="M44" s="373"/>
      <c r="N44" s="2006" t="s">
        <v>259</v>
      </c>
      <c r="O44" s="2019"/>
      <c r="P44" s="540" t="s">
        <v>221</v>
      </c>
      <c r="Q44" s="315"/>
      <c r="R44" s="313">
        <f>F44+UPTOJUNE!F44</f>
        <v>0.11156649999999999</v>
      </c>
      <c r="S44" s="313">
        <f>G44+UPTOJUNE!G44</f>
        <v>0.35184579999999999</v>
      </c>
      <c r="T44" s="407" t="s">
        <v>221</v>
      </c>
      <c r="U44" s="314">
        <f t="shared" si="3"/>
        <v>215.36868145904015</v>
      </c>
    </row>
    <row r="45" spans="1:28" ht="15" x14ac:dyDescent="0.45">
      <c r="A45" s="2020"/>
      <c r="B45" s="2464" t="s">
        <v>419</v>
      </c>
      <c r="C45" s="2464"/>
      <c r="D45" s="2464"/>
      <c r="E45" s="2464"/>
      <c r="F45" s="2464"/>
      <c r="G45" s="2464"/>
      <c r="H45" s="2464"/>
      <c r="I45" s="2464"/>
      <c r="M45" s="2020"/>
      <c r="N45" s="2309" t="s">
        <v>419</v>
      </c>
      <c r="O45" s="2310"/>
      <c r="P45" s="2310"/>
      <c r="Q45" s="2310"/>
      <c r="R45" s="2310"/>
      <c r="S45" s="2310"/>
      <c r="T45" s="2310"/>
      <c r="U45" s="2311"/>
    </row>
    <row r="46" spans="1:28" ht="15.4" x14ac:dyDescent="0.4">
      <c r="A46" s="2020"/>
      <c r="B46" s="2006" t="s">
        <v>16</v>
      </c>
      <c r="C46" s="2007"/>
      <c r="D46" s="331">
        <v>37.090000000000003</v>
      </c>
      <c r="E46" s="315">
        <v>3.66</v>
      </c>
      <c r="F46" s="315">
        <v>0.160717</v>
      </c>
      <c r="G46" s="315">
        <v>1.4243969999999999</v>
      </c>
      <c r="H46" s="316">
        <f>(G46-E46)/E46*100</f>
        <v>-61.082049180327871</v>
      </c>
      <c r="I46" s="314">
        <f>(G46-F46)/F46*100</f>
        <v>786.27649844135965</v>
      </c>
      <c r="L46" s="5">
        <f>K46/100000</f>
        <v>0</v>
      </c>
      <c r="M46" s="2020"/>
      <c r="N46" s="2006" t="s">
        <v>16</v>
      </c>
      <c r="O46" s="2007"/>
      <c r="P46" s="331">
        <v>37.090000000000003</v>
      </c>
      <c r="Q46" s="315">
        <v>9.81</v>
      </c>
      <c r="R46" s="315">
        <f>F46+UPTOJUNE!F46</f>
        <v>0.48138700000000001</v>
      </c>
      <c r="S46" s="315">
        <f>G46+UPTOJUNE!G46</f>
        <v>5.3253019999999998</v>
      </c>
      <c r="T46" s="316">
        <f>(S46-Q46)/Q46*100</f>
        <v>-45.7155759429154</v>
      </c>
      <c r="U46" s="314">
        <f>(S46-R46)/R46*100</f>
        <v>1006.2413401275895</v>
      </c>
    </row>
    <row r="47" spans="1:28" ht="15.4" x14ac:dyDescent="0.4">
      <c r="A47" s="2020"/>
      <c r="B47" s="2069" t="s">
        <v>15</v>
      </c>
      <c r="C47" s="320" t="s">
        <v>166</v>
      </c>
      <c r="D47" s="2067">
        <v>43.23</v>
      </c>
      <c r="E47" s="2154">
        <v>3.73</v>
      </c>
      <c r="F47" s="315">
        <v>5.4493E-2</v>
      </c>
      <c r="G47" s="315">
        <v>1.1149039999999999</v>
      </c>
      <c r="H47" s="2027">
        <f>L47</f>
        <v>-40.675361930294905</v>
      </c>
      <c r="I47" s="314">
        <f>(G47-F47)/F47*100</f>
        <v>1945.9581964656011</v>
      </c>
      <c r="K47" s="323">
        <f>G47+G48</f>
        <v>2.212809</v>
      </c>
      <c r="L47" s="13">
        <f>(K47-E47)/E47*100</f>
        <v>-40.675361930294905</v>
      </c>
      <c r="M47" s="2020"/>
      <c r="N47" s="2069" t="s">
        <v>15</v>
      </c>
      <c r="O47" s="320" t="s">
        <v>166</v>
      </c>
      <c r="P47" s="2067">
        <v>43.23</v>
      </c>
      <c r="Q47" s="2154">
        <v>12.27</v>
      </c>
      <c r="R47" s="315">
        <f>F47+UPTOJUNE!F47</f>
        <v>0.16163299999999997</v>
      </c>
      <c r="S47" s="315">
        <f>G47+UPTOJUNE!G47</f>
        <v>3.203004</v>
      </c>
      <c r="T47" s="2027">
        <f>X47</f>
        <v>-37.062754686226562</v>
      </c>
      <c r="U47" s="314">
        <f>(S47-R47)/R47*100</f>
        <v>1881.652261604994</v>
      </c>
      <c r="W47" s="12">
        <f>S47+S48</f>
        <v>7.7224000000000004</v>
      </c>
      <c r="X47" s="5">
        <f>(W47-Q47)/Q47*100</f>
        <v>-37.062754686226562</v>
      </c>
    </row>
    <row r="48" spans="1:28" ht="16.149999999999999" thickBot="1" x14ac:dyDescent="0.5">
      <c r="A48" s="2020"/>
      <c r="B48" s="2070"/>
      <c r="C48" s="320" t="s">
        <v>228</v>
      </c>
      <c r="D48" s="2068"/>
      <c r="E48" s="2155"/>
      <c r="F48" s="315">
        <v>0.77303999999999995</v>
      </c>
      <c r="G48" s="315">
        <v>1.0979049999999999</v>
      </c>
      <c r="H48" s="2029"/>
      <c r="I48" s="314">
        <f>(G48-F48)/F48*100</f>
        <v>42.024345441374308</v>
      </c>
      <c r="J48" s="910"/>
      <c r="K48" s="755"/>
      <c r="M48" s="2020"/>
      <c r="N48" s="2070"/>
      <c r="O48" s="320" t="s">
        <v>228</v>
      </c>
      <c r="P48" s="2068"/>
      <c r="Q48" s="2155"/>
      <c r="R48" s="315">
        <f>F48+UPTOJUNE!F48</f>
        <v>1.9798149999999999</v>
      </c>
      <c r="S48" s="315">
        <f>G48+UPTOJUNE!G48</f>
        <v>4.5193960000000004</v>
      </c>
      <c r="T48" s="2029"/>
      <c r="U48" s="314">
        <f>(S48-R48)/R48*100</f>
        <v>128.27365183110547</v>
      </c>
    </row>
    <row r="49" spans="1:23" ht="15.75" customHeight="1" x14ac:dyDescent="0.35">
      <c r="A49" s="2020">
        <v>6</v>
      </c>
      <c r="B49" s="2309" t="s">
        <v>738</v>
      </c>
      <c r="C49" s="2310"/>
      <c r="D49" s="2310"/>
      <c r="E49" s="2310"/>
      <c r="F49" s="2310"/>
      <c r="G49" s="2310"/>
      <c r="H49" s="2310"/>
      <c r="I49" s="2311"/>
      <c r="M49" s="2020">
        <v>6</v>
      </c>
      <c r="N49" s="2309" t="s">
        <v>738</v>
      </c>
      <c r="O49" s="2310"/>
      <c r="P49" s="2310"/>
      <c r="Q49" s="2310"/>
      <c r="R49" s="2310"/>
      <c r="S49" s="2310"/>
      <c r="T49" s="2310"/>
      <c r="U49" s="2311"/>
    </row>
    <row r="50" spans="1:23" ht="15.4" x14ac:dyDescent="0.4">
      <c r="A50" s="2020"/>
      <c r="B50" s="2006" t="s">
        <v>36</v>
      </c>
      <c r="C50" s="2007"/>
      <c r="D50" s="303" t="s">
        <v>221</v>
      </c>
      <c r="E50" s="2024" t="s">
        <v>221</v>
      </c>
      <c r="F50" s="313">
        <v>220.63</v>
      </c>
      <c r="G50" s="313">
        <v>219.34</v>
      </c>
      <c r="H50" s="2027" t="s">
        <v>221</v>
      </c>
      <c r="I50" s="314">
        <f>(G50-F50)/F50*100</f>
        <v>-0.58468929882608534</v>
      </c>
      <c r="M50" s="2020"/>
      <c r="N50" s="2006" t="s">
        <v>36</v>
      </c>
      <c r="O50" s="2007"/>
      <c r="P50" s="303" t="s">
        <v>221</v>
      </c>
      <c r="Q50" s="2024" t="s">
        <v>221</v>
      </c>
      <c r="R50" s="313">
        <v>220.63</v>
      </c>
      <c r="S50" s="313">
        <v>219.34</v>
      </c>
      <c r="T50" s="2027" t="s">
        <v>221</v>
      </c>
      <c r="U50" s="314">
        <f>(S50-R50)/R50*100</f>
        <v>-0.58468929882608534</v>
      </c>
    </row>
    <row r="51" spans="1:23" ht="15.4" x14ac:dyDescent="0.4">
      <c r="A51" s="2020"/>
      <c r="B51" s="2006" t="s">
        <v>37</v>
      </c>
      <c r="C51" s="2007"/>
      <c r="D51" s="303" t="s">
        <v>221</v>
      </c>
      <c r="E51" s="2025"/>
      <c r="F51" s="313">
        <v>30.9</v>
      </c>
      <c r="G51" s="313">
        <v>43.37</v>
      </c>
      <c r="H51" s="2028"/>
      <c r="I51" s="314">
        <f>(G51-F51)/F51*100</f>
        <v>40.355987055016179</v>
      </c>
      <c r="M51" s="2020"/>
      <c r="N51" s="2006" t="s">
        <v>37</v>
      </c>
      <c r="O51" s="2007"/>
      <c r="P51" s="303" t="s">
        <v>221</v>
      </c>
      <c r="Q51" s="2025"/>
      <c r="R51" s="313">
        <v>30.9</v>
      </c>
      <c r="S51" s="313">
        <v>43.37</v>
      </c>
      <c r="T51" s="2028"/>
      <c r="U51" s="314">
        <f>(S51-R51)/R51*100</f>
        <v>40.355987055016179</v>
      </c>
    </row>
    <row r="52" spans="1:23" ht="15.4" x14ac:dyDescent="0.4">
      <c r="A52" s="2020"/>
      <c r="B52" s="2006" t="s">
        <v>38</v>
      </c>
      <c r="C52" s="2007"/>
      <c r="D52" s="303" t="s">
        <v>221</v>
      </c>
      <c r="E52" s="2026"/>
      <c r="F52" s="313">
        <f>SUM(F50:F51)</f>
        <v>251.53</v>
      </c>
      <c r="G52" s="313">
        <f>SUM(G50:G51)</f>
        <v>262.70999999999998</v>
      </c>
      <c r="H52" s="2029"/>
      <c r="I52" s="314">
        <f>(G52-F52)/F52*100</f>
        <v>4.4447978372361066</v>
      </c>
      <c r="M52" s="2020"/>
      <c r="N52" s="2006" t="s">
        <v>38</v>
      </c>
      <c r="O52" s="2007"/>
      <c r="P52" s="303" t="s">
        <v>221</v>
      </c>
      <c r="Q52" s="2026"/>
      <c r="R52" s="313">
        <f>SUM(R50:R51)</f>
        <v>251.53</v>
      </c>
      <c r="S52" s="313">
        <f>SUM(S50:S51)</f>
        <v>262.70999999999998</v>
      </c>
      <c r="T52" s="2029"/>
      <c r="U52" s="314">
        <f>(S52-R52)/R52*100</f>
        <v>4.4447978372361066</v>
      </c>
      <c r="W52" s="5">
        <v>15</v>
      </c>
    </row>
    <row r="53" spans="1:23" x14ac:dyDescent="0.35">
      <c r="W53" s="5">
        <f>W52/12</f>
        <v>1.25</v>
      </c>
    </row>
    <row r="54" spans="1:23" x14ac:dyDescent="0.35">
      <c r="D54" s="84">
        <f>D39*10000000</f>
        <v>122400000</v>
      </c>
      <c r="E54" s="35">
        <f>D54/100000</f>
        <v>1224</v>
      </c>
      <c r="F54" s="11">
        <f>E54/12</f>
        <v>102</v>
      </c>
      <c r="G54" s="11">
        <f>F54*3</f>
        <v>306</v>
      </c>
      <c r="W54" s="5">
        <f>W53*4</f>
        <v>5</v>
      </c>
    </row>
    <row r="55" spans="1:23" x14ac:dyDescent="0.35">
      <c r="D55" s="84">
        <f>D40*10000000</f>
        <v>28400000</v>
      </c>
      <c r="E55" s="35">
        <f>D55/100000</f>
        <v>284</v>
      </c>
      <c r="F55" s="11">
        <f>E55/12</f>
        <v>23.666666666666668</v>
      </c>
      <c r="G55" s="11">
        <f>F55*3</f>
        <v>71</v>
      </c>
    </row>
    <row r="56" spans="1:23" x14ac:dyDescent="0.35">
      <c r="D56" s="84">
        <f>D41*10000000</f>
        <v>24500000</v>
      </c>
      <c r="E56" s="35">
        <f>D56/100000</f>
        <v>245</v>
      </c>
      <c r="F56" s="11">
        <f>E56/12</f>
        <v>20.416666666666668</v>
      </c>
      <c r="G56" s="11">
        <f>F56*3</f>
        <v>61.25</v>
      </c>
    </row>
    <row r="60" spans="1:23" x14ac:dyDescent="0.35">
      <c r="F60" s="6" t="s">
        <v>710</v>
      </c>
      <c r="G60" s="6"/>
      <c r="H60" s="31" t="s">
        <v>195</v>
      </c>
      <c r="I60" s="79" t="s">
        <v>227</v>
      </c>
      <c r="J60" s="85"/>
    </row>
    <row r="61" spans="1:23" x14ac:dyDescent="0.35">
      <c r="E61" s="7">
        <f>252170+116910</f>
        <v>369080</v>
      </c>
      <c r="F61" s="6" t="s">
        <v>166</v>
      </c>
      <c r="G61" s="6" t="s">
        <v>94</v>
      </c>
      <c r="H61" s="7">
        <f>E61+P74</f>
        <v>396315</v>
      </c>
      <c r="I61" s="210">
        <f>7277706</f>
        <v>7277706</v>
      </c>
      <c r="J61" s="85"/>
    </row>
    <row r="62" spans="1:23" x14ac:dyDescent="0.35">
      <c r="E62" s="7">
        <f>324369+78825</f>
        <v>403194</v>
      </c>
      <c r="F62" s="6"/>
      <c r="G62" s="6" t="s">
        <v>502</v>
      </c>
      <c r="H62" s="7">
        <f>E62+O74</f>
        <v>437449</v>
      </c>
      <c r="I62" s="210">
        <f>69597020</f>
        <v>69597020</v>
      </c>
      <c r="J62" s="85"/>
      <c r="O62" s="5" t="s">
        <v>195</v>
      </c>
      <c r="Q62" s="5" t="s">
        <v>196</v>
      </c>
    </row>
    <row r="63" spans="1:23" x14ac:dyDescent="0.55000000000000004">
      <c r="E63" s="1131">
        <v>261326144</v>
      </c>
      <c r="F63" s="6"/>
      <c r="G63" s="6" t="s">
        <v>228</v>
      </c>
      <c r="H63" s="7">
        <v>354448808</v>
      </c>
      <c r="I63" s="1131">
        <v>613309642</v>
      </c>
      <c r="J63" s="85"/>
      <c r="L63" s="755"/>
      <c r="N63" s="755">
        <v>21</v>
      </c>
      <c r="O63" s="5">
        <v>11230</v>
      </c>
      <c r="P63" s="5">
        <v>4595</v>
      </c>
      <c r="Q63" s="5">
        <v>5270</v>
      </c>
    </row>
    <row r="64" spans="1:23" x14ac:dyDescent="0.35">
      <c r="F64" s="6"/>
      <c r="G64" s="6"/>
      <c r="H64" s="7"/>
      <c r="I64" s="79"/>
      <c r="J64" s="85"/>
      <c r="N64" s="5">
        <v>22</v>
      </c>
      <c r="O64" s="5">
        <v>7085</v>
      </c>
      <c r="P64" s="5">
        <v>8925</v>
      </c>
      <c r="Q64" s="5">
        <v>2600</v>
      </c>
    </row>
    <row r="65" spans="4:17" x14ac:dyDescent="0.35">
      <c r="F65" s="6"/>
      <c r="G65" s="6"/>
      <c r="H65" s="7"/>
      <c r="I65" s="79"/>
      <c r="J65" s="85"/>
      <c r="N65" s="5">
        <v>23</v>
      </c>
      <c r="O65" s="5">
        <v>8945</v>
      </c>
      <c r="P65" s="5">
        <v>8514</v>
      </c>
      <c r="Q65" s="5">
        <v>3170</v>
      </c>
    </row>
    <row r="66" spans="4:17" x14ac:dyDescent="0.35">
      <c r="F66" s="6" t="s">
        <v>164</v>
      </c>
      <c r="G66" s="6"/>
      <c r="H66" s="7"/>
      <c r="I66" s="79"/>
      <c r="J66" s="85"/>
      <c r="N66" s="5">
        <v>24</v>
      </c>
      <c r="O66" s="5">
        <v>6995</v>
      </c>
      <c r="P66" s="5">
        <v>5201</v>
      </c>
      <c r="Q66" s="5">
        <v>1780</v>
      </c>
    </row>
    <row r="67" spans="4:17" x14ac:dyDescent="0.35">
      <c r="E67" s="7">
        <f>17058+82424</f>
        <v>99482</v>
      </c>
      <c r="F67" s="6" t="s">
        <v>166</v>
      </c>
      <c r="G67" s="6" t="s">
        <v>94</v>
      </c>
      <c r="H67" s="7">
        <f>E67+P86</f>
        <v>104752</v>
      </c>
      <c r="I67" s="210">
        <v>1119689</v>
      </c>
      <c r="J67" s="85"/>
      <c r="N67" s="5">
        <v>25</v>
      </c>
    </row>
    <row r="68" spans="4:17" x14ac:dyDescent="0.35">
      <c r="E68" s="7">
        <f>9665+29332</f>
        <v>38997</v>
      </c>
      <c r="F68" s="6"/>
      <c r="G68" s="6" t="s">
        <v>502</v>
      </c>
      <c r="H68" s="7">
        <f>E68+O86</f>
        <v>41631</v>
      </c>
      <c r="I68" s="210">
        <v>876362</v>
      </c>
      <c r="J68" s="85"/>
      <c r="N68" s="5">
        <v>26</v>
      </c>
    </row>
    <row r="69" spans="4:17" ht="17.25" thickBot="1" x14ac:dyDescent="0.6">
      <c r="E69" s="755">
        <v>458205</v>
      </c>
      <c r="F69" s="6"/>
      <c r="G69" s="6" t="s">
        <v>228</v>
      </c>
      <c r="H69" s="755">
        <v>608660</v>
      </c>
      <c r="I69" s="910">
        <v>846913</v>
      </c>
      <c r="J69" s="85"/>
      <c r="K69" s="910"/>
      <c r="N69" s="5">
        <v>27</v>
      </c>
    </row>
    <row r="70" spans="4:17" x14ac:dyDescent="0.35">
      <c r="F70" s="6"/>
      <c r="G70" s="6"/>
      <c r="H70" s="31"/>
      <c r="I70" s="79"/>
      <c r="J70" s="85"/>
      <c r="N70" s="5">
        <v>28</v>
      </c>
    </row>
    <row r="71" spans="4:17" x14ac:dyDescent="0.35">
      <c r="N71" s="5">
        <v>29</v>
      </c>
    </row>
    <row r="72" spans="4:17" ht="17.25" thickBot="1" x14ac:dyDescent="0.6">
      <c r="G72" s="5" t="s">
        <v>435</v>
      </c>
      <c r="H72" s="910">
        <v>12313294</v>
      </c>
      <c r="I72" s="755">
        <v>25166525</v>
      </c>
      <c r="N72" s="5">
        <v>30</v>
      </c>
    </row>
    <row r="73" spans="4:17" ht="17.25" thickBot="1" x14ac:dyDescent="0.4">
      <c r="E73" s="84"/>
      <c r="G73" s="5" t="s">
        <v>181</v>
      </c>
      <c r="H73" s="11">
        <f>55300+48950</f>
        <v>104250</v>
      </c>
      <c r="I73" s="82">
        <f>570700+Q74</f>
        <v>583520</v>
      </c>
      <c r="K73" s="910"/>
      <c r="N73" s="5">
        <v>31</v>
      </c>
    </row>
    <row r="74" spans="4:17" x14ac:dyDescent="0.35">
      <c r="D74" s="84">
        <f>147.85-8.45</f>
        <v>139.4</v>
      </c>
      <c r="E74" s="35">
        <f>219.13-8.97</f>
        <v>210.16</v>
      </c>
      <c r="F74" s="5" t="s">
        <v>734</v>
      </c>
      <c r="G74" s="5" t="s">
        <v>734</v>
      </c>
      <c r="H74" s="41">
        <f>D74*100000</f>
        <v>13940000</v>
      </c>
      <c r="I74" s="41">
        <f>E74*100000</f>
        <v>21016000</v>
      </c>
      <c r="O74" s="5">
        <f>SUM(O63:O73)</f>
        <v>34255</v>
      </c>
      <c r="P74" s="5">
        <f>SUM(P63:P73)</f>
        <v>27235</v>
      </c>
      <c r="Q74" s="5">
        <f>SUM(Q63:Q73)</f>
        <v>12820</v>
      </c>
    </row>
    <row r="75" spans="4:17" x14ac:dyDescent="0.55000000000000004">
      <c r="D75" s="84">
        <v>8.4499999999999993</v>
      </c>
      <c r="E75" s="35">
        <v>8.9700000000000006</v>
      </c>
      <c r="F75" s="5" t="s">
        <v>735</v>
      </c>
      <c r="G75" s="5" t="s">
        <v>735</v>
      </c>
      <c r="H75" s="41">
        <f>D75*100000</f>
        <v>844999.99999999988</v>
      </c>
      <c r="I75" s="41">
        <f>E75*100000</f>
        <v>897000.00000000012</v>
      </c>
      <c r="N75" s="755">
        <v>21</v>
      </c>
      <c r="O75" s="5">
        <v>727</v>
      </c>
      <c r="P75" s="5">
        <v>768</v>
      </c>
    </row>
    <row r="76" spans="4:17" x14ac:dyDescent="0.35">
      <c r="N76" s="5">
        <v>22</v>
      </c>
      <c r="O76" s="5">
        <v>713</v>
      </c>
      <c r="P76" s="5">
        <v>1986</v>
      </c>
    </row>
    <row r="77" spans="4:17" x14ac:dyDescent="0.35">
      <c r="N77" s="5">
        <v>23</v>
      </c>
      <c r="O77" s="5">
        <v>837</v>
      </c>
      <c r="P77" s="5">
        <v>1585</v>
      </c>
    </row>
    <row r="78" spans="4:17" x14ac:dyDescent="0.35">
      <c r="N78" s="5">
        <v>24</v>
      </c>
      <c r="O78" s="5">
        <v>357</v>
      </c>
      <c r="P78" s="5">
        <v>931</v>
      </c>
    </row>
    <row r="79" spans="4:17" x14ac:dyDescent="0.35">
      <c r="N79" s="5">
        <v>25</v>
      </c>
    </row>
    <row r="80" spans="4:17" x14ac:dyDescent="0.35">
      <c r="N80" s="5">
        <v>26</v>
      </c>
    </row>
    <row r="81" spans="14:16" x14ac:dyDescent="0.35">
      <c r="N81" s="5">
        <v>27</v>
      </c>
    </row>
    <row r="82" spans="14:16" x14ac:dyDescent="0.35">
      <c r="N82" s="5">
        <v>28</v>
      </c>
    </row>
    <row r="83" spans="14:16" x14ac:dyDescent="0.35">
      <c r="N83" s="5">
        <v>29</v>
      </c>
    </row>
    <row r="84" spans="14:16" x14ac:dyDescent="0.35">
      <c r="N84" s="5">
        <v>30</v>
      </c>
    </row>
    <row r="85" spans="14:16" x14ac:dyDescent="0.35">
      <c r="N85" s="5">
        <v>31</v>
      </c>
    </row>
    <row r="86" spans="14:16" x14ac:dyDescent="0.35">
      <c r="O86" s="5">
        <f>SUM(O75:O85)</f>
        <v>2634</v>
      </c>
      <c r="P86" s="5">
        <f>SUM(P75:P85)</f>
        <v>5270</v>
      </c>
    </row>
  </sheetData>
  <mergeCells count="120">
    <mergeCell ref="B6:C6"/>
    <mergeCell ref="B7:C7"/>
    <mergeCell ref="B8:C8"/>
    <mergeCell ref="B9:C9"/>
    <mergeCell ref="B10:C10"/>
    <mergeCell ref="A11:I11"/>
    <mergeCell ref="A1:I1"/>
    <mergeCell ref="A2:I2"/>
    <mergeCell ref="A3:A5"/>
    <mergeCell ref="B3:C5"/>
    <mergeCell ref="D3:E3"/>
    <mergeCell ref="F3:G3"/>
    <mergeCell ref="H3:I3"/>
    <mergeCell ref="D5:E5"/>
    <mergeCell ref="A18:A26"/>
    <mergeCell ref="C18:E18"/>
    <mergeCell ref="F18:G18"/>
    <mergeCell ref="B28:C29"/>
    <mergeCell ref="D28:E28"/>
    <mergeCell ref="F28:G28"/>
    <mergeCell ref="B12:C12"/>
    <mergeCell ref="B13:I13"/>
    <mergeCell ref="A14:A17"/>
    <mergeCell ref="B14:I14"/>
    <mergeCell ref="B15:C15"/>
    <mergeCell ref="B16:B17"/>
    <mergeCell ref="D16:D17"/>
    <mergeCell ref="E16:E17"/>
    <mergeCell ref="H16:H17"/>
    <mergeCell ref="B37:C37"/>
    <mergeCell ref="A38:A43"/>
    <mergeCell ref="B38:I38"/>
    <mergeCell ref="B39:C39"/>
    <mergeCell ref="B40:C40"/>
    <mergeCell ref="B42:C42"/>
    <mergeCell ref="B43:C43"/>
    <mergeCell ref="H28:I28"/>
    <mergeCell ref="A30:A36"/>
    <mergeCell ref="B30:I30"/>
    <mergeCell ref="B31:C31"/>
    <mergeCell ref="B32:C32"/>
    <mergeCell ref="B33:C33"/>
    <mergeCell ref="B34:C34"/>
    <mergeCell ref="B35:C35"/>
    <mergeCell ref="B36:C36"/>
    <mergeCell ref="A49:A52"/>
    <mergeCell ref="B49:I49"/>
    <mergeCell ref="B50:C50"/>
    <mergeCell ref="E50:E52"/>
    <mergeCell ref="H50:H52"/>
    <mergeCell ref="B51:C51"/>
    <mergeCell ref="B52:C52"/>
    <mergeCell ref="B44:C44"/>
    <mergeCell ref="A45:A48"/>
    <mergeCell ref="B45:I45"/>
    <mergeCell ref="B46:C46"/>
    <mergeCell ref="B47:B48"/>
    <mergeCell ref="D47:D48"/>
    <mergeCell ref="E47:E48"/>
    <mergeCell ref="H47:H48"/>
    <mergeCell ref="N6:O6"/>
    <mergeCell ref="N7:O7"/>
    <mergeCell ref="N8:O8"/>
    <mergeCell ref="N9:O9"/>
    <mergeCell ref="N10:O10"/>
    <mergeCell ref="M11:U11"/>
    <mergeCell ref="M1:U1"/>
    <mergeCell ref="M2:U2"/>
    <mergeCell ref="M3:M5"/>
    <mergeCell ref="N3:O5"/>
    <mergeCell ref="P3:Q3"/>
    <mergeCell ref="R3:S3"/>
    <mergeCell ref="T3:U3"/>
    <mergeCell ref="P5:Q5"/>
    <mergeCell ref="M18:M26"/>
    <mergeCell ref="O18:Q18"/>
    <mergeCell ref="N28:O29"/>
    <mergeCell ref="P28:Q28"/>
    <mergeCell ref="R28:S28"/>
    <mergeCell ref="N12:O12"/>
    <mergeCell ref="N13:U13"/>
    <mergeCell ref="M14:M17"/>
    <mergeCell ref="N14:U14"/>
    <mergeCell ref="N15:O15"/>
    <mergeCell ref="N16:N17"/>
    <mergeCell ref="P16:P17"/>
    <mergeCell ref="Q16:Q17"/>
    <mergeCell ref="T16:T17"/>
    <mergeCell ref="R18:U18"/>
    <mergeCell ref="N37:O37"/>
    <mergeCell ref="M38:M43"/>
    <mergeCell ref="N38:U38"/>
    <mergeCell ref="N39:O39"/>
    <mergeCell ref="N40:O40"/>
    <mergeCell ref="N42:O42"/>
    <mergeCell ref="N43:O43"/>
    <mergeCell ref="T28:U28"/>
    <mergeCell ref="M30:M36"/>
    <mergeCell ref="N30:U30"/>
    <mergeCell ref="N31:O31"/>
    <mergeCell ref="N32:O32"/>
    <mergeCell ref="N33:O33"/>
    <mergeCell ref="N34:O34"/>
    <mergeCell ref="N35:O35"/>
    <mergeCell ref="N36:O36"/>
    <mergeCell ref="M49:M52"/>
    <mergeCell ref="N49:U49"/>
    <mergeCell ref="N50:O50"/>
    <mergeCell ref="Q50:Q52"/>
    <mergeCell ref="T50:T52"/>
    <mergeCell ref="N51:O51"/>
    <mergeCell ref="N52:O52"/>
    <mergeCell ref="N44:O44"/>
    <mergeCell ref="M45:M48"/>
    <mergeCell ref="N45:U45"/>
    <mergeCell ref="N46:O46"/>
    <mergeCell ref="N47:N48"/>
    <mergeCell ref="P47:P48"/>
    <mergeCell ref="Q47:Q48"/>
    <mergeCell ref="T47:T48"/>
  </mergeCells>
  <pageMargins left="0.2" right="0.2" top="0.41" bottom="0.32" header="0.3" footer="0.3"/>
  <pageSetup paperSize="9" scale="28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D4106-4806-485E-92D1-4BF90D9EFC12}">
  <sheetPr>
    <pageSetUpPr fitToPage="1"/>
  </sheetPr>
  <dimension ref="A1:AH153"/>
  <sheetViews>
    <sheetView topLeftCell="A7" zoomScale="80" zoomScaleNormal="80" workbookViewId="0">
      <selection activeCell="S16" sqref="S16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2.1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0" width="13.73046875" style="5" customWidth="1"/>
    <col min="21" max="21" width="12.3984375" style="5" customWidth="1"/>
    <col min="22" max="22" width="9.1328125" style="5"/>
    <col min="23" max="23" width="12.3984375" style="5" bestFit="1" customWidth="1"/>
    <col min="24" max="24" width="13.3984375" style="172" customWidth="1"/>
    <col min="25" max="25" width="11.265625" style="5" bestFit="1" customWidth="1"/>
    <col min="26" max="26" width="10.265625" style="5" bestFit="1" customWidth="1"/>
    <col min="27" max="27" width="10.59765625" style="5" bestFit="1" customWidth="1"/>
    <col min="28" max="28" width="9.1328125" style="5"/>
    <col min="29" max="29" width="37.3984375" style="5" customWidth="1"/>
    <col min="30" max="30" width="16.59765625" style="5" customWidth="1"/>
    <col min="31" max="31" width="16.86328125" style="5" customWidth="1"/>
    <col min="32" max="32" width="17.59765625" style="5" customWidth="1"/>
    <col min="33" max="33" width="16.3984375" style="5" bestFit="1" customWidth="1"/>
    <col min="34" max="34" width="15.1328125" style="5" customWidth="1"/>
    <col min="35" max="16384" width="9.1328125" style="5"/>
  </cols>
  <sheetData>
    <row r="1" spans="1:34" ht="21.75" customHeight="1" x14ac:dyDescent="0.35">
      <c r="A1" s="2156" t="s">
        <v>924</v>
      </c>
      <c r="B1" s="2156"/>
      <c r="C1" s="2156"/>
      <c r="D1" s="2156"/>
      <c r="E1" s="2156"/>
      <c r="F1" s="2156"/>
      <c r="G1" s="2156"/>
      <c r="H1" s="2156"/>
      <c r="I1" s="2156"/>
      <c r="M1" s="2156" t="s">
        <v>928</v>
      </c>
      <c r="N1" s="2156"/>
      <c r="O1" s="2156"/>
      <c r="P1" s="2156"/>
      <c r="Q1" s="2156"/>
      <c r="R1" s="2156"/>
      <c r="S1" s="2156"/>
      <c r="T1" s="2156"/>
      <c r="U1" s="2156"/>
    </row>
    <row r="2" spans="1:34" s="301" customFormat="1" ht="18" thickBot="1" x14ac:dyDescent="0.4">
      <c r="A2" s="2346" t="s">
        <v>905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346" t="s">
        <v>929</v>
      </c>
      <c r="N2" s="2347"/>
      <c r="O2" s="2347"/>
      <c r="P2" s="2347"/>
      <c r="Q2" s="2347"/>
      <c r="R2" s="2347"/>
      <c r="S2" s="2347"/>
      <c r="T2" s="2347"/>
      <c r="U2" s="2348"/>
      <c r="X2" s="1149"/>
      <c r="AC2" s="2326" t="s">
        <v>781</v>
      </c>
      <c r="AD2" s="2326"/>
      <c r="AE2" s="2326"/>
      <c r="AF2" s="2326"/>
      <c r="AG2" s="2326"/>
      <c r="AH2" s="2326"/>
    </row>
    <row r="3" spans="1:34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</row>
    <row r="4" spans="1:34" s="35" customFormat="1" ht="21.75" customHeight="1" x14ac:dyDescent="0.35">
      <c r="A4" s="2360"/>
      <c r="B4" s="2343"/>
      <c r="C4" s="1516" t="s">
        <v>666</v>
      </c>
      <c r="D4" s="1424" t="s">
        <v>879</v>
      </c>
      <c r="E4" s="1445">
        <f>G4</f>
        <v>45108</v>
      </c>
      <c r="F4" s="422">
        <v>44763</v>
      </c>
      <c r="G4" s="422">
        <v>45108</v>
      </c>
      <c r="H4" s="2335" t="s">
        <v>12</v>
      </c>
      <c r="I4" s="2335" t="s">
        <v>13</v>
      </c>
      <c r="J4" s="323"/>
      <c r="K4" s="323"/>
      <c r="L4" s="1574"/>
      <c r="M4" s="2358"/>
      <c r="N4" s="2343"/>
      <c r="O4" s="1183" t="s">
        <v>666</v>
      </c>
      <c r="P4" s="421" t="s">
        <v>9</v>
      </c>
      <c r="Q4" s="422">
        <f>E4</f>
        <v>45108</v>
      </c>
      <c r="R4" s="422">
        <f>F4</f>
        <v>44763</v>
      </c>
      <c r="S4" s="422">
        <f>G4</f>
        <v>45108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</row>
    <row r="5" spans="1:34" ht="18.75" hidden="1" customHeight="1" x14ac:dyDescent="0.5">
      <c r="A5" s="2361"/>
      <c r="B5" s="2344"/>
      <c r="C5" s="1517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</row>
    <row r="6" spans="1:34" ht="30" customHeight="1" x14ac:dyDescent="0.35">
      <c r="A6" s="1229">
        <v>1</v>
      </c>
      <c r="B6" s="1191" t="s">
        <v>290</v>
      </c>
      <c r="C6" s="1518">
        <v>1024.2159494</v>
      </c>
      <c r="D6" s="1425">
        <v>1063.73</v>
      </c>
      <c r="E6" s="1446">
        <f>E15+E16</f>
        <v>92.259999999999991</v>
      </c>
      <c r="F6" s="434">
        <f>F15+F16+F17</f>
        <v>88.302739400000007</v>
      </c>
      <c r="G6" s="434">
        <f>G15+G16+G17</f>
        <v>118.5802685</v>
      </c>
      <c r="H6" s="1313">
        <f>(G6-E6)/E6*100</f>
        <v>28.528363862995899</v>
      </c>
      <c r="I6" s="517">
        <f>(G6-F6)/F6*100</f>
        <v>34.28832367572052</v>
      </c>
      <c r="K6" s="323">
        <f>G6+'JUNE-23'!G6+'MAY-2023'!G6+'APRIL-2023'!G6</f>
        <v>390.75208700000007</v>
      </c>
      <c r="M6" s="1203">
        <v>1</v>
      </c>
      <c r="N6" s="1179" t="s">
        <v>290</v>
      </c>
      <c r="O6" s="1185">
        <v>1024.2159494</v>
      </c>
      <c r="P6" s="1425">
        <v>1063.73</v>
      </c>
      <c r="Q6" s="1446">
        <f>Q15+Q16</f>
        <v>326.48</v>
      </c>
      <c r="R6" s="434">
        <f>R15+R16+R17</f>
        <v>314.83769580000001</v>
      </c>
      <c r="S6" s="434">
        <f>S15+S16+S17</f>
        <v>390.75208700000002</v>
      </c>
      <c r="T6" s="1313">
        <f>(S6-Q6)/Q6*100</f>
        <v>19.686378032345011</v>
      </c>
      <c r="U6" s="1313">
        <f>(S6-R6)/R6*100</f>
        <v>24.112230591417006</v>
      </c>
      <c r="V6" s="12">
        <f>(S6-P6)/P6*100</f>
        <v>-63.265858159495359</v>
      </c>
      <c r="W6" s="5">
        <f>(S6-P6)/P6*100</f>
        <v>-63.265858159495359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</row>
    <row r="7" spans="1:34" ht="26.25" customHeight="1" x14ac:dyDescent="0.35">
      <c r="A7" s="1230">
        <v>2</v>
      </c>
      <c r="B7" s="1154" t="s">
        <v>291</v>
      </c>
      <c r="C7" s="1518">
        <v>403.10200000000003</v>
      </c>
      <c r="D7" s="1425">
        <v>485.81999999999994</v>
      </c>
      <c r="E7" s="1446">
        <v>48.87</v>
      </c>
      <c r="F7" s="434">
        <f>F20+F21+F22+F23+F24+F25+F26</f>
        <v>40.542300000000004</v>
      </c>
      <c r="G7" s="434">
        <v>34.99</v>
      </c>
      <c r="H7" s="1313">
        <f>(G7-E7)/E7*100</f>
        <v>-28.401882545528945</v>
      </c>
      <c r="I7" s="517">
        <f>(G7-F7)/F7*100</f>
        <v>-13.695078966906173</v>
      </c>
      <c r="K7" s="323">
        <f>G7+'JUNE-23'!G7+'MAY-2023'!G7+'APRIL-2023'!G7</f>
        <v>129.93</v>
      </c>
      <c r="M7" s="1204">
        <v>2</v>
      </c>
      <c r="N7" s="1154" t="s">
        <v>291</v>
      </c>
      <c r="O7" s="1186">
        <v>403.10200000000003</v>
      </c>
      <c r="P7" s="1425">
        <v>485.81999999999994</v>
      </c>
      <c r="Q7" s="1446">
        <v>156.68</v>
      </c>
      <c r="R7" s="434">
        <f>R20+R21+R22+R23+R24+R25+R26</f>
        <v>129.82030659999998</v>
      </c>
      <c r="S7" s="434">
        <f>S20+S21+S22+S23+S24+S25+S26</f>
        <v>129.91</v>
      </c>
      <c r="T7" s="1313">
        <f>(S7-Q7)/Q7*100</f>
        <v>-17.085779933622678</v>
      </c>
      <c r="U7" s="1313">
        <f>(S7-R7)/R7*100</f>
        <v>6.9090423793542174E-2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</row>
    <row r="8" spans="1:34" ht="32.25" customHeight="1" x14ac:dyDescent="0.35">
      <c r="A8" s="1231">
        <v>3</v>
      </c>
      <c r="B8" s="1155" t="s">
        <v>292</v>
      </c>
      <c r="C8" s="1518">
        <v>106.68749520000001</v>
      </c>
      <c r="D8" s="1425">
        <v>150.59</v>
      </c>
      <c r="E8" s="1446">
        <v>12.19</v>
      </c>
      <c r="F8" s="1314">
        <f>F31+F32+F33+F35+F36+F37+F38</f>
        <v>9.0670879000000006</v>
      </c>
      <c r="G8" s="1314">
        <f>G31+G32+G33+G35+G36+G37+G38</f>
        <v>9.2336787000000005</v>
      </c>
      <c r="H8" s="1313">
        <f>(G8-E8)/E8*100</f>
        <v>-24.252020508613612</v>
      </c>
      <c r="I8" s="517">
        <f>(G8-F8)/F8*100</f>
        <v>1.8373131686525264</v>
      </c>
      <c r="K8" s="323">
        <f>G8+'JUNE-23'!G8+'MAY-2023'!G8+'APRIL-2023'!G8</f>
        <v>39.088434899999996</v>
      </c>
      <c r="M8" s="1205">
        <v>3</v>
      </c>
      <c r="N8" s="1155" t="s">
        <v>292</v>
      </c>
      <c r="O8" s="1187">
        <v>106.68749520000001</v>
      </c>
      <c r="P8" s="1425">
        <v>150.59</v>
      </c>
      <c r="Q8" s="1446">
        <v>54.94</v>
      </c>
      <c r="R8" s="1314">
        <f>R31+R32+R33+R35+R36+R37+R38</f>
        <v>38.875789100000006</v>
      </c>
      <c r="S8" s="1314">
        <f>S31+S32+S33+S35+S36+S37+S38</f>
        <v>39.088434900000003</v>
      </c>
      <c r="T8" s="1313">
        <f>(S8-Q8)/Q8*100</f>
        <v>-28.852502912267919</v>
      </c>
      <c r="U8" s="1313">
        <f>(S8-R8)/R8*100</f>
        <v>0.54698773947201262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A8" s="5">
        <f>150.59-30-6</f>
        <v>114.59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</row>
    <row r="9" spans="1:34" ht="34.5" customHeight="1" x14ac:dyDescent="0.35">
      <c r="A9" s="1230">
        <v>4</v>
      </c>
      <c r="B9" s="1156" t="s">
        <v>293</v>
      </c>
      <c r="C9" s="1518">
        <v>17.701250099999996</v>
      </c>
      <c r="D9" s="1425">
        <f>D40+D41+D42</f>
        <v>19.149999999999999</v>
      </c>
      <c r="E9" s="1425">
        <v>1.595</v>
      </c>
      <c r="F9" s="434">
        <f>F40+F41+F42+F44+F45</f>
        <v>0.70768760000000008</v>
      </c>
      <c r="G9" s="434">
        <f>G40+G41+G42+G44+G45</f>
        <v>1.8592036000000001</v>
      </c>
      <c r="H9" s="1313">
        <f>(G9-E9)/E9*100</f>
        <v>16.564489028213174</v>
      </c>
      <c r="I9" s="517">
        <f>(G9-F9)/F9*100</f>
        <v>162.71529980177692</v>
      </c>
      <c r="K9" s="323">
        <f>G9+'JUNE-23'!G9+'MAY-2023'!G9+'APRIL-2023'!G9</f>
        <v>6.1817492000000005</v>
      </c>
      <c r="M9" s="1204">
        <v>4</v>
      </c>
      <c r="N9" s="1156" t="s">
        <v>293</v>
      </c>
      <c r="O9" s="1185">
        <v>17.701250099999996</v>
      </c>
      <c r="P9" s="1425">
        <f>P40+P41+P42</f>
        <v>19.149999999999999</v>
      </c>
      <c r="Q9" s="1425">
        <f>Q40+Q41+Q42</f>
        <v>6.38</v>
      </c>
      <c r="R9" s="434">
        <f>R40+R41+R42+R44+R45</f>
        <v>3.1576908000000001</v>
      </c>
      <c r="S9" s="434">
        <f>S40+S41+S42+S44+S45</f>
        <v>6.1817492000000005</v>
      </c>
      <c r="T9" s="1313">
        <f>(S9-Q9)/Q9*100</f>
        <v>-3.1073793103448182</v>
      </c>
      <c r="U9" s="1313">
        <f>(S9-R9)/R9*100</f>
        <v>95.768034032971201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</row>
    <row r="10" spans="1:34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1719.29</v>
      </c>
      <c r="E10" s="1447">
        <f>E6+E7+E8+E9</f>
        <v>154.91499999999999</v>
      </c>
      <c r="F10" s="321">
        <f>SUM(F6:F9)</f>
        <v>138.61981490000002</v>
      </c>
      <c r="G10" s="321">
        <f>SUM(G6:G9)</f>
        <v>164.66315080000001</v>
      </c>
      <c r="H10" s="1162">
        <f>(G10-E10)/E10*100</f>
        <v>6.2925803182390467</v>
      </c>
      <c r="I10" s="322">
        <f>(G10-F10)/F10*100</f>
        <v>18.787599679589519</v>
      </c>
      <c r="M10" s="1205">
        <v>5</v>
      </c>
      <c r="N10" s="1157" t="s">
        <v>294</v>
      </c>
      <c r="O10" s="1188">
        <v>1551.7066947000001</v>
      </c>
      <c r="P10" s="321">
        <f t="shared" ref="P10:Q10" si="0">P6+P7+P8+P9</f>
        <v>1719.29</v>
      </c>
      <c r="Q10" s="321">
        <f t="shared" si="0"/>
        <v>544.48</v>
      </c>
      <c r="R10" s="321">
        <f>R6+R7+R8+R9</f>
        <v>486.69148230000002</v>
      </c>
      <c r="S10" s="321">
        <f>S6+S7+S8+S9</f>
        <v>565.93227110000009</v>
      </c>
      <c r="T10" s="1162">
        <f>(S10-Q10)/Q10*100</f>
        <v>3.9399557559506455</v>
      </c>
      <c r="U10" s="1162">
        <f>(S10-R10)/R10*100</f>
        <v>16.281523651395137</v>
      </c>
      <c r="X10" s="12">
        <f>SUM(X6:X9)</f>
        <v>389.94179218299996</v>
      </c>
      <c r="Y10" s="12">
        <f>SUM(Y6:Y9)</f>
        <v>752.12112639999998</v>
      </c>
      <c r="Z10" s="12">
        <f>S10-Y10</f>
        <v>-186.18885529999989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</row>
    <row r="11" spans="1:34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</row>
    <row r="12" spans="1:34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312">
        <f>E47+E48</f>
        <v>4.2</v>
      </c>
      <c r="F12" s="1294">
        <f>F47+F48+F49</f>
        <v>3.6372059999999999</v>
      </c>
      <c r="G12" s="1294">
        <f>G47+G48+G49</f>
        <v>4.7603439999999999</v>
      </c>
      <c r="H12" s="1534">
        <f>(G12-E12)/E12*100</f>
        <v>13.341523809523803</v>
      </c>
      <c r="I12" s="308">
        <f>(G12-F12)/F12*100</f>
        <v>30.879141846791192</v>
      </c>
      <c r="L12" s="1476"/>
      <c r="M12" s="1204">
        <v>6.3</v>
      </c>
      <c r="N12" s="1316" t="s">
        <v>814</v>
      </c>
      <c r="O12" s="1185">
        <v>47.027382000000003</v>
      </c>
      <c r="P12" s="332">
        <v>55.06</v>
      </c>
      <c r="Q12" s="307">
        <f>Q47+Q48</f>
        <v>15.11</v>
      </c>
      <c r="R12" s="1294">
        <f>R47+R48+R49</f>
        <v>13.047702000000001</v>
      </c>
      <c r="S12" s="1294">
        <f>S47+S48+S49</f>
        <v>18.236376999999997</v>
      </c>
      <c r="T12" s="1534">
        <f>(S12-Q12)/Q12*100</f>
        <v>20.690780939774971</v>
      </c>
      <c r="U12" s="1161">
        <f>(S12-R12)/R12*100</f>
        <v>39.766964328277851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</row>
    <row r="13" spans="1:34" s="1310" customFormat="1" ht="13.5" customHeight="1" x14ac:dyDescent="0.35">
      <c r="A13" s="1309"/>
      <c r="B13" s="2438" t="s">
        <v>229</v>
      </c>
      <c r="C13" s="2439"/>
      <c r="D13" s="2439"/>
      <c r="E13" s="2439"/>
      <c r="F13" s="2439"/>
      <c r="G13" s="2439"/>
      <c r="H13" s="2439"/>
      <c r="I13" s="2440"/>
      <c r="L13" s="1311"/>
      <c r="M13" s="1309"/>
      <c r="N13" s="2355" t="s">
        <v>229</v>
      </c>
      <c r="O13" s="2356"/>
      <c r="P13" s="2356"/>
      <c r="Q13" s="2356"/>
      <c r="R13" s="2356"/>
      <c r="S13" s="2356"/>
      <c r="T13" s="2356"/>
      <c r="U13" s="2357"/>
      <c r="X13" s="1311"/>
    </row>
    <row r="14" spans="1:34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2368">
        <v>1</v>
      </c>
      <c r="N14" s="2021" t="s">
        <v>278</v>
      </c>
      <c r="O14" s="2022"/>
      <c r="P14" s="2022"/>
      <c r="Q14" s="2022"/>
      <c r="R14" s="2022"/>
      <c r="S14" s="2022"/>
      <c r="T14" s="2022"/>
      <c r="U14" s="2023"/>
    </row>
    <row r="15" spans="1:34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v>1.02</v>
      </c>
      <c r="F15" s="315">
        <v>0.93236140000000001</v>
      </c>
      <c r="G15" s="315">
        <v>1.3062503000000001</v>
      </c>
      <c r="H15" s="316">
        <f>(G15-E15)/E15*100</f>
        <v>28.063754901960792</v>
      </c>
      <c r="I15" s="314">
        <f>(G15-F15)/F15*100</f>
        <v>40.101284759321878</v>
      </c>
      <c r="J15" s="1128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12.6</v>
      </c>
      <c r="Q15" s="307">
        <f>'APRIL-2023'!E15+'MAY-2023'!E15+'JUNE-23'!E15+E15</f>
        <v>3.6</v>
      </c>
      <c r="R15" s="315">
        <f>'APRIL-2023'!F15+'MAY-2023'!F15+'JUNE-23'!F15+F15</f>
        <v>3.2904075000000002</v>
      </c>
      <c r="S15" s="315">
        <f>'APRIL-2023'!G15+'MAY-2023'!G15+'JUNE-23'!G15+G15</f>
        <v>4.7019130000000002</v>
      </c>
      <c r="T15" s="316">
        <f>(S15-Q15)/Q15*100</f>
        <v>30.608694444444446</v>
      </c>
      <c r="U15" s="314">
        <f>(S15-R15)/R15*100</f>
        <v>42.897589432311953</v>
      </c>
      <c r="Y15" s="12">
        <f>R16+R17</f>
        <v>311.54728829999999</v>
      </c>
      <c r="Z15" s="12">
        <f>S16+S17</f>
        <v>386.05017399999997</v>
      </c>
      <c r="AA15" s="5">
        <f>(Z15-Y15)/Y15*100</f>
        <v>23.91382897489979</v>
      </c>
    </row>
    <row r="16" spans="1:34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v>91.24</v>
      </c>
      <c r="F16" s="315">
        <v>8.8698466000000007</v>
      </c>
      <c r="G16" s="315">
        <v>14.4766896</v>
      </c>
      <c r="H16" s="2154">
        <f>L16</f>
        <v>28.533557869355551</v>
      </c>
      <c r="I16" s="314">
        <f>(G16-F16)/F16*100</f>
        <v>63.21240099011407</v>
      </c>
      <c r="J16" s="323">
        <f>F16+F17</f>
        <v>87.370378000000002</v>
      </c>
      <c r="K16" s="323">
        <f>G16+G17</f>
        <v>117.2740182</v>
      </c>
      <c r="L16" s="1476">
        <f>(K16-E16)/E16*100</f>
        <v>28.533557869355551</v>
      </c>
      <c r="M16" s="2369"/>
      <c r="N16" s="1281" t="s">
        <v>817</v>
      </c>
      <c r="O16" s="1282">
        <v>126.72018780000001</v>
      </c>
      <c r="P16" s="2379">
        <v>1051.1300000000001</v>
      </c>
      <c r="Q16" s="2065">
        <v>322.88</v>
      </c>
      <c r="R16" s="315">
        <f>'APRIL-2023'!F16+'MAY-2023'!F16+'JUNE-23'!F16+F16</f>
        <v>16.393785600000001</v>
      </c>
      <c r="S16" s="315">
        <f>'APRIL-2023'!G16+'MAY-2023'!G16+'JUNE-23'!G16+G16</f>
        <v>67.464447100000001</v>
      </c>
      <c r="T16" s="2154">
        <f>X16</f>
        <v>19.564597993062431</v>
      </c>
      <c r="U16" s="314">
        <f>(S16-R16)/R16*100</f>
        <v>311.52451755865343</v>
      </c>
      <c r="W16" s="12">
        <f>S16+S17</f>
        <v>386.05017399999997</v>
      </c>
      <c r="X16" s="172">
        <f>(W16-Q16)/Q16*100</f>
        <v>19.564597993062431</v>
      </c>
    </row>
    <row r="17" spans="1:26" ht="15.4" x14ac:dyDescent="0.4">
      <c r="A17" s="2375"/>
      <c r="B17" s="320" t="s">
        <v>803</v>
      </c>
      <c r="C17" s="1519">
        <v>886.03548510000007</v>
      </c>
      <c r="D17" s="2380"/>
      <c r="E17" s="2066"/>
      <c r="F17" s="315">
        <v>78.5005314</v>
      </c>
      <c r="G17" s="315">
        <v>102.7973286</v>
      </c>
      <c r="H17" s="2155"/>
      <c r="I17" s="314">
        <f>(G17-F17)/F17*100</f>
        <v>30.951124491368731</v>
      </c>
      <c r="J17" s="323">
        <f>114680295/10000000</f>
        <v>11.4680295</v>
      </c>
      <c r="L17" s="1476"/>
      <c r="M17" s="2245"/>
      <c r="N17" s="320" t="s">
        <v>818</v>
      </c>
      <c r="O17" s="1282">
        <v>886.03548510000007</v>
      </c>
      <c r="P17" s="2380"/>
      <c r="Q17" s="2066"/>
      <c r="R17" s="315">
        <f>'APRIL-2023'!F17+'MAY-2023'!F17+'JUNE-23'!F17+F17</f>
        <v>295.15350269999999</v>
      </c>
      <c r="S17" s="315">
        <f>'APRIL-2023'!G17+'MAY-2023'!G17+'JUNE-23'!G17+G17</f>
        <v>318.5857269</v>
      </c>
      <c r="T17" s="2155"/>
      <c r="U17" s="314">
        <f>(S17-R17)/R17*100</f>
        <v>7.9389958057916044</v>
      </c>
    </row>
    <row r="18" spans="1:26" x14ac:dyDescent="0.35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L18" s="1476"/>
      <c r="M18" s="2368">
        <v>2</v>
      </c>
      <c r="N18" s="1155" t="s">
        <v>678</v>
      </c>
      <c r="O18" s="2494" t="s">
        <v>680</v>
      </c>
      <c r="P18" s="2494"/>
      <c r="Q18" s="2494"/>
      <c r="R18" s="2370" t="s">
        <v>684</v>
      </c>
      <c r="S18" s="2371"/>
      <c r="T18" s="2371"/>
      <c r="U18" s="2372"/>
    </row>
    <row r="19" spans="1:26" x14ac:dyDescent="0.35">
      <c r="A19" s="1983"/>
      <c r="B19" s="1531" t="s">
        <v>230</v>
      </c>
      <c r="C19" s="1532">
        <f>F19</f>
        <v>44763</v>
      </c>
      <c r="D19" s="1532">
        <f>G19</f>
        <v>45108</v>
      </c>
      <c r="E19" s="1531" t="s">
        <v>681</v>
      </c>
      <c r="F19" s="1532">
        <f>F4</f>
        <v>44763</v>
      </c>
      <c r="G19" s="1532">
        <f>G4</f>
        <v>45108</v>
      </c>
      <c r="H19" s="1528" t="s">
        <v>682</v>
      </c>
      <c r="I19" s="1530" t="s">
        <v>681</v>
      </c>
      <c r="L19" s="1476"/>
      <c r="M19" s="2369"/>
      <c r="N19" s="1514" t="s">
        <v>230</v>
      </c>
      <c r="O19" s="1527">
        <f>R4</f>
        <v>44763</v>
      </c>
      <c r="P19" s="1527">
        <f>S4</f>
        <v>45108</v>
      </c>
      <c r="Q19" s="1514" t="s">
        <v>681</v>
      </c>
      <c r="R19" s="1527">
        <f>R4</f>
        <v>44763</v>
      </c>
      <c r="S19" s="1527">
        <f>S4</f>
        <v>45108</v>
      </c>
      <c r="T19" s="1528" t="s">
        <v>682</v>
      </c>
      <c r="U19" s="1526" t="s">
        <v>681</v>
      </c>
    </row>
    <row r="20" spans="1:26" ht="18.75" customHeight="1" x14ac:dyDescent="0.4">
      <c r="A20" s="1983"/>
      <c r="B20" s="1055" t="s">
        <v>231</v>
      </c>
      <c r="C20" s="85">
        <v>82421</v>
      </c>
      <c r="D20" s="1409">
        <v>40044</v>
      </c>
      <c r="E20" s="314">
        <f>(D20-C20)/C20*100</f>
        <v>-51.415294645782019</v>
      </c>
      <c r="F20" s="315">
        <v>19.95</v>
      </c>
      <c r="G20" s="315">
        <v>11.8</v>
      </c>
      <c r="H20" s="1060">
        <f>G20/G7*100</f>
        <v>33.723921120320092</v>
      </c>
      <c r="I20" s="314">
        <f>(G20-F20)/F20*100</f>
        <v>-40.852130325814528</v>
      </c>
      <c r="L20" s="1476"/>
      <c r="M20" s="2369"/>
      <c r="N20" s="1055" t="s">
        <v>231</v>
      </c>
      <c r="O20" s="833">
        <f>C20+'JUNE-23'!O20</f>
        <v>462875</v>
      </c>
      <c r="P20" s="833">
        <v>185698</v>
      </c>
      <c r="Q20" s="314">
        <f>(P20-O20)/O20*100</f>
        <v>-59.881609505806097</v>
      </c>
      <c r="R20" s="315">
        <v>75.813210999999995</v>
      </c>
      <c r="S20" s="315">
        <v>53.06</v>
      </c>
      <c r="T20" s="1060">
        <f>S20/S7*100</f>
        <v>40.843660996074213</v>
      </c>
      <c r="U20" s="314">
        <f>(S20-R20)/R20*100</f>
        <v>-30.01219800596494</v>
      </c>
    </row>
    <row r="21" spans="1:26" ht="18.75" customHeight="1" x14ac:dyDescent="0.4">
      <c r="A21" s="1983"/>
      <c r="B21" s="1055" t="s">
        <v>232</v>
      </c>
      <c r="C21" s="85">
        <v>114090</v>
      </c>
      <c r="D21" s="1410">
        <v>76953</v>
      </c>
      <c r="E21" s="314">
        <f>(D21-C21)/C21*100</f>
        <v>-32.550617933210624</v>
      </c>
      <c r="F21" s="315">
        <v>12.6</v>
      </c>
      <c r="G21" s="315">
        <v>10.45</v>
      </c>
      <c r="H21" s="1060">
        <f>G21/G7*100</f>
        <v>29.86567590740211</v>
      </c>
      <c r="I21" s="314">
        <f>(G21-F21)/F21*100</f>
        <v>-17.063492063492067</v>
      </c>
      <c r="L21" s="1476"/>
      <c r="M21" s="2369"/>
      <c r="N21" s="1055" t="s">
        <v>232</v>
      </c>
      <c r="O21" s="833">
        <f>C21+'JUNE-23'!O21</f>
        <v>305239</v>
      </c>
      <c r="P21" s="833">
        <v>275287</v>
      </c>
      <c r="Q21" s="314">
        <f>(P21-O21)/O21*100</f>
        <v>-9.8126386208839644</v>
      </c>
      <c r="R21" s="315">
        <v>23.697490199999997</v>
      </c>
      <c r="S21" s="315">
        <v>26.78</v>
      </c>
      <c r="T21" s="1060">
        <f>S21/S7*100</f>
        <v>20.61427141867447</v>
      </c>
      <c r="U21" s="314">
        <f>(S21-R21)/R21*100</f>
        <v>13.007747968179364</v>
      </c>
      <c r="W21" s="5">
        <v>2.17</v>
      </c>
      <c r="X21" s="172">
        <v>2.95</v>
      </c>
      <c r="Y21" s="5">
        <f>(X21-W21)/W21*100</f>
        <v>35.944700460829502</v>
      </c>
    </row>
    <row r="22" spans="1:26" ht="18.75" customHeight="1" x14ac:dyDescent="0.4">
      <c r="A22" s="1983"/>
      <c r="B22" s="1055" t="s">
        <v>239</v>
      </c>
      <c r="C22" s="85">
        <v>59254</v>
      </c>
      <c r="D22" s="1410">
        <v>68715</v>
      </c>
      <c r="E22" s="314">
        <f>(D22-C22)/C22*100</f>
        <v>15.966854558342053</v>
      </c>
      <c r="F22" s="315">
        <v>7.06</v>
      </c>
      <c r="G22" s="315">
        <v>11.75</v>
      </c>
      <c r="H22" s="1060">
        <f>G22/G7*100</f>
        <v>33.581023149471271</v>
      </c>
      <c r="I22" s="314">
        <f>(G22-F22)/F22*100</f>
        <v>66.430594900849869</v>
      </c>
      <c r="J22" s="1486"/>
      <c r="L22" s="1476"/>
      <c r="M22" s="2369"/>
      <c r="N22" s="1055" t="s">
        <v>239</v>
      </c>
      <c r="O22" s="833">
        <f>C22+'JUNE-23'!O22</f>
        <v>231093</v>
      </c>
      <c r="P22" s="833">
        <v>301020</v>
      </c>
      <c r="Q22" s="314">
        <f>(P22-O22)/O22*100</f>
        <v>30.259246277472705</v>
      </c>
      <c r="R22" s="315">
        <v>27.243634599999996</v>
      </c>
      <c r="S22" s="315">
        <v>46.43</v>
      </c>
      <c r="T22" s="1060">
        <f>S22/S7*100</f>
        <v>35.740127780771303</v>
      </c>
      <c r="U22" s="314">
        <f>(S22-R22)/R22*100</f>
        <v>70.425131160729947</v>
      </c>
      <c r="X22" s="172" t="s">
        <v>323</v>
      </c>
    </row>
    <row r="23" spans="1:26" ht="18.75" customHeight="1" x14ac:dyDescent="0.4">
      <c r="A23" s="1983"/>
      <c r="B23" s="1055" t="s">
        <v>233</v>
      </c>
      <c r="C23" s="85">
        <v>24142</v>
      </c>
      <c r="D23" s="1410">
        <v>25441</v>
      </c>
      <c r="E23" s="314">
        <f>(D23-C23)/C23*100</f>
        <v>5.380664402286472</v>
      </c>
      <c r="F23" s="315">
        <v>0.84</v>
      </c>
      <c r="G23" s="315">
        <v>0.96</v>
      </c>
      <c r="H23" s="1060">
        <f>G23/G7*100</f>
        <v>2.7436410402972276</v>
      </c>
      <c r="I23" s="314">
        <f>(G23-F23)/F23*100</f>
        <v>14.285714285714285</v>
      </c>
      <c r="J23" s="1486"/>
      <c r="L23" s="1476"/>
      <c r="M23" s="2369"/>
      <c r="N23" s="1055" t="s">
        <v>233</v>
      </c>
      <c r="O23" s="833">
        <f>C23+'JUNE-23'!O23</f>
        <v>83416</v>
      </c>
      <c r="P23" s="833">
        <v>94549</v>
      </c>
      <c r="Q23" s="314">
        <f>(P23-O23)/O23*100</f>
        <v>13.34636041047281</v>
      </c>
      <c r="R23" s="315">
        <v>2.8990007999999996</v>
      </c>
      <c r="S23" s="315">
        <v>3.54</v>
      </c>
      <c r="T23" s="1060">
        <f>S23/S7*100</f>
        <v>2.724963436225079</v>
      </c>
      <c r="U23" s="314">
        <f>(S23-R23)/R23*100</f>
        <v>22.111039086294852</v>
      </c>
      <c r="Z23" s="5">
        <f>25.63+0.96</f>
        <v>26.59</v>
      </c>
    </row>
    <row r="24" spans="1:26" ht="18.75" customHeight="1" x14ac:dyDescent="0.4">
      <c r="A24" s="1983"/>
      <c r="B24" s="1055" t="s">
        <v>739</v>
      </c>
      <c r="C24" s="85"/>
      <c r="D24" s="1409"/>
      <c r="E24" s="836">
        <v>0</v>
      </c>
      <c r="F24" s="833">
        <v>0.04</v>
      </c>
      <c r="G24" s="833">
        <v>0</v>
      </c>
      <c r="H24" s="1060">
        <f>G24/G7*100</f>
        <v>0</v>
      </c>
      <c r="I24" s="314">
        <v>0</v>
      </c>
      <c r="L24" s="1476"/>
      <c r="M24" s="2369"/>
      <c r="N24" s="1055" t="s">
        <v>739</v>
      </c>
      <c r="O24" s="833">
        <f>C24+'JUNE-23'!O24</f>
        <v>0</v>
      </c>
      <c r="P24" s="833">
        <f>D24+'JUNE-23'!P24</f>
        <v>0</v>
      </c>
      <c r="Q24" s="836">
        <v>0</v>
      </c>
      <c r="R24" s="315">
        <v>4.1799999999999997E-2</v>
      </c>
      <c r="S24" s="315">
        <f>G24+'JUNE-23'!S24</f>
        <v>0</v>
      </c>
      <c r="T24" s="1060">
        <f>S24/S7*100</f>
        <v>0</v>
      </c>
      <c r="U24" s="314">
        <v>0</v>
      </c>
    </row>
    <row r="25" spans="1:26" ht="18.75" customHeight="1" x14ac:dyDescent="0.4">
      <c r="A25" s="1983"/>
      <c r="B25" s="1055" t="s">
        <v>235</v>
      </c>
      <c r="C25" s="85"/>
      <c r="D25" s="1409"/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L25" s="1476"/>
      <c r="M25" s="2369"/>
      <c r="N25" s="1055" t="s">
        <v>235</v>
      </c>
      <c r="O25" s="833">
        <f>C25+'JUNE-23'!O25</f>
        <v>0</v>
      </c>
      <c r="P25" s="833">
        <f>D25+'JUNE-23'!P25</f>
        <v>0</v>
      </c>
      <c r="Q25" s="836">
        <v>0</v>
      </c>
      <c r="R25" s="315">
        <v>0</v>
      </c>
      <c r="S25" s="315">
        <f>G25+'JUNE-23'!S25</f>
        <v>0</v>
      </c>
      <c r="T25" s="1060">
        <f>S25/S7*100</f>
        <v>0</v>
      </c>
      <c r="U25" s="314">
        <v>0</v>
      </c>
    </row>
    <row r="26" spans="1:26" ht="15.75" x14ac:dyDescent="0.4">
      <c r="A26" s="1984"/>
      <c r="B26" s="1056" t="s">
        <v>693</v>
      </c>
      <c r="C26" s="1520">
        <v>2661</v>
      </c>
      <c r="D26" s="1411"/>
      <c r="E26" s="836">
        <v>0</v>
      </c>
      <c r="F26" s="315">
        <v>5.2299999999999999E-2</v>
      </c>
      <c r="G26" s="315">
        <v>0</v>
      </c>
      <c r="H26" s="1060">
        <f>G26/G7*100</f>
        <v>0</v>
      </c>
      <c r="I26" s="314" t="s">
        <v>221</v>
      </c>
      <c r="L26" s="1476"/>
      <c r="M26" s="2245"/>
      <c r="N26" s="1056" t="s">
        <v>693</v>
      </c>
      <c r="O26" s="833">
        <f>C26+'JUNE-23'!O26</f>
        <v>2661</v>
      </c>
      <c r="P26" s="833">
        <f>D26+'JUNE-23'!P26</f>
        <v>0</v>
      </c>
      <c r="Q26" s="836">
        <v>0</v>
      </c>
      <c r="R26" s="315">
        <v>0.12517</v>
      </c>
      <c r="S26" s="315">
        <v>0.1</v>
      </c>
      <c r="T26" s="1060">
        <f>S26/S7*100</f>
        <v>7.6976368254945735E-2</v>
      </c>
      <c r="U26" s="314">
        <f>(S26-R26)/R26*100</f>
        <v>-20.108652232963166</v>
      </c>
    </row>
    <row r="27" spans="1:26" s="26" customFormat="1" ht="19.5" customHeight="1" x14ac:dyDescent="0.4">
      <c r="A27" s="1216"/>
      <c r="B27" s="1063" t="s">
        <v>683</v>
      </c>
      <c r="C27" s="1513">
        <f>SUM(C20:C26)</f>
        <v>282568</v>
      </c>
      <c r="D27" s="1412">
        <f>SUM(D20:D26)</f>
        <v>211153</v>
      </c>
      <c r="E27" s="394">
        <f>(D27-C27)/C27*100</f>
        <v>-25.273562469918748</v>
      </c>
      <c r="F27" s="1054">
        <f>SUM(F20:F26)</f>
        <v>40.542300000000004</v>
      </c>
      <c r="G27" s="1054">
        <f>G20+G21+G22+G23+G24+G25+G26</f>
        <v>34.96</v>
      </c>
      <c r="H27" s="1066">
        <f>SUM(H20:H26)</f>
        <v>99.914261217490719</v>
      </c>
      <c r="I27" s="394">
        <f>(G27-F27)/F27*100</f>
        <v>-13.769075755445554</v>
      </c>
      <c r="J27" s="762"/>
      <c r="K27" s="762"/>
      <c r="L27" s="1475"/>
      <c r="M27" s="1202"/>
      <c r="N27" s="1063" t="s">
        <v>683</v>
      </c>
      <c r="O27" s="1259">
        <f>SUM(O20:O26)</f>
        <v>1085284</v>
      </c>
      <c r="P27" s="1259">
        <f>SUM(P20:P26)</f>
        <v>856554</v>
      </c>
      <c r="Q27" s="394">
        <f>(P27-O27)/O27*100</f>
        <v>-21.07558943096922</v>
      </c>
      <c r="R27" s="1054">
        <f>SUM(R20:R26)</f>
        <v>129.82030659999998</v>
      </c>
      <c r="S27" s="1054">
        <f>SUM(S20:S26)</f>
        <v>129.91</v>
      </c>
      <c r="T27" s="1066">
        <f>SUM(T20:T26)</f>
        <v>100.00000000000001</v>
      </c>
      <c r="U27" s="394">
        <f>(S27-R27)/R27*100</f>
        <v>6.9090423793542174E-2</v>
      </c>
      <c r="V27" s="26">
        <f>76.54+0.12</f>
        <v>76.660000000000011</v>
      </c>
      <c r="W27" s="26">
        <f>P27/1000000</f>
        <v>0.85655400000000004</v>
      </c>
      <c r="X27" s="432"/>
    </row>
    <row r="28" spans="1:26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4">
        <v>3</v>
      </c>
      <c r="N30" s="2021" t="s">
        <v>623</v>
      </c>
      <c r="O30" s="2022"/>
      <c r="P30" s="2022"/>
      <c r="Q30" s="2022"/>
      <c r="R30" s="2022"/>
      <c r="S30" s="2022"/>
      <c r="T30" s="2022"/>
      <c r="U30" s="2023"/>
    </row>
    <row r="31" spans="1:26" ht="15.4" x14ac:dyDescent="0.4">
      <c r="A31" s="2382"/>
      <c r="B31" s="378" t="s">
        <v>2</v>
      </c>
      <c r="C31" s="1521">
        <v>24.66</v>
      </c>
      <c r="D31" s="1429">
        <v>22.5</v>
      </c>
      <c r="E31" s="315">
        <v>1.55</v>
      </c>
      <c r="F31" s="313">
        <v>1.5301545000000001</v>
      </c>
      <c r="G31" s="313">
        <f>'ACTUAL- 23-24'!P6/10000000</f>
        <v>2.0247700000000002</v>
      </c>
      <c r="H31" s="314">
        <f>(G31-E31)/E31*100</f>
        <v>30.630322580645171</v>
      </c>
      <c r="I31" s="314">
        <f>(G31-F31)/F31*100</f>
        <v>32.324546312153451</v>
      </c>
      <c r="J31" s="84">
        <v>1.5301545000000001</v>
      </c>
      <c r="K31" s="84">
        <f>11596205/10000000</f>
        <v>1.1596204999999999</v>
      </c>
      <c r="L31" s="1476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f>E31+'JUNE-23'!Q31</f>
        <v>7.3999999999999995</v>
      </c>
      <c r="R31" s="315">
        <v>8.5736295000000009</v>
      </c>
      <c r="S31" s="315">
        <f>G31+'JUNE-23'!S31</f>
        <v>10.243987600000001</v>
      </c>
      <c r="T31" s="314">
        <f>(S31-Q31)/Q31*100</f>
        <v>38.432264864864884</v>
      </c>
      <c r="U31" s="314">
        <f t="shared" ref="U31:U38" si="1">(S31-R31)/R31*100</f>
        <v>19.482508545534881</v>
      </c>
      <c r="W31" s="5">
        <f>(Q31*10000000)/100000</f>
        <v>740</v>
      </c>
    </row>
    <row r="32" spans="1:26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15">
        <v>3.78</v>
      </c>
      <c r="F32" s="313">
        <v>2.8321035000000001</v>
      </c>
      <c r="G32" s="313">
        <f>'ACTUAL- 23-24'!Q6/10000000</f>
        <v>2.9642007000000001</v>
      </c>
      <c r="H32" s="314">
        <f>(G32-E32)/E32*100</f>
        <v>-21.581992063492056</v>
      </c>
      <c r="I32" s="314">
        <f>(G32-F32)/F32*100</f>
        <v>4.6642786889674062</v>
      </c>
      <c r="J32" s="1128">
        <v>2.8321035000000001</v>
      </c>
      <c r="K32" s="84">
        <f>0.58-0.12</f>
        <v>0.45999999999999996</v>
      </c>
      <c r="L32" s="1476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f>E32+'JUNE-23'!Q32</f>
        <v>13.78</v>
      </c>
      <c r="R32" s="315">
        <v>10.311681399999999</v>
      </c>
      <c r="S32" s="315">
        <f>G32+'JUNE-23'!S32</f>
        <v>9.5705047000000008</v>
      </c>
      <c r="T32" s="314">
        <f>(S32-Q32)/Q32*100</f>
        <v>-30.54786139332365</v>
      </c>
      <c r="U32" s="314">
        <f t="shared" si="1"/>
        <v>-7.1877385583305431</v>
      </c>
      <c r="W32" s="5">
        <f>(Q32*10000000)/100000</f>
        <v>1378</v>
      </c>
    </row>
    <row r="33" spans="1:27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15">
        <v>0.33</v>
      </c>
      <c r="F33" s="313">
        <v>9.5558599999999994E-2</v>
      </c>
      <c r="G33" s="313">
        <f>'ACTUAL- 23-24'!R6/10000000</f>
        <v>0.1056911</v>
      </c>
      <c r="H33" s="314">
        <f>(G33-E33)/E33*100</f>
        <v>-67.972393939393953</v>
      </c>
      <c r="I33" s="314">
        <f>(G33-F33)/F33*100</f>
        <v>10.603441239197732</v>
      </c>
      <c r="J33" s="1128"/>
      <c r="L33" s="1476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f>E33+'JUNE-23'!Q33</f>
        <v>1.37</v>
      </c>
      <c r="R33" s="315">
        <v>0.41432459999999999</v>
      </c>
      <c r="S33" s="315">
        <f>G33+'JUNE-23'!S33</f>
        <v>0.42948939999999997</v>
      </c>
      <c r="T33" s="314">
        <f>(S33-Q33)/Q33*100</f>
        <v>-68.65040875912409</v>
      </c>
      <c r="U33" s="314">
        <f t="shared" si="1"/>
        <v>3.6601254185727758</v>
      </c>
      <c r="W33" s="5">
        <f>(Q33*10000000)/100000</f>
        <v>137.00000000000003</v>
      </c>
    </row>
    <row r="34" spans="1:27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4.1099999999999994</v>
      </c>
      <c r="F34" s="1483">
        <f t="shared" ref="F34:G34" si="2">SUM(F32:F33)</f>
        <v>2.9276621</v>
      </c>
      <c r="G34" s="1483">
        <f t="shared" si="2"/>
        <v>3.0698918000000002</v>
      </c>
      <c r="H34" s="1484">
        <f>(G34-E34)/E34*100</f>
        <v>-25.306768856447675</v>
      </c>
      <c r="I34" s="1484">
        <f>(G34-F34)/F34*100</f>
        <v>4.8581323643872745</v>
      </c>
      <c r="J34" s="84">
        <v>9.5558599999999994E-2</v>
      </c>
      <c r="L34" s="1476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15.149999999999999</v>
      </c>
      <c r="R34" s="1483">
        <f t="shared" ref="R34:S34" si="3">R33+R32</f>
        <v>10.726006</v>
      </c>
      <c r="S34" s="1483">
        <f t="shared" si="3"/>
        <v>9.9999941000000003</v>
      </c>
      <c r="T34" s="1484">
        <f>(S34-Q34)/Q34*100</f>
        <v>-33.993438283828375</v>
      </c>
      <c r="U34" s="1484">
        <f>(S34-R34)/R34*100</f>
        <v>-6.7687068233972605</v>
      </c>
    </row>
    <row r="35" spans="1:27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v>0.227191</v>
      </c>
      <c r="G35" s="313">
        <f>'ACTUAL- 23-24'!T6/10000000</f>
        <v>0.24233099999999999</v>
      </c>
      <c r="H35" s="517" t="s">
        <v>221</v>
      </c>
      <c r="I35" s="314">
        <f>(G35-F35)/F35*100</f>
        <v>6.6639963730957597</v>
      </c>
      <c r="J35" s="84">
        <v>0.227191</v>
      </c>
      <c r="L35" s="1476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v>1.1072739999999999</v>
      </c>
      <c r="S35" s="315">
        <f>'APRIL-2023'!G35+'MAY-2023'!G35+'JUNE-23'!G35+G35</f>
        <v>1.1042190000000001</v>
      </c>
      <c r="T35" s="316" t="s">
        <v>221</v>
      </c>
      <c r="U35" s="314">
        <f t="shared" si="1"/>
        <v>-0.27590280273896145</v>
      </c>
      <c r="W35" s="5" t="e">
        <f>(Q35*10000000)/100000</f>
        <v>#VALUE!</v>
      </c>
    </row>
    <row r="36" spans="1:27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v>1.0650203</v>
      </c>
      <c r="G36" s="313">
        <f>'ACTUAL- 23-24'!S6/10000000</f>
        <v>5.3470200000000002E-2</v>
      </c>
      <c r="H36" s="517" t="s">
        <v>221</v>
      </c>
      <c r="I36" s="314">
        <v>0</v>
      </c>
      <c r="J36" s="84">
        <v>1.0650203</v>
      </c>
      <c r="L36" s="1476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v>4.5166123999999996</v>
      </c>
      <c r="S36" s="315">
        <f>'APRIL-2023'!G36+'MAY-2023'!G36+'JUNE-23'!G36+G36</f>
        <v>1.9112507999999999</v>
      </c>
      <c r="T36" s="316" t="s">
        <v>221</v>
      </c>
      <c r="U36" s="314">
        <f t="shared" si="1"/>
        <v>-57.683975715959157</v>
      </c>
    </row>
    <row r="37" spans="1:27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v>3.2202381999999998</v>
      </c>
      <c r="G37" s="313">
        <f>'ACTUAL- 23-24'!O6/10000000</f>
        <v>3.7468536000000001</v>
      </c>
      <c r="H37" s="517" t="s">
        <v>221</v>
      </c>
      <c r="I37" s="314">
        <f>(G37-F37)/F37*100</f>
        <v>16.353305789615199</v>
      </c>
      <c r="J37" s="84">
        <v>3.2202381999999998</v>
      </c>
      <c r="K37" s="323">
        <f>(20880+ 10612529)/10000000</f>
        <v>1.0633409</v>
      </c>
      <c r="L37" s="1476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v>13.643115999999999</v>
      </c>
      <c r="S37" s="315">
        <f>'APRIL-2023'!G37+'MAY-2023'!G37+'JUNE-23'!G37+G37</f>
        <v>15.516515100000001</v>
      </c>
      <c r="T37" s="316" t="s">
        <v>221</v>
      </c>
      <c r="U37" s="314">
        <f t="shared" si="1"/>
        <v>13.73146061354314</v>
      </c>
    </row>
    <row r="38" spans="1:27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313">
        <v>9.68218E-2</v>
      </c>
      <c r="G38" s="313">
        <f>'ACTUAL- 23-24'!U6/10000000</f>
        <v>9.6362100000000006E-2</v>
      </c>
      <c r="H38" s="413"/>
      <c r="I38" s="314">
        <v>0</v>
      </c>
      <c r="J38" s="323">
        <v>9.68218E-2</v>
      </c>
      <c r="L38" s="1476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v>0.30915120000000001</v>
      </c>
      <c r="S38" s="315">
        <f>'APRIL-2023'!G38+'MAY-2023'!G38+'JUNE-23'!G38+G38</f>
        <v>0.31246830000000003</v>
      </c>
      <c r="T38" s="413"/>
      <c r="U38" s="314">
        <f t="shared" si="1"/>
        <v>1.0729701194755243</v>
      </c>
    </row>
    <row r="39" spans="1:27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L39" s="1476"/>
      <c r="M39" s="1286">
        <v>4</v>
      </c>
      <c r="N39" s="2021" t="s">
        <v>622</v>
      </c>
      <c r="O39" s="2022"/>
      <c r="P39" s="2022"/>
      <c r="Q39" s="2022"/>
      <c r="R39" s="2022"/>
      <c r="S39" s="2022"/>
      <c r="T39" s="2022"/>
      <c r="U39" s="2023"/>
    </row>
    <row r="40" spans="1:27" ht="15.4" x14ac:dyDescent="0.4">
      <c r="A40" s="2387"/>
      <c r="B40" s="378" t="s">
        <v>27</v>
      </c>
      <c r="C40" s="1521">
        <v>12.02</v>
      </c>
      <c r="D40" s="1429">
        <v>13.95</v>
      </c>
      <c r="E40" s="315">
        <v>1.1624999999999999</v>
      </c>
      <c r="F40" s="313">
        <v>0.5185746</v>
      </c>
      <c r="G40" s="313">
        <f>'ACTUAL- 23-24'!O23/10000000</f>
        <v>1.401062</v>
      </c>
      <c r="H40" s="314">
        <f>(G40-E40)/E40*100</f>
        <v>20.521462365591415</v>
      </c>
      <c r="I40" s="314">
        <f>(G40-F40)/F40*100</f>
        <v>170.17559286552023</v>
      </c>
      <c r="K40" s="1128">
        <v>0.5185746</v>
      </c>
      <c r="L40" s="1476"/>
      <c r="M40" s="1286"/>
      <c r="N40" s="378" t="s">
        <v>27</v>
      </c>
      <c r="O40" s="1283">
        <v>12.02</v>
      </c>
      <c r="P40" s="1429">
        <v>13.95</v>
      </c>
      <c r="Q40" s="307">
        <f>'APRIL-2023'!E40+'MAY-2023'!E40+'JUNE-23'!E40+'JULY-23'!E40</f>
        <v>4.6499999999999995</v>
      </c>
      <c r="R40" s="307">
        <f>'APRIL-2023'!F40+'MAY-2023'!F40+'JUNE-23'!F40+'JULY-23'!F40</f>
        <v>2.5333432</v>
      </c>
      <c r="S40" s="307">
        <f>'APRIL-2023'!G40+'MAY-2023'!G40+'JUNE-23'!G40+'JULY-23'!G40</f>
        <v>4.2540668999999998</v>
      </c>
      <c r="T40" s="314">
        <f>(S40-Q40)/Q40*100</f>
        <v>-8.5146903225806394</v>
      </c>
      <c r="U40" s="314">
        <f>(S40-R40)/R40*100</f>
        <v>67.923039405004417</v>
      </c>
      <c r="W40" s="5">
        <f>(E40*10000000)/100000</f>
        <v>116.24999999999999</v>
      </c>
      <c r="X40" s="172">
        <v>141.05000000000001</v>
      </c>
      <c r="Y40" s="5">
        <v>70.17</v>
      </c>
      <c r="Z40" s="11">
        <f t="shared" ref="Z40:Z45" si="4">(X40-W40)/W40*100</f>
        <v>21.333333333333357</v>
      </c>
      <c r="AA40" s="11">
        <f t="shared" ref="AA40:AA45" si="5">(X40-Y40)/Y40*100</f>
        <v>101.01182841670231</v>
      </c>
    </row>
    <row r="41" spans="1:27" ht="15.4" x14ac:dyDescent="0.4">
      <c r="A41" s="2387"/>
      <c r="B41" s="378" t="s">
        <v>28</v>
      </c>
      <c r="C41" s="1521">
        <v>1.94</v>
      </c>
      <c r="D41" s="1429">
        <v>1.95</v>
      </c>
      <c r="E41" s="315">
        <v>0.16250000000000001</v>
      </c>
      <c r="F41" s="313">
        <v>0.03</v>
      </c>
      <c r="G41" s="313">
        <v>0.14000000000000001</v>
      </c>
      <c r="H41" s="314">
        <f>(G41-E41)/E41*100</f>
        <v>-13.846153846153841</v>
      </c>
      <c r="I41" s="314">
        <f>(G41-F41)/F41*100</f>
        <v>366.66666666666674</v>
      </c>
      <c r="J41" s="84">
        <f t="shared" ref="J41:J46" si="6">E40*8</f>
        <v>9.2999999999999989</v>
      </c>
      <c r="K41" s="1128">
        <v>1.5909099999999999E-2</v>
      </c>
      <c r="L41" s="1476">
        <v>2.1361249999999998</v>
      </c>
      <c r="M41" s="1286"/>
      <c r="N41" s="378" t="s">
        <v>28</v>
      </c>
      <c r="O41" s="1283">
        <v>1.94</v>
      </c>
      <c r="P41" s="1429">
        <v>1.95</v>
      </c>
      <c r="Q41" s="307">
        <f>'APRIL-2023'!E41+'MAY-2023'!E41+'JUNE-23'!E41+'JULY-23'!E41</f>
        <v>0.65</v>
      </c>
      <c r="R41" s="307">
        <f>'APRIL-2023'!F41+'MAY-2023'!F41+'JUNE-23'!F41+'JULY-23'!F41</f>
        <v>0.1115987</v>
      </c>
      <c r="S41" s="307">
        <f>'APRIL-2023'!G41+'MAY-2023'!G41+'JUNE-23'!G41+'JULY-23'!G41</f>
        <v>0.82559079999999996</v>
      </c>
      <c r="T41" s="314">
        <f t="shared" ref="T41:T42" si="7">(S41-Q41)/Q41*100</f>
        <v>27.01396923076922</v>
      </c>
      <c r="U41" s="314">
        <f>(S41-R41)/R41*100</f>
        <v>639.78532007989338</v>
      </c>
      <c r="W41" s="5">
        <f>(E41*10000000)/100000</f>
        <v>16.25</v>
      </c>
      <c r="X41" s="172">
        <v>19.73</v>
      </c>
      <c r="Y41" s="5">
        <v>3.12</v>
      </c>
      <c r="Z41" s="11">
        <f t="shared" si="4"/>
        <v>21.415384615384617</v>
      </c>
      <c r="AA41" s="11">
        <f t="shared" si="5"/>
        <v>532.3717948717948</v>
      </c>
    </row>
    <row r="42" spans="1:27" ht="15.4" x14ac:dyDescent="0.4">
      <c r="A42" s="2387"/>
      <c r="B42" s="378" t="s">
        <v>224</v>
      </c>
      <c r="C42" s="1521">
        <v>1.96</v>
      </c>
      <c r="D42" s="1429">
        <v>3.25</v>
      </c>
      <c r="E42" s="315">
        <v>0.27</v>
      </c>
      <c r="F42" s="313">
        <v>7.9338400000000003E-2</v>
      </c>
      <c r="G42" s="313">
        <f>'ACTUAL- 23-24'!Q23/10000000</f>
        <v>4.1395500000000002E-2</v>
      </c>
      <c r="H42" s="314">
        <f>(G42-E42)/E42*100</f>
        <v>-84.668333333333337</v>
      </c>
      <c r="I42" s="314">
        <f>(G42-F42)/F42*100</f>
        <v>-47.824130559728964</v>
      </c>
      <c r="J42" s="84">
        <f t="shared" si="6"/>
        <v>1.3</v>
      </c>
      <c r="K42" s="1128">
        <v>7.9338400000000003E-2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7">
        <f>'APRIL-2023'!E42+'MAY-2023'!E42+'JUNE-23'!E42+'JULY-23'!E42</f>
        <v>1.08</v>
      </c>
      <c r="R42" s="307">
        <f>'APRIL-2023'!F42+'MAY-2023'!F42+'JUNE-23'!F42+'JULY-23'!F42</f>
        <v>0.1349986</v>
      </c>
      <c r="S42" s="307">
        <f>'APRIL-2023'!G42+'MAY-2023'!G42+'JUNE-23'!G42+'JULY-23'!G42</f>
        <v>0.36873670000000003</v>
      </c>
      <c r="T42" s="314">
        <f t="shared" si="7"/>
        <v>-65.857712962962964</v>
      </c>
      <c r="U42" s="314">
        <f>(S42-R42)/R42*100</f>
        <v>173.1411288709661</v>
      </c>
      <c r="W42" s="11">
        <f>(E42*10000000)/100000</f>
        <v>27</v>
      </c>
      <c r="X42" s="172">
        <v>45.45</v>
      </c>
      <c r="Y42" s="5">
        <v>0</v>
      </c>
      <c r="Z42" s="11">
        <f t="shared" si="4"/>
        <v>68.333333333333343</v>
      </c>
      <c r="AA42" s="11" t="e">
        <f t="shared" si="5"/>
        <v>#DIV/0!</v>
      </c>
    </row>
    <row r="43" spans="1:27" ht="15.4" hidden="1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/>
      <c r="H43" s="314" t="e">
        <f>(G43-E43)/E43*100</f>
        <v>#VALUE!</v>
      </c>
      <c r="I43" s="314" t="e">
        <f>(G43-F43)/F43*100</f>
        <v>#DIV/0!</v>
      </c>
      <c r="J43" s="323">
        <f t="shared" si="6"/>
        <v>2.16</v>
      </c>
      <c r="K43" s="1128">
        <v>0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07">
        <f>'APRIL-2023'!F43+'MAY-2023'!F43+'JUNE-23'!F43+'JULY-23'!F43</f>
        <v>0</v>
      </c>
      <c r="S43" s="307">
        <f>'APRIL-2023'!G43+'MAY-2023'!G43+'JUNE-23'!G43+'JULY-23'!G43</f>
        <v>0</v>
      </c>
      <c r="T43" s="314" t="s">
        <v>221</v>
      </c>
      <c r="U43" s="314">
        <v>0</v>
      </c>
      <c r="W43" s="5" t="e">
        <f>(E43*10000000)/100000</f>
        <v>#VALUE!</v>
      </c>
      <c r="Z43" s="11" t="e">
        <f t="shared" si="4"/>
        <v>#VALUE!</v>
      </c>
      <c r="AA43" s="11" t="e">
        <f t="shared" si="5"/>
        <v>#DIV/0!</v>
      </c>
    </row>
    <row r="44" spans="1:27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6.3045000000000002E-3</v>
      </c>
      <c r="G44" s="313">
        <f>'ACTUAL- 23-24'!R23/10000000</f>
        <v>0.21088190000000001</v>
      </c>
      <c r="H44" s="314"/>
      <c r="I44" s="314" t="s">
        <v>221</v>
      </c>
      <c r="J44" s="84" t="e">
        <f t="shared" si="6"/>
        <v>#VALUE!</v>
      </c>
      <c r="K44" s="1128">
        <v>6.3045000000000002E-3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07">
        <f>'APRIL-2023'!F44+'MAY-2023'!F44+'JUNE-23'!F44+'JULY-23'!F44</f>
        <v>2.59045E-2</v>
      </c>
      <c r="S44" s="307">
        <f>'APRIL-2023'!G44+'MAY-2023'!G44+'JUNE-23'!G44+'JULY-23'!G44</f>
        <v>0.42832730000000002</v>
      </c>
      <c r="T44" s="314" t="s">
        <v>221</v>
      </c>
      <c r="U44" s="314">
        <f>(S44-R44)/R44*100</f>
        <v>1553.4860738481732</v>
      </c>
      <c r="X44" s="172">
        <v>0</v>
      </c>
      <c r="Y44" s="5">
        <v>0.06</v>
      </c>
      <c r="Z44" s="11" t="e">
        <f t="shared" si="4"/>
        <v>#DIV/0!</v>
      </c>
      <c r="AA44" s="11">
        <f t="shared" si="5"/>
        <v>-100</v>
      </c>
    </row>
    <row r="45" spans="1:27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7.3470099999999997E-2</v>
      </c>
      <c r="G45" s="313">
        <f>'ACTUAL- 23-24'!S23/10000000</f>
        <v>6.5864199999999998E-2</v>
      </c>
      <c r="H45" s="314"/>
      <c r="I45" s="314" t="s">
        <v>221</v>
      </c>
      <c r="J45" s="84" t="e">
        <f t="shared" si="6"/>
        <v>#VALUE!</v>
      </c>
      <c r="K45" s="1128">
        <v>7.3470099999999997E-2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07">
        <f>'APRIL-2023'!F45+'MAY-2023'!F45+'JUNE-23'!F45+'JULY-23'!F45</f>
        <v>0.35184579999999999</v>
      </c>
      <c r="S45" s="307">
        <f>'APRIL-2023'!G45+'MAY-2023'!G45+'JUNE-23'!G45+'JULY-23'!G45</f>
        <v>0.30502750000000001</v>
      </c>
      <c r="T45" s="407" t="s">
        <v>221</v>
      </c>
      <c r="U45" s="314">
        <f>(S45-R45)/R45*100</f>
        <v>-13.306482555710481</v>
      </c>
      <c r="W45" s="595">
        <f>W40+W41+W42+W44</f>
        <v>159.5</v>
      </c>
      <c r="X45" s="172">
        <f>X40+X41+X42+X44</f>
        <v>206.23000000000002</v>
      </c>
      <c r="Y45" s="172">
        <f>Y40+Y41+Y42+Y44</f>
        <v>73.350000000000009</v>
      </c>
      <c r="Z45" s="11">
        <f t="shared" si="4"/>
        <v>29.297805642633239</v>
      </c>
      <c r="AA45" s="11">
        <f t="shared" si="5"/>
        <v>181.15882753919561</v>
      </c>
    </row>
    <row r="46" spans="1:27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6"/>
        <v>#VALUE!</v>
      </c>
      <c r="L46" s="1476">
        <v>0.93056630000000007</v>
      </c>
      <c r="M46" s="2388"/>
      <c r="N46" s="2021" t="s">
        <v>419</v>
      </c>
      <c r="O46" s="2022"/>
      <c r="P46" s="2022"/>
      <c r="Q46" s="2022"/>
      <c r="R46" s="2022"/>
      <c r="S46" s="2022"/>
      <c r="T46" s="2022"/>
      <c r="U46" s="2023"/>
    </row>
    <row r="47" spans="1:27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15">
        <v>1.64</v>
      </c>
      <c r="F47" s="315">
        <v>1.4243969999999999</v>
      </c>
      <c r="G47" s="315">
        <f>'ACTUAL- 23-24'!E23/1000000</f>
        <v>1.893672</v>
      </c>
      <c r="H47" s="316">
        <f>(G47-E47)/E47*100</f>
        <v>15.467804878048788</v>
      </c>
      <c r="I47" s="314">
        <f>(G47-F47)/F47*100</f>
        <v>32.945520104296776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v>6.17</v>
      </c>
      <c r="R47" s="315">
        <f>'APRIL-2023'!F47+'MAY-2023'!F47+'JUNE-23'!F47+F47</f>
        <v>5.3253019999999998</v>
      </c>
      <c r="S47" s="315">
        <f>'APRIL-2023'!G47+'MAY-2023'!G47+'JUNE-23'!G47+G47</f>
        <v>7.1122189999999996</v>
      </c>
      <c r="T47" s="316">
        <f>(S47-Q47)/Q47*100</f>
        <v>15.270972447325764</v>
      </c>
      <c r="U47" s="314">
        <f>(S47-R47)/R47*100</f>
        <v>33.555223722523152</v>
      </c>
    </row>
    <row r="48" spans="1:27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154">
        <v>2.56</v>
      </c>
      <c r="F48" s="315">
        <v>1.1149039999999999</v>
      </c>
      <c r="G48" s="315">
        <f>'ACTUAL- 23-24'!F23/1000000</f>
        <v>1.547388</v>
      </c>
      <c r="H48" s="2027">
        <f>L48</f>
        <v>11.979374999999994</v>
      </c>
      <c r="I48" s="314">
        <f>(G48-F48)/F48*100</f>
        <v>38.791142555771629</v>
      </c>
      <c r="J48" s="84">
        <f>94132</f>
        <v>94132</v>
      </c>
      <c r="K48" s="12">
        <f>G48+G49</f>
        <v>2.8666719999999999</v>
      </c>
      <c r="L48" s="172">
        <f>(K48-E48)/E48*100</f>
        <v>11.979374999999994</v>
      </c>
      <c r="M48" s="2388"/>
      <c r="N48" s="1280" t="s">
        <v>792</v>
      </c>
      <c r="O48" s="1285">
        <v>15.344440000000001</v>
      </c>
      <c r="P48" s="2067">
        <v>32.97</v>
      </c>
      <c r="Q48" s="2065">
        <v>8.94</v>
      </c>
      <c r="R48" s="315">
        <f>'APRIL-2023'!F48+'MAY-2023'!F48+'JUNE-23'!F48+F48</f>
        <v>3.203004</v>
      </c>
      <c r="S48" s="315">
        <f>'APRIL-2023'!G48+'MAY-2023'!G48+'JUNE-23'!G48+G48</f>
        <v>6.874784</v>
      </c>
      <c r="T48" s="2027">
        <f>X48</f>
        <v>24.431297539149892</v>
      </c>
      <c r="U48" s="314">
        <f>(S48-R48)/R48*100</f>
        <v>114.63551091412936</v>
      </c>
      <c r="W48" s="12">
        <f>S48+S49</f>
        <v>11.124158</v>
      </c>
      <c r="X48" s="172">
        <f>(W48-Q48)/Q48*100</f>
        <v>24.431297539149892</v>
      </c>
    </row>
    <row r="49" spans="1:33" ht="16.5" x14ac:dyDescent="0.55000000000000004">
      <c r="A49" s="2387"/>
      <c r="B49" s="320" t="s">
        <v>800</v>
      </c>
      <c r="C49" s="1524">
        <v>12.857975999999999</v>
      </c>
      <c r="D49" s="2066"/>
      <c r="E49" s="2155"/>
      <c r="F49" s="315">
        <v>1.0979049999999999</v>
      </c>
      <c r="G49" s="315">
        <f>'ACTUAL- 23-24'!G23/1000000</f>
        <v>1.3192839999999999</v>
      </c>
      <c r="H49" s="2029"/>
      <c r="I49" s="314">
        <f>(G49-F49)/F49*100</f>
        <v>20.163766446095064</v>
      </c>
      <c r="J49" s="84">
        <v>31105</v>
      </c>
      <c r="K49" s="1198"/>
      <c r="L49" s="1477">
        <f>(K48-E48)/E48*100</f>
        <v>11.979374999999994</v>
      </c>
      <c r="M49" s="2388"/>
      <c r="N49" s="320" t="s">
        <v>793</v>
      </c>
      <c r="O49" s="1285">
        <v>12.857975999999999</v>
      </c>
      <c r="P49" s="2068"/>
      <c r="Q49" s="2066"/>
      <c r="R49" s="315">
        <f>'APRIL-2023'!F49+'MAY-2023'!F49+'JUNE-23'!F49+F49</f>
        <v>4.5193960000000004</v>
      </c>
      <c r="S49" s="315">
        <f>'APRIL-2023'!G49+'MAY-2023'!G49+'JUNE-23'!G49+G49</f>
        <v>4.2493739999999995</v>
      </c>
      <c r="T49" s="2029"/>
      <c r="U49" s="314">
        <f>(S49-R49)/R49*100</f>
        <v>-5.9747364470827709</v>
      </c>
    </row>
    <row r="50" spans="1:33" ht="16.5" customHeight="1" x14ac:dyDescent="0.55000000000000004">
      <c r="A50" s="2387">
        <v>6</v>
      </c>
      <c r="B50" s="2021" t="s">
        <v>926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8">
        <v>6</v>
      </c>
      <c r="N50" s="2021" t="s">
        <v>927</v>
      </c>
      <c r="O50" s="2022"/>
      <c r="P50" s="2022"/>
      <c r="Q50" s="2022"/>
      <c r="R50" s="2022"/>
      <c r="S50" s="2022"/>
      <c r="T50" s="2022"/>
      <c r="U50" s="2023"/>
    </row>
    <row r="51" spans="1:33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219.34</v>
      </c>
      <c r="G51" s="313">
        <v>94.99</v>
      </c>
      <c r="H51" s="2027" t="s">
        <v>221</v>
      </c>
      <c r="I51" s="314">
        <f>(G51-F51)/F51*100</f>
        <v>-56.692805689796664</v>
      </c>
      <c r="K51" s="84">
        <v>1.4243969999999999</v>
      </c>
      <c r="M51" s="2388"/>
      <c r="N51" s="2006" t="s">
        <v>36</v>
      </c>
      <c r="O51" s="2007"/>
      <c r="P51" s="2368">
        <v>0.55000000000000004</v>
      </c>
      <c r="Q51" s="2024" t="s">
        <v>221</v>
      </c>
      <c r="R51" s="313">
        <v>219.34</v>
      </c>
      <c r="S51" s="313">
        <v>94.99</v>
      </c>
      <c r="T51" s="2027"/>
      <c r="U51" s="314">
        <f>(S51-R51)/R51*100</f>
        <v>-56.692805689796664</v>
      </c>
    </row>
    <row r="52" spans="1:33" ht="15.4" x14ac:dyDescent="0.4">
      <c r="A52" s="2387"/>
      <c r="B52" s="378" t="s">
        <v>37</v>
      </c>
      <c r="C52" s="1525"/>
      <c r="D52" s="2369"/>
      <c r="E52" s="2025"/>
      <c r="F52" s="313">
        <v>43.37</v>
      </c>
      <c r="G52" s="313">
        <v>21.55</v>
      </c>
      <c r="H52" s="2028"/>
      <c r="I52" s="314">
        <f>(G52-F52)/F52*100</f>
        <v>-50.311275074936589</v>
      </c>
      <c r="K52" s="84">
        <v>1.1149039999999999</v>
      </c>
      <c r="M52" s="2388"/>
      <c r="N52" s="2006" t="s">
        <v>37</v>
      </c>
      <c r="O52" s="2007"/>
      <c r="P52" s="2369"/>
      <c r="Q52" s="2025"/>
      <c r="R52" s="313">
        <v>43.37</v>
      </c>
      <c r="S52" s="313">
        <v>21.55</v>
      </c>
      <c r="T52" s="2028"/>
      <c r="U52" s="314">
        <f>(S52-R52)/R52*100</f>
        <v>-50.311275074936589</v>
      </c>
    </row>
    <row r="53" spans="1:33" ht="15.4" x14ac:dyDescent="0.4">
      <c r="A53" s="2387"/>
      <c r="B53" s="378" t="s">
        <v>38</v>
      </c>
      <c r="C53" s="1525"/>
      <c r="D53" s="2245"/>
      <c r="E53" s="2026"/>
      <c r="F53" s="313">
        <f>SUM(F51:F52)</f>
        <v>262.70999999999998</v>
      </c>
      <c r="G53" s="313">
        <f>SUM(G51:G52)</f>
        <v>116.53999999999999</v>
      </c>
      <c r="H53" s="2029"/>
      <c r="I53" s="314">
        <f>(G53-F53)/F53*100</f>
        <v>-55.639298085341252</v>
      </c>
      <c r="K53" s="84">
        <v>1.0979049999999999</v>
      </c>
      <c r="M53" s="2388"/>
      <c r="N53" s="2006" t="s">
        <v>38</v>
      </c>
      <c r="O53" s="2007"/>
      <c r="P53" s="2245"/>
      <c r="Q53" s="2026"/>
      <c r="R53" s="313">
        <f>SUM(R51:R52)</f>
        <v>262.70999999999998</v>
      </c>
      <c r="S53" s="313">
        <f>SUM(S51:S52)</f>
        <v>116.53999999999999</v>
      </c>
      <c r="T53" s="2029"/>
      <c r="U53" s="314">
        <f>(S53-R53)/R53*100</f>
        <v>-55.639298085341252</v>
      </c>
    </row>
    <row r="54" spans="1:33" ht="15.4" x14ac:dyDescent="0.4">
      <c r="C54" s="315"/>
      <c r="H54" s="41"/>
      <c r="I54" s="41"/>
    </row>
    <row r="55" spans="1:33" ht="15.75" x14ac:dyDescent="0.45">
      <c r="C55" s="315"/>
      <c r="D55" s="229"/>
      <c r="E55" s="229"/>
      <c r="F55" s="229"/>
      <c r="G55" s="12"/>
      <c r="H55" s="314"/>
      <c r="I55" s="314"/>
      <c r="Q55" s="12"/>
      <c r="R55" s="12">
        <f t="shared" ref="R55:S57" si="8">(R47*1000000)/100000</f>
        <v>53.253019999999999</v>
      </c>
      <c r="S55" s="12">
        <f t="shared" si="8"/>
        <v>71.122190000000003</v>
      </c>
      <c r="T55" s="314"/>
      <c r="U55" s="314">
        <f>(S55-R55)/R55*100</f>
        <v>33.555223722523166</v>
      </c>
      <c r="W55" s="12">
        <f>R56+R57</f>
        <v>77.22399999999999</v>
      </c>
      <c r="X55" s="12">
        <f>S56+S57</f>
        <v>111.24158</v>
      </c>
      <c r="Z55" s="314">
        <f>(X55-W55)/W55*100</f>
        <v>44.050528333160692</v>
      </c>
    </row>
    <row r="56" spans="1:33" ht="15.75" x14ac:dyDescent="0.45">
      <c r="C56" s="229">
        <v>1.401062</v>
      </c>
      <c r="D56" s="229">
        <v>0.1430362</v>
      </c>
      <c r="E56" s="229">
        <v>4.1395500000000002E-2</v>
      </c>
      <c r="F56" s="229">
        <v>0.21088190000000001</v>
      </c>
      <c r="G56" s="229">
        <v>6.5864199999999998E-2</v>
      </c>
      <c r="H56" s="35"/>
      <c r="I56" s="5"/>
      <c r="J56" s="314">
        <f>210288-1860</f>
        <v>208428</v>
      </c>
      <c r="K56" s="5"/>
      <c r="P56" s="12"/>
      <c r="Q56" s="12"/>
      <c r="R56" s="12">
        <f t="shared" si="8"/>
        <v>32.03004</v>
      </c>
      <c r="S56" s="12">
        <f t="shared" si="8"/>
        <v>68.747839999999997</v>
      </c>
      <c r="U56" s="314">
        <f>(S56-R56)/R56*100</f>
        <v>114.63551091412936</v>
      </c>
    </row>
    <row r="57" spans="1:33" ht="15.4" x14ac:dyDescent="0.4">
      <c r="J57" s="35"/>
      <c r="L57" s="35"/>
      <c r="R57" s="12">
        <f t="shared" si="8"/>
        <v>45.193959999999997</v>
      </c>
      <c r="S57" s="12">
        <f t="shared" si="8"/>
        <v>42.493740000000003</v>
      </c>
      <c r="U57" s="314">
        <f>(S57-R57)/R57*100</f>
        <v>-5.9747364470827407</v>
      </c>
    </row>
    <row r="58" spans="1:33" x14ac:dyDescent="0.4">
      <c r="D58" s="1407"/>
      <c r="E58" s="1192">
        <v>44734</v>
      </c>
      <c r="F58" s="1192">
        <v>45100</v>
      </c>
      <c r="H58" s="1192">
        <f>E58</f>
        <v>44734</v>
      </c>
      <c r="I58" s="1192">
        <f>F58</f>
        <v>45100</v>
      </c>
      <c r="K58" s="84">
        <v>2.94</v>
      </c>
      <c r="R58" s="12">
        <f>SUM(R55:R57)</f>
        <v>130.47702000000001</v>
      </c>
      <c r="S58" s="12">
        <f>SUM(S55:S57)</f>
        <v>182.36376999999999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33" ht="15.75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S59" s="9" t="s">
        <v>152</v>
      </c>
      <c r="T59" s="1291">
        <f>E58</f>
        <v>44734</v>
      </c>
      <c r="U59" s="1291">
        <f>F58</f>
        <v>45100</v>
      </c>
      <c r="V59" s="26"/>
      <c r="W59" s="1291">
        <v>44958</v>
      </c>
      <c r="X59" s="1291">
        <v>44958</v>
      </c>
      <c r="Y59" s="26"/>
      <c r="Z59" s="1291">
        <f>T59</f>
        <v>44734</v>
      </c>
      <c r="AA59" s="1291">
        <f>X59</f>
        <v>44958</v>
      </c>
      <c r="AC59" s="5">
        <v>57578</v>
      </c>
      <c r="AD59" s="5">
        <v>76550</v>
      </c>
    </row>
    <row r="60" spans="1:33" ht="16.149999999999999" x14ac:dyDescent="0.55000000000000004">
      <c r="D60" s="1407" t="s">
        <v>94</v>
      </c>
      <c r="E60" s="1193">
        <f t="shared" ref="E60:F62" si="9">H60/10000000</f>
        <v>0.93236140000000001</v>
      </c>
      <c r="F60" s="1193">
        <f t="shared" si="9"/>
        <v>1.266308</v>
      </c>
      <c r="H60" s="598">
        <v>9323614</v>
      </c>
      <c r="I60" s="598">
        <f>E115</f>
        <v>12663080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33" ht="16.149999999999999" x14ac:dyDescent="0.55000000000000004">
      <c r="D61" s="1407" t="s">
        <v>502</v>
      </c>
      <c r="E61" s="1193">
        <f t="shared" si="9"/>
        <v>8.8698466000000007</v>
      </c>
      <c r="F61" s="1193">
        <f t="shared" si="9"/>
        <v>14.052387299999999</v>
      </c>
      <c r="H61" s="598">
        <v>88698466</v>
      </c>
      <c r="I61" s="598">
        <f>G115</f>
        <v>140523873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33" ht="16.899999999999999" thickBot="1" x14ac:dyDescent="0.6">
      <c r="D62" s="1407" t="s">
        <v>767</v>
      </c>
      <c r="E62" s="1193">
        <f t="shared" si="9"/>
        <v>78.5005314</v>
      </c>
      <c r="F62" s="1193">
        <f t="shared" si="9"/>
        <v>99.780902600000005</v>
      </c>
      <c r="H62" s="1124">
        <v>785005314</v>
      </c>
      <c r="I62" s="1496">
        <f>I115</f>
        <v>997809026</v>
      </c>
      <c r="J62" s="1320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33" ht="16.5" x14ac:dyDescent="0.55000000000000004">
      <c r="E63" s="428"/>
      <c r="F63" s="428"/>
      <c r="J63" s="1215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33" ht="15.4" x14ac:dyDescent="0.4">
      <c r="E64" s="428"/>
      <c r="F64" s="428"/>
      <c r="I64" s="82">
        <f>J65/1000000</f>
        <v>0.23699999999999999</v>
      </c>
      <c r="K64" s="212"/>
      <c r="L64" s="1217"/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6.149999999999999" x14ac:dyDescent="0.55000000000000004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>
        <f>SUM(T60:T64)</f>
        <v>665125</v>
      </c>
      <c r="U65" s="26">
        <f t="shared" ref="U65:AA65" si="10">SUM(U60:U64)</f>
        <v>3363834</v>
      </c>
      <c r="W65" s="9">
        <f>SUM(W60:W64)</f>
        <v>1174725</v>
      </c>
      <c r="X65" s="9">
        <f t="shared" si="10"/>
        <v>7176648</v>
      </c>
      <c r="Y65" s="26"/>
      <c r="Z65" s="9">
        <f t="shared" si="10"/>
        <v>403700</v>
      </c>
      <c r="AA65" s="9">
        <f t="shared" si="10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6.149999999999999" x14ac:dyDescent="0.55000000000000004">
      <c r="D66" s="1407" t="s">
        <v>94</v>
      </c>
      <c r="E66" s="1193">
        <f t="shared" ref="E66:F68" si="11">H66/1000000</f>
        <v>1.4243969999999999</v>
      </c>
      <c r="F66" s="1193">
        <f t="shared" si="11"/>
        <v>1.8273950000000001</v>
      </c>
      <c r="H66" s="598">
        <v>1424397</v>
      </c>
      <c r="I66" s="598">
        <f>D115</f>
        <v>1827395</v>
      </c>
      <c r="J66" s="755"/>
      <c r="K66" s="323">
        <f t="shared" ref="K66:K68" si="12">I66/100000</f>
        <v>18.273949999999999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6.149999999999999" x14ac:dyDescent="0.55000000000000004">
      <c r="D67" s="1407" t="s">
        <v>502</v>
      </c>
      <c r="E67" s="1193">
        <f t="shared" si="11"/>
        <v>1.1149039999999999</v>
      </c>
      <c r="F67" s="1193">
        <f t="shared" si="11"/>
        <v>1.4964660000000001</v>
      </c>
      <c r="H67" s="598">
        <v>1114904</v>
      </c>
      <c r="I67" s="598">
        <f>F115</f>
        <v>1496466</v>
      </c>
      <c r="J67" s="323">
        <f>H66/100000</f>
        <v>14.243969999999999</v>
      </c>
      <c r="K67" s="323">
        <f t="shared" si="12"/>
        <v>14.96466</v>
      </c>
      <c r="L67" s="491">
        <f>K66/100000</f>
        <v>1.8273949999999999E-4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6.149999999999999" x14ac:dyDescent="0.55000000000000004">
      <c r="D68" s="1407" t="s">
        <v>767</v>
      </c>
      <c r="E68" s="1193">
        <f t="shared" si="11"/>
        <v>1.0979049999999999</v>
      </c>
      <c r="F68" s="1193">
        <f t="shared" si="11"/>
        <v>1.2768619999999999</v>
      </c>
      <c r="H68" s="1124">
        <v>1097905</v>
      </c>
      <c r="I68" s="1496">
        <f>H115</f>
        <v>1276862</v>
      </c>
      <c r="J68" s="323">
        <f>H67/100000</f>
        <v>11.149039999999999</v>
      </c>
      <c r="K68" s="323">
        <f t="shared" si="12"/>
        <v>12.76862</v>
      </c>
      <c r="L68" s="491">
        <f>K67/100000</f>
        <v>1.4964660000000001E-4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J69" s="323">
        <f>H68/100000</f>
        <v>10.979050000000001</v>
      </c>
      <c r="K69" s="212"/>
      <c r="L69" s="491">
        <f>K68/100000</f>
        <v>1.276862E-4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6.149999999999999" x14ac:dyDescent="0.55000000000000004">
      <c r="D71" s="1418" t="s">
        <v>436</v>
      </c>
      <c r="E71" s="134">
        <f>H71</f>
        <v>1.3951305000000001</v>
      </c>
      <c r="F71" s="134">
        <f>I71</f>
        <v>1.7361925</v>
      </c>
      <c r="H71" s="1372">
        <f>J72/10000000</f>
        <v>1.3951305000000001</v>
      </c>
      <c r="I71" s="1372">
        <f>K71/10000000</f>
        <v>1.7361925</v>
      </c>
      <c r="K71" s="122">
        <v>17361925</v>
      </c>
      <c r="L71" s="1217"/>
      <c r="N71" s="755">
        <v>6531262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5">
        <f>66.07-3.11</f>
        <v>62.959999999999994</v>
      </c>
      <c r="D72" s="1418" t="s">
        <v>769</v>
      </c>
      <c r="E72" s="134">
        <f>J80/100</f>
        <v>2.5394000000000001</v>
      </c>
      <c r="F72" s="134">
        <f>K79/100</f>
        <v>2.6796999999999995</v>
      </c>
      <c r="H72" s="1263"/>
      <c r="I72" s="1263"/>
      <c r="J72" s="1533">
        <v>13951305</v>
      </c>
      <c r="K72" s="134"/>
      <c r="L72" s="1217"/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J78/100</f>
        <v>8.1900000000000001E-2</v>
      </c>
      <c r="F73" s="283">
        <f>K77/100</f>
        <v>0.1191</v>
      </c>
      <c r="H73" s="1263"/>
      <c r="I73" s="1263"/>
      <c r="J73" s="85"/>
      <c r="K73" s="283"/>
      <c r="L73" s="1217"/>
      <c r="U73" s="1239"/>
      <c r="AB73" s="1239"/>
    </row>
    <row r="74" spans="3:30" x14ac:dyDescent="0.4">
      <c r="D74" s="1418" t="s">
        <v>196</v>
      </c>
      <c r="E74" s="134">
        <f>H74</f>
        <v>0.227191</v>
      </c>
      <c r="F74" s="134">
        <f t="shared" ref="E74:F76" si="13">I74</f>
        <v>0.23521700000000001</v>
      </c>
      <c r="H74" s="1372">
        <f>J75/10000000</f>
        <v>0.227191</v>
      </c>
      <c r="I74" s="1372">
        <f t="shared" ref="I74:I76" si="14">K74/10000000</f>
        <v>0.23521700000000001</v>
      </c>
      <c r="J74" s="283"/>
      <c r="K74" s="210">
        <f>J116</f>
        <v>2352170</v>
      </c>
      <c r="L74" s="1217"/>
      <c r="M74" s="1210"/>
      <c r="N74" s="12"/>
      <c r="X74" s="5"/>
    </row>
    <row r="75" spans="3:30" ht="16.149999999999999" x14ac:dyDescent="0.55000000000000004">
      <c r="D75" s="1418" t="s">
        <v>123</v>
      </c>
      <c r="E75" s="134">
        <f>H75</f>
        <v>1.0650203</v>
      </c>
      <c r="F75" s="134">
        <f t="shared" si="13"/>
        <v>5.3470200000000002E-2</v>
      </c>
      <c r="H75" s="1372">
        <f>J76/10000000</f>
        <v>1.0650203</v>
      </c>
      <c r="I75" s="1372">
        <f t="shared" si="14"/>
        <v>5.3470200000000002E-2</v>
      </c>
      <c r="J75" s="598">
        <v>2271910</v>
      </c>
      <c r="K75" s="1498">
        <f>L115</f>
        <v>534702</v>
      </c>
    </row>
    <row r="76" spans="3:30" ht="16.149999999999999" x14ac:dyDescent="0.55000000000000004">
      <c r="D76" s="1418" t="s">
        <v>435</v>
      </c>
      <c r="E76" s="134">
        <f t="shared" si="13"/>
        <v>3.2202381999999998</v>
      </c>
      <c r="F76" s="134">
        <f>I76</f>
        <v>3.6155579000000002</v>
      </c>
      <c r="H76" s="1372">
        <f>J77/10000000</f>
        <v>3.2202381999999998</v>
      </c>
      <c r="I76" s="1372">
        <f t="shared" si="14"/>
        <v>3.6155579000000002</v>
      </c>
      <c r="J76" s="210">
        <f>L152</f>
        <v>10650203</v>
      </c>
      <c r="K76" s="1499">
        <f>K115</f>
        <v>36155579</v>
      </c>
      <c r="N76" s="755"/>
    </row>
    <row r="77" spans="3:30" ht="16.149999999999999" x14ac:dyDescent="0.55000000000000004">
      <c r="H77" s="1224"/>
      <c r="I77" s="1225"/>
      <c r="J77" s="1498">
        <v>32202382</v>
      </c>
      <c r="K77" s="134">
        <v>11.91</v>
      </c>
    </row>
    <row r="78" spans="3:30" x14ac:dyDescent="0.4">
      <c r="E78" s="428"/>
      <c r="F78" s="428"/>
      <c r="J78" s="85">
        <v>8.19</v>
      </c>
      <c r="K78" s="85">
        <v>279.88</v>
      </c>
      <c r="L78" s="172">
        <f>J78/100</f>
        <v>8.1900000000000001E-2</v>
      </c>
    </row>
    <row r="79" spans="3:30" x14ac:dyDescent="0.4">
      <c r="E79" s="428"/>
      <c r="F79" s="428"/>
      <c r="J79" s="85">
        <v>262.13</v>
      </c>
      <c r="K79" s="134">
        <f>K78-K77</f>
        <v>267.96999999999997</v>
      </c>
    </row>
    <row r="80" spans="3:30" x14ac:dyDescent="0.4">
      <c r="E80" s="428"/>
      <c r="F80" s="428"/>
      <c r="J80" s="85">
        <f>J79-J78</f>
        <v>253.94</v>
      </c>
      <c r="L80" s="172">
        <f>J80/100</f>
        <v>2.5394000000000001</v>
      </c>
    </row>
    <row r="81" spans="3:12" x14ac:dyDescent="0.4">
      <c r="D81" s="1417" t="s">
        <v>164</v>
      </c>
      <c r="E81" s="428" t="s">
        <v>710</v>
      </c>
      <c r="F81" s="84" t="s">
        <v>164</v>
      </c>
      <c r="G81" s="428" t="s">
        <v>710</v>
      </c>
      <c r="H81" s="84" t="s">
        <v>164</v>
      </c>
      <c r="I81" s="428" t="s">
        <v>710</v>
      </c>
    </row>
    <row r="82" spans="3:12" x14ac:dyDescent="0.4">
      <c r="D82" s="1417">
        <v>23</v>
      </c>
      <c r="E82" s="84">
        <v>23</v>
      </c>
      <c r="F82" s="84">
        <v>23</v>
      </c>
      <c r="G82" s="84">
        <v>23</v>
      </c>
      <c r="H82" s="84">
        <v>23</v>
      </c>
      <c r="I82" s="84">
        <v>23</v>
      </c>
      <c r="J82" s="84" t="s">
        <v>196</v>
      </c>
      <c r="K82" s="1292">
        <v>23</v>
      </c>
    </row>
    <row r="83" spans="3:12" x14ac:dyDescent="0.4">
      <c r="D83" s="2437" t="s">
        <v>795</v>
      </c>
      <c r="E83" s="2437"/>
      <c r="F83" s="2437" t="s">
        <v>796</v>
      </c>
      <c r="G83" s="2437"/>
      <c r="H83" s="2437" t="s">
        <v>797</v>
      </c>
      <c r="I83" s="2437"/>
      <c r="J83" s="84">
        <v>23</v>
      </c>
      <c r="K83" s="5" t="s">
        <v>882</v>
      </c>
      <c r="L83" s="172" t="s">
        <v>123</v>
      </c>
    </row>
    <row r="84" spans="3:12" ht="16.5" thickBot="1" x14ac:dyDescent="0.6">
      <c r="C84" s="1239">
        <v>45108</v>
      </c>
      <c r="D84" s="1449"/>
      <c r="E84" s="476"/>
      <c r="F84" s="7"/>
      <c r="G84" s="7"/>
      <c r="H84" s="910"/>
      <c r="I84" s="755"/>
      <c r="J84" s="5" t="s">
        <v>196</v>
      </c>
      <c r="K84" s="755"/>
    </row>
    <row r="85" spans="3:12" x14ac:dyDescent="0.4">
      <c r="C85" s="1239">
        <v>45109</v>
      </c>
      <c r="D85" s="1451"/>
      <c r="E85" s="476"/>
      <c r="F85" s="7"/>
      <c r="G85" s="7"/>
      <c r="H85" s="7"/>
      <c r="I85" s="210"/>
      <c r="J85" s="210"/>
      <c r="K85" s="85"/>
      <c r="L85" s="1297"/>
    </row>
    <row r="86" spans="3:12" x14ac:dyDescent="0.4">
      <c r="C86" s="1239">
        <v>45110</v>
      </c>
      <c r="D86" s="1451"/>
      <c r="E86" s="476"/>
      <c r="F86" s="7"/>
      <c r="G86" s="7"/>
      <c r="H86" s="7"/>
      <c r="I86" s="210"/>
      <c r="J86" s="210"/>
      <c r="K86" s="85"/>
      <c r="L86" s="1297"/>
    </row>
    <row r="87" spans="3:12" x14ac:dyDescent="0.4">
      <c r="C87" s="1239">
        <v>45111</v>
      </c>
      <c r="D87" s="1451"/>
      <c r="E87" s="476"/>
      <c r="F87" s="7"/>
      <c r="G87" s="7"/>
      <c r="H87" s="7"/>
      <c r="I87" s="210"/>
      <c r="J87" s="210"/>
      <c r="K87" s="85"/>
      <c r="L87" s="1297"/>
    </row>
    <row r="88" spans="3:12" x14ac:dyDescent="0.4">
      <c r="C88" s="1239">
        <v>45112</v>
      </c>
      <c r="D88" s="1451"/>
      <c r="E88" s="476"/>
      <c r="F88" s="7"/>
      <c r="G88" s="7"/>
      <c r="H88" s="7"/>
      <c r="I88" s="210"/>
      <c r="J88" s="210"/>
      <c r="K88" s="85"/>
      <c r="L88" s="1297"/>
    </row>
    <row r="89" spans="3:12" x14ac:dyDescent="0.4">
      <c r="C89" s="1239">
        <v>45113</v>
      </c>
      <c r="D89" s="1451"/>
      <c r="E89" s="476"/>
      <c r="F89" s="6"/>
      <c r="G89" s="6"/>
      <c r="H89" s="31"/>
      <c r="I89" s="79"/>
      <c r="J89" s="210"/>
      <c r="K89" s="85"/>
      <c r="L89" s="1297"/>
    </row>
    <row r="90" spans="3:12" x14ac:dyDescent="0.4">
      <c r="C90" s="1239">
        <v>45114</v>
      </c>
      <c r="D90" s="1451"/>
      <c r="E90" s="476"/>
      <c r="F90" s="6"/>
      <c r="G90" s="6"/>
      <c r="H90" s="1461"/>
      <c r="I90" s="1460"/>
      <c r="J90" s="85"/>
      <c r="K90" s="85"/>
      <c r="L90" s="1297"/>
    </row>
    <row r="91" spans="3:12" x14ac:dyDescent="0.4">
      <c r="C91" s="1239">
        <v>45115</v>
      </c>
      <c r="D91" s="1451"/>
      <c r="E91" s="476"/>
      <c r="F91" s="6"/>
      <c r="G91" s="6"/>
      <c r="H91" s="31"/>
      <c r="I91" s="79"/>
      <c r="J91" s="85"/>
      <c r="K91" s="85"/>
      <c r="L91" s="1297"/>
    </row>
    <row r="92" spans="3:12" x14ac:dyDescent="0.4">
      <c r="C92" s="1239">
        <v>45116</v>
      </c>
      <c r="D92" s="1451"/>
      <c r="E92" s="476"/>
      <c r="F92" s="6"/>
      <c r="G92" s="6"/>
      <c r="H92" s="31"/>
      <c r="I92" s="79"/>
      <c r="J92" s="85"/>
      <c r="K92" s="85"/>
      <c r="L92" s="1297"/>
    </row>
    <row r="93" spans="3:12" ht="16.149999999999999" x14ac:dyDescent="0.55000000000000004">
      <c r="C93" s="1239">
        <v>45117</v>
      </c>
      <c r="D93" s="1451">
        <v>641870</v>
      </c>
      <c r="E93" s="476">
        <v>4540379</v>
      </c>
      <c r="F93" s="6">
        <v>529988</v>
      </c>
      <c r="G93" s="6">
        <v>48952846</v>
      </c>
      <c r="H93" s="1453"/>
      <c r="I93" s="1453"/>
      <c r="J93" s="85"/>
      <c r="K93" s="755"/>
      <c r="L93" s="1297">
        <v>0</v>
      </c>
    </row>
    <row r="94" spans="3:12" ht="16.5" thickBot="1" x14ac:dyDescent="0.6">
      <c r="C94" s="1239">
        <v>45118</v>
      </c>
      <c r="D94" s="1451"/>
      <c r="E94" s="476"/>
      <c r="F94" s="6"/>
      <c r="G94" s="6"/>
      <c r="H94" s="824"/>
      <c r="I94" s="755"/>
      <c r="J94" s="85">
        <v>822630</v>
      </c>
      <c r="K94" s="755"/>
      <c r="L94" s="1297"/>
    </row>
    <row r="95" spans="3:12" ht="15.75" x14ac:dyDescent="0.4">
      <c r="C95" s="1239">
        <v>45119</v>
      </c>
      <c r="D95" s="1451"/>
      <c r="E95" s="476"/>
      <c r="F95" s="6"/>
      <c r="G95" s="6"/>
      <c r="H95" s="1255"/>
      <c r="I95" s="1453"/>
      <c r="J95" s="85"/>
      <c r="K95" s="85"/>
      <c r="L95" s="1297"/>
    </row>
    <row r="96" spans="3:12" x14ac:dyDescent="0.4">
      <c r="C96" s="1239">
        <v>45120</v>
      </c>
      <c r="D96" s="1451"/>
      <c r="E96" s="476"/>
      <c r="F96" s="6"/>
      <c r="G96" s="6"/>
      <c r="H96" s="31"/>
      <c r="I96" s="79"/>
      <c r="J96" s="85"/>
      <c r="K96" s="85"/>
      <c r="L96" s="1297"/>
    </row>
    <row r="97" spans="3:12" ht="16.5" thickBot="1" x14ac:dyDescent="0.6">
      <c r="C97" s="1239">
        <v>45121</v>
      </c>
      <c r="D97" s="1451"/>
      <c r="E97" s="476"/>
      <c r="F97" s="6"/>
      <c r="G97" s="6"/>
      <c r="H97" s="1131"/>
      <c r="I97" s="1131"/>
      <c r="J97" s="85"/>
      <c r="K97" s="824"/>
      <c r="L97" s="1297"/>
    </row>
    <row r="98" spans="3:12" x14ac:dyDescent="0.4">
      <c r="C98" s="1239">
        <v>45122</v>
      </c>
      <c r="D98" s="1451"/>
      <c r="E98" s="476"/>
      <c r="F98" s="6"/>
      <c r="G98" s="6"/>
      <c r="H98" s="31"/>
      <c r="I98" s="79"/>
      <c r="J98" s="85"/>
      <c r="K98" s="85"/>
      <c r="L98" s="1297"/>
    </row>
    <row r="99" spans="3:12" ht="16.149999999999999" x14ac:dyDescent="0.55000000000000004">
      <c r="C99" s="1239">
        <v>45123</v>
      </c>
      <c r="D99" s="1451"/>
      <c r="E99" s="476"/>
      <c r="F99" s="6"/>
      <c r="G99" s="6"/>
      <c r="H99" s="828"/>
      <c r="I99" s="1453"/>
      <c r="J99" s="85"/>
      <c r="K99" s="85"/>
      <c r="L99" s="1297"/>
    </row>
    <row r="100" spans="3:12" ht="16.149999999999999" x14ac:dyDescent="0.55000000000000004">
      <c r="C100" s="1239">
        <v>45124</v>
      </c>
      <c r="D100" s="1451"/>
      <c r="E100" s="476"/>
      <c r="F100" s="6"/>
      <c r="G100" s="6"/>
      <c r="H100" s="755"/>
      <c r="I100" s="755"/>
      <c r="J100" s="85"/>
      <c r="K100" s="755"/>
      <c r="L100" s="1297">
        <v>181340</v>
      </c>
    </row>
    <row r="101" spans="3:12" ht="16.5" thickBot="1" x14ac:dyDescent="0.6">
      <c r="C101" s="1239">
        <v>45125</v>
      </c>
      <c r="D101" s="1451"/>
      <c r="E101" s="476"/>
      <c r="F101" s="6"/>
      <c r="G101" s="6"/>
      <c r="H101" s="824"/>
      <c r="I101" s="755"/>
      <c r="J101" s="85"/>
      <c r="K101" s="755"/>
      <c r="L101" s="1297"/>
    </row>
    <row r="102" spans="3:12" x14ac:dyDescent="0.4">
      <c r="C102" s="1239">
        <v>45126</v>
      </c>
      <c r="D102" s="234"/>
      <c r="E102" s="476"/>
      <c r="F102" s="6"/>
      <c r="G102" s="6"/>
      <c r="H102" s="31"/>
      <c r="I102" s="79"/>
      <c r="J102" s="85"/>
      <c r="K102" s="85"/>
      <c r="L102" s="1297"/>
    </row>
    <row r="103" spans="3:12" ht="16.149999999999999" x14ac:dyDescent="0.55000000000000004">
      <c r="C103" s="1239">
        <v>45127</v>
      </c>
      <c r="D103" s="1451">
        <v>656380</v>
      </c>
      <c r="E103" s="476">
        <v>4392143</v>
      </c>
      <c r="F103" s="6">
        <v>529879</v>
      </c>
      <c r="G103" s="6">
        <v>48432112</v>
      </c>
      <c r="H103" s="828"/>
      <c r="I103" s="828"/>
      <c r="J103" s="85"/>
      <c r="K103" s="828"/>
      <c r="L103" s="1297"/>
    </row>
    <row r="104" spans="3:12" ht="16.5" thickBot="1" x14ac:dyDescent="0.6">
      <c r="C104" s="1239">
        <v>45128</v>
      </c>
      <c r="D104" s="1478"/>
      <c r="E104" s="1479"/>
      <c r="F104" s="32"/>
      <c r="G104" s="32"/>
      <c r="H104" s="755"/>
      <c r="I104" s="755"/>
      <c r="J104" s="85">
        <v>778310</v>
      </c>
      <c r="K104" s="824"/>
      <c r="L104" s="1297"/>
    </row>
    <row r="105" spans="3:12" x14ac:dyDescent="0.4">
      <c r="C105" s="1239">
        <v>45129</v>
      </c>
      <c r="D105" s="1451"/>
      <c r="E105" s="476"/>
      <c r="F105" s="6"/>
      <c r="G105" s="6"/>
      <c r="H105" s="31"/>
      <c r="I105" s="79"/>
      <c r="J105" s="85"/>
      <c r="K105" s="85"/>
      <c r="L105" s="1297"/>
    </row>
    <row r="106" spans="3:12" x14ac:dyDescent="0.4">
      <c r="C106" s="1239">
        <v>45130</v>
      </c>
      <c r="D106" s="1451"/>
      <c r="E106" s="476"/>
      <c r="F106" s="476"/>
      <c r="G106" s="6"/>
      <c r="H106" s="31"/>
      <c r="I106" s="79"/>
      <c r="J106" s="85"/>
      <c r="K106" s="85"/>
      <c r="L106" s="1297"/>
    </row>
    <row r="107" spans="3:12" x14ac:dyDescent="0.4">
      <c r="C107" s="1239">
        <v>45131</v>
      </c>
      <c r="D107" s="1452"/>
      <c r="E107" s="476"/>
      <c r="F107" s="6"/>
      <c r="G107" s="6"/>
      <c r="H107" s="31"/>
      <c r="I107" s="79"/>
      <c r="J107" s="85"/>
      <c r="K107" s="85"/>
      <c r="L107" s="1297"/>
    </row>
    <row r="108" spans="3:12" x14ac:dyDescent="0.4">
      <c r="C108" s="1239">
        <v>45132</v>
      </c>
      <c r="D108" s="1454"/>
      <c r="E108" s="1243"/>
      <c r="F108" s="1243"/>
      <c r="G108" s="1243"/>
      <c r="H108" s="1243"/>
      <c r="I108" s="1243"/>
      <c r="J108" s="85"/>
      <c r="K108" s="1243"/>
      <c r="L108" s="1297"/>
    </row>
    <row r="109" spans="3:12" x14ac:dyDescent="0.4">
      <c r="C109" s="1239">
        <v>45133</v>
      </c>
      <c r="D109" s="1407"/>
      <c r="E109" s="476"/>
      <c r="F109" s="6"/>
      <c r="G109" s="6"/>
      <c r="H109" s="31"/>
      <c r="I109" s="79"/>
      <c r="J109" s="1243"/>
      <c r="K109" s="85"/>
      <c r="L109" s="1297"/>
    </row>
    <row r="110" spans="3:12" x14ac:dyDescent="0.4">
      <c r="C110" s="1239">
        <v>45134</v>
      </c>
      <c r="D110" s="1407"/>
      <c r="E110" s="476"/>
      <c r="F110" s="6"/>
      <c r="G110" s="6"/>
      <c r="H110" s="31"/>
      <c r="I110" s="79"/>
      <c r="J110" s="85"/>
      <c r="K110" s="85"/>
      <c r="L110" s="1297"/>
    </row>
    <row r="111" spans="3:12" ht="16.5" thickBot="1" x14ac:dyDescent="0.6">
      <c r="C111" s="1239">
        <v>45135</v>
      </c>
      <c r="D111" s="1407"/>
      <c r="E111" s="476"/>
      <c r="F111" s="6"/>
      <c r="G111" s="6"/>
      <c r="H111" s="824"/>
      <c r="I111" s="910"/>
      <c r="J111" s="85"/>
      <c r="K111" s="755"/>
      <c r="L111" s="1297"/>
    </row>
    <row r="112" spans="3:12" x14ac:dyDescent="0.4">
      <c r="C112" s="1239">
        <v>45136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34" ht="16.149999999999999" x14ac:dyDescent="0.55000000000000004">
      <c r="C113" s="1239">
        <v>45137</v>
      </c>
      <c r="D113" s="1407">
        <v>529145</v>
      </c>
      <c r="E113" s="476">
        <v>3730558</v>
      </c>
      <c r="F113" s="6">
        <v>436599</v>
      </c>
      <c r="G113" s="6">
        <v>43138915</v>
      </c>
      <c r="H113" s="755">
        <v>1276862</v>
      </c>
      <c r="I113" s="755">
        <v>997809026</v>
      </c>
      <c r="J113" s="85"/>
      <c r="K113" s="755">
        <v>36155579</v>
      </c>
      <c r="L113" s="1297">
        <v>353362</v>
      </c>
    </row>
    <row r="114" spans="1:34" x14ac:dyDescent="0.4">
      <c r="C114" s="1239">
        <v>45138</v>
      </c>
      <c r="D114" s="1455"/>
      <c r="E114" s="277"/>
      <c r="F114" s="44"/>
      <c r="G114" s="44"/>
      <c r="H114" s="1456"/>
      <c r="I114" s="278"/>
      <c r="J114" s="85">
        <v>751230</v>
      </c>
      <c r="K114" s="1448"/>
      <c r="L114" s="1297"/>
    </row>
    <row r="115" spans="1:34" x14ac:dyDescent="0.4">
      <c r="C115" s="6" t="s">
        <v>548</v>
      </c>
      <c r="D115" s="1462">
        <f>SUM(D84:D114)</f>
        <v>1827395</v>
      </c>
      <c r="E115" s="1481">
        <f>SUM(E84:E114)</f>
        <v>12663080</v>
      </c>
      <c r="F115" s="1462">
        <f t="shared" ref="F115:I115" si="15">SUM(F84:F114)</f>
        <v>1496466</v>
      </c>
      <c r="G115" s="1462">
        <f t="shared" si="15"/>
        <v>140523873</v>
      </c>
      <c r="H115" s="1462">
        <f>SUM(H84:H114)</f>
        <v>1276862</v>
      </c>
      <c r="I115" s="1462">
        <f t="shared" si="15"/>
        <v>997809026</v>
      </c>
      <c r="J115" s="1448"/>
      <c r="K115" s="1462">
        <f>SUM(K84:K114)</f>
        <v>36155579</v>
      </c>
      <c r="L115" s="1462">
        <f>SUM(L84:L114)</f>
        <v>534702</v>
      </c>
    </row>
    <row r="116" spans="1:34" x14ac:dyDescent="0.4">
      <c r="J116" s="1462">
        <f>SUM(J85:J115)</f>
        <v>2352170</v>
      </c>
    </row>
    <row r="117" spans="1:34" x14ac:dyDescent="0.4">
      <c r="L117" s="1297"/>
    </row>
    <row r="118" spans="1:34" s="172" customFormat="1" x14ac:dyDescent="0.4">
      <c r="A118" s="1235"/>
      <c r="B118" s="300"/>
      <c r="C118" s="6"/>
      <c r="D118" s="1407" t="s">
        <v>164</v>
      </c>
      <c r="E118" s="264" t="s">
        <v>710</v>
      </c>
      <c r="F118" s="85" t="s">
        <v>164</v>
      </c>
      <c r="G118" s="264" t="s">
        <v>710</v>
      </c>
      <c r="H118" s="85" t="s">
        <v>164</v>
      </c>
      <c r="I118" s="264" t="s">
        <v>710</v>
      </c>
      <c r="J118" s="84"/>
      <c r="K118" s="1488"/>
      <c r="L118" s="1297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 s="172" customFormat="1" x14ac:dyDescent="0.4">
      <c r="A119" s="1235"/>
      <c r="B119" s="300"/>
      <c r="C119" s="6"/>
      <c r="D119" s="1407">
        <v>22</v>
      </c>
      <c r="E119" s="85">
        <v>22</v>
      </c>
      <c r="F119" s="85">
        <v>22</v>
      </c>
      <c r="G119" s="85">
        <v>22</v>
      </c>
      <c r="H119" s="85">
        <v>22</v>
      </c>
      <c r="I119" s="85">
        <v>22</v>
      </c>
      <c r="J119" s="85" t="s">
        <v>196</v>
      </c>
      <c r="K119" s="1489">
        <v>22</v>
      </c>
      <c r="L119" s="1297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 s="172" customFormat="1" x14ac:dyDescent="0.4">
      <c r="A120" s="1235"/>
      <c r="B120" s="300"/>
      <c r="C120" s="6"/>
      <c r="D120" s="1934" t="s">
        <v>795</v>
      </c>
      <c r="E120" s="1934"/>
      <c r="F120" s="1934" t="s">
        <v>796</v>
      </c>
      <c r="G120" s="1934"/>
      <c r="H120" s="1934" t="s">
        <v>797</v>
      </c>
      <c r="I120" s="1934"/>
      <c r="J120" s="85">
        <v>22</v>
      </c>
      <c r="K120" s="1490" t="s">
        <v>435</v>
      </c>
      <c r="L120" s="1297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 s="172" customFormat="1" ht="16.5" thickBot="1" x14ac:dyDescent="0.6">
      <c r="A121" s="1235"/>
      <c r="B121" s="300"/>
      <c r="D121" s="1449"/>
      <c r="E121" s="476"/>
      <c r="F121" s="6"/>
      <c r="G121" s="6"/>
      <c r="H121" s="755"/>
      <c r="I121" s="755"/>
      <c r="J121" s="6" t="s">
        <v>196</v>
      </c>
      <c r="K121" s="824"/>
      <c r="L121" s="1297"/>
      <c r="M121" s="1209"/>
      <c r="N121" s="5"/>
      <c r="O121" s="5"/>
      <c r="P121" s="5"/>
      <c r="Q121" s="5"/>
      <c r="R121" s="5"/>
      <c r="S121" s="5"/>
      <c r="T121" s="5"/>
      <c r="U121" s="5"/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 s="172" customFormat="1" x14ac:dyDescent="0.4">
      <c r="A122" s="1235"/>
      <c r="B122" s="300"/>
      <c r="C122" s="1261">
        <v>44743</v>
      </c>
      <c r="D122" s="1451"/>
      <c r="E122" s="476"/>
      <c r="F122" s="6"/>
      <c r="G122" s="6"/>
      <c r="H122" s="31"/>
      <c r="I122" s="79"/>
      <c r="J122" s="85"/>
      <c r="K122" s="1488"/>
      <c r="L122" s="1297"/>
      <c r="M122" s="1209"/>
      <c r="N122" s="5"/>
      <c r="O122" s="5"/>
      <c r="P122" s="5"/>
      <c r="Q122" s="5"/>
      <c r="R122" s="5"/>
      <c r="S122" s="5"/>
      <c r="T122" s="5"/>
      <c r="U122" s="5"/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 s="172" customFormat="1" x14ac:dyDescent="0.4">
      <c r="A123" s="1235"/>
      <c r="B123" s="300"/>
      <c r="C123" s="1261">
        <v>44744</v>
      </c>
      <c r="D123" s="1451"/>
      <c r="E123" s="476"/>
      <c r="F123" s="6"/>
      <c r="G123" s="6"/>
      <c r="H123" s="31"/>
      <c r="I123" s="79"/>
      <c r="J123" s="85"/>
      <c r="K123" s="1488"/>
      <c r="L123" s="1297"/>
      <c r="M123" s="1209"/>
      <c r="N123" s="5"/>
      <c r="O123" s="5"/>
      <c r="P123" s="5"/>
      <c r="Q123" s="5"/>
      <c r="R123" s="5"/>
      <c r="S123" s="5"/>
      <c r="T123" s="5"/>
      <c r="U123" s="5"/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 s="172" customFormat="1" x14ac:dyDescent="0.4">
      <c r="A124" s="1235"/>
      <c r="B124" s="300"/>
      <c r="C124" s="1261">
        <v>44745</v>
      </c>
      <c r="D124" s="1451"/>
      <c r="E124" s="476"/>
      <c r="F124" s="6"/>
      <c r="G124" s="6"/>
      <c r="H124" s="31"/>
      <c r="I124" s="79"/>
      <c r="J124" s="85"/>
      <c r="K124" s="1488"/>
      <c r="L124" s="1297"/>
      <c r="M124" s="1209"/>
      <c r="N124" s="5"/>
      <c r="O124" s="5"/>
      <c r="P124" s="5"/>
      <c r="Q124" s="5"/>
      <c r="R124" s="5"/>
      <c r="S124" s="5"/>
      <c r="T124" s="5"/>
      <c r="U124" s="5"/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 s="172" customFormat="1" x14ac:dyDescent="0.4">
      <c r="A125" s="1235"/>
      <c r="B125" s="300"/>
      <c r="C125" s="1261">
        <v>44746</v>
      </c>
      <c r="D125" s="1451"/>
      <c r="E125" s="476"/>
      <c r="F125" s="6"/>
      <c r="G125" s="6"/>
      <c r="H125" s="31"/>
      <c r="I125" s="79"/>
      <c r="J125" s="85"/>
      <c r="K125" s="1488"/>
      <c r="L125" s="1297"/>
      <c r="M125" s="1209"/>
      <c r="N125" s="5"/>
      <c r="O125" s="5"/>
      <c r="P125" s="5"/>
      <c r="Q125" s="5"/>
      <c r="R125" s="5"/>
      <c r="S125" s="5"/>
      <c r="T125" s="5"/>
      <c r="U125" s="5"/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 s="172" customFormat="1" x14ac:dyDescent="0.4">
      <c r="A126" s="1235"/>
      <c r="B126" s="300"/>
      <c r="C126" s="1261">
        <v>44747</v>
      </c>
      <c r="D126" s="1451"/>
      <c r="E126" s="476"/>
      <c r="F126" s="6"/>
      <c r="G126" s="6"/>
      <c r="H126" s="31"/>
      <c r="I126" s="79"/>
      <c r="J126" s="85"/>
      <c r="K126" s="1488"/>
      <c r="L126" s="1297"/>
      <c r="M126" s="1209"/>
      <c r="N126" s="5"/>
      <c r="O126" s="5"/>
      <c r="P126" s="5"/>
      <c r="Q126" s="5"/>
      <c r="R126" s="5"/>
      <c r="S126" s="5"/>
      <c r="T126" s="5"/>
      <c r="U126" s="5"/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 s="172" customFormat="1" ht="16.149999999999999" thickBot="1" x14ac:dyDescent="0.55000000000000004">
      <c r="A127" s="1235"/>
      <c r="B127" s="300"/>
      <c r="C127" s="1261">
        <v>44748</v>
      </c>
      <c r="D127" s="1451"/>
      <c r="E127" s="476"/>
      <c r="F127" s="6"/>
      <c r="G127" s="6"/>
      <c r="H127" s="7"/>
      <c r="I127" s="1319"/>
      <c r="J127" s="85"/>
      <c r="K127" s="1491"/>
      <c r="L127" s="1297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 s="172" customFormat="1" x14ac:dyDescent="0.4">
      <c r="A128" s="1235"/>
      <c r="B128" s="300"/>
      <c r="C128" s="1261">
        <v>44749</v>
      </c>
      <c r="D128" s="1451"/>
      <c r="E128" s="476"/>
      <c r="F128" s="6"/>
      <c r="G128" s="6"/>
      <c r="H128" s="31"/>
      <c r="I128" s="79"/>
      <c r="J128" s="85"/>
      <c r="K128" s="1488"/>
      <c r="L128" s="1297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261">
        <v>44750</v>
      </c>
      <c r="D129" s="1451"/>
      <c r="E129" s="476"/>
      <c r="F129" s="6"/>
      <c r="G129" s="6"/>
      <c r="H129" s="31"/>
      <c r="I129" s="79"/>
      <c r="J129" s="85"/>
      <c r="K129" s="1488"/>
      <c r="L129" s="1297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6.149999999999999" x14ac:dyDescent="0.55000000000000004">
      <c r="A130" s="1235"/>
      <c r="B130" s="300"/>
      <c r="C130" s="1261">
        <v>44751</v>
      </c>
      <c r="D130" s="1451"/>
      <c r="E130" s="476"/>
      <c r="F130" s="6"/>
      <c r="G130" s="6"/>
      <c r="H130" s="755"/>
      <c r="I130" s="1459"/>
      <c r="J130" s="85"/>
      <c r="K130" s="1488"/>
      <c r="L130" s="1297"/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6.149999999999999" thickBot="1" x14ac:dyDescent="0.45">
      <c r="A131" s="1235"/>
      <c r="B131" s="300"/>
      <c r="C131" s="1261">
        <v>44752</v>
      </c>
      <c r="D131" s="1451">
        <v>481120</v>
      </c>
      <c r="E131" s="476">
        <v>3207522</v>
      </c>
      <c r="F131" s="6">
        <v>380446</v>
      </c>
      <c r="G131" s="6">
        <v>29014007</v>
      </c>
      <c r="H131" s="824"/>
      <c r="I131" s="824"/>
      <c r="J131" s="85"/>
      <c r="K131" s="824">
        <v>10612529</v>
      </c>
      <c r="L131" s="1297">
        <v>6093540</v>
      </c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6.149999999999999" x14ac:dyDescent="0.55000000000000004">
      <c r="A132" s="1235"/>
      <c r="B132" s="300"/>
      <c r="C132" s="1261">
        <v>44753</v>
      </c>
      <c r="D132" s="1451"/>
      <c r="E132" s="476"/>
      <c r="F132" s="6"/>
      <c r="G132" s="6"/>
      <c r="H132" s="828"/>
      <c r="I132" s="828"/>
      <c r="J132" s="85">
        <v>784400</v>
      </c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x14ac:dyDescent="0.4">
      <c r="A133" s="1235"/>
      <c r="B133" s="300"/>
      <c r="C133" s="1261">
        <v>44754</v>
      </c>
      <c r="D133" s="1451"/>
      <c r="E133" s="476"/>
      <c r="F133" s="6"/>
      <c r="G133" s="6"/>
      <c r="H133" s="31"/>
      <c r="I133" s="79"/>
      <c r="J133" s="85"/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6.149999999999999" x14ac:dyDescent="0.55000000000000004">
      <c r="A134" s="1235"/>
      <c r="B134" s="300"/>
      <c r="C134" s="1261">
        <v>44755</v>
      </c>
      <c r="D134" s="1452"/>
      <c r="E134" s="476"/>
      <c r="F134" s="6"/>
      <c r="G134" s="6"/>
      <c r="H134" s="828"/>
      <c r="I134" s="1255"/>
      <c r="J134" s="85"/>
      <c r="K134" s="1492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x14ac:dyDescent="0.4">
      <c r="A135" s="1235"/>
      <c r="B135" s="300"/>
      <c r="C135" s="1261">
        <v>44756</v>
      </c>
      <c r="D135" s="1452"/>
      <c r="E135" s="476"/>
      <c r="F135" s="6"/>
      <c r="G135" s="6"/>
      <c r="H135" s="31"/>
      <c r="I135" s="79"/>
      <c r="J135" s="85"/>
      <c r="K135" s="1488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6.149999999999999" x14ac:dyDescent="0.55000000000000004">
      <c r="A136" s="1235"/>
      <c r="B136" s="300"/>
      <c r="C136" s="1261">
        <v>44757</v>
      </c>
      <c r="D136" s="1452"/>
      <c r="E136" s="476"/>
      <c r="F136" s="6"/>
      <c r="G136" s="6"/>
      <c r="H136" s="828"/>
      <c r="I136" s="828"/>
      <c r="J136" s="85"/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261">
        <v>44758</v>
      </c>
      <c r="D137" s="1452"/>
      <c r="E137" s="476"/>
      <c r="F137" s="6"/>
      <c r="G137" s="6"/>
      <c r="H137" s="31"/>
      <c r="I137" s="79"/>
      <c r="J137" s="85"/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6.5" thickBot="1" x14ac:dyDescent="0.6">
      <c r="A138" s="1235"/>
      <c r="B138" s="300"/>
      <c r="C138" s="1261">
        <v>44759</v>
      </c>
      <c r="D138" s="1452"/>
      <c r="E138" s="476"/>
      <c r="F138" s="6"/>
      <c r="G138" s="6"/>
      <c r="H138" s="824"/>
      <c r="I138" s="755"/>
      <c r="J138" s="85"/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x14ac:dyDescent="0.4">
      <c r="A139" s="1235"/>
      <c r="B139" s="300"/>
      <c r="C139" s="1261">
        <v>44760</v>
      </c>
      <c r="D139" s="1452"/>
      <c r="E139" s="476"/>
      <c r="F139" s="6"/>
      <c r="G139" s="6"/>
      <c r="H139" s="31"/>
      <c r="I139" s="79"/>
      <c r="J139" s="85"/>
      <c r="K139" s="1488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x14ac:dyDescent="0.4">
      <c r="A140" s="1235"/>
      <c r="B140" s="300"/>
      <c r="C140" s="1261">
        <v>44761</v>
      </c>
      <c r="D140" s="1451"/>
      <c r="E140" s="210"/>
      <c r="F140" s="7"/>
      <c r="G140" s="7"/>
      <c r="H140" s="210"/>
      <c r="I140" s="1243"/>
      <c r="J140" s="85"/>
      <c r="K140" s="1488"/>
      <c r="L140" s="1488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6.5" thickBot="1" x14ac:dyDescent="0.6">
      <c r="A141" s="1235"/>
      <c r="B141" s="300"/>
      <c r="C141" s="1261">
        <v>44762</v>
      </c>
      <c r="D141" s="1407">
        <v>473588</v>
      </c>
      <c r="E141" s="33">
        <v>2842812</v>
      </c>
      <c r="F141" s="6">
        <v>362593</v>
      </c>
      <c r="G141" s="6">
        <v>29418147</v>
      </c>
      <c r="H141" s="910"/>
      <c r="I141" s="824"/>
      <c r="J141" s="210"/>
      <c r="K141" s="755">
        <v>6735885</v>
      </c>
      <c r="L141" s="1297">
        <v>4556663</v>
      </c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6.149999999999999" x14ac:dyDescent="0.55000000000000004">
      <c r="A142" s="1235"/>
      <c r="B142" s="300"/>
      <c r="C142" s="1261">
        <v>44763</v>
      </c>
      <c r="D142" s="1407">
        <v>46614</v>
      </c>
      <c r="E142" s="33">
        <v>278133</v>
      </c>
      <c r="F142" s="6">
        <v>35307</v>
      </c>
      <c r="G142" s="6">
        <v>2660560</v>
      </c>
      <c r="H142" s="828"/>
      <c r="I142" s="1255"/>
      <c r="J142" s="85">
        <v>700060</v>
      </c>
      <c r="K142" s="1494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261">
        <v>44764</v>
      </c>
      <c r="D143" s="1407">
        <v>38432</v>
      </c>
      <c r="E143" s="33">
        <v>238637</v>
      </c>
      <c r="F143" s="6">
        <v>32354</v>
      </c>
      <c r="G143" s="6">
        <v>2640828</v>
      </c>
      <c r="H143" s="31"/>
      <c r="I143" s="79"/>
      <c r="J143" s="85">
        <v>67580</v>
      </c>
      <c r="K143" s="1488"/>
      <c r="L143" s="1297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ht="16.5" thickBot="1" x14ac:dyDescent="0.6">
      <c r="A144" s="1235"/>
      <c r="B144" s="300"/>
      <c r="C144" s="1261">
        <v>44765</v>
      </c>
      <c r="D144" s="1454">
        <v>52269</v>
      </c>
      <c r="E144" s="1243">
        <v>485545</v>
      </c>
      <c r="F144" s="1246">
        <v>45126</v>
      </c>
      <c r="G144" s="1246">
        <v>4941893</v>
      </c>
      <c r="H144" s="824">
        <v>812235</v>
      </c>
      <c r="I144" s="755">
        <v>588875354</v>
      </c>
      <c r="J144" s="85">
        <v>62240</v>
      </c>
      <c r="K144" s="755">
        <v>24220012</v>
      </c>
      <c r="L144" s="1297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 s="172" customFormat="1" x14ac:dyDescent="0.4">
      <c r="A145" s="1235"/>
      <c r="B145" s="300"/>
      <c r="C145" s="1261">
        <v>44766</v>
      </c>
      <c r="D145" s="1407"/>
      <c r="E145" s="33"/>
      <c r="F145" s="6"/>
      <c r="G145" s="6"/>
      <c r="H145" s="31"/>
      <c r="I145" s="79"/>
      <c r="J145" s="1243">
        <v>92490</v>
      </c>
      <c r="K145" s="1488"/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 x14ac:dyDescent="0.4">
      <c r="C146" s="1261">
        <v>44767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34" x14ac:dyDescent="0.4">
      <c r="C147" s="1261">
        <v>44768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34" x14ac:dyDescent="0.4">
      <c r="C148" s="1261">
        <v>44769</v>
      </c>
      <c r="D148" s="1407"/>
      <c r="E148" s="33"/>
      <c r="F148" s="6"/>
      <c r="G148" s="6"/>
      <c r="H148" s="31"/>
      <c r="I148" s="79"/>
      <c r="J148" s="85"/>
      <c r="K148" s="1488"/>
      <c r="L148" s="1297"/>
    </row>
    <row r="149" spans="1:34" x14ac:dyDescent="0.4">
      <c r="C149" s="1261">
        <v>44770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34" x14ac:dyDescent="0.4">
      <c r="C150" s="1261">
        <v>44771</v>
      </c>
      <c r="D150" s="1407"/>
      <c r="E150" s="33"/>
      <c r="F150" s="6"/>
      <c r="G150" s="6"/>
      <c r="H150" s="31"/>
      <c r="I150" s="79"/>
      <c r="J150" s="85"/>
      <c r="K150" s="1488"/>
    </row>
    <row r="151" spans="1:34" x14ac:dyDescent="0.4">
      <c r="C151" s="1261">
        <v>44772</v>
      </c>
      <c r="D151" s="1407"/>
      <c r="E151" s="33"/>
      <c r="F151" s="6"/>
      <c r="G151" s="6"/>
      <c r="H151" s="31"/>
      <c r="I151" s="79"/>
      <c r="J151" s="85"/>
      <c r="K151" s="1488"/>
    </row>
    <row r="152" spans="1:34" x14ac:dyDescent="0.4">
      <c r="C152" s="1261">
        <v>44773</v>
      </c>
      <c r="D152" s="1462">
        <f>SUM(D121:D151)</f>
        <v>1092023</v>
      </c>
      <c r="E152" s="1462">
        <f t="shared" ref="E152:L153" si="16">SUM(E121:E151)</f>
        <v>7052649</v>
      </c>
      <c r="F152" s="1462">
        <f t="shared" si="16"/>
        <v>855826</v>
      </c>
      <c r="G152" s="1462">
        <f t="shared" si="16"/>
        <v>68675435</v>
      </c>
      <c r="H152" s="1462">
        <f t="shared" si="16"/>
        <v>812235</v>
      </c>
      <c r="I152" s="1462">
        <f t="shared" si="16"/>
        <v>588875354</v>
      </c>
      <c r="J152" s="85"/>
      <c r="K152" s="1462">
        <f t="shared" si="16"/>
        <v>41568426</v>
      </c>
      <c r="L152" s="1462">
        <f t="shared" si="16"/>
        <v>10650203</v>
      </c>
    </row>
    <row r="153" spans="1:34" x14ac:dyDescent="0.4">
      <c r="J153" s="1462">
        <f t="shared" si="16"/>
        <v>1706770</v>
      </c>
      <c r="L153" s="172">
        <f>L152/10000000</f>
        <v>1.0650203</v>
      </c>
    </row>
  </sheetData>
  <mergeCells count="86">
    <mergeCell ref="AC3:AH3"/>
    <mergeCell ref="A1:I1"/>
    <mergeCell ref="M1:U1"/>
    <mergeCell ref="A2:I2"/>
    <mergeCell ref="M2:U2"/>
    <mergeCell ref="AC2:AH2"/>
    <mergeCell ref="A3:A5"/>
    <mergeCell ref="B3:B5"/>
    <mergeCell ref="D3:E3"/>
    <mergeCell ref="F3:G3"/>
    <mergeCell ref="H3:I3"/>
    <mergeCell ref="H4:H5"/>
    <mergeCell ref="I4:I5"/>
    <mergeCell ref="T4:T5"/>
    <mergeCell ref="U4:U5"/>
    <mergeCell ref="D5:E5"/>
    <mergeCell ref="T3:U3"/>
    <mergeCell ref="A11:I11"/>
    <mergeCell ref="M11:U11"/>
    <mergeCell ref="B13:I13"/>
    <mergeCell ref="N13:U13"/>
    <mergeCell ref="P5:Q5"/>
    <mergeCell ref="M3:M5"/>
    <mergeCell ref="N3:N5"/>
    <mergeCell ref="P3:Q3"/>
    <mergeCell ref="R3:S3"/>
    <mergeCell ref="M18:M26"/>
    <mergeCell ref="O18:Q18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R18:U18"/>
    <mergeCell ref="A18:A26"/>
    <mergeCell ref="C18:E18"/>
    <mergeCell ref="F18:I18"/>
    <mergeCell ref="R28:S28"/>
    <mergeCell ref="T28:U28"/>
    <mergeCell ref="A30:A37"/>
    <mergeCell ref="B30:I30"/>
    <mergeCell ref="M30:M38"/>
    <mergeCell ref="N30:U30"/>
    <mergeCell ref="B28:C29"/>
    <mergeCell ref="D28:E28"/>
    <mergeCell ref="F28:G28"/>
    <mergeCell ref="H28:I28"/>
    <mergeCell ref="N28:O29"/>
    <mergeCell ref="P28:Q28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P48:P49"/>
    <mergeCell ref="Q48:Q49"/>
    <mergeCell ref="T48:T49"/>
    <mergeCell ref="A50:A53"/>
    <mergeCell ref="B50:I50"/>
    <mergeCell ref="M50:M53"/>
    <mergeCell ref="N50:U50"/>
    <mergeCell ref="D51:D53"/>
    <mergeCell ref="E51:E53"/>
    <mergeCell ref="H51:H53"/>
    <mergeCell ref="N51:O51"/>
    <mergeCell ref="P51:P53"/>
    <mergeCell ref="Q51:Q53"/>
    <mergeCell ref="T51:T53"/>
    <mergeCell ref="N52:O52"/>
    <mergeCell ref="N53:O53"/>
    <mergeCell ref="D83:E83"/>
    <mergeCell ref="F83:G83"/>
    <mergeCell ref="H83:I83"/>
    <mergeCell ref="D120:E120"/>
    <mergeCell ref="F120:G120"/>
    <mergeCell ref="H120:I120"/>
  </mergeCells>
  <pageMargins left="0.2" right="0.2" top="0.75" bottom="0.34" header="0.3" footer="0.3"/>
  <pageSetup paperSize="9" scale="20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pageSetUpPr fitToPage="1"/>
  </sheetPr>
  <dimension ref="A1:Z86"/>
  <sheetViews>
    <sheetView topLeftCell="A28" zoomScale="90" zoomScaleNormal="90" workbookViewId="0">
      <selection activeCell="G59" sqref="G59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0" style="5" customWidth="1"/>
    <col min="4" max="4" width="11.398437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86328125" style="11" customWidth="1"/>
    <col min="9" max="9" width="14.265625" style="82" customWidth="1"/>
    <col min="10" max="11" width="10.1328125" style="84" bestFit="1" customWidth="1"/>
    <col min="12" max="12" width="9.1328125" style="5"/>
    <col min="13" max="13" width="5" style="5" customWidth="1"/>
    <col min="14" max="14" width="37.265625" style="5" customWidth="1"/>
    <col min="15" max="15" width="16.73046875" style="5" customWidth="1"/>
    <col min="16" max="16" width="11.3984375" style="5" bestFit="1" customWidth="1"/>
    <col min="17" max="17" width="11.265625" style="5" bestFit="1" customWidth="1"/>
    <col min="18" max="19" width="14" style="5" customWidth="1"/>
    <col min="20" max="20" width="11.1328125" style="5" customWidth="1"/>
    <col min="21" max="21" width="12" style="5" customWidth="1"/>
    <col min="22" max="16384" width="9.1328125" style="5"/>
  </cols>
  <sheetData>
    <row r="1" spans="1:24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  <c r="M1" s="2345" t="s">
        <v>5</v>
      </c>
      <c r="N1" s="2345"/>
      <c r="O1" s="2345"/>
      <c r="P1" s="2345"/>
      <c r="Q1" s="2345"/>
      <c r="R1" s="2345"/>
      <c r="S1" s="2345"/>
      <c r="T1" s="2345"/>
      <c r="U1" s="2345"/>
    </row>
    <row r="2" spans="1:24" s="301" customFormat="1" ht="21.75" customHeight="1" thickBot="1" x14ac:dyDescent="0.4">
      <c r="A2" s="2346" t="s">
        <v>741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M2" s="2092" t="s">
        <v>749</v>
      </c>
      <c r="N2" s="2093"/>
      <c r="O2" s="2093"/>
      <c r="P2" s="2093"/>
      <c r="Q2" s="2093"/>
      <c r="R2" s="2093"/>
      <c r="S2" s="2093"/>
      <c r="T2" s="2093"/>
      <c r="U2" s="2094"/>
    </row>
    <row r="3" spans="1:24" ht="17.25" thickTop="1" x14ac:dyDescent="0.5">
      <c r="A3" s="2484" t="s">
        <v>144</v>
      </c>
      <c r="B3" s="2486" t="s">
        <v>7</v>
      </c>
      <c r="C3" s="2487"/>
      <c r="D3" s="2447" t="s">
        <v>8</v>
      </c>
      <c r="E3" s="2448"/>
      <c r="F3" s="2447" t="s">
        <v>10</v>
      </c>
      <c r="G3" s="2448"/>
      <c r="H3" s="2490" t="s">
        <v>11</v>
      </c>
      <c r="I3" s="2491"/>
      <c r="M3" s="2035" t="s">
        <v>144</v>
      </c>
      <c r="N3" s="2045" t="s">
        <v>7</v>
      </c>
      <c r="O3" s="2046"/>
      <c r="P3" s="2107" t="s">
        <v>8</v>
      </c>
      <c r="Q3" s="2108"/>
      <c r="R3" s="2107" t="s">
        <v>10</v>
      </c>
      <c r="S3" s="2108"/>
      <c r="T3" s="2109" t="s">
        <v>11</v>
      </c>
      <c r="U3" s="2110"/>
    </row>
    <row r="4" spans="1:24" s="35" customFormat="1" ht="33.75" customHeight="1" x14ac:dyDescent="0.35">
      <c r="A4" s="2484"/>
      <c r="B4" s="2488"/>
      <c r="C4" s="2489"/>
      <c r="D4" s="1064" t="s">
        <v>9</v>
      </c>
      <c r="E4" s="1133" t="str">
        <f>G4</f>
        <v xml:space="preserve"> AUG-22</v>
      </c>
      <c r="F4" s="1133" t="s">
        <v>742</v>
      </c>
      <c r="G4" s="1133" t="s">
        <v>743</v>
      </c>
      <c r="H4" s="1061" t="s">
        <v>12</v>
      </c>
      <c r="I4" s="1061" t="s">
        <v>13</v>
      </c>
      <c r="J4" s="84"/>
      <c r="K4" s="84"/>
      <c r="M4" s="2035"/>
      <c r="N4" s="2047"/>
      <c r="O4" s="2048"/>
      <c r="P4" s="421" t="s">
        <v>9</v>
      </c>
      <c r="Q4" s="383" t="str">
        <f>S4</f>
        <v>upto
 AUG-22</v>
      </c>
      <c r="R4" s="383" t="s">
        <v>744</v>
      </c>
      <c r="S4" s="383" t="s">
        <v>745</v>
      </c>
      <c r="T4" s="1061" t="s">
        <v>12</v>
      </c>
      <c r="U4" s="1061" t="s">
        <v>13</v>
      </c>
    </row>
    <row r="5" spans="1:24" ht="20.25" customHeight="1" x14ac:dyDescent="0.5">
      <c r="A5" s="2485"/>
      <c r="B5" s="2488"/>
      <c r="C5" s="2489"/>
      <c r="D5" s="2157" t="s">
        <v>249</v>
      </c>
      <c r="E5" s="2158"/>
      <c r="F5" s="1134" t="s">
        <v>249</v>
      </c>
      <c r="G5" s="1134" t="s">
        <v>438</v>
      </c>
      <c r="H5" s="1062"/>
      <c r="I5" s="1062"/>
      <c r="M5" s="2036"/>
      <c r="N5" s="2047"/>
      <c r="O5" s="2048"/>
      <c r="P5" s="2157" t="s">
        <v>249</v>
      </c>
      <c r="Q5" s="2158"/>
      <c r="R5" s="602" t="s">
        <v>249</v>
      </c>
      <c r="S5" s="602" t="s">
        <v>438</v>
      </c>
      <c r="T5" s="1062"/>
      <c r="U5" s="1062"/>
    </row>
    <row r="6" spans="1:24" ht="30" customHeight="1" x14ac:dyDescent="0.35">
      <c r="A6" s="1135">
        <v>1</v>
      </c>
      <c r="B6" s="2477" t="s">
        <v>290</v>
      </c>
      <c r="C6" s="2477"/>
      <c r="D6" s="304">
        <v>908.2</v>
      </c>
      <c r="E6" s="636">
        <f>E15+E16</f>
        <v>66.789999999999992</v>
      </c>
      <c r="F6" s="305">
        <f>F15+F16+F17</f>
        <v>51.698323626000004</v>
      </c>
      <c r="G6" s="305">
        <f>G15+G16+G17</f>
        <v>85.717999999999989</v>
      </c>
      <c r="H6" s="306">
        <f>(G6-E6)/E6*100</f>
        <v>28.339571792184458</v>
      </c>
      <c r="I6" s="306">
        <f>(G6-F6)/F6*100</f>
        <v>65.804215664917393</v>
      </c>
      <c r="M6" s="372">
        <v>1</v>
      </c>
      <c r="N6" s="2049" t="s">
        <v>290</v>
      </c>
      <c r="O6" s="2049"/>
      <c r="P6" s="304">
        <v>908.2</v>
      </c>
      <c r="Q6" s="305">
        <f>Q15+Q16</f>
        <v>409.16999999999996</v>
      </c>
      <c r="R6" s="305">
        <f>R15+R16+R17</f>
        <v>175.68424348299999</v>
      </c>
      <c r="S6" s="305">
        <f>S15+S16+S17</f>
        <v>400.55569579999997</v>
      </c>
      <c r="T6" s="306">
        <f>(S6-Q6)/Q6*100</f>
        <v>-2.1053117775007926</v>
      </c>
      <c r="U6" s="306">
        <f>(S6-R6)/R6*100</f>
        <v>127.99750726578935</v>
      </c>
    </row>
    <row r="7" spans="1:24" ht="26.25" customHeight="1" x14ac:dyDescent="0.35">
      <c r="A7" s="1136">
        <v>2</v>
      </c>
      <c r="B7" s="2478" t="s">
        <v>291</v>
      </c>
      <c r="C7" s="2479"/>
      <c r="D7" s="307">
        <v>322.42</v>
      </c>
      <c r="E7" s="1129">
        <v>35.619999999999997</v>
      </c>
      <c r="F7" s="307">
        <f>F20+F21+F22+F23+F24+F25+F26</f>
        <v>30.321334500000003</v>
      </c>
      <c r="G7" s="307">
        <f>G20+G21+G22+G23+G24+G25+G26</f>
        <v>34.390999999999998</v>
      </c>
      <c r="H7" s="308">
        <f>(G7-E7)/E7*100</f>
        <v>-3.4503088152723169</v>
      </c>
      <c r="I7" s="308">
        <f>(G7-F7)/F7*100</f>
        <v>13.421788872781953</v>
      </c>
      <c r="M7" s="373">
        <v>2</v>
      </c>
      <c r="N7" s="2050" t="s">
        <v>291</v>
      </c>
      <c r="O7" s="2051"/>
      <c r="P7" s="307">
        <v>322.42</v>
      </c>
      <c r="Q7" s="307">
        <f>E7+'JULY 22'!Q7</f>
        <v>120.58000000000001</v>
      </c>
      <c r="R7" s="307">
        <f>R20+R21+R22+R23+R24+R25+R26</f>
        <v>99.594058600000011</v>
      </c>
      <c r="S7" s="307">
        <f>S20+S21+S22+S23+S24+S25+S26</f>
        <v>164.21130659999997</v>
      </c>
      <c r="T7" s="308">
        <f>(S7-Q7)/Q7*100</f>
        <v>36.184530270359886</v>
      </c>
      <c r="U7" s="308">
        <f>(S7-R7)/R7*100</f>
        <v>64.880625318747633</v>
      </c>
    </row>
    <row r="8" spans="1:24" ht="32.25" customHeight="1" x14ac:dyDescent="0.35">
      <c r="A8" s="1137">
        <v>3</v>
      </c>
      <c r="B8" s="2376" t="s">
        <v>292</v>
      </c>
      <c r="C8" s="2378"/>
      <c r="D8" s="364">
        <v>96.78</v>
      </c>
      <c r="E8" s="636">
        <v>6.29</v>
      </c>
      <c r="F8" s="364">
        <f>F31+F32+F33+F34+F35+F36+F37</f>
        <v>4.8645717999999993</v>
      </c>
      <c r="G8" s="364">
        <v>7.8289999999999997</v>
      </c>
      <c r="H8" s="306">
        <f>(G8-E8)/E8*100</f>
        <v>24.46740858505564</v>
      </c>
      <c r="I8" s="306">
        <f>(G8-F8)/F8*100</f>
        <v>60.939139597035052</v>
      </c>
      <c r="M8" s="374">
        <v>3</v>
      </c>
      <c r="N8" s="2021" t="s">
        <v>292</v>
      </c>
      <c r="O8" s="2023"/>
      <c r="P8" s="364">
        <v>96.78</v>
      </c>
      <c r="Q8" s="364">
        <f>E8+'JULY 22'!Q8</f>
        <v>29.33</v>
      </c>
      <c r="R8" s="364">
        <f>R31+R32+R33+R34+R35+R36+R37</f>
        <v>22.802210599999995</v>
      </c>
      <c r="S8" s="364">
        <f>S31+S32+S33+S34+S35+S36+S37</f>
        <v>46.699446199999997</v>
      </c>
      <c r="T8" s="306">
        <f>(S8-Q8)/Q8*100</f>
        <v>59.220750767132621</v>
      </c>
      <c r="U8" s="306">
        <f>(S8-R8)/R8*100</f>
        <v>104.80227561796139</v>
      </c>
    </row>
    <row r="9" spans="1:24" ht="34.5" customHeight="1" x14ac:dyDescent="0.35">
      <c r="A9" s="1136">
        <v>4</v>
      </c>
      <c r="B9" s="2480" t="s">
        <v>293</v>
      </c>
      <c r="C9" s="2481"/>
      <c r="D9" s="307">
        <v>20.29</v>
      </c>
      <c r="E9" s="1129">
        <f>E39+E40+E41</f>
        <v>1.4601666666666666</v>
      </c>
      <c r="F9" s="307">
        <f>F39+F40+F41+F42+F43+F44</f>
        <v>1.4616636000000001</v>
      </c>
      <c r="G9" s="307">
        <f>G39+G40+G41+G42+G43+G44</f>
        <v>1.2659050999999999</v>
      </c>
      <c r="H9" s="306">
        <f>(G9-E9)/E9*100</f>
        <v>-13.304068028763844</v>
      </c>
      <c r="I9" s="308">
        <f>(G9-F9)/F9*100</f>
        <v>-13.392855921157246</v>
      </c>
      <c r="M9" s="373">
        <v>4</v>
      </c>
      <c r="N9" s="2052" t="s">
        <v>293</v>
      </c>
      <c r="O9" s="2053"/>
      <c r="P9" s="307">
        <f>P39+P40+P41</f>
        <v>20.29</v>
      </c>
      <c r="Q9" s="307">
        <f>Q39+Q40+Q41</f>
        <v>8.0106666666666673</v>
      </c>
      <c r="R9" s="307">
        <f>R39+R40+R41+R42+R43+R44</f>
        <v>2.3854758999999999</v>
      </c>
      <c r="S9" s="307">
        <f>S39+S40+S41+S42+S43+S44</f>
        <v>4.4024470000000004</v>
      </c>
      <c r="T9" s="306">
        <f>(S9-Q9)/Q9*100</f>
        <v>-45.042688914780292</v>
      </c>
      <c r="U9" s="308">
        <f>(S9-R9)/R9*100</f>
        <v>84.552147435235071</v>
      </c>
    </row>
    <row r="10" spans="1:24" ht="28.5" customHeight="1" x14ac:dyDescent="0.35">
      <c r="A10" s="1137">
        <v>5</v>
      </c>
      <c r="B10" s="2482" t="s">
        <v>294</v>
      </c>
      <c r="C10" s="2483"/>
      <c r="D10" s="321">
        <f>SUM(D6:D9)</f>
        <v>1347.69</v>
      </c>
      <c r="E10" s="321">
        <f>SUM(E6:E9)</f>
        <v>110.16016666666667</v>
      </c>
      <c r="F10" s="321">
        <f>SUM(F6:F9)</f>
        <v>88.345893525999998</v>
      </c>
      <c r="G10" s="321">
        <f>SUM(G6:G9)</f>
        <v>129.20390509999999</v>
      </c>
      <c r="H10" s="322">
        <f>(G10-E10)/E10*100</f>
        <v>17.287318101975742</v>
      </c>
      <c r="I10" s="322">
        <f>(G10-F10)/F10*100</f>
        <v>46.247776714121485</v>
      </c>
      <c r="M10" s="374">
        <v>5</v>
      </c>
      <c r="N10" s="2054" t="s">
        <v>294</v>
      </c>
      <c r="O10" s="2055"/>
      <c r="P10" s="321">
        <f>SUM(P6:P9)</f>
        <v>1347.69</v>
      </c>
      <c r="Q10" s="321">
        <f>SUM(Q6:Q9)</f>
        <v>567.09066666666672</v>
      </c>
      <c r="R10" s="321">
        <f>SUM(R6:R9)</f>
        <v>300.46598858299996</v>
      </c>
      <c r="S10" s="321">
        <f>SUM(S6:S9)</f>
        <v>615.86889559999997</v>
      </c>
      <c r="T10" s="322">
        <f>(S10-Q10)/Q10*100</f>
        <v>8.6014868169228507</v>
      </c>
      <c r="U10" s="322">
        <f>(S10-R10)/R10*100</f>
        <v>104.97125099065046</v>
      </c>
    </row>
    <row r="11" spans="1:24" ht="6.75" customHeight="1" thickBot="1" x14ac:dyDescent="0.4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</row>
    <row r="12" spans="1:24" ht="27" customHeight="1" thickBot="1" x14ac:dyDescent="0.4">
      <c r="A12" s="1138">
        <v>6.3</v>
      </c>
      <c r="B12" s="2465" t="s">
        <v>250</v>
      </c>
      <c r="C12" s="2466"/>
      <c r="D12" s="1041">
        <f>D46+D47</f>
        <v>80.319999999999993</v>
      </c>
      <c r="E12" s="1042">
        <f>E46+E47</f>
        <v>6.38</v>
      </c>
      <c r="F12" s="1043">
        <f>F46+F47+F48</f>
        <v>1.190463</v>
      </c>
      <c r="G12" s="1043">
        <f>G46+G47+G48</f>
        <v>3.73</v>
      </c>
      <c r="H12" s="1044">
        <f>(G12-E12)/E12*100</f>
        <v>-41.536050156739812</v>
      </c>
      <c r="I12" s="1045">
        <f>(G12-F12)/F12*100</f>
        <v>213.3234716240656</v>
      </c>
      <c r="M12" s="1040">
        <v>6.3</v>
      </c>
      <c r="N12" s="2324" t="s">
        <v>250</v>
      </c>
      <c r="O12" s="2325"/>
      <c r="P12" s="1041">
        <f>P46+P47</f>
        <v>80.319999999999993</v>
      </c>
      <c r="Q12" s="1042">
        <f>Q46+Q47</f>
        <v>28.46</v>
      </c>
      <c r="R12" s="1043">
        <f>R46+R47+R48</f>
        <v>3.8132979999999996</v>
      </c>
      <c r="S12" s="1043">
        <f>S46+S47+S48</f>
        <v>16.777701999999998</v>
      </c>
      <c r="T12" s="1044">
        <f>(S12-Q12)/Q12*100</f>
        <v>-41.048130709768103</v>
      </c>
      <c r="U12" s="1045">
        <f>(S12-R12)/R12*100</f>
        <v>339.97877952365639</v>
      </c>
    </row>
    <row r="13" spans="1:24" ht="17.649999999999999" x14ac:dyDescent="0.35">
      <c r="A13" s="1139"/>
      <c r="B13" s="2467" t="s">
        <v>229</v>
      </c>
      <c r="C13" s="2468"/>
      <c r="D13" s="2468"/>
      <c r="E13" s="2468"/>
      <c r="F13" s="2468"/>
      <c r="G13" s="2468"/>
      <c r="H13" s="2468"/>
      <c r="I13" s="2469"/>
      <c r="M13" s="376"/>
      <c r="N13" s="2058" t="s">
        <v>229</v>
      </c>
      <c r="O13" s="2059"/>
      <c r="P13" s="2059"/>
      <c r="Q13" s="2059"/>
      <c r="R13" s="2059"/>
      <c r="S13" s="2059"/>
      <c r="T13" s="2059"/>
      <c r="U13" s="2060"/>
    </row>
    <row r="14" spans="1:24" ht="15" x14ac:dyDescent="0.35">
      <c r="A14" s="2470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003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24" ht="15.4" x14ac:dyDescent="0.4">
      <c r="A15" s="2471"/>
      <c r="B15" s="2473" t="s">
        <v>16</v>
      </c>
      <c r="C15" s="2474"/>
      <c r="D15" s="1140">
        <f>'target FY 22-23'!K56</f>
        <v>21.180000000000003</v>
      </c>
      <c r="E15" s="307">
        <v>1.88</v>
      </c>
      <c r="F15" s="404">
        <v>8.4121825999999997E-2</v>
      </c>
      <c r="G15" s="315">
        <v>0.998</v>
      </c>
      <c r="H15" s="316">
        <f>(G15-E15)/E15*100</f>
        <v>-46.914893617021278</v>
      </c>
      <c r="I15" s="314">
        <f>(G15-F15)/F15*100</f>
        <v>1086.3746276739168</v>
      </c>
      <c r="J15" s="1128">
        <f>373857/10000000</f>
        <v>3.7385700000000001E-2</v>
      </c>
      <c r="M15" s="2004"/>
      <c r="N15" s="2006" t="s">
        <v>16</v>
      </c>
      <c r="O15" s="2007"/>
      <c r="P15" s="333">
        <f>D15</f>
        <v>21.180000000000003</v>
      </c>
      <c r="Q15" s="307">
        <f>E15+'JULY 22'!Q15</f>
        <v>9.61</v>
      </c>
      <c r="R15" s="315">
        <f>F15+'JULY 22'!R15</f>
        <v>0.28251188300000002</v>
      </c>
      <c r="S15" s="315">
        <f>G15+'JULY 22'!S15</f>
        <v>4.2884074999999999</v>
      </c>
      <c r="T15" s="316">
        <f>(S15-Q15)/Q15*100</f>
        <v>-55.375572320499479</v>
      </c>
      <c r="U15" s="314">
        <f>(S15-R15)/R15*100</f>
        <v>1417.9565030898186</v>
      </c>
    </row>
    <row r="16" spans="1:24" ht="15.4" x14ac:dyDescent="0.4">
      <c r="A16" s="2471"/>
      <c r="B16" s="2422" t="s">
        <v>15</v>
      </c>
      <c r="C16" s="1141" t="s">
        <v>166</v>
      </c>
      <c r="D16" s="2475">
        <f>'target FY 22-23'!L56</f>
        <v>887.02</v>
      </c>
      <c r="E16" s="2065">
        <v>64.91</v>
      </c>
      <c r="F16" s="404">
        <v>5.9290500000000003E-2</v>
      </c>
      <c r="G16" s="315">
        <v>10.65</v>
      </c>
      <c r="H16" s="2154">
        <f>L16</f>
        <v>30.519180403635808</v>
      </c>
      <c r="I16" s="314">
        <f>(G16-F16)/F16*100</f>
        <v>17862.40544437979</v>
      </c>
      <c r="J16" s="1128">
        <f>250330/10000000</f>
        <v>2.5033E-2</v>
      </c>
      <c r="K16" s="12">
        <f>G16+G17</f>
        <v>84.72</v>
      </c>
      <c r="L16" s="5">
        <f>(K16-E16)/E16*100</f>
        <v>30.519180403635808</v>
      </c>
      <c r="M16" s="2004"/>
      <c r="N16" s="2071" t="s">
        <v>15</v>
      </c>
      <c r="O16" s="320" t="s">
        <v>166</v>
      </c>
      <c r="P16" s="2166">
        <f>D16</f>
        <v>887.02</v>
      </c>
      <c r="Q16" s="2065">
        <f>E16+'JULY 22'!Q16:Q17</f>
        <v>399.55999999999995</v>
      </c>
      <c r="R16" s="315">
        <f>F16+'JULY 22'!R16</f>
        <v>0.21566639999999998</v>
      </c>
      <c r="S16" s="315">
        <f>G16+'JULY 22'!S16</f>
        <v>27.0437856</v>
      </c>
      <c r="T16" s="2154">
        <f>X16</f>
        <v>-0.82408441785964182</v>
      </c>
      <c r="U16" s="314">
        <f>(S16-R16)/R16*100</f>
        <v>12439.637885178221</v>
      </c>
      <c r="W16" s="12">
        <f>S16+S17</f>
        <v>396.26728829999996</v>
      </c>
      <c r="X16" s="5">
        <f>(W16-Q16)/Q16*100</f>
        <v>-0.82408441785964182</v>
      </c>
    </row>
    <row r="17" spans="1:26" ht="15.4" x14ac:dyDescent="0.4">
      <c r="A17" s="2472"/>
      <c r="B17" s="2422"/>
      <c r="C17" s="1141" t="s">
        <v>228</v>
      </c>
      <c r="D17" s="2476"/>
      <c r="E17" s="2066"/>
      <c r="F17" s="315">
        <v>51.554911300000001</v>
      </c>
      <c r="G17" s="315">
        <v>74.069999999999993</v>
      </c>
      <c r="H17" s="2155"/>
      <c r="I17" s="314">
        <f>(G17-F17)/F17*100</f>
        <v>43.672053994979898</v>
      </c>
      <c r="J17" s="323">
        <f>114680295/10000000</f>
        <v>11.4680295</v>
      </c>
      <c r="M17" s="2005"/>
      <c r="N17" s="2071"/>
      <c r="O17" s="320" t="s">
        <v>228</v>
      </c>
      <c r="P17" s="2064"/>
      <c r="Q17" s="2066"/>
      <c r="R17" s="315">
        <f>F17+'JULY 22'!R17</f>
        <v>175.1860652</v>
      </c>
      <c r="S17" s="315">
        <f>G17+'JULY 22'!S17</f>
        <v>369.22350269999998</v>
      </c>
      <c r="T17" s="2155"/>
      <c r="U17" s="314">
        <f>(S17-R17)/R17*100</f>
        <v>110.76077157077444</v>
      </c>
    </row>
    <row r="18" spans="1:26" ht="21.75" customHeight="1" x14ac:dyDescent="0.35">
      <c r="A18" s="2003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  <c r="M18" s="2003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6" ht="31.5" customHeight="1" x14ac:dyDescent="0.35">
      <c r="A19" s="2004"/>
      <c r="B19" s="1069" t="s">
        <v>230</v>
      </c>
      <c r="C19" s="1098" t="str">
        <f>F4</f>
        <v xml:space="preserve"> AUG-21</v>
      </c>
      <c r="D19" s="1098" t="str">
        <f>G4</f>
        <v xml:space="preserve"> AUG-22</v>
      </c>
      <c r="E19" s="1069" t="s">
        <v>681</v>
      </c>
      <c r="F19" s="1098" t="str">
        <f>F4</f>
        <v xml:space="preserve"> AUG-21</v>
      </c>
      <c r="G19" s="1098" t="str">
        <f>G4</f>
        <v xml:space="preserve"> AUG-22</v>
      </c>
      <c r="H19" s="1071" t="s">
        <v>682</v>
      </c>
      <c r="I19" s="1072" t="s">
        <v>681</v>
      </c>
      <c r="M19" s="2004"/>
      <c r="N19" s="1069" t="s">
        <v>230</v>
      </c>
      <c r="O19" s="1098" t="str">
        <f>R4</f>
        <v>upto
 AUG-21</v>
      </c>
      <c r="P19" s="1098" t="str">
        <f>S4</f>
        <v>upto
 AUG-22</v>
      </c>
      <c r="Q19" s="1069" t="s">
        <v>681</v>
      </c>
      <c r="R19" s="1098" t="str">
        <f>R4</f>
        <v>upto
 AUG-21</v>
      </c>
      <c r="S19" s="1098" t="str">
        <f>S4</f>
        <v>upto
 AUG-22</v>
      </c>
      <c r="T19" s="1071" t="s">
        <v>682</v>
      </c>
      <c r="U19" s="1072" t="s">
        <v>681</v>
      </c>
      <c r="Z19" s="5">
        <v>19.45</v>
      </c>
    </row>
    <row r="20" spans="1:26" ht="18.75" customHeight="1" x14ac:dyDescent="0.4">
      <c r="A20" s="2004"/>
      <c r="B20" s="1055" t="s">
        <v>231</v>
      </c>
      <c r="C20" s="85">
        <v>135184</v>
      </c>
      <c r="D20" s="303">
        <v>61109</v>
      </c>
      <c r="E20" s="314">
        <f>(D20-C20)/C20*100</f>
        <v>-54.795685879985797</v>
      </c>
      <c r="F20" s="315">
        <v>25.487508200000001</v>
      </c>
      <c r="G20" s="315">
        <v>13.97</v>
      </c>
      <c r="H20" s="1060">
        <f>G20/G7*100</f>
        <v>40.62109272774854</v>
      </c>
      <c r="I20" s="314">
        <f>(G20-F20)/F20*100</f>
        <v>-45.188835682257867</v>
      </c>
      <c r="M20" s="2004"/>
      <c r="N20" s="1055" t="s">
        <v>231</v>
      </c>
      <c r="O20" s="833">
        <v>443987</v>
      </c>
      <c r="P20" s="833">
        <v>523984</v>
      </c>
      <c r="Q20" s="314">
        <f>(P20-O20)/O20*100</f>
        <v>18.017869892586948</v>
      </c>
      <c r="R20" s="315">
        <v>79.680000000000007</v>
      </c>
      <c r="S20" s="315">
        <f>G20+'JULY 22'!S20</f>
        <v>89.783210999999994</v>
      </c>
      <c r="T20" s="1060">
        <f>S20/S7*100</f>
        <v>54.675413562539674</v>
      </c>
      <c r="U20" s="314">
        <f>(S20-R20)/R20*100</f>
        <v>12.679732680722875</v>
      </c>
      <c r="Z20" s="5">
        <v>12.59</v>
      </c>
    </row>
    <row r="21" spans="1:26" ht="18.75" customHeight="1" x14ac:dyDescent="0.4">
      <c r="A21" s="2004"/>
      <c r="B21" s="1055" t="s">
        <v>232</v>
      </c>
      <c r="C21" s="303">
        <v>5551</v>
      </c>
      <c r="D21" s="303">
        <v>104038</v>
      </c>
      <c r="E21" s="314">
        <f>(D21-C21)/C21*100</f>
        <v>1774.2208611061069</v>
      </c>
      <c r="F21" s="315">
        <v>1.1003118000000001</v>
      </c>
      <c r="G21" s="315">
        <v>8.4499999999999993</v>
      </c>
      <c r="H21" s="1060">
        <f>G21/G7*100</f>
        <v>24.570381785932366</v>
      </c>
      <c r="I21" s="314">
        <f>(G21-F21)/F21*100</f>
        <v>667.96413525693333</v>
      </c>
      <c r="M21" s="2004"/>
      <c r="N21" s="1055" t="s">
        <v>232</v>
      </c>
      <c r="O21" s="833">
        <v>23966</v>
      </c>
      <c r="P21" s="833">
        <v>409278</v>
      </c>
      <c r="Q21" s="314">
        <f>(P21-O21)/O21*100</f>
        <v>1607.7443044312777</v>
      </c>
      <c r="R21" s="315">
        <f>F21+'JULY 22'!R21</f>
        <v>2.4093876000000001</v>
      </c>
      <c r="S21" s="315">
        <f>G21+'JULY 22'!S21</f>
        <v>32.147490199999993</v>
      </c>
      <c r="T21" s="1060">
        <f>S21/S7*100</f>
        <v>19.57690421300137</v>
      </c>
      <c r="U21" s="314">
        <f>(S21-R21)/R21*100</f>
        <v>1234.2598011212474</v>
      </c>
      <c r="Z21" s="5">
        <v>7.06</v>
      </c>
    </row>
    <row r="22" spans="1:26" ht="18.75" customHeight="1" x14ac:dyDescent="0.4">
      <c r="A22" s="2004"/>
      <c r="B22" s="1055" t="s">
        <v>239</v>
      </c>
      <c r="C22" s="303">
        <v>26460</v>
      </c>
      <c r="D22" s="303">
        <v>89255</v>
      </c>
      <c r="E22" s="314">
        <f>(D22-C22)/C22*100</f>
        <v>237.3204837490552</v>
      </c>
      <c r="F22" s="315">
        <v>2.9090090000000002</v>
      </c>
      <c r="G22" s="315">
        <v>10.65</v>
      </c>
      <c r="H22" s="1060">
        <f>G22/G7*100</f>
        <v>30.967404262743166</v>
      </c>
      <c r="I22" s="314">
        <f>(G22-F22)/F22*100</f>
        <v>266.10405811738633</v>
      </c>
      <c r="M22" s="2004"/>
      <c r="N22" s="1055" t="s">
        <v>239</v>
      </c>
      <c r="O22" s="833">
        <v>114601</v>
      </c>
      <c r="P22" s="833">
        <v>320347</v>
      </c>
      <c r="Q22" s="314">
        <f>(P22-O22)/O22*100</f>
        <v>179.53246481269798</v>
      </c>
      <c r="R22" s="315">
        <f>F22+'JULY 22'!R22</f>
        <v>12.831676600000002</v>
      </c>
      <c r="S22" s="315">
        <f>G22+'JULY 22'!S22</f>
        <v>37.893634599999999</v>
      </c>
      <c r="T22" s="1060">
        <f>S22/S7*100</f>
        <v>23.076142188128724</v>
      </c>
      <c r="U22" s="314">
        <f>(S22-R22)/R22*100</f>
        <v>195.31319858856165</v>
      </c>
      <c r="Z22" s="5">
        <v>0.84</v>
      </c>
    </row>
    <row r="23" spans="1:26" ht="18.75" customHeight="1" x14ac:dyDescent="0.4">
      <c r="A23" s="2004"/>
      <c r="B23" s="1055" t="s">
        <v>233</v>
      </c>
      <c r="C23" s="303">
        <v>25060</v>
      </c>
      <c r="D23" s="303">
        <v>33882</v>
      </c>
      <c r="E23" s="314">
        <f>(D23-C23)/C23*100</f>
        <v>35.203511572226653</v>
      </c>
      <c r="F23" s="315">
        <v>0.8245055</v>
      </c>
      <c r="G23" s="315">
        <v>1.25</v>
      </c>
      <c r="H23" s="1060">
        <f>G23/G7*100</f>
        <v>3.6346718618243146</v>
      </c>
      <c r="I23" s="314">
        <f>(G23-F23)/F23*100</f>
        <v>51.606023246661181</v>
      </c>
      <c r="M23" s="2004"/>
      <c r="N23" s="1055" t="s">
        <v>233</v>
      </c>
      <c r="O23" s="833">
        <v>133090</v>
      </c>
      <c r="P23" s="833">
        <v>117298</v>
      </c>
      <c r="Q23" s="314">
        <f>(P23-O23)/O23*100</f>
        <v>-11.865654820046585</v>
      </c>
      <c r="R23" s="315">
        <f>F23+'JULY 22'!R23</f>
        <v>4.3574482000000003</v>
      </c>
      <c r="S23" s="315">
        <f>G23+'JULY 22'!S23</f>
        <v>4.1490007999999996</v>
      </c>
      <c r="T23" s="1060">
        <f>S23/S7*100</f>
        <v>2.5266230967313916</v>
      </c>
      <c r="U23" s="314">
        <f>(S23-R23)/R23*100</f>
        <v>-4.7837034528603395</v>
      </c>
      <c r="Z23" s="5">
        <v>5.1999999999999998E-2</v>
      </c>
    </row>
    <row r="24" spans="1:26" ht="18.75" customHeight="1" x14ac:dyDescent="0.4">
      <c r="A24" s="2004"/>
      <c r="B24" s="1055" t="s">
        <v>739</v>
      </c>
      <c r="C24" s="303">
        <v>0</v>
      </c>
      <c r="D24" s="303">
        <v>0</v>
      </c>
      <c r="E24" s="836">
        <v>0</v>
      </c>
      <c r="F24" s="315">
        <v>0</v>
      </c>
      <c r="G24" s="315">
        <v>0</v>
      </c>
      <c r="H24" s="1060">
        <f>G24/G7*100</f>
        <v>0</v>
      </c>
      <c r="I24" s="314">
        <v>0</v>
      </c>
      <c r="M24" s="2004"/>
      <c r="N24" s="1055" t="s">
        <v>739</v>
      </c>
      <c r="O24" s="833">
        <v>0</v>
      </c>
      <c r="P24" s="833">
        <v>2661</v>
      </c>
      <c r="Q24" s="836">
        <v>0</v>
      </c>
      <c r="R24" s="315">
        <f>F24+'JULY 22'!R24</f>
        <v>0</v>
      </c>
      <c r="S24" s="315">
        <f>G24+'JULY 22'!S24</f>
        <v>4.1799999999999997E-2</v>
      </c>
      <c r="T24" s="1060">
        <f>S24/S7*100</f>
        <v>2.5455007249787026E-2</v>
      </c>
      <c r="U24" s="314">
        <v>0</v>
      </c>
      <c r="Z24" s="5">
        <v>4.1000000000000002E-2</v>
      </c>
    </row>
    <row r="25" spans="1:26" ht="18.75" customHeight="1" x14ac:dyDescent="0.4">
      <c r="A25" s="2004"/>
      <c r="B25" s="1055" t="s">
        <v>235</v>
      </c>
      <c r="C25" s="303">
        <v>0</v>
      </c>
      <c r="D25" s="303">
        <v>0</v>
      </c>
      <c r="E25" s="836">
        <v>0</v>
      </c>
      <c r="F25" s="315">
        <v>0</v>
      </c>
      <c r="G25" s="315">
        <v>0</v>
      </c>
      <c r="H25" s="1060">
        <f>G25/G7*100</f>
        <v>0</v>
      </c>
      <c r="I25" s="314">
        <v>0</v>
      </c>
      <c r="M25" s="2004"/>
      <c r="N25" s="1055" t="s">
        <v>235</v>
      </c>
      <c r="O25" s="833">
        <v>1377</v>
      </c>
      <c r="P25" s="833">
        <v>0</v>
      </c>
      <c r="Q25" s="836">
        <v>0</v>
      </c>
      <c r="R25" s="315">
        <f>F25+'JULY 22'!R25</f>
        <v>0.04</v>
      </c>
      <c r="S25" s="315">
        <f>G25+'JULY 22'!S25</f>
        <v>0</v>
      </c>
      <c r="T25" s="1060">
        <f>S25/S7*100</f>
        <v>0</v>
      </c>
      <c r="U25" s="314">
        <v>0</v>
      </c>
      <c r="Z25" s="5">
        <f>SUM(Z19:Z24)</f>
        <v>40.033000000000001</v>
      </c>
    </row>
    <row r="26" spans="1:26" ht="27" customHeight="1" x14ac:dyDescent="0.4">
      <c r="A26" s="2005"/>
      <c r="B26" s="1056" t="s">
        <v>693</v>
      </c>
      <c r="C26" s="1059">
        <v>0</v>
      </c>
      <c r="D26" s="1059">
        <v>0</v>
      </c>
      <c r="E26" s="836">
        <v>0</v>
      </c>
      <c r="F26" s="315">
        <v>0</v>
      </c>
      <c r="G26" s="404">
        <v>7.0999999999999994E-2</v>
      </c>
      <c r="H26" s="1060">
        <f>G26/G7*100</f>
        <v>0.20644936175162107</v>
      </c>
      <c r="I26" s="314" t="e">
        <f>(G26-F26)/F26*100</f>
        <v>#DIV/0!</v>
      </c>
      <c r="M26" s="2005"/>
      <c r="N26" s="1056" t="s">
        <v>693</v>
      </c>
      <c r="O26" s="833">
        <f>1329+121</f>
        <v>1450</v>
      </c>
      <c r="P26" s="833"/>
      <c r="Q26" s="836">
        <v>0</v>
      </c>
      <c r="R26" s="315">
        <f>F26+'JULY 22'!R26</f>
        <v>0.27554620000000002</v>
      </c>
      <c r="S26" s="315">
        <f>G26+'JULY 22'!S26</f>
        <v>0.19617000000000001</v>
      </c>
      <c r="T26" s="1060">
        <f>S26/S7*100</f>
        <v>0.11946193234906033</v>
      </c>
      <c r="U26" s="314">
        <f>(S26-R26)/R26*100</f>
        <v>-28.806857071518316</v>
      </c>
    </row>
    <row r="27" spans="1:26" s="26" customFormat="1" ht="19.5" customHeight="1" x14ac:dyDescent="0.4">
      <c r="A27" s="1053"/>
      <c r="B27" s="1063" t="s">
        <v>683</v>
      </c>
      <c r="C27" s="1063">
        <f>SUM(C20:C26)</f>
        <v>192255</v>
      </c>
      <c r="D27" s="1063">
        <f>SUM(D20:D26)</f>
        <v>288284</v>
      </c>
      <c r="E27" s="394">
        <f>(D27-C27)/C27*100</f>
        <v>49.948765961873555</v>
      </c>
      <c r="F27" s="1054">
        <f>SUM(F20:F26)</f>
        <v>30.321334500000003</v>
      </c>
      <c r="G27" s="1054">
        <f>G20+G21+G22+G23+G24+G25+G26</f>
        <v>34.390999999999998</v>
      </c>
      <c r="H27" s="1066">
        <f>SUM(H20:H26)</f>
        <v>100.00000000000001</v>
      </c>
      <c r="I27" s="394">
        <f>(G27-F27)/F27*100</f>
        <v>13.421788872781953</v>
      </c>
      <c r="J27" s="762"/>
      <c r="K27" s="762"/>
      <c r="M27" s="1053"/>
      <c r="N27" s="1063" t="s">
        <v>683</v>
      </c>
      <c r="O27" s="1063">
        <f>SUM(O20:O26)</f>
        <v>718471</v>
      </c>
      <c r="P27" s="1063">
        <f>SUM(P20:P26)</f>
        <v>1373568</v>
      </c>
      <c r="Q27" s="394">
        <f>(P27-O27)/O27*100</f>
        <v>91.179323869717777</v>
      </c>
      <c r="R27" s="1054">
        <f>SUM(R20:R26)</f>
        <v>99.594058600000011</v>
      </c>
      <c r="S27" s="1054">
        <f>SUM(S20:S26)</f>
        <v>164.21130659999997</v>
      </c>
      <c r="T27" s="1066">
        <f>SUM(T20:T26)</f>
        <v>100.00000000000001</v>
      </c>
      <c r="U27" s="394">
        <f>(S27-R27)/R27*100</f>
        <v>64.880625318747633</v>
      </c>
    </row>
    <row r="28" spans="1:26" ht="13.9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6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customHeight="1" x14ac:dyDescent="0.35">
      <c r="A29" s="1064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1064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ht="15" x14ac:dyDescent="0.35">
      <c r="A30" s="2014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2014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6" ht="15.4" x14ac:dyDescent="0.4">
      <c r="A31" s="2015"/>
      <c r="B31" s="2006" t="s">
        <v>2</v>
      </c>
      <c r="C31" s="2007"/>
      <c r="D31" s="331">
        <v>12.05</v>
      </c>
      <c r="E31" s="315">
        <v>0.75</v>
      </c>
      <c r="F31" s="313">
        <v>0.44109789999999999</v>
      </c>
      <c r="G31" s="313">
        <v>1.52</v>
      </c>
      <c r="H31" s="314">
        <f>(G31-E31)/E31*100</f>
        <v>102.66666666666666</v>
      </c>
      <c r="I31" s="314">
        <f t="shared" ref="I31:I37" si="0">(G31-F31)/F31*100</f>
        <v>244.59470335270245</v>
      </c>
      <c r="J31" s="84">
        <f>2661720/10000000</f>
        <v>0.26617200000000002</v>
      </c>
      <c r="K31" s="84">
        <f>11596205/10000000</f>
        <v>1.1596204999999999</v>
      </c>
      <c r="M31" s="2015"/>
      <c r="N31" s="2006" t="s">
        <v>2</v>
      </c>
      <c r="O31" s="2007"/>
      <c r="P31" s="331">
        <v>12.05</v>
      </c>
      <c r="Q31" s="315">
        <f>E31+'JULY 22'!Q31</f>
        <v>5.0999999999999996</v>
      </c>
      <c r="R31" s="315">
        <f>F31+'JULY 22'!R31</f>
        <v>1.5507149</v>
      </c>
      <c r="S31" s="315">
        <f>G31+'JULY 22'!S31</f>
        <v>10.0936295</v>
      </c>
      <c r="T31" s="314">
        <f>(S31-Q31)/Q31*100</f>
        <v>97.914303921568646</v>
      </c>
      <c r="U31" s="314">
        <f t="shared" ref="U31:U37" si="1">(S31-R31)/R31*100</f>
        <v>550.90169056865318</v>
      </c>
    </row>
    <row r="32" spans="1:26" ht="15.4" x14ac:dyDescent="0.4">
      <c r="A32" s="2015"/>
      <c r="B32" s="2006" t="s">
        <v>23</v>
      </c>
      <c r="C32" s="2007"/>
      <c r="D32" s="331">
        <v>27.75</v>
      </c>
      <c r="E32" s="315">
        <v>2.3754838709677419</v>
      </c>
      <c r="F32" s="313">
        <v>2.4330579000000001</v>
      </c>
      <c r="G32" s="313">
        <v>2.3697997000000002</v>
      </c>
      <c r="H32" s="314">
        <f>(G32-E32)/E32*100</f>
        <v>-0.23928476371536483</v>
      </c>
      <c r="I32" s="314">
        <f t="shared" si="0"/>
        <v>-2.5999463473516156</v>
      </c>
      <c r="J32" s="1128">
        <f>0.42-0.02</f>
        <v>0.39999999999999997</v>
      </c>
      <c r="K32" s="84">
        <f>0.58-0.12</f>
        <v>0.45999999999999996</v>
      </c>
      <c r="M32" s="2015"/>
      <c r="N32" s="2006" t="s">
        <v>23</v>
      </c>
      <c r="O32" s="2007"/>
      <c r="P32" s="331">
        <v>27.75</v>
      </c>
      <c r="Q32" s="315">
        <f>E32+'JULY 22'!Q32</f>
        <v>10.165483870967741</v>
      </c>
      <c r="R32" s="315">
        <f>F32+'JULY 22'!R32</f>
        <v>9.6229256999999997</v>
      </c>
      <c r="S32" s="315">
        <f>G32+'JULY 22'!S32</f>
        <v>12.681481099999999</v>
      </c>
      <c r="T32" s="314">
        <f>(S32-Q32)/Q32*100</f>
        <v>24.750393202805199</v>
      </c>
      <c r="U32" s="314">
        <f t="shared" si="1"/>
        <v>31.784048795056158</v>
      </c>
    </row>
    <row r="33" spans="1:24" ht="15.4" x14ac:dyDescent="0.4">
      <c r="A33" s="2015"/>
      <c r="B33" s="2006" t="s">
        <v>1</v>
      </c>
      <c r="C33" s="2007"/>
      <c r="D33" s="331">
        <v>5.77</v>
      </c>
      <c r="E33" s="315">
        <v>0.56000000000000005</v>
      </c>
      <c r="F33" s="313">
        <v>0.1217897</v>
      </c>
      <c r="G33" s="313">
        <v>7.7621999999999997E-2</v>
      </c>
      <c r="H33" s="314">
        <f>(G33-E33)/E33*100</f>
        <v>-86.138928571428579</v>
      </c>
      <c r="I33" s="314">
        <f t="shared" si="0"/>
        <v>-36.265546265406684</v>
      </c>
      <c r="M33" s="2015"/>
      <c r="N33" s="2006" t="s">
        <v>1</v>
      </c>
      <c r="O33" s="2007"/>
      <c r="P33" s="331">
        <v>5.77</v>
      </c>
      <c r="Q33" s="315">
        <f>E33+'JULY 22'!Q33</f>
        <v>2.42</v>
      </c>
      <c r="R33" s="315">
        <f>F33+'JULY 22'!R33</f>
        <v>0.48235220000000001</v>
      </c>
      <c r="S33" s="315">
        <f>G33+'JULY 22'!S33</f>
        <v>0.49194660000000001</v>
      </c>
      <c r="T33" s="314">
        <f>(S33-Q33)/Q33*100</f>
        <v>-79.671628099173546</v>
      </c>
      <c r="U33" s="314">
        <f t="shared" si="1"/>
        <v>1.9890859832296821</v>
      </c>
    </row>
    <row r="34" spans="1:24" ht="15.4" x14ac:dyDescent="0.4">
      <c r="A34" s="2015"/>
      <c r="B34" s="2006" t="s">
        <v>24</v>
      </c>
      <c r="C34" s="2007"/>
      <c r="D34" s="603" t="s">
        <v>221</v>
      </c>
      <c r="E34" s="315"/>
      <c r="F34" s="313">
        <v>2.1985999999999999E-2</v>
      </c>
      <c r="G34" s="313">
        <v>0.21881</v>
      </c>
      <c r="H34" s="316" t="s">
        <v>221</v>
      </c>
      <c r="I34" s="314">
        <f t="shared" si="0"/>
        <v>895.22423360320204</v>
      </c>
      <c r="J34" s="84">
        <f>62410/10000000</f>
        <v>6.241E-3</v>
      </c>
      <c r="M34" s="2015"/>
      <c r="N34" s="2006" t="s">
        <v>24</v>
      </c>
      <c r="O34" s="2007"/>
      <c r="P34" s="603" t="s">
        <v>221</v>
      </c>
      <c r="Q34" s="315"/>
      <c r="R34" s="315">
        <f>F34+'JULY 22'!R34</f>
        <v>8.9895000000000003E-2</v>
      </c>
      <c r="S34" s="315">
        <f>G34+'JULY 22'!S34</f>
        <v>1.3260839999999998</v>
      </c>
      <c r="T34" s="316" t="s">
        <v>221</v>
      </c>
      <c r="U34" s="314">
        <f t="shared" si="1"/>
        <v>1375.1476722843315</v>
      </c>
    </row>
    <row r="35" spans="1:24" ht="15.4" x14ac:dyDescent="0.4">
      <c r="A35" s="2015"/>
      <c r="B35" s="2017" t="s">
        <v>25</v>
      </c>
      <c r="C35" s="2030"/>
      <c r="D35" s="603" t="s">
        <v>221</v>
      </c>
      <c r="E35" s="315"/>
      <c r="F35" s="313">
        <v>0</v>
      </c>
      <c r="G35" s="313">
        <v>3.63459E-2</v>
      </c>
      <c r="H35" s="316" t="s">
        <v>221</v>
      </c>
      <c r="I35" s="314" t="e">
        <f t="shared" si="0"/>
        <v>#DIV/0!</v>
      </c>
      <c r="M35" s="2015"/>
      <c r="N35" s="2017" t="s">
        <v>25</v>
      </c>
      <c r="O35" s="2030"/>
      <c r="P35" s="603" t="s">
        <v>221</v>
      </c>
      <c r="Q35" s="315"/>
      <c r="R35" s="315">
        <f>F35+'JULY 22'!R35</f>
        <v>0.68822640000000002</v>
      </c>
      <c r="S35" s="315">
        <f>G35+'JULY 22'!S35</f>
        <v>4.5529582999999993</v>
      </c>
      <c r="T35" s="316" t="s">
        <v>221</v>
      </c>
      <c r="U35" s="314">
        <f t="shared" si="1"/>
        <v>561.5494988277112</v>
      </c>
    </row>
    <row r="36" spans="1:24" ht="15.4" x14ac:dyDescent="0.4">
      <c r="A36" s="2016"/>
      <c r="B36" s="2017" t="s">
        <v>241</v>
      </c>
      <c r="C36" s="2030"/>
      <c r="D36" s="540" t="s">
        <v>221</v>
      </c>
      <c r="E36" s="316"/>
      <c r="F36" s="313">
        <v>1.7619872000000001</v>
      </c>
      <c r="G36" s="313">
        <v>3.210709</v>
      </c>
      <c r="H36" s="316" t="s">
        <v>221</v>
      </c>
      <c r="I36" s="314">
        <f t="shared" si="0"/>
        <v>82.220903761389408</v>
      </c>
      <c r="J36" s="323">
        <f>(3613355)/10000000</f>
        <v>0.36133549999999998</v>
      </c>
      <c r="K36" s="323">
        <f>(20880+ 10612529)/10000000</f>
        <v>1.0633409</v>
      </c>
      <c r="M36" s="2016"/>
      <c r="N36" s="2017" t="s">
        <v>241</v>
      </c>
      <c r="O36" s="2030"/>
      <c r="P36" s="540" t="s">
        <v>221</v>
      </c>
      <c r="Q36" s="316"/>
      <c r="R36" s="315">
        <f>F36+'JULY 22'!R36</f>
        <v>10.155078899999999</v>
      </c>
      <c r="S36" s="315">
        <v>17.18</v>
      </c>
      <c r="T36" s="316" t="s">
        <v>221</v>
      </c>
      <c r="U36" s="314">
        <f t="shared" si="1"/>
        <v>69.176430524828319</v>
      </c>
    </row>
    <row r="37" spans="1:24" x14ac:dyDescent="0.4">
      <c r="A37" s="403"/>
      <c r="B37" s="2006" t="s">
        <v>260</v>
      </c>
      <c r="C37" s="2019"/>
      <c r="D37" s="540" t="s">
        <v>221</v>
      </c>
      <c r="E37" s="316"/>
      <c r="F37" s="313">
        <v>8.4653099999999995E-2</v>
      </c>
      <c r="G37" s="313">
        <v>6.4195500000000003E-2</v>
      </c>
      <c r="H37" s="413"/>
      <c r="I37" s="314">
        <f t="shared" si="0"/>
        <v>-24.166392016358522</v>
      </c>
      <c r="M37" s="403"/>
      <c r="N37" s="2006" t="s">
        <v>260</v>
      </c>
      <c r="O37" s="2019"/>
      <c r="P37" s="540" t="s">
        <v>221</v>
      </c>
      <c r="Q37" s="316"/>
      <c r="R37" s="315">
        <f>F37+'JULY 22'!R37</f>
        <v>0.21301749999999997</v>
      </c>
      <c r="S37" s="315">
        <f>G37+'JULY 22'!S37</f>
        <v>0.37334670000000003</v>
      </c>
      <c r="T37" s="413"/>
      <c r="U37" s="314">
        <f t="shared" si="1"/>
        <v>75.26574107761104</v>
      </c>
    </row>
    <row r="38" spans="1:24" ht="15" x14ac:dyDescent="0.35">
      <c r="A38" s="2020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  <c r="M38" s="2020">
        <v>4</v>
      </c>
      <c r="N38" s="2309" t="s">
        <v>622</v>
      </c>
      <c r="O38" s="2310"/>
      <c r="P38" s="2310"/>
      <c r="Q38" s="2310"/>
      <c r="R38" s="2310"/>
      <c r="S38" s="2310"/>
      <c r="T38" s="2310"/>
      <c r="U38" s="2311"/>
    </row>
    <row r="39" spans="1:24" ht="15.4" x14ac:dyDescent="0.4">
      <c r="A39" s="2020"/>
      <c r="B39" s="2006" t="s">
        <v>27</v>
      </c>
      <c r="C39" s="2007"/>
      <c r="D39" s="331">
        <v>12.24</v>
      </c>
      <c r="E39" s="404">
        <v>1.02</v>
      </c>
      <c r="F39" s="313">
        <v>0.71062769999999997</v>
      </c>
      <c r="G39" s="313">
        <v>0.85950380000000004</v>
      </c>
      <c r="H39" s="314">
        <f>(G39-E39)/E39*100</f>
        <v>-15.734921568627449</v>
      </c>
      <c r="I39" s="314">
        <f t="shared" ref="I39:I44" si="2">(G39-F39)/F39*100</f>
        <v>20.94994326846534</v>
      </c>
      <c r="M39" s="2020"/>
      <c r="N39" s="2006" t="s">
        <v>27</v>
      </c>
      <c r="O39" s="2007"/>
      <c r="P39" s="331">
        <v>15</v>
      </c>
      <c r="Q39" s="315">
        <v>6.25</v>
      </c>
      <c r="R39" s="313">
        <v>1.48</v>
      </c>
      <c r="S39" s="313">
        <v>3.3928470000000002</v>
      </c>
      <c r="T39" s="314">
        <f>(S39-Q39)/Q39*100</f>
        <v>-45.714447999999997</v>
      </c>
      <c r="U39" s="314">
        <f t="shared" ref="U39:U44" si="3">(S39-R39)/R39*100</f>
        <v>129.24641891891892</v>
      </c>
      <c r="W39" s="5">
        <f>P39/12</f>
        <v>1.25</v>
      </c>
      <c r="X39" s="5">
        <f>W39*4</f>
        <v>5</v>
      </c>
    </row>
    <row r="40" spans="1:24" ht="15.4" x14ac:dyDescent="0.4">
      <c r="A40" s="2020"/>
      <c r="B40" s="2006" t="s">
        <v>28</v>
      </c>
      <c r="C40" s="2007"/>
      <c r="D40" s="333">
        <v>2.84</v>
      </c>
      <c r="E40" s="315">
        <v>0.23599999999999999</v>
      </c>
      <c r="F40" s="314">
        <v>0</v>
      </c>
      <c r="G40" s="381">
        <v>9.0284100000000006E-2</v>
      </c>
      <c r="H40" s="314">
        <f>(G40-E40)/E40*100</f>
        <v>-61.744025423728807</v>
      </c>
      <c r="I40" s="314" t="e">
        <f t="shared" si="2"/>
        <v>#DIV/0!</v>
      </c>
      <c r="M40" s="2020"/>
      <c r="N40" s="2006" t="s">
        <v>28</v>
      </c>
      <c r="O40" s="2007"/>
      <c r="P40" s="333">
        <v>2.84</v>
      </c>
      <c r="Q40" s="315">
        <f>E40+UPTOJUNE!E40</f>
        <v>0.94399999999999995</v>
      </c>
      <c r="R40" s="381">
        <f>F40+UPTOJUNE!F40</f>
        <v>2.5377899999999998E-2</v>
      </c>
      <c r="S40" s="313">
        <v>0.19</v>
      </c>
      <c r="T40" s="314">
        <f>(S40-Q40)/Q40*100</f>
        <v>-79.872881355932208</v>
      </c>
      <c r="U40" s="314">
        <f t="shared" si="3"/>
        <v>648.68290914535885</v>
      </c>
      <c r="W40" s="5">
        <f>P40/12</f>
        <v>0.23666666666666666</v>
      </c>
      <c r="X40" s="5">
        <f>W40*4</f>
        <v>0.94666666666666666</v>
      </c>
    </row>
    <row r="41" spans="1:24" ht="15.4" x14ac:dyDescent="0.4">
      <c r="A41" s="2020"/>
      <c r="B41" s="378" t="s">
        <v>224</v>
      </c>
      <c r="C41" s="379"/>
      <c r="D41" s="331">
        <v>2.4500000000000002</v>
      </c>
      <c r="E41" s="323">
        <v>0.20416666666666669</v>
      </c>
      <c r="F41" s="381">
        <v>1.0359E-3</v>
      </c>
      <c r="G41" s="313">
        <v>6.6659200000000002E-2</v>
      </c>
      <c r="H41" s="314">
        <f>(G41-E41)/E41*100</f>
        <v>-67.350595918367347</v>
      </c>
      <c r="I41" s="314">
        <f t="shared" si="2"/>
        <v>6334.9068442899888</v>
      </c>
      <c r="M41" s="2020"/>
      <c r="N41" s="378" t="s">
        <v>224</v>
      </c>
      <c r="O41" s="379"/>
      <c r="P41" s="331">
        <v>2.4500000000000002</v>
      </c>
      <c r="Q41" s="315">
        <f>E41+UPTOJUNE!E41</f>
        <v>0.81666666666666676</v>
      </c>
      <c r="R41" s="313">
        <f>F41+UPTOJUNE!F41</f>
        <v>1.0841799999999999E-2</v>
      </c>
      <c r="S41" s="313">
        <v>0.2</v>
      </c>
      <c r="T41" s="314">
        <f>(S41-Q41)/Q41*100</f>
        <v>-75.510204081632651</v>
      </c>
      <c r="U41" s="314">
        <f t="shared" si="3"/>
        <v>1744.7121326716967</v>
      </c>
      <c r="W41" s="5">
        <f>P41/12</f>
        <v>0.20416666666666669</v>
      </c>
      <c r="X41" s="5">
        <f>W41*4</f>
        <v>0.81666666666666676</v>
      </c>
    </row>
    <row r="42" spans="1:24" ht="15.4" x14ac:dyDescent="0.4">
      <c r="A42" s="2020"/>
      <c r="B42" s="2006" t="s">
        <v>64</v>
      </c>
      <c r="C42" s="2007"/>
      <c r="D42" s="540" t="s">
        <v>221</v>
      </c>
      <c r="E42" s="315"/>
      <c r="F42" s="314">
        <v>0</v>
      </c>
      <c r="G42" s="313">
        <v>0</v>
      </c>
      <c r="H42" s="314" t="s">
        <v>221</v>
      </c>
      <c r="I42" s="314" t="e">
        <f t="shared" si="2"/>
        <v>#DIV/0!</v>
      </c>
      <c r="M42" s="2020"/>
      <c r="N42" s="2006" t="s">
        <v>64</v>
      </c>
      <c r="O42" s="2007"/>
      <c r="P42" s="540" t="s">
        <v>221</v>
      </c>
      <c r="Q42" s="315"/>
      <c r="R42" s="313">
        <f>F42+UPTOJUNE!F42</f>
        <v>0</v>
      </c>
      <c r="S42" s="313">
        <f>G42+UPTOJUNE!G42</f>
        <v>0</v>
      </c>
      <c r="T42" s="314" t="s">
        <v>221</v>
      </c>
      <c r="U42" s="314" t="e">
        <f t="shared" si="3"/>
        <v>#DIV/0!</v>
      </c>
    </row>
    <row r="43" spans="1:24" ht="15.4" x14ac:dyDescent="0.4">
      <c r="A43" s="2020"/>
      <c r="B43" s="2006" t="s">
        <v>4</v>
      </c>
      <c r="C43" s="2007"/>
      <c r="D43" s="540" t="s">
        <v>221</v>
      </c>
      <c r="E43" s="315"/>
      <c r="F43" s="314">
        <v>0</v>
      </c>
      <c r="G43" s="381">
        <v>0</v>
      </c>
      <c r="H43" s="314" t="s">
        <v>221</v>
      </c>
      <c r="I43" s="314" t="e">
        <f t="shared" si="2"/>
        <v>#DIV/0!</v>
      </c>
      <c r="M43" s="2020"/>
      <c r="N43" s="2006" t="s">
        <v>4</v>
      </c>
      <c r="O43" s="2007"/>
      <c r="P43" s="540" t="s">
        <v>221</v>
      </c>
      <c r="Q43" s="315"/>
      <c r="R43" s="313">
        <f>F43+UPTOJUNE!F43</f>
        <v>3.9713100000000001E-2</v>
      </c>
      <c r="S43" s="313">
        <f>G43+UPTOJUNE!G43</f>
        <v>1.9599999999999999E-2</v>
      </c>
      <c r="T43" s="314" t="s">
        <v>221</v>
      </c>
      <c r="U43" s="314">
        <f t="shared" si="3"/>
        <v>-50.64600849593711</v>
      </c>
    </row>
    <row r="44" spans="1:24" x14ac:dyDescent="0.4">
      <c r="A44" s="373"/>
      <c r="B44" s="2006" t="s">
        <v>259</v>
      </c>
      <c r="C44" s="2019"/>
      <c r="D44" s="540" t="s">
        <v>221</v>
      </c>
      <c r="E44" s="315"/>
      <c r="F44" s="1039">
        <v>0.75</v>
      </c>
      <c r="G44" s="313">
        <v>0.24945800000000001</v>
      </c>
      <c r="H44" s="407" t="s">
        <v>221</v>
      </c>
      <c r="I44" s="314">
        <f t="shared" si="2"/>
        <v>-66.738933333333335</v>
      </c>
      <c r="M44" s="373"/>
      <c r="N44" s="2006" t="s">
        <v>259</v>
      </c>
      <c r="O44" s="2019"/>
      <c r="P44" s="540" t="s">
        <v>221</v>
      </c>
      <c r="Q44" s="315"/>
      <c r="R44" s="313">
        <f>F44+UPTOJUNE!F44</f>
        <v>0.82954309999999998</v>
      </c>
      <c r="S44" s="313">
        <v>0.6</v>
      </c>
      <c r="T44" s="407" t="s">
        <v>221</v>
      </c>
      <c r="U44" s="314">
        <f t="shared" si="3"/>
        <v>-27.6710275813276</v>
      </c>
    </row>
    <row r="45" spans="1:24" ht="15" x14ac:dyDescent="0.45">
      <c r="A45" s="2020"/>
      <c r="B45" s="2464" t="s">
        <v>747</v>
      </c>
      <c r="C45" s="2464"/>
      <c r="D45" s="2464"/>
      <c r="E45" s="2464"/>
      <c r="F45" s="2464"/>
      <c r="G45" s="2464"/>
      <c r="H45" s="2464"/>
      <c r="I45" s="2464"/>
      <c r="M45" s="2020"/>
      <c r="N45" s="2309" t="s">
        <v>419</v>
      </c>
      <c r="O45" s="2310"/>
      <c r="P45" s="2310"/>
      <c r="Q45" s="2310"/>
      <c r="R45" s="2310"/>
      <c r="S45" s="2310"/>
      <c r="T45" s="2310"/>
      <c r="U45" s="2311"/>
    </row>
    <row r="46" spans="1:24" ht="15.4" x14ac:dyDescent="0.4">
      <c r="A46" s="2020"/>
      <c r="B46" s="2006" t="s">
        <v>16</v>
      </c>
      <c r="C46" s="2007"/>
      <c r="D46" s="331">
        <v>37.090000000000003</v>
      </c>
      <c r="E46" s="315">
        <v>3.38</v>
      </c>
      <c r="F46" s="315">
        <v>0.202818</v>
      </c>
      <c r="G46" s="315">
        <v>1.5</v>
      </c>
      <c r="H46" s="316">
        <f>(G46-E46)/E46*100</f>
        <v>-55.621301775147927</v>
      </c>
      <c r="I46" s="314">
        <f>(G46-F46)/F46*100</f>
        <v>639.57932727864386</v>
      </c>
      <c r="J46" s="84">
        <f>94132</f>
        <v>94132</v>
      </c>
      <c r="L46" s="5">
        <f>K46/100000</f>
        <v>0</v>
      </c>
      <c r="M46" s="2020"/>
      <c r="N46" s="2006" t="s">
        <v>16</v>
      </c>
      <c r="O46" s="2007"/>
      <c r="P46" s="331">
        <v>37.090000000000003</v>
      </c>
      <c r="Q46" s="315">
        <f>E46+'JULY 22'!Q46</f>
        <v>13.190000000000001</v>
      </c>
      <c r="R46" s="315">
        <f>F46+'JULY 22'!R46</f>
        <v>0.68420499999999995</v>
      </c>
      <c r="S46" s="315">
        <f>G46+'JULY 22'!S46</f>
        <v>6.8253019999999998</v>
      </c>
      <c r="T46" s="316">
        <f>(S46-Q46)/Q46*100</f>
        <v>-48.25396512509478</v>
      </c>
      <c r="U46" s="314">
        <f>(S46-R46)/R46*100</f>
        <v>897.55219561388776</v>
      </c>
    </row>
    <row r="47" spans="1:24" ht="15.4" x14ac:dyDescent="0.4">
      <c r="A47" s="2020"/>
      <c r="B47" s="2069" t="s">
        <v>15</v>
      </c>
      <c r="C47" s="320" t="s">
        <v>166</v>
      </c>
      <c r="D47" s="2067">
        <v>43.23</v>
      </c>
      <c r="E47" s="2154">
        <v>3</v>
      </c>
      <c r="F47" s="315">
        <v>6.1156000000000002E-2</v>
      </c>
      <c r="G47" s="315">
        <v>1.21</v>
      </c>
      <c r="H47" s="2027">
        <f>L47</f>
        <v>-25.666666666666664</v>
      </c>
      <c r="I47" s="314">
        <f>(G47-F47)/F47*100</f>
        <v>1878.5466675387531</v>
      </c>
      <c r="J47" s="84">
        <v>31105</v>
      </c>
      <c r="K47" s="323">
        <f>G47+G48</f>
        <v>2.23</v>
      </c>
      <c r="L47" s="13">
        <f>(K47-E47)/E47*100</f>
        <v>-25.666666666666664</v>
      </c>
      <c r="M47" s="2020"/>
      <c r="N47" s="2069" t="s">
        <v>15</v>
      </c>
      <c r="O47" s="320" t="s">
        <v>166</v>
      </c>
      <c r="P47" s="2067">
        <v>43.23</v>
      </c>
      <c r="Q47" s="2154">
        <f>E47+'JULY 22'!Q47:Q48</f>
        <v>15.27</v>
      </c>
      <c r="R47" s="315">
        <f>F47+'JULY 22'!R47</f>
        <v>0.22278899999999996</v>
      </c>
      <c r="S47" s="315">
        <f>G47+'JULY 22'!S47</f>
        <v>4.4130039999999999</v>
      </c>
      <c r="T47" s="2027">
        <f>X47</f>
        <v>-34.823837590045834</v>
      </c>
      <c r="U47" s="314">
        <f>(S47-R47)/R47*100</f>
        <v>1880.7997701861407</v>
      </c>
      <c r="W47" s="12">
        <f>S47+S48</f>
        <v>9.9524000000000008</v>
      </c>
      <c r="X47" s="5">
        <f>(W47-Q47)/Q47*100</f>
        <v>-34.823837590045834</v>
      </c>
    </row>
    <row r="48" spans="1:24" ht="15.75" x14ac:dyDescent="0.45">
      <c r="A48" s="2020"/>
      <c r="B48" s="2070"/>
      <c r="C48" s="320" t="s">
        <v>228</v>
      </c>
      <c r="D48" s="2068"/>
      <c r="E48" s="2155"/>
      <c r="F48" s="315">
        <v>0.92648900000000001</v>
      </c>
      <c r="G48" s="315">
        <v>1.02</v>
      </c>
      <c r="H48" s="2029"/>
      <c r="I48" s="314">
        <f>(G48-F48)/F48*100</f>
        <v>10.093050214303679</v>
      </c>
      <c r="J48" s="755">
        <v>205039</v>
      </c>
      <c r="K48" s="755"/>
      <c r="M48" s="2020"/>
      <c r="N48" s="2070"/>
      <c r="O48" s="320" t="s">
        <v>228</v>
      </c>
      <c r="P48" s="2068"/>
      <c r="Q48" s="2155"/>
      <c r="R48" s="315">
        <f>F48+'JULY 22'!R48</f>
        <v>2.906304</v>
      </c>
      <c r="S48" s="315">
        <f>G48+'JULY 22'!S48</f>
        <v>5.539396</v>
      </c>
      <c r="T48" s="2029"/>
      <c r="U48" s="314">
        <f>(S48-R48)/R48*100</f>
        <v>90.599331659730026</v>
      </c>
    </row>
    <row r="49" spans="1:21" ht="15.75" customHeight="1" x14ac:dyDescent="0.35">
      <c r="A49" s="2020">
        <v>6</v>
      </c>
      <c r="B49" s="2309" t="s">
        <v>738</v>
      </c>
      <c r="C49" s="2310"/>
      <c r="D49" s="2310"/>
      <c r="E49" s="2310"/>
      <c r="F49" s="2310"/>
      <c r="G49" s="2310"/>
      <c r="H49" s="2310"/>
      <c r="I49" s="2311"/>
      <c r="M49" s="2020">
        <v>6</v>
      </c>
      <c r="N49" s="2309" t="s">
        <v>738</v>
      </c>
      <c r="O49" s="2310"/>
      <c r="P49" s="2310"/>
      <c r="Q49" s="2310"/>
      <c r="R49" s="2310"/>
      <c r="S49" s="2310"/>
      <c r="T49" s="2310"/>
      <c r="U49" s="2311"/>
    </row>
    <row r="50" spans="1:21" ht="15.4" x14ac:dyDescent="0.4">
      <c r="A50" s="2020"/>
      <c r="B50" s="2006" t="s">
        <v>36</v>
      </c>
      <c r="C50" s="2007"/>
      <c r="D50" s="303" t="s">
        <v>221</v>
      </c>
      <c r="E50" s="2024" t="s">
        <v>221</v>
      </c>
      <c r="F50" s="313">
        <v>220.63</v>
      </c>
      <c r="G50" s="313">
        <v>219.34</v>
      </c>
      <c r="H50" s="2027" t="s">
        <v>221</v>
      </c>
      <c r="I50" s="314">
        <f>(G50-F50)/F50*100</f>
        <v>-0.58468929882608534</v>
      </c>
      <c r="M50" s="2020"/>
      <c r="N50" s="2006" t="s">
        <v>36</v>
      </c>
      <c r="O50" s="2007"/>
      <c r="P50" s="303" t="s">
        <v>221</v>
      </c>
      <c r="Q50" s="2024" t="s">
        <v>221</v>
      </c>
      <c r="R50" s="313">
        <v>220.63</v>
      </c>
      <c r="S50" s="313">
        <v>219.34</v>
      </c>
      <c r="T50" s="2027" t="s">
        <v>221</v>
      </c>
      <c r="U50" s="314">
        <f>(S50-R50)/R50*100</f>
        <v>-0.58468929882608534</v>
      </c>
    </row>
    <row r="51" spans="1:21" ht="15.4" x14ac:dyDescent="0.4">
      <c r="A51" s="2020"/>
      <c r="B51" s="2006" t="s">
        <v>37</v>
      </c>
      <c r="C51" s="2007"/>
      <c r="D51" s="303" t="s">
        <v>221</v>
      </c>
      <c r="E51" s="2025"/>
      <c r="F51" s="313">
        <v>30.9</v>
      </c>
      <c r="G51" s="313">
        <v>43.37</v>
      </c>
      <c r="H51" s="2028"/>
      <c r="I51" s="314">
        <f>(G51-F51)/F51*100</f>
        <v>40.355987055016179</v>
      </c>
      <c r="M51" s="2020"/>
      <c r="N51" s="2006" t="s">
        <v>37</v>
      </c>
      <c r="O51" s="2007"/>
      <c r="P51" s="303" t="s">
        <v>221</v>
      </c>
      <c r="Q51" s="2025"/>
      <c r="R51" s="313">
        <v>30.9</v>
      </c>
      <c r="S51" s="313">
        <v>43.37</v>
      </c>
      <c r="T51" s="2028"/>
      <c r="U51" s="314">
        <f>(S51-R51)/R51*100</f>
        <v>40.355987055016179</v>
      </c>
    </row>
    <row r="52" spans="1:21" ht="15.4" x14ac:dyDescent="0.4">
      <c r="A52" s="2020"/>
      <c r="B52" s="2006" t="s">
        <v>38</v>
      </c>
      <c r="C52" s="2007"/>
      <c r="D52" s="303" t="s">
        <v>221</v>
      </c>
      <c r="E52" s="2026"/>
      <c r="F52" s="313">
        <f>SUM(F50:F51)</f>
        <v>251.53</v>
      </c>
      <c r="G52" s="313">
        <f>SUM(G50:G51)</f>
        <v>262.70999999999998</v>
      </c>
      <c r="H52" s="2029"/>
      <c r="I52" s="314">
        <f>(G52-F52)/F52*100</f>
        <v>4.4447978372361066</v>
      </c>
      <c r="M52" s="2020"/>
      <c r="N52" s="2006" t="s">
        <v>38</v>
      </c>
      <c r="O52" s="2007"/>
      <c r="P52" s="303" t="s">
        <v>221</v>
      </c>
      <c r="Q52" s="2026"/>
      <c r="R52" s="313">
        <f>SUM(R50:R51)</f>
        <v>251.53</v>
      </c>
      <c r="S52" s="313">
        <f>SUM(S50:S51)</f>
        <v>262.70999999999998</v>
      </c>
      <c r="T52" s="2029"/>
      <c r="U52" s="314">
        <f>(S52-R52)/R52*100</f>
        <v>4.4447978372361066</v>
      </c>
    </row>
    <row r="54" spans="1:21" x14ac:dyDescent="0.35">
      <c r="D54" s="84">
        <f>D39*10000000</f>
        <v>122400000</v>
      </c>
      <c r="E54" s="35">
        <f>D54/100000</f>
        <v>1224</v>
      </c>
      <c r="F54" s="11">
        <f>E54/12</f>
        <v>102</v>
      </c>
      <c r="G54" s="11">
        <f>F54*3</f>
        <v>306</v>
      </c>
    </row>
    <row r="55" spans="1:21" x14ac:dyDescent="0.35">
      <c r="D55" s="84">
        <f>D40*10000000</f>
        <v>28400000</v>
      </c>
      <c r="E55" s="35">
        <f>D55/100000</f>
        <v>284</v>
      </c>
      <c r="F55" s="11">
        <f>E55/12</f>
        <v>23.666666666666668</v>
      </c>
      <c r="G55" s="11">
        <f>F55*3</f>
        <v>71</v>
      </c>
    </row>
    <row r="56" spans="1:21" x14ac:dyDescent="0.35">
      <c r="D56" s="84">
        <f>D41*10000000</f>
        <v>24500000</v>
      </c>
      <c r="E56" s="35">
        <f>D56/100000</f>
        <v>245</v>
      </c>
      <c r="F56" s="11">
        <f>E56/12</f>
        <v>20.416666666666668</v>
      </c>
      <c r="G56" s="11">
        <f>F56*3</f>
        <v>61.25</v>
      </c>
    </row>
    <row r="59" spans="1:21" x14ac:dyDescent="0.35">
      <c r="J59" s="212"/>
    </row>
    <row r="60" spans="1:21" x14ac:dyDescent="0.35">
      <c r="F60" s="6" t="s">
        <v>710</v>
      </c>
      <c r="G60" s="6"/>
      <c r="H60" s="31" t="s">
        <v>195</v>
      </c>
      <c r="I60" s="79" t="s">
        <v>227</v>
      </c>
      <c r="J60" s="85"/>
    </row>
    <row r="61" spans="1:21" x14ac:dyDescent="0.45">
      <c r="E61" s="85">
        <v>2594534</v>
      </c>
      <c r="F61" s="6" t="s">
        <v>166</v>
      </c>
      <c r="G61" s="6" t="s">
        <v>94</v>
      </c>
      <c r="H61" s="7">
        <v>633588</v>
      </c>
      <c r="I61" s="210">
        <v>9174736</v>
      </c>
      <c r="J61" s="210"/>
      <c r="K61" s="12">
        <f t="shared" ref="K61:L63" si="4">H61/10000000</f>
        <v>6.3358800000000007E-2</v>
      </c>
      <c r="L61" s="12">
        <f t="shared" si="4"/>
        <v>0.9174736</v>
      </c>
      <c r="N61"/>
    </row>
    <row r="62" spans="1:21" x14ac:dyDescent="0.35">
      <c r="E62" s="85">
        <v>26119193</v>
      </c>
      <c r="F62" s="6"/>
      <c r="G62" s="6" t="s">
        <v>502</v>
      </c>
      <c r="H62" s="7">
        <v>390300</v>
      </c>
      <c r="I62" s="210">
        <v>97004731</v>
      </c>
      <c r="J62" s="210"/>
      <c r="K62" s="12">
        <f t="shared" si="4"/>
        <v>3.9030000000000002E-2</v>
      </c>
      <c r="L62" s="12">
        <f t="shared" si="4"/>
        <v>9.7004731</v>
      </c>
      <c r="O62" s="5" t="s">
        <v>195</v>
      </c>
      <c r="Q62" s="5" t="s">
        <v>196</v>
      </c>
    </row>
    <row r="63" spans="1:21" x14ac:dyDescent="0.55000000000000004">
      <c r="E63" s="1131">
        <v>197989835</v>
      </c>
      <c r="F63" s="6"/>
      <c r="G63" s="6" t="s">
        <v>228</v>
      </c>
      <c r="H63" s="7">
        <v>332489050</v>
      </c>
      <c r="I63" s="1131">
        <v>672397947</v>
      </c>
      <c r="J63" s="210"/>
      <c r="K63" s="12">
        <f t="shared" si="4"/>
        <v>33.248905000000001</v>
      </c>
      <c r="L63" s="12">
        <f t="shared" si="4"/>
        <v>67.239794700000004</v>
      </c>
      <c r="N63" s="755">
        <v>21</v>
      </c>
      <c r="O63" s="5">
        <v>11230</v>
      </c>
      <c r="P63" s="5">
        <v>4595</v>
      </c>
      <c r="Q63" s="5">
        <v>5270</v>
      </c>
    </row>
    <row r="64" spans="1:21" x14ac:dyDescent="0.35">
      <c r="F64" s="6"/>
      <c r="G64" s="6"/>
      <c r="H64" s="7"/>
      <c r="I64" s="79"/>
      <c r="J64" s="85"/>
      <c r="N64" s="5">
        <v>22</v>
      </c>
      <c r="O64" s="5">
        <v>7085</v>
      </c>
      <c r="P64" s="5">
        <v>8925</v>
      </c>
      <c r="Q64" s="5">
        <v>2600</v>
      </c>
    </row>
    <row r="65" spans="3:17" x14ac:dyDescent="0.35">
      <c r="F65" s="6"/>
      <c r="G65" s="6"/>
      <c r="H65" s="7"/>
      <c r="I65" s="79"/>
      <c r="J65" s="85"/>
      <c r="N65" s="5">
        <v>23</v>
      </c>
      <c r="O65" s="5">
        <v>8945</v>
      </c>
      <c r="P65" s="5">
        <v>8514</v>
      </c>
      <c r="Q65" s="5">
        <v>3170</v>
      </c>
    </row>
    <row r="66" spans="3:17" x14ac:dyDescent="0.35">
      <c r="F66" s="6" t="s">
        <v>164</v>
      </c>
      <c r="G66" s="6"/>
      <c r="H66" s="7"/>
      <c r="I66" s="79"/>
      <c r="J66" s="85"/>
      <c r="N66" s="5">
        <v>24</v>
      </c>
      <c r="O66" s="5">
        <v>6995</v>
      </c>
      <c r="P66" s="5">
        <v>5201</v>
      </c>
      <c r="Q66" s="5">
        <v>1780</v>
      </c>
    </row>
    <row r="67" spans="3:17" x14ac:dyDescent="0.35">
      <c r="E67" s="7">
        <v>414108</v>
      </c>
      <c r="F67" s="6" t="s">
        <v>166</v>
      </c>
      <c r="G67" s="6" t="s">
        <v>94</v>
      </c>
      <c r="H67" s="7">
        <v>120109</v>
      </c>
      <c r="I67" s="210">
        <v>1885360</v>
      </c>
      <c r="J67" s="210"/>
      <c r="K67" s="323">
        <f t="shared" ref="K67:L69" si="5">H67/1000000</f>
        <v>0.12010899999999999</v>
      </c>
      <c r="L67" s="323">
        <f t="shared" si="5"/>
        <v>1.8853599999999999</v>
      </c>
      <c r="N67" s="5">
        <v>25</v>
      </c>
    </row>
    <row r="68" spans="3:17" x14ac:dyDescent="0.35">
      <c r="E68" s="35">
        <v>319780</v>
      </c>
      <c r="F68" s="6"/>
      <c r="G68" s="6" t="s">
        <v>502</v>
      </c>
      <c r="H68" s="7">
        <v>41599</v>
      </c>
      <c r="I68" s="210">
        <v>1165748</v>
      </c>
      <c r="J68" s="210"/>
      <c r="K68" s="323">
        <f t="shared" si="5"/>
        <v>4.1598999999999997E-2</v>
      </c>
      <c r="L68" s="323">
        <f t="shared" si="5"/>
        <v>1.165748</v>
      </c>
      <c r="N68" s="5">
        <v>26</v>
      </c>
    </row>
    <row r="69" spans="3:17" ht="17.25" thickBot="1" x14ac:dyDescent="0.6">
      <c r="E69" s="755">
        <v>284856</v>
      </c>
      <c r="F69" s="6"/>
      <c r="G69" s="6" t="s">
        <v>228</v>
      </c>
      <c r="H69" s="755">
        <v>596433</v>
      </c>
      <c r="I69" s="910">
        <v>931433</v>
      </c>
      <c r="J69" s="210"/>
      <c r="K69" s="323">
        <f t="shared" si="5"/>
        <v>0.59643299999999999</v>
      </c>
      <c r="L69" s="323">
        <f t="shared" si="5"/>
        <v>0.93143299999999996</v>
      </c>
      <c r="N69" s="5">
        <v>27</v>
      </c>
    </row>
    <row r="70" spans="3:17" x14ac:dyDescent="0.35">
      <c r="F70" s="6"/>
      <c r="G70" s="6"/>
      <c r="H70" s="31"/>
      <c r="I70" s="79"/>
      <c r="J70" s="85"/>
      <c r="N70" s="5">
        <v>28</v>
      </c>
    </row>
    <row r="71" spans="3:17" x14ac:dyDescent="0.35">
      <c r="N71" s="5">
        <v>29</v>
      </c>
    </row>
    <row r="72" spans="3:17" ht="17.25" thickBot="1" x14ac:dyDescent="0.6">
      <c r="E72" s="35">
        <v>8217118</v>
      </c>
      <c r="G72" s="5" t="s">
        <v>435</v>
      </c>
      <c r="H72" s="910">
        <v>11264014</v>
      </c>
      <c r="I72" s="755">
        <v>32107090</v>
      </c>
      <c r="K72" s="12">
        <f t="shared" ref="K72:L75" si="6">H72/10000000</f>
        <v>1.1264014</v>
      </c>
      <c r="L72" s="12">
        <f t="shared" si="6"/>
        <v>3.210709</v>
      </c>
      <c r="N72" s="5">
        <v>30</v>
      </c>
    </row>
    <row r="73" spans="3:17" x14ac:dyDescent="0.35">
      <c r="E73" s="84">
        <v>586230</v>
      </c>
      <c r="G73" s="5" t="s">
        <v>181</v>
      </c>
      <c r="H73" s="41">
        <v>128830</v>
      </c>
      <c r="I73" s="212">
        <v>2118430</v>
      </c>
      <c r="K73" s="12">
        <f t="shared" si="6"/>
        <v>1.2883E-2</v>
      </c>
      <c r="L73" s="12">
        <f t="shared" si="6"/>
        <v>0.211843</v>
      </c>
      <c r="N73" s="5">
        <v>31</v>
      </c>
    </row>
    <row r="74" spans="3:17" x14ac:dyDescent="0.35">
      <c r="F74" s="5" t="s">
        <v>734</v>
      </c>
      <c r="G74" s="5" t="s">
        <v>734</v>
      </c>
      <c r="H74" s="41">
        <v>14858094</v>
      </c>
      <c r="I74" s="41">
        <v>15589155</v>
      </c>
      <c r="K74" s="12">
        <f t="shared" si="6"/>
        <v>1.4858093999999999</v>
      </c>
      <c r="L74" s="12">
        <f t="shared" si="6"/>
        <v>1.5589154999999999</v>
      </c>
      <c r="O74" s="5">
        <f>SUM(O63:O73)</f>
        <v>34255</v>
      </c>
      <c r="P74" s="5">
        <f>SUM(P63:P73)</f>
        <v>27235</v>
      </c>
      <c r="Q74" s="5">
        <f>SUM(Q63:Q73)</f>
        <v>12820</v>
      </c>
    </row>
    <row r="75" spans="3:17" x14ac:dyDescent="0.55000000000000004">
      <c r="C75" s="5">
        <v>212.68</v>
      </c>
      <c r="D75" s="84">
        <v>213.38</v>
      </c>
      <c r="F75" s="5" t="s">
        <v>735</v>
      </c>
      <c r="G75" s="5" t="s">
        <v>735</v>
      </c>
      <c r="H75" s="41">
        <v>822005</v>
      </c>
      <c r="I75" s="41">
        <v>438373.00000000006</v>
      </c>
      <c r="K75" s="12">
        <f t="shared" si="6"/>
        <v>8.2200499999999996E-2</v>
      </c>
      <c r="L75" s="12">
        <f t="shared" si="6"/>
        <v>4.3837300000000003E-2</v>
      </c>
      <c r="N75" s="755">
        <v>21</v>
      </c>
      <c r="O75" s="5">
        <v>727</v>
      </c>
      <c r="P75" s="5">
        <v>768</v>
      </c>
    </row>
    <row r="76" spans="3:17" x14ac:dyDescent="0.35">
      <c r="C76" s="5">
        <v>10.68</v>
      </c>
      <c r="D76" s="84">
        <v>5.95</v>
      </c>
      <c r="N76" s="5">
        <v>22</v>
      </c>
      <c r="O76" s="5">
        <v>713</v>
      </c>
      <c r="P76" s="5">
        <v>1986</v>
      </c>
    </row>
    <row r="77" spans="3:17" x14ac:dyDescent="0.35">
      <c r="C77" s="323">
        <f>C75-C76</f>
        <v>202</v>
      </c>
      <c r="D77" s="323">
        <f>D75-D76</f>
        <v>207.43</v>
      </c>
      <c r="E77" s="428"/>
      <c r="N77" s="5">
        <v>23</v>
      </c>
      <c r="O77" s="5">
        <v>837</v>
      </c>
      <c r="P77" s="5">
        <v>1585</v>
      </c>
    </row>
    <row r="78" spans="3:17" x14ac:dyDescent="0.35">
      <c r="D78" s="323"/>
      <c r="E78" s="428"/>
      <c r="N78" s="5">
        <v>24</v>
      </c>
      <c r="O78" s="5">
        <v>357</v>
      </c>
      <c r="P78" s="5">
        <v>931</v>
      </c>
    </row>
    <row r="79" spans="3:17" x14ac:dyDescent="0.35">
      <c r="D79" s="323"/>
      <c r="E79" s="323"/>
      <c r="H79" s="11">
        <v>107.98</v>
      </c>
      <c r="I79" s="82">
        <v>110.95</v>
      </c>
      <c r="N79" s="5">
        <v>25</v>
      </c>
    </row>
    <row r="80" spans="3:17" x14ac:dyDescent="0.35">
      <c r="H80" s="11">
        <v>5.59</v>
      </c>
      <c r="I80" s="82">
        <v>2.97</v>
      </c>
      <c r="N80" s="5">
        <v>26</v>
      </c>
    </row>
    <row r="81" spans="8:16" x14ac:dyDescent="0.35">
      <c r="N81" s="5">
        <v>27</v>
      </c>
    </row>
    <row r="82" spans="8:16" x14ac:dyDescent="0.35">
      <c r="H82" s="41">
        <f>H79*100000</f>
        <v>10798000</v>
      </c>
      <c r="I82" s="41">
        <f>I79*100000</f>
        <v>11095000</v>
      </c>
      <c r="N82" s="5">
        <v>28</v>
      </c>
    </row>
    <row r="83" spans="8:16" x14ac:dyDescent="0.35">
      <c r="H83" s="41">
        <f>H80*100000</f>
        <v>559000</v>
      </c>
      <c r="I83" s="41">
        <f>I80*100000</f>
        <v>297000</v>
      </c>
      <c r="N83" s="5">
        <v>29</v>
      </c>
    </row>
    <row r="84" spans="8:16" x14ac:dyDescent="0.35">
      <c r="H84" s="41">
        <f>H82-H83</f>
        <v>10239000</v>
      </c>
      <c r="I84" s="41">
        <f>I82-I83</f>
        <v>10798000</v>
      </c>
      <c r="N84" s="5">
        <v>30</v>
      </c>
    </row>
    <row r="85" spans="8:16" x14ac:dyDescent="0.35">
      <c r="N85" s="5">
        <v>31</v>
      </c>
    </row>
    <row r="86" spans="8:16" x14ac:dyDescent="0.35">
      <c r="O86" s="5">
        <f>SUM(O75:O85)</f>
        <v>2634</v>
      </c>
      <c r="P86" s="5">
        <f>SUM(P75:P85)</f>
        <v>5270</v>
      </c>
    </row>
  </sheetData>
  <mergeCells count="120">
    <mergeCell ref="B51:C51"/>
    <mergeCell ref="N51:O51"/>
    <mergeCell ref="B52:C52"/>
    <mergeCell ref="N52:O52"/>
    <mergeCell ref="A49:A52"/>
    <mergeCell ref="B49:I49"/>
    <mergeCell ref="M49:M52"/>
    <mergeCell ref="N49:U49"/>
    <mergeCell ref="B50:C50"/>
    <mergeCell ref="E50:E52"/>
    <mergeCell ref="H50:H52"/>
    <mergeCell ref="N50:O50"/>
    <mergeCell ref="Q50:Q52"/>
    <mergeCell ref="T50:T52"/>
    <mergeCell ref="E47:E48"/>
    <mergeCell ref="H47:H48"/>
    <mergeCell ref="N47:N48"/>
    <mergeCell ref="P47:P48"/>
    <mergeCell ref="Q47:Q48"/>
    <mergeCell ref="T47:T48"/>
    <mergeCell ref="B44:C44"/>
    <mergeCell ref="N44:O44"/>
    <mergeCell ref="A45:A48"/>
    <mergeCell ref="B45:I45"/>
    <mergeCell ref="M45:M48"/>
    <mergeCell ref="N45:U45"/>
    <mergeCell ref="B46:C46"/>
    <mergeCell ref="N46:O46"/>
    <mergeCell ref="B47:B48"/>
    <mergeCell ref="D47:D48"/>
    <mergeCell ref="A38:A43"/>
    <mergeCell ref="B38:I38"/>
    <mergeCell ref="M38:M43"/>
    <mergeCell ref="N38:U38"/>
    <mergeCell ref="B39:C39"/>
    <mergeCell ref="N39:O39"/>
    <mergeCell ref="B33:C33"/>
    <mergeCell ref="N33:O33"/>
    <mergeCell ref="B34:C34"/>
    <mergeCell ref="N34:O34"/>
    <mergeCell ref="B35:C35"/>
    <mergeCell ref="N35:O35"/>
    <mergeCell ref="B40:C40"/>
    <mergeCell ref="N40:O40"/>
    <mergeCell ref="B42:C42"/>
    <mergeCell ref="N42:O42"/>
    <mergeCell ref="B43:C43"/>
    <mergeCell ref="N43:O43"/>
    <mergeCell ref="B36:C36"/>
    <mergeCell ref="N36:O36"/>
    <mergeCell ref="B37:C37"/>
    <mergeCell ref="N37:O37"/>
    <mergeCell ref="R28:S28"/>
    <mergeCell ref="T28:U28"/>
    <mergeCell ref="A30:A36"/>
    <mergeCell ref="B30:I30"/>
    <mergeCell ref="M30:M36"/>
    <mergeCell ref="N30:U30"/>
    <mergeCell ref="B31:C31"/>
    <mergeCell ref="N31:O31"/>
    <mergeCell ref="B32:C32"/>
    <mergeCell ref="N32:O32"/>
    <mergeCell ref="B28:C29"/>
    <mergeCell ref="D28:E28"/>
    <mergeCell ref="F28:G28"/>
    <mergeCell ref="H28:I28"/>
    <mergeCell ref="N28:O29"/>
    <mergeCell ref="P28:Q28"/>
    <mergeCell ref="A18:A26"/>
    <mergeCell ref="C18:E18"/>
    <mergeCell ref="F18:G18"/>
    <mergeCell ref="M18:M26"/>
    <mergeCell ref="O18:Q18"/>
    <mergeCell ref="R18:U18"/>
    <mergeCell ref="B16:B17"/>
    <mergeCell ref="D16:D17"/>
    <mergeCell ref="E16:E17"/>
    <mergeCell ref="H16:H17"/>
    <mergeCell ref="N16:N17"/>
    <mergeCell ref="P16:P17"/>
    <mergeCell ref="B12:C12"/>
    <mergeCell ref="N12:O12"/>
    <mergeCell ref="B13:I13"/>
    <mergeCell ref="N13:U13"/>
    <mergeCell ref="A14:A17"/>
    <mergeCell ref="B14:I14"/>
    <mergeCell ref="M14:M17"/>
    <mergeCell ref="N14:U14"/>
    <mergeCell ref="B15:C15"/>
    <mergeCell ref="N15:O15"/>
    <mergeCell ref="Q16:Q17"/>
    <mergeCell ref="T16:T17"/>
    <mergeCell ref="B9:C9"/>
    <mergeCell ref="N9:O9"/>
    <mergeCell ref="B10:C10"/>
    <mergeCell ref="N10:O10"/>
    <mergeCell ref="A11:I11"/>
    <mergeCell ref="M11:U11"/>
    <mergeCell ref="B6:C6"/>
    <mergeCell ref="N6:O6"/>
    <mergeCell ref="B7:C7"/>
    <mergeCell ref="N7:O7"/>
    <mergeCell ref="B8:C8"/>
    <mergeCell ref="N8:O8"/>
    <mergeCell ref="N3:O5"/>
    <mergeCell ref="P3:Q3"/>
    <mergeCell ref="R3:S3"/>
    <mergeCell ref="T3:U3"/>
    <mergeCell ref="D5:E5"/>
    <mergeCell ref="P5:Q5"/>
    <mergeCell ref="A1:I1"/>
    <mergeCell ref="M1:U1"/>
    <mergeCell ref="A2:I2"/>
    <mergeCell ref="M2:U2"/>
    <mergeCell ref="A3:A5"/>
    <mergeCell ref="B3:C5"/>
    <mergeCell ref="D3:E3"/>
    <mergeCell ref="F3:G3"/>
    <mergeCell ref="H3:I3"/>
    <mergeCell ref="M3:M5"/>
  </mergeCells>
  <printOptions horizontalCentered="1"/>
  <pageMargins left="0.2" right="0.2" top="0.75" bottom="0.75" header="0.3" footer="0.3"/>
  <pageSetup paperSize="9" scale="2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7ECA3-052B-4D0B-A57F-54F13C4B7DD6}">
  <sheetPr>
    <pageSetUpPr fitToPage="1"/>
  </sheetPr>
  <dimension ref="A1:AH153"/>
  <sheetViews>
    <sheetView topLeftCell="A9" zoomScale="90" zoomScaleNormal="90" workbookViewId="0">
      <selection activeCell="H44" sqref="H44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2.1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0" width="10.265625" style="5" customWidth="1"/>
    <col min="21" max="21" width="10.59765625" style="5" customWidth="1"/>
    <col min="22" max="22" width="9.1328125" style="5"/>
    <col min="23" max="23" width="12.3984375" style="5" bestFit="1" customWidth="1"/>
    <col min="24" max="24" width="13.3984375" style="172" customWidth="1"/>
    <col min="25" max="25" width="11.265625" style="5" bestFit="1" customWidth="1"/>
    <col min="26" max="26" width="10.265625" style="5" bestFit="1" customWidth="1"/>
    <col min="27" max="27" width="10.59765625" style="5" bestFit="1" customWidth="1"/>
    <col min="28" max="28" width="9.1328125" style="5"/>
    <col min="29" max="29" width="37.3984375" style="5" customWidth="1"/>
    <col min="30" max="30" width="16.59765625" style="5" customWidth="1"/>
    <col min="31" max="31" width="16.86328125" style="5" customWidth="1"/>
    <col min="32" max="32" width="17.59765625" style="5" customWidth="1"/>
    <col min="33" max="33" width="16.3984375" style="5" bestFit="1" customWidth="1"/>
    <col min="34" max="34" width="15.1328125" style="5" customWidth="1"/>
    <col min="35" max="16384" width="9.1328125" style="5"/>
  </cols>
  <sheetData>
    <row r="1" spans="1:34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156" t="s">
        <v>935</v>
      </c>
      <c r="N1" s="2156"/>
      <c r="O1" s="2156"/>
      <c r="P1" s="2156"/>
      <c r="Q1" s="2156"/>
      <c r="R1" s="2156"/>
      <c r="S1" s="2156"/>
      <c r="T1" s="2156"/>
      <c r="U1" s="2156"/>
    </row>
    <row r="2" spans="1:34" s="301" customFormat="1" ht="18" thickBot="1" x14ac:dyDescent="0.4">
      <c r="A2" s="2346" t="s">
        <v>930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346" t="s">
        <v>946</v>
      </c>
      <c r="N2" s="2347"/>
      <c r="O2" s="2347"/>
      <c r="P2" s="2347"/>
      <c r="Q2" s="2347"/>
      <c r="R2" s="2347"/>
      <c r="S2" s="2347"/>
      <c r="T2" s="2347"/>
      <c r="U2" s="2348"/>
      <c r="X2" s="1149"/>
      <c r="AC2" s="2326" t="s">
        <v>781</v>
      </c>
      <c r="AD2" s="2326"/>
      <c r="AE2" s="2326"/>
      <c r="AF2" s="2326"/>
      <c r="AG2" s="2326"/>
      <c r="AH2" s="2326"/>
    </row>
    <row r="3" spans="1:34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</row>
    <row r="4" spans="1:34" s="35" customFormat="1" ht="21.75" customHeight="1" x14ac:dyDescent="0.35">
      <c r="A4" s="2360"/>
      <c r="B4" s="2343"/>
      <c r="C4" s="1516" t="s">
        <v>666</v>
      </c>
      <c r="D4" s="1424" t="s">
        <v>879</v>
      </c>
      <c r="E4" s="1445">
        <f>G4</f>
        <v>45139</v>
      </c>
      <c r="F4" s="422">
        <v>44794</v>
      </c>
      <c r="G4" s="422">
        <v>45139</v>
      </c>
      <c r="H4" s="2335" t="s">
        <v>12</v>
      </c>
      <c r="I4" s="2335" t="s">
        <v>13</v>
      </c>
      <c r="J4" s="323"/>
      <c r="K4" s="323"/>
      <c r="L4" s="1574"/>
      <c r="M4" s="2358"/>
      <c r="N4" s="2343"/>
      <c r="O4" s="1183" t="s">
        <v>666</v>
      </c>
      <c r="P4" s="421" t="s">
        <v>9</v>
      </c>
      <c r="Q4" s="422">
        <f>E4</f>
        <v>45139</v>
      </c>
      <c r="R4" s="422">
        <f>F4</f>
        <v>44794</v>
      </c>
      <c r="S4" s="422">
        <f>G4</f>
        <v>45139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</row>
    <row r="5" spans="1:34" ht="18.75" hidden="1" customHeight="1" x14ac:dyDescent="0.5">
      <c r="A5" s="2361"/>
      <c r="B5" s="2344"/>
      <c r="C5" s="1517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</row>
    <row r="6" spans="1:34" ht="30" customHeight="1" x14ac:dyDescent="0.35">
      <c r="A6" s="1229">
        <v>1</v>
      </c>
      <c r="B6" s="1191" t="s">
        <v>290</v>
      </c>
      <c r="C6" s="1518">
        <v>1024.2159494</v>
      </c>
      <c r="D6" s="1425">
        <v>1063.73</v>
      </c>
      <c r="E6" s="1446">
        <f>E15+E16</f>
        <v>88.93</v>
      </c>
      <c r="F6" s="434">
        <f>F15+F16+F17</f>
        <v>85.720514199999997</v>
      </c>
      <c r="G6" s="434">
        <f>G15+G16+G17</f>
        <v>104.86794329999999</v>
      </c>
      <c r="H6" s="1313">
        <f>(G6-E6)/E6*100</f>
        <v>17.921897334982553</v>
      </c>
      <c r="I6" s="517">
        <f>(G6-F6)/F6*100</f>
        <v>22.337044147129017</v>
      </c>
      <c r="M6" s="1203">
        <v>1</v>
      </c>
      <c r="N6" s="1179" t="s">
        <v>290</v>
      </c>
      <c r="O6" s="1185">
        <v>1024.2159494</v>
      </c>
      <c r="P6" s="1425">
        <v>1063.73</v>
      </c>
      <c r="Q6" s="1446">
        <f>Q15+Q16</f>
        <v>415.41</v>
      </c>
      <c r="R6" s="434">
        <f>R15+R16+R17</f>
        <v>400.55821000000003</v>
      </c>
      <c r="S6" s="434">
        <f>S15+S16+S17</f>
        <v>495.62003030000005</v>
      </c>
      <c r="T6" s="1313">
        <f>(S6-Q6)/Q6*100</f>
        <v>19.308642136684245</v>
      </c>
      <c r="U6" s="1313">
        <f>(S6-R6)/R6*100</f>
        <v>23.732336006794121</v>
      </c>
      <c r="V6" s="12">
        <f>(S6-P6)/P6*100</f>
        <v>-53.407346760926167</v>
      </c>
      <c r="W6" s="5">
        <f>(S6-P6)/P6*100</f>
        <v>-53.407346760926167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</row>
    <row r="7" spans="1:34" ht="26.25" customHeight="1" x14ac:dyDescent="0.35">
      <c r="A7" s="1230">
        <v>2</v>
      </c>
      <c r="B7" s="1154" t="s">
        <v>291</v>
      </c>
      <c r="C7" s="1518">
        <v>403.10200000000003</v>
      </c>
      <c r="D7" s="1425">
        <v>485.81999999999994</v>
      </c>
      <c r="E7" s="1446">
        <v>41.59</v>
      </c>
      <c r="F7" s="434">
        <f>F20+F21+F22+F23+F24+F25+F26</f>
        <v>34.390999999999998</v>
      </c>
      <c r="G7" s="434">
        <f>G20+G21+G22+G23+G24+G25+G26</f>
        <v>43.980000000000004</v>
      </c>
      <c r="H7" s="1313">
        <f>(G7-E7)/E7*100</f>
        <v>5.7465736955999045</v>
      </c>
      <c r="I7" s="517">
        <f>(G7-F7)/F7*100</f>
        <v>27.882294786426698</v>
      </c>
      <c r="M7" s="1204">
        <v>2</v>
      </c>
      <c r="N7" s="1154" t="s">
        <v>291</v>
      </c>
      <c r="O7" s="1186">
        <v>403.10200000000003</v>
      </c>
      <c r="P7" s="1425">
        <v>485.81999999999994</v>
      </c>
      <c r="Q7" s="1446">
        <v>198.27</v>
      </c>
      <c r="R7" s="434">
        <f>R20+R21+R22+R23+R24+R25+R26</f>
        <v>164.21130659999997</v>
      </c>
      <c r="S7" s="434">
        <f>S20+S21+S22+S23+S24+S25+S26</f>
        <v>173.91</v>
      </c>
      <c r="T7" s="1313">
        <f>(S7-Q7)/Q7*100</f>
        <v>-12.286276289907708</v>
      </c>
      <c r="U7" s="1313">
        <f>(S7-R7)/R7*100</f>
        <v>5.9062275313507717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</row>
    <row r="8" spans="1:34" ht="32.25" customHeight="1" x14ac:dyDescent="0.35">
      <c r="A8" s="1231">
        <v>3</v>
      </c>
      <c r="B8" s="1155" t="s">
        <v>292</v>
      </c>
      <c r="C8" s="1518">
        <v>106.68749520000001</v>
      </c>
      <c r="D8" s="1425">
        <v>150.59</v>
      </c>
      <c r="E8" s="1446">
        <v>10.85</v>
      </c>
      <c r="F8" s="1314">
        <f>F31+F32+F33+F35+F36+F37+F38</f>
        <v>7.8369733999999998</v>
      </c>
      <c r="G8" s="1314">
        <f>G31+G32+G33+G35+G36+G37+G38</f>
        <v>9.5397722559999991</v>
      </c>
      <c r="H8" s="1313">
        <f>(G8-E8)/E8*100</f>
        <v>-12.075831741935488</v>
      </c>
      <c r="I8" s="517">
        <f>(G8-F8)/F8*100</f>
        <v>21.727761076744237</v>
      </c>
      <c r="M8" s="1205">
        <v>3</v>
      </c>
      <c r="N8" s="1155" t="s">
        <v>292</v>
      </c>
      <c r="O8" s="1187">
        <v>106.68749520000001</v>
      </c>
      <c r="P8" s="1425">
        <v>150.59</v>
      </c>
      <c r="Q8" s="1446">
        <v>65.790000000000006</v>
      </c>
      <c r="R8" s="1314">
        <f>R31+R32+R33+R35+R36+R37+R38</f>
        <v>46.759132999999999</v>
      </c>
      <c r="S8" s="1314">
        <f>S31+S32+S33+S35+S36+S37+S38</f>
        <v>48.628207156000002</v>
      </c>
      <c r="T8" s="1313">
        <f>(S8-Q8)/Q8*100</f>
        <v>-26.085716437148509</v>
      </c>
      <c r="U8" s="1313">
        <f>(S8-R8)/R8*100</f>
        <v>3.9972386913162046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</row>
    <row r="9" spans="1:34" ht="34.5" customHeight="1" x14ac:dyDescent="0.35">
      <c r="A9" s="1230">
        <v>4</v>
      </c>
      <c r="B9" s="1156" t="s">
        <v>293</v>
      </c>
      <c r="C9" s="1518">
        <v>17.701250099999996</v>
      </c>
      <c r="D9" s="1425">
        <f>D40+D41+D42</f>
        <v>19.149999999999999</v>
      </c>
      <c r="E9" s="1425">
        <v>1.595</v>
      </c>
      <c r="F9" s="434">
        <f>F40+F41+F42+F44+F45</f>
        <v>1.2659050999999999</v>
      </c>
      <c r="G9" s="434">
        <f>G40+G41+G42+G44+G45</f>
        <v>1.8576106000000001</v>
      </c>
      <c r="H9" s="1313">
        <f>(G9-E9)/E9*100</f>
        <v>16.464614420062702</v>
      </c>
      <c r="I9" s="517">
        <f>(G9-F9)/F9*100</f>
        <v>46.741694934320137</v>
      </c>
      <c r="M9" s="1204">
        <v>4</v>
      </c>
      <c r="N9" s="1156" t="s">
        <v>293</v>
      </c>
      <c r="O9" s="1185">
        <v>17.701250099999996</v>
      </c>
      <c r="P9" s="1425">
        <f>P40+P41+P42</f>
        <v>19.149999999999999</v>
      </c>
      <c r="Q9" s="1425">
        <f>Q40+Q41+Q42</f>
        <v>7.9749999999999996</v>
      </c>
      <c r="R9" s="434">
        <f>R40+R41+R42+R44+R45</f>
        <v>4.4235959000000005</v>
      </c>
      <c r="S9" s="434">
        <f>S40+S41+S42+S44+S45</f>
        <v>8.0393597999999997</v>
      </c>
      <c r="T9" s="1313">
        <f>(S9-Q9)/Q9*100</f>
        <v>0.80701943573667811</v>
      </c>
      <c r="U9" s="1313">
        <f>(S9-R9)/R9*100</f>
        <v>81.7381149123499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</row>
    <row r="10" spans="1:34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1719.29</v>
      </c>
      <c r="E10" s="1447">
        <f>E6+E7+E8+E9</f>
        <v>142.965</v>
      </c>
      <c r="F10" s="321">
        <f>SUM(F6:F9)</f>
        <v>129.21439269999999</v>
      </c>
      <c r="G10" s="321">
        <f>SUM(G6:G9)</f>
        <v>160.24532615599998</v>
      </c>
      <c r="H10" s="1162">
        <f>(G10-E10)/E10*100</f>
        <v>12.087102546777164</v>
      </c>
      <c r="I10" s="322">
        <f>(G10-F10)/F10*100</f>
        <v>24.015075107031777</v>
      </c>
      <c r="M10" s="1205">
        <v>5</v>
      </c>
      <c r="N10" s="1157" t="s">
        <v>294</v>
      </c>
      <c r="O10" s="1188">
        <v>1551.7066947000001</v>
      </c>
      <c r="P10" s="321">
        <f t="shared" ref="P10:Q10" si="0">P6+P7+P8+P9</f>
        <v>1719.29</v>
      </c>
      <c r="Q10" s="321">
        <f t="shared" si="0"/>
        <v>687.44500000000005</v>
      </c>
      <c r="R10" s="321">
        <f>R6+R7+R8+R9</f>
        <v>615.9522455</v>
      </c>
      <c r="S10" s="321">
        <f>S6+S7+S8+S9</f>
        <v>726.19759725600011</v>
      </c>
      <c r="T10" s="1162">
        <f>(S10-Q10)/Q10*100</f>
        <v>5.6371923944461093</v>
      </c>
      <c r="U10" s="1162">
        <f>(S10-R10)/R10*100</f>
        <v>17.898360231889129</v>
      </c>
      <c r="X10" s="12">
        <f>SUM(X6:X9)</f>
        <v>389.94179218299996</v>
      </c>
      <c r="Y10" s="12">
        <f>SUM(Y6:Y9)</f>
        <v>752.12112639999998</v>
      </c>
      <c r="Z10" s="12">
        <f>S10-Y10</f>
        <v>-25.923529143999872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</row>
    <row r="11" spans="1:34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</row>
    <row r="12" spans="1:34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312">
        <f>E47+E48</f>
        <v>4.5</v>
      </c>
      <c r="F12" s="1294">
        <f>F47+F48+F49</f>
        <v>3.73</v>
      </c>
      <c r="G12" s="1294">
        <f>G47+G48+G49</f>
        <v>4.9226999999999999</v>
      </c>
      <c r="H12" s="1534">
        <f>(G12-E12)/E12*100</f>
        <v>9.3933333333333291</v>
      </c>
      <c r="I12" s="308">
        <f>(G12-F12)/F12*100</f>
        <v>31.975871313672922</v>
      </c>
      <c r="L12" s="1476"/>
      <c r="M12" s="1204">
        <v>6.3</v>
      </c>
      <c r="N12" s="1316" t="s">
        <v>814</v>
      </c>
      <c r="O12" s="1185">
        <v>47.027382000000003</v>
      </c>
      <c r="P12" s="332">
        <v>55.06</v>
      </c>
      <c r="Q12" s="307">
        <f>Q47+Q48</f>
        <v>19.61</v>
      </c>
      <c r="R12" s="1294">
        <f>R47+R48+R49</f>
        <v>16.777701999999998</v>
      </c>
      <c r="S12" s="1294">
        <f>S47+S48+S49</f>
        <v>23.159077000000003</v>
      </c>
      <c r="T12" s="1534">
        <f>(S12-Q12)/Q12*100</f>
        <v>18.098301886792473</v>
      </c>
      <c r="U12" s="1161">
        <f>(S12-R12)/R12*100</f>
        <v>38.034857217037271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</row>
    <row r="13" spans="1:34" s="1310" customFormat="1" ht="13.5" customHeight="1" x14ac:dyDescent="0.35">
      <c r="A13" s="1309"/>
      <c r="B13" s="2352" t="s">
        <v>229</v>
      </c>
      <c r="C13" s="2353"/>
      <c r="D13" s="2353"/>
      <c r="E13" s="2353"/>
      <c r="F13" s="2353"/>
      <c r="G13" s="2353"/>
      <c r="H13" s="2353"/>
      <c r="I13" s="2354"/>
      <c r="L13" s="1311"/>
      <c r="M13" s="1309"/>
      <c r="N13" s="2355" t="s">
        <v>229</v>
      </c>
      <c r="O13" s="2356"/>
      <c r="P13" s="2356"/>
      <c r="Q13" s="2356"/>
      <c r="R13" s="2356"/>
      <c r="S13" s="2356"/>
      <c r="T13" s="2356"/>
      <c r="U13" s="2357"/>
      <c r="X13" s="1311"/>
    </row>
    <row r="14" spans="1:34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2368">
        <v>1</v>
      </c>
      <c r="N14" s="2021" t="s">
        <v>278</v>
      </c>
      <c r="O14" s="2022"/>
      <c r="P14" s="2022"/>
      <c r="Q14" s="2022"/>
      <c r="R14" s="2022"/>
      <c r="S14" s="2022"/>
      <c r="T14" s="2022"/>
      <c r="U14" s="2023"/>
    </row>
    <row r="15" spans="1:34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v>1.0900000000000001</v>
      </c>
      <c r="F15" s="315">
        <f>E60</f>
        <v>0.99882199999999999</v>
      </c>
      <c r="G15" s="315">
        <f>'ACTUAL- 23-24'!E7/10000000</f>
        <v>1.2690824999999999</v>
      </c>
      <c r="H15" s="316">
        <f>(G15-E15)/E15*100</f>
        <v>16.429587155963286</v>
      </c>
      <c r="I15" s="314">
        <f>(G15-F15)/F15*100</f>
        <v>27.057924234748526</v>
      </c>
      <c r="J15" s="1128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12.6</v>
      </c>
      <c r="Q15" s="307">
        <f>E15+'JULY-23'!Q15</f>
        <v>4.6900000000000004</v>
      </c>
      <c r="R15" s="315">
        <f>F15+'JULY-23'!R15</f>
        <v>4.2892295000000003</v>
      </c>
      <c r="S15" s="315">
        <f>G15+'JULY-23'!S15</f>
        <v>5.9709954999999999</v>
      </c>
      <c r="T15" s="316">
        <f>(S15-Q15)/Q15*100</f>
        <v>27.313336886993589</v>
      </c>
      <c r="U15" s="314">
        <f>(S15-R15)/R15*100</f>
        <v>39.2090467530357</v>
      </c>
      <c r="V15" s="5">
        <f>S15/153</f>
        <v>3.9026114379084965E-2</v>
      </c>
      <c r="Y15" s="12">
        <f>R16+R17</f>
        <v>396.2689805</v>
      </c>
      <c r="Z15" s="12">
        <f>S16+S17</f>
        <v>489.64903480000004</v>
      </c>
      <c r="AA15" s="5">
        <f>(Z15-Y15)/Y15*100</f>
        <v>23.56481554074103</v>
      </c>
    </row>
    <row r="16" spans="1:34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v>87.84</v>
      </c>
      <c r="F16" s="315">
        <v>10.65</v>
      </c>
      <c r="G16" s="315">
        <f>'ACTUAL- 23-24'!F7/10000000</f>
        <v>15.6294357</v>
      </c>
      <c r="H16" s="2154">
        <f>L16</f>
        <v>17.940415300546437</v>
      </c>
      <c r="I16" s="314">
        <f>(G16-F16)/F16*100</f>
        <v>46.75526478873239</v>
      </c>
      <c r="J16" s="323">
        <f>F16+F17</f>
        <v>84.721692200000007</v>
      </c>
      <c r="K16" s="323">
        <f>G16+G17</f>
        <v>103.5988608</v>
      </c>
      <c r="L16" s="1476">
        <f>(K16-E16)/E16*100</f>
        <v>17.940415300546437</v>
      </c>
      <c r="M16" s="2369"/>
      <c r="N16" s="1281" t="s">
        <v>817</v>
      </c>
      <c r="O16" s="1282">
        <v>126.72018780000001</v>
      </c>
      <c r="P16" s="2379">
        <v>1051.1300000000001</v>
      </c>
      <c r="Q16" s="2065">
        <v>410.72</v>
      </c>
      <c r="R16" s="315">
        <f>F16+'JULY-23'!R16</f>
        <v>27.0437856</v>
      </c>
      <c r="S16" s="315">
        <f>G16+'JULY-23'!S16</f>
        <v>83.093882800000003</v>
      </c>
      <c r="T16" s="2154">
        <f>X16</f>
        <v>19.217236754966887</v>
      </c>
      <c r="U16" s="314">
        <f>(S16-R16)/R16*100</f>
        <v>207.25684646753004</v>
      </c>
      <c r="V16" s="5">
        <f t="shared" ref="V16:V17" si="1">S16/153</f>
        <v>0.54309727320261436</v>
      </c>
      <c r="W16" s="12">
        <f>S16+S17</f>
        <v>489.64903480000004</v>
      </c>
      <c r="X16" s="172">
        <f>(W16-Q16)/Q16*100</f>
        <v>19.217236754966887</v>
      </c>
    </row>
    <row r="17" spans="1:26" ht="15.4" x14ac:dyDescent="0.4">
      <c r="A17" s="2375"/>
      <c r="B17" s="320" t="s">
        <v>931</v>
      </c>
      <c r="C17" s="1519">
        <v>886.03548510000007</v>
      </c>
      <c r="D17" s="2380"/>
      <c r="E17" s="2066"/>
      <c r="F17" s="315">
        <f t="shared" ref="F17" si="2">E62</f>
        <v>74.071692200000001</v>
      </c>
      <c r="G17" s="315">
        <f>'ACTUAL- 23-24'!G7/10000000</f>
        <v>87.969425099999995</v>
      </c>
      <c r="H17" s="2155"/>
      <c r="I17" s="314">
        <f>(G17-F17)/F17*100</f>
        <v>18.762542730190244</v>
      </c>
      <c r="J17" s="323">
        <f>114680295/10000000</f>
        <v>11.4680295</v>
      </c>
      <c r="L17" s="1476"/>
      <c r="M17" s="2245"/>
      <c r="N17" s="1606" t="s">
        <v>931</v>
      </c>
      <c r="O17" s="1282">
        <v>886.03548510000007</v>
      </c>
      <c r="P17" s="2380"/>
      <c r="Q17" s="2066"/>
      <c r="R17" s="315">
        <f>F17+'JULY-23'!R17</f>
        <v>369.22519490000002</v>
      </c>
      <c r="S17" s="315">
        <f>G17+'JULY-23'!S17</f>
        <v>406.55515200000002</v>
      </c>
      <c r="T17" s="2155"/>
      <c r="U17" s="314">
        <f>(S17-R17)/R17*100</f>
        <v>10.110349352001927</v>
      </c>
      <c r="V17" s="5">
        <f t="shared" si="1"/>
        <v>2.6572232156862747</v>
      </c>
    </row>
    <row r="18" spans="1:26" x14ac:dyDescent="0.35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L18" s="1476"/>
      <c r="M18" s="2368">
        <v>2</v>
      </c>
      <c r="N18" s="1155" t="s">
        <v>678</v>
      </c>
      <c r="O18" s="2494" t="s">
        <v>680</v>
      </c>
      <c r="P18" s="2494"/>
      <c r="Q18" s="2494"/>
      <c r="R18" s="2370" t="s">
        <v>684</v>
      </c>
      <c r="S18" s="2371"/>
      <c r="T18" s="2371"/>
      <c r="U18" s="2372"/>
    </row>
    <row r="19" spans="1:26" x14ac:dyDescent="0.35">
      <c r="A19" s="1983"/>
      <c r="B19" s="1531" t="s">
        <v>230</v>
      </c>
      <c r="C19" s="1532">
        <f>F19</f>
        <v>44794</v>
      </c>
      <c r="D19" s="1532">
        <f>G19</f>
        <v>45139</v>
      </c>
      <c r="E19" s="1531" t="s">
        <v>681</v>
      </c>
      <c r="F19" s="1532">
        <f>F4</f>
        <v>44794</v>
      </c>
      <c r="G19" s="1532">
        <f>G4</f>
        <v>45139</v>
      </c>
      <c r="H19" s="1528" t="s">
        <v>682</v>
      </c>
      <c r="I19" s="1530" t="s">
        <v>681</v>
      </c>
      <c r="L19" s="1476"/>
      <c r="M19" s="2369"/>
      <c r="N19" s="1514" t="s">
        <v>230</v>
      </c>
      <c r="O19" s="1527">
        <f>R4</f>
        <v>44794</v>
      </c>
      <c r="P19" s="1527">
        <f>S4</f>
        <v>45139</v>
      </c>
      <c r="Q19" s="1514" t="s">
        <v>681</v>
      </c>
      <c r="R19" s="1527">
        <f>R4</f>
        <v>44794</v>
      </c>
      <c r="S19" s="1527">
        <f>S4</f>
        <v>45139</v>
      </c>
      <c r="T19" s="1528" t="s">
        <v>682</v>
      </c>
      <c r="U19" s="1526" t="s">
        <v>681</v>
      </c>
    </row>
    <row r="20" spans="1:26" ht="18.75" customHeight="1" x14ac:dyDescent="0.4">
      <c r="A20" s="1983"/>
      <c r="B20" s="1055" t="s">
        <v>231</v>
      </c>
      <c r="C20" s="85">
        <v>61109</v>
      </c>
      <c r="D20" s="1409">
        <v>68024</v>
      </c>
      <c r="E20" s="314">
        <f>(D20-C20)/C20*100</f>
        <v>11.315845456479405</v>
      </c>
      <c r="F20" s="315">
        <v>13.97</v>
      </c>
      <c r="G20" s="315">
        <v>17.5</v>
      </c>
      <c r="H20" s="1060">
        <f>G20/G7*100</f>
        <v>39.790814006366524</v>
      </c>
      <c r="I20" s="314">
        <f>(G20-F20)/F20*100</f>
        <v>25.268432355046521</v>
      </c>
      <c r="L20" s="1476"/>
      <c r="M20" s="2369"/>
      <c r="N20" s="1055" t="s">
        <v>231</v>
      </c>
      <c r="O20" s="833">
        <v>523984</v>
      </c>
      <c r="P20" s="833">
        <v>253701</v>
      </c>
      <c r="Q20" s="314">
        <f>(P20-O20)/O20*100</f>
        <v>-51.582300222907577</v>
      </c>
      <c r="R20" s="315">
        <v>89.783210999999994</v>
      </c>
      <c r="S20" s="315">
        <v>70.55</v>
      </c>
      <c r="T20" s="1060">
        <f>S20/S7*100</f>
        <v>40.566959921798627</v>
      </c>
      <c r="U20" s="314">
        <f>(S20-R20)/R20*100</f>
        <v>-21.421834645677794</v>
      </c>
    </row>
    <row r="21" spans="1:26" ht="18.75" customHeight="1" x14ac:dyDescent="0.4">
      <c r="A21" s="1983"/>
      <c r="B21" s="1055" t="s">
        <v>232</v>
      </c>
      <c r="C21" s="85">
        <v>104038</v>
      </c>
      <c r="D21" s="1410">
        <v>109086.2</v>
      </c>
      <c r="E21" s="314">
        <f>(D21-C21)/C21*100</f>
        <v>4.8522655183682861</v>
      </c>
      <c r="F21" s="315">
        <v>8.4499999999999993</v>
      </c>
      <c r="G21" s="315">
        <v>13.64</v>
      </c>
      <c r="H21" s="1060">
        <f>G21/G7*100</f>
        <v>31.014097316962253</v>
      </c>
      <c r="I21" s="314">
        <f>(G21-F21)/F21*100</f>
        <v>61.420118343195284</v>
      </c>
      <c r="L21" s="1476"/>
      <c r="M21" s="2369"/>
      <c r="N21" s="1055" t="s">
        <v>232</v>
      </c>
      <c r="O21" s="833">
        <v>409278</v>
      </c>
      <c r="P21" s="833">
        <v>384373.3</v>
      </c>
      <c r="Q21" s="314">
        <f>(P21-O21)/O21*100</f>
        <v>-6.0850326672823876</v>
      </c>
      <c r="R21" s="315">
        <v>32.147490199999993</v>
      </c>
      <c r="S21" s="315">
        <f>G21+'JULY-23'!S21</f>
        <v>40.42</v>
      </c>
      <c r="T21" s="1060">
        <f>S21/S7*100</f>
        <v>23.241906733367834</v>
      </c>
      <c r="U21" s="314">
        <f>(S21-R21)/R21*100</f>
        <v>25.732988014100123</v>
      </c>
      <c r="W21" s="5">
        <v>2.17</v>
      </c>
      <c r="X21" s="172">
        <v>2.95</v>
      </c>
      <c r="Y21" s="5">
        <f>(X21-W21)/W21*100</f>
        <v>35.944700460829502</v>
      </c>
    </row>
    <row r="22" spans="1:26" ht="18.75" customHeight="1" x14ac:dyDescent="0.4">
      <c r="A22" s="1983"/>
      <c r="B22" s="1055" t="s">
        <v>239</v>
      </c>
      <c r="C22" s="85">
        <v>89255</v>
      </c>
      <c r="D22" s="1410">
        <v>83924</v>
      </c>
      <c r="E22" s="314">
        <f>(D22-C22)/C22*100</f>
        <v>-5.9727746344742592</v>
      </c>
      <c r="F22" s="315">
        <v>10.65</v>
      </c>
      <c r="G22" s="315">
        <v>12.03</v>
      </c>
      <c r="H22" s="1060">
        <f>G22/G7*100</f>
        <v>27.353342428376532</v>
      </c>
      <c r="I22" s="314">
        <f>(G22-F22)/F22*100</f>
        <v>12.957746478873231</v>
      </c>
      <c r="J22" s="1486"/>
      <c r="L22" s="1476"/>
      <c r="M22" s="2369"/>
      <c r="N22" s="1055" t="s">
        <v>239</v>
      </c>
      <c r="O22" s="833">
        <v>320347</v>
      </c>
      <c r="P22" s="833">
        <v>382003</v>
      </c>
      <c r="Q22" s="314">
        <f>(P22-O22)/O22*100</f>
        <v>19.246629436205115</v>
      </c>
      <c r="R22" s="315">
        <v>37.893634599999999</v>
      </c>
      <c r="S22" s="315">
        <f>G22+'JULY-23'!S22</f>
        <v>58.46</v>
      </c>
      <c r="T22" s="1060">
        <f>S22/S7*100</f>
        <v>33.615088264044623</v>
      </c>
      <c r="U22" s="314">
        <f>(S22-R22)/R22*100</f>
        <v>54.27393180172799</v>
      </c>
    </row>
    <row r="23" spans="1:26" ht="18.75" customHeight="1" x14ac:dyDescent="0.4">
      <c r="A23" s="1983"/>
      <c r="B23" s="1055" t="s">
        <v>233</v>
      </c>
      <c r="C23" s="85">
        <v>33882</v>
      </c>
      <c r="D23" s="1410">
        <v>23002</v>
      </c>
      <c r="E23" s="314">
        <f>(D23-C23)/C23*100</f>
        <v>-32.111445605336165</v>
      </c>
      <c r="F23" s="315">
        <v>1.25</v>
      </c>
      <c r="G23" s="315">
        <v>0.78</v>
      </c>
      <c r="H23" s="1060">
        <f>G23/G7*100</f>
        <v>1.773533424283765</v>
      </c>
      <c r="I23" s="314">
        <f>(G23-F23)/F23*100</f>
        <v>-37.6</v>
      </c>
      <c r="J23" s="1486"/>
      <c r="L23" s="1476"/>
      <c r="M23" s="2369"/>
      <c r="N23" s="1055" t="s">
        <v>233</v>
      </c>
      <c r="O23" s="833">
        <v>117298</v>
      </c>
      <c r="P23" s="833">
        <v>117551</v>
      </c>
      <c r="Q23" s="314">
        <f>(P23-O23)/O23*100</f>
        <v>0.21568995208784461</v>
      </c>
      <c r="R23" s="315">
        <v>4.1490007999999996</v>
      </c>
      <c r="S23" s="315">
        <f>G23+'JULY-23'!S23</f>
        <v>4.32</v>
      </c>
      <c r="T23" s="1060">
        <f>S23/S7*100</f>
        <v>2.4840434707607386</v>
      </c>
      <c r="U23" s="314">
        <f>(S23-R23)/R23*100</f>
        <v>4.1214549777864757</v>
      </c>
      <c r="Z23" s="5">
        <f>25.63+0.96</f>
        <v>26.59</v>
      </c>
    </row>
    <row r="24" spans="1:26" ht="18.75" customHeight="1" x14ac:dyDescent="0.4">
      <c r="A24" s="1983"/>
      <c r="B24" s="1055" t="s">
        <v>739</v>
      </c>
      <c r="C24" s="85">
        <v>0</v>
      </c>
      <c r="D24" s="1409">
        <v>0</v>
      </c>
      <c r="E24" s="836">
        <v>0</v>
      </c>
      <c r="F24" s="833">
        <v>0</v>
      </c>
      <c r="G24" s="833">
        <v>0</v>
      </c>
      <c r="H24" s="1060">
        <f>G24/G7*100</f>
        <v>0</v>
      </c>
      <c r="I24" s="314">
        <v>0</v>
      </c>
      <c r="L24" s="1476"/>
      <c r="M24" s="2369"/>
      <c r="N24" s="1055" t="s">
        <v>739</v>
      </c>
      <c r="O24" s="833">
        <v>2661</v>
      </c>
      <c r="P24" s="833">
        <f>D24+'JULY-23'!P24</f>
        <v>0</v>
      </c>
      <c r="Q24" s="836">
        <v>0</v>
      </c>
      <c r="R24" s="315">
        <v>4.1799999999999997E-2</v>
      </c>
      <c r="S24" s="315">
        <f>G24+'JULY-23'!S24</f>
        <v>0</v>
      </c>
      <c r="T24" s="1060">
        <f>S24/S7*100</f>
        <v>0</v>
      </c>
      <c r="U24" s="314">
        <v>0</v>
      </c>
    </row>
    <row r="25" spans="1:26" ht="18.75" customHeight="1" x14ac:dyDescent="0.4">
      <c r="A25" s="1983"/>
      <c r="B25" s="1055" t="s">
        <v>235</v>
      </c>
      <c r="C25" s="85">
        <v>0</v>
      </c>
      <c r="D25" s="1409">
        <v>0</v>
      </c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L25" s="1476"/>
      <c r="M25" s="2369"/>
      <c r="N25" s="1055" t="s">
        <v>235</v>
      </c>
      <c r="O25" s="833">
        <v>0</v>
      </c>
      <c r="P25" s="833">
        <f>D25+'JULY-23'!P25</f>
        <v>0</v>
      </c>
      <c r="Q25" s="836">
        <v>0</v>
      </c>
      <c r="R25" s="315">
        <v>0</v>
      </c>
      <c r="S25" s="315">
        <f>G25+'JULY-23'!S25</f>
        <v>0</v>
      </c>
      <c r="T25" s="1060">
        <f>S25/S7*100</f>
        <v>0</v>
      </c>
      <c r="U25" s="314">
        <v>0</v>
      </c>
    </row>
    <row r="26" spans="1:26" ht="15.75" x14ac:dyDescent="0.4">
      <c r="A26" s="1984"/>
      <c r="B26" s="1056" t="s">
        <v>693</v>
      </c>
      <c r="C26" s="1520">
        <v>0</v>
      </c>
      <c r="D26" s="1411">
        <v>0</v>
      </c>
      <c r="E26" s="836">
        <v>0</v>
      </c>
      <c r="F26" s="315">
        <v>7.0999999999999994E-2</v>
      </c>
      <c r="G26" s="315">
        <v>0.03</v>
      </c>
      <c r="H26" s="1060">
        <f>G26/G7*100</f>
        <v>6.8212824010914039E-2</v>
      </c>
      <c r="I26" s="314" t="s">
        <v>221</v>
      </c>
      <c r="L26" s="1476"/>
      <c r="M26" s="2245"/>
      <c r="N26" s="1056" t="s">
        <v>693</v>
      </c>
      <c r="O26" s="833"/>
      <c r="P26" s="833">
        <f>D26+'JULY-23'!P26</f>
        <v>0</v>
      </c>
      <c r="Q26" s="836">
        <v>0</v>
      </c>
      <c r="R26" s="315">
        <v>0.19617000000000001</v>
      </c>
      <c r="S26" s="315">
        <v>0.16</v>
      </c>
      <c r="T26" s="1060">
        <f>S26/S7*100</f>
        <v>9.2001610028175501E-2</v>
      </c>
      <c r="U26" s="314">
        <f>(S26-R26)/R26*100</f>
        <v>-18.438089412244484</v>
      </c>
    </row>
    <row r="27" spans="1:26" s="26" customFormat="1" ht="19.5" customHeight="1" x14ac:dyDescent="0.4">
      <c r="A27" s="1216"/>
      <c r="B27" s="1063" t="s">
        <v>683</v>
      </c>
      <c r="C27" s="1513">
        <f>SUM(C20:C26)</f>
        <v>288284</v>
      </c>
      <c r="D27" s="1412">
        <f>SUM(D20:D26)</f>
        <v>284036.2</v>
      </c>
      <c r="E27" s="394">
        <f>(D27-C27)/C27*100</f>
        <v>-1.4734775429784477</v>
      </c>
      <c r="F27" s="1054">
        <f>SUM(F20:F26)</f>
        <v>34.390999999999998</v>
      </c>
      <c r="G27" s="1054">
        <f>G20+G21+G22+G23+G24+G25+G26</f>
        <v>43.980000000000004</v>
      </c>
      <c r="H27" s="1066">
        <f>SUM(H20:H26)</f>
        <v>100</v>
      </c>
      <c r="I27" s="394">
        <f>(G27-F27)/F27*100</f>
        <v>27.882294786426698</v>
      </c>
      <c r="J27" s="762"/>
      <c r="K27" s="762"/>
      <c r="L27" s="1475"/>
      <c r="M27" s="1202"/>
      <c r="N27" s="1063" t="s">
        <v>683</v>
      </c>
      <c r="O27" s="1259">
        <f>SUM(O20:O26)</f>
        <v>1373568</v>
      </c>
      <c r="P27" s="1259">
        <f>SUM(P20:P26)</f>
        <v>1137628.3</v>
      </c>
      <c r="Q27" s="394">
        <f>(P27-O27)/O27*100</f>
        <v>-17.177140119746525</v>
      </c>
      <c r="R27" s="1054">
        <f>SUM(R20:R26)</f>
        <v>164.21130659999997</v>
      </c>
      <c r="S27" s="1054">
        <f>SUM(S20:S26)</f>
        <v>173.91</v>
      </c>
      <c r="T27" s="1066">
        <f>SUM(T20:T26)</f>
        <v>100</v>
      </c>
      <c r="U27" s="394">
        <f>(S27-R27)/R27*100</f>
        <v>5.9062275313507717</v>
      </c>
      <c r="V27" s="26">
        <f>76.54+0.12</f>
        <v>76.660000000000011</v>
      </c>
      <c r="W27" s="26">
        <f>P27/1000000</f>
        <v>1.1376283</v>
      </c>
      <c r="X27" s="432"/>
    </row>
    <row r="28" spans="1:26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4">
        <v>3</v>
      </c>
      <c r="N30" s="2021" t="s">
        <v>623</v>
      </c>
      <c r="O30" s="2022"/>
      <c r="P30" s="2022"/>
      <c r="Q30" s="2022"/>
      <c r="R30" s="2022"/>
      <c r="S30" s="2022"/>
      <c r="T30" s="2022"/>
      <c r="U30" s="2023"/>
    </row>
    <row r="31" spans="1:26" ht="15.4" x14ac:dyDescent="0.4">
      <c r="A31" s="2382"/>
      <c r="B31" s="378" t="s">
        <v>2</v>
      </c>
      <c r="C31" s="1521">
        <v>24.66</v>
      </c>
      <c r="D31" s="1429">
        <v>22.5</v>
      </c>
      <c r="E31" s="315">
        <v>1.55</v>
      </c>
      <c r="F31" s="85">
        <v>1.52</v>
      </c>
      <c r="G31" s="313">
        <f>'ACTUAL- 23-24'!P7/10000000</f>
        <v>1.9527635000000001</v>
      </c>
      <c r="H31" s="314">
        <f>(G31-E31)/E31*100</f>
        <v>25.984741935483875</v>
      </c>
      <c r="I31" s="314">
        <f>(G31-F31)/F31*100</f>
        <v>28.471282894736849</v>
      </c>
      <c r="J31" s="84">
        <v>1.52</v>
      </c>
      <c r="K31" s="84">
        <f>11596205/10000000</f>
        <v>1.1596204999999999</v>
      </c>
      <c r="L31" s="1476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v>8.9499999999999993</v>
      </c>
      <c r="R31" s="315">
        <v>10.14</v>
      </c>
      <c r="S31" s="315">
        <f>G31+'JULY-23'!S31</f>
        <v>12.1967511</v>
      </c>
      <c r="T31" s="314">
        <f>(S31-Q31)/Q31*100</f>
        <v>36.276548603351969</v>
      </c>
      <c r="U31" s="314">
        <f t="shared" ref="U31:U38" si="3">(S31-R31)/R31*100</f>
        <v>20.28354142011834</v>
      </c>
      <c r="W31" s="5">
        <f>(Q31*10000000)/100000</f>
        <v>895</v>
      </c>
    </row>
    <row r="32" spans="1:26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15">
        <v>3.17</v>
      </c>
      <c r="F32" s="134">
        <v>2.38</v>
      </c>
      <c r="G32" s="313">
        <f>'ACTUAL- 23-24'!Q7/10000000</f>
        <v>3.0820249999999998</v>
      </c>
      <c r="H32" s="314">
        <f>(G32-E32)/E32*100</f>
        <v>-2.7752365930599412</v>
      </c>
      <c r="I32" s="314">
        <f>(G32-F32)/F32*100</f>
        <v>29.496848739495796</v>
      </c>
      <c r="J32" s="1128">
        <v>2.3697997000000002</v>
      </c>
      <c r="K32" s="84">
        <f>0.58-0.12</f>
        <v>0.45999999999999996</v>
      </c>
      <c r="L32" s="1476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f>E32+'JULY-23'!Q32</f>
        <v>16.95</v>
      </c>
      <c r="R32" s="315">
        <f>F32+'JULY-23'!R32</f>
        <v>12.6916814</v>
      </c>
      <c r="S32" s="315">
        <f>G32+'JULY-23'!S32</f>
        <v>12.652529700000001</v>
      </c>
      <c r="T32" s="314">
        <f>(S32-Q32)/Q32*100</f>
        <v>-25.353807079646014</v>
      </c>
      <c r="U32" s="314">
        <f t="shared" si="3"/>
        <v>-0.30848316126182995</v>
      </c>
      <c r="W32" s="5">
        <f>(Q32*10000000)/100000</f>
        <v>1695</v>
      </c>
    </row>
    <row r="33" spans="1:27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15">
        <v>0.26</v>
      </c>
      <c r="F33" s="283">
        <v>7.7621999999999997E-2</v>
      </c>
      <c r="G33" s="313">
        <f>'ACTUAL- 23-24'!R7/10000000</f>
        <v>8.8343856000000012E-2</v>
      </c>
      <c r="H33" s="314">
        <f>(G33-E33)/E33*100</f>
        <v>-66.021593846153849</v>
      </c>
      <c r="I33" s="314">
        <f>(G33-F33)/F33*100</f>
        <v>13.812908711447806</v>
      </c>
      <c r="J33" s="1128">
        <v>7.7621999999999997E-2</v>
      </c>
      <c r="L33" s="1476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f>E33+'JULY-23'!Q33</f>
        <v>1.6300000000000001</v>
      </c>
      <c r="R33" s="315">
        <f>F33+'JULY-23'!R33</f>
        <v>0.49194660000000001</v>
      </c>
      <c r="S33" s="315">
        <f>G33+'JULY-23'!S33</f>
        <v>0.51783325599999996</v>
      </c>
      <c r="T33" s="314">
        <f>(S33-Q33)/Q33*100</f>
        <v>-68.23108858895705</v>
      </c>
      <c r="U33" s="314">
        <f t="shared" si="3"/>
        <v>5.2620865760633277</v>
      </c>
      <c r="W33" s="5">
        <f>(Q33*10000000)/100000</f>
        <v>163.00000000000003</v>
      </c>
    </row>
    <row r="34" spans="1:27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3.4299999999999997</v>
      </c>
      <c r="F34" s="1483">
        <f t="shared" ref="F34:G34" si="4">SUM(F32:F33)</f>
        <v>2.4576219999999998</v>
      </c>
      <c r="G34" s="1483">
        <f t="shared" si="4"/>
        <v>3.1703688559999996</v>
      </c>
      <c r="H34" s="1484">
        <f>(G34-E34)/E34*100</f>
        <v>-7.5694211078717242</v>
      </c>
      <c r="I34" s="1484">
        <f>(G34-F34)/F34*100</f>
        <v>29.001484198953293</v>
      </c>
      <c r="L34" s="1476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18.579999999999998</v>
      </c>
      <c r="R34" s="1483">
        <f t="shared" ref="R34:S34" si="5">R33+R32</f>
        <v>13.183628000000001</v>
      </c>
      <c r="S34" s="1483">
        <f t="shared" si="5"/>
        <v>13.170362956</v>
      </c>
      <c r="T34" s="1484">
        <f>(S34-Q34)/Q34*100</f>
        <v>-29.115376986006453</v>
      </c>
      <c r="U34" s="1484">
        <f>(S34-R34)/R34*100</f>
        <v>-0.10061755383268259</v>
      </c>
    </row>
    <row r="35" spans="1:27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v>0.21881</v>
      </c>
      <c r="G35" s="313">
        <f>'ACTUAL- 23-24'!T7/10000000</f>
        <v>0.25286999999999998</v>
      </c>
      <c r="H35" s="517" t="s">
        <v>221</v>
      </c>
      <c r="I35" s="314">
        <f>(G35-F35)/F35*100</f>
        <v>15.566016178419623</v>
      </c>
      <c r="J35" s="84">
        <v>0.21881</v>
      </c>
      <c r="L35" s="1476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f>F35+'JULY-23'!R35</f>
        <v>1.3260839999999998</v>
      </c>
      <c r="S35" s="315">
        <f>G35+'JULY-23'!S35</f>
        <v>1.357089</v>
      </c>
      <c r="T35" s="316" t="s">
        <v>221</v>
      </c>
      <c r="U35" s="314">
        <f t="shared" si="3"/>
        <v>2.3380871799976601</v>
      </c>
      <c r="W35" s="5" t="e">
        <f>(Q35*10000000)/100000</f>
        <v>#VALUE!</v>
      </c>
    </row>
    <row r="36" spans="1:27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v>3.63459E-2</v>
      </c>
      <c r="G36" s="313">
        <v>0</v>
      </c>
      <c r="H36" s="517" t="s">
        <v>221</v>
      </c>
      <c r="I36" s="314">
        <v>0</v>
      </c>
      <c r="J36" s="84">
        <v>3.63459E-2</v>
      </c>
      <c r="L36" s="1476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f>F36+'JULY-23'!R36</f>
        <v>4.5529582999999993</v>
      </c>
      <c r="S36" s="315">
        <f>G36+'JULY-23'!S36</f>
        <v>1.9112507999999999</v>
      </c>
      <c r="T36" s="316" t="s">
        <v>221</v>
      </c>
      <c r="U36" s="314">
        <f t="shared" si="3"/>
        <v>-58.021781135135811</v>
      </c>
    </row>
    <row r="37" spans="1:27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v>3.54</v>
      </c>
      <c r="G37" s="313">
        <f>'ACTUAL- 23-24'!O7/10000000</f>
        <v>4.0654925999999998</v>
      </c>
      <c r="H37" s="517" t="s">
        <v>221</v>
      </c>
      <c r="I37" s="314">
        <f>(G37-F37)/F37*100</f>
        <v>14.844423728813553</v>
      </c>
      <c r="J37" s="84">
        <v>3.210709</v>
      </c>
      <c r="K37" s="323">
        <f>(20880+ 10612529)/10000000</f>
        <v>1.0633409</v>
      </c>
      <c r="L37" s="1476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f>F37+'JULY-23'!R37</f>
        <v>17.183115999999998</v>
      </c>
      <c r="S37" s="315">
        <f>G37+'JULY-23'!S37</f>
        <v>19.582007700000002</v>
      </c>
      <c r="T37" s="316" t="s">
        <v>221</v>
      </c>
      <c r="U37" s="314">
        <f t="shared" si="3"/>
        <v>13.960749028290351</v>
      </c>
    </row>
    <row r="38" spans="1:27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313">
        <v>6.4195500000000003E-2</v>
      </c>
      <c r="G38" s="313">
        <f>'ACTUAL- 23-24'!U7/10000000</f>
        <v>9.8277299999999998E-2</v>
      </c>
      <c r="H38" s="413"/>
      <c r="I38" s="314">
        <v>0</v>
      </c>
      <c r="J38" s="84">
        <v>6.4195500000000003E-2</v>
      </c>
      <c r="L38" s="1476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f>F38+'JULY-23'!R38</f>
        <v>0.37334670000000003</v>
      </c>
      <c r="S38" s="315">
        <f>G38+'JULY-23'!S38</f>
        <v>0.41074560000000004</v>
      </c>
      <c r="T38" s="413"/>
      <c r="U38" s="314">
        <f t="shared" si="3"/>
        <v>10.017203848326504</v>
      </c>
    </row>
    <row r="39" spans="1:27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J39" s="323">
        <v>9.68218E-2</v>
      </c>
      <c r="L39" s="1476"/>
      <c r="M39" s="1286">
        <v>4</v>
      </c>
      <c r="N39" s="2021" t="s">
        <v>622</v>
      </c>
      <c r="O39" s="2022"/>
      <c r="P39" s="2022"/>
      <c r="Q39" s="2022"/>
      <c r="R39" s="2022"/>
      <c r="S39" s="2022"/>
      <c r="T39" s="2022"/>
      <c r="U39" s="2023"/>
    </row>
    <row r="40" spans="1:27" ht="15.4" x14ac:dyDescent="0.4">
      <c r="A40" s="2387"/>
      <c r="B40" s="378" t="s">
        <v>27</v>
      </c>
      <c r="C40" s="1521">
        <v>12.02</v>
      </c>
      <c r="D40" s="1429">
        <v>13.95</v>
      </c>
      <c r="E40" s="315">
        <v>1.1624999999999999</v>
      </c>
      <c r="F40" s="313">
        <v>0.85950380000000004</v>
      </c>
      <c r="G40" s="313">
        <f>'ACTUAL- 23-24'!O24/10000000</f>
        <v>1.3437513000000001</v>
      </c>
      <c r="H40" s="314">
        <f>(G40-E40)/E40*100</f>
        <v>15.591509677419376</v>
      </c>
      <c r="I40" s="314">
        <f>(G40-F40)/F40*100</f>
        <v>56.340355912329883</v>
      </c>
      <c r="K40" s="1128">
        <v>0.5185746</v>
      </c>
      <c r="L40" s="1476"/>
      <c r="M40" s="1286"/>
      <c r="N40" s="378" t="s">
        <v>27</v>
      </c>
      <c r="O40" s="1283">
        <v>12.02</v>
      </c>
      <c r="P40" s="1429">
        <v>13.95</v>
      </c>
      <c r="Q40" s="307">
        <f>'APRIL-2023'!E40+'MAY-2023'!E40+'JUNE-23'!E40+'JULY-23'!E40+E40</f>
        <v>5.8124999999999991</v>
      </c>
      <c r="R40" s="315">
        <f>'APRIL-2023'!F40+'MAY-2023'!F40+'JUNE-23'!F40+'JULY-23'!F40+F40</f>
        <v>3.3928470000000002</v>
      </c>
      <c r="S40" s="315">
        <f>'APRIL-2023'!G40+'MAY-2023'!G40+'JUNE-23'!G40+'JULY-23'!G40+G40</f>
        <v>5.5978181999999999</v>
      </c>
      <c r="T40" s="314">
        <f>(S40-Q40)/Q40*100</f>
        <v>-3.6934503225806332</v>
      </c>
      <c r="U40" s="314">
        <f>(S40-R40)/R40*100</f>
        <v>64.988819124469785</v>
      </c>
      <c r="W40" s="5">
        <f>(E40*10000000)/100000</f>
        <v>116.24999999999999</v>
      </c>
      <c r="X40" s="172">
        <v>141.05000000000001</v>
      </c>
      <c r="Y40" s="5">
        <v>70.17</v>
      </c>
      <c r="Z40" s="11">
        <f t="shared" ref="Z40:Z45" si="6">(X40-W40)/W40*100</f>
        <v>21.333333333333357</v>
      </c>
      <c r="AA40" s="11">
        <f t="shared" ref="AA40:AA45" si="7">(X40-Y40)/Y40*100</f>
        <v>101.01182841670231</v>
      </c>
    </row>
    <row r="41" spans="1:27" ht="15.4" x14ac:dyDescent="0.4">
      <c r="A41" s="2387"/>
      <c r="B41" s="378" t="s">
        <v>28</v>
      </c>
      <c r="C41" s="1521">
        <v>1.94</v>
      </c>
      <c r="D41" s="1429">
        <v>1.95</v>
      </c>
      <c r="E41" s="315">
        <v>0.16250000000000001</v>
      </c>
      <c r="F41" s="313">
        <v>9.0284100000000006E-2</v>
      </c>
      <c r="G41" s="313">
        <f>'ACTUAL- 23-24'!P24/10000000</f>
        <v>6.7934499999999995E-2</v>
      </c>
      <c r="H41" s="314">
        <f>(G41-E41)/E41*100</f>
        <v>-58.194153846153853</v>
      </c>
      <c r="I41" s="314">
        <f>(G41-F41)/F41*100</f>
        <v>-24.754746406067081</v>
      </c>
      <c r="J41" s="84">
        <f t="shared" ref="J41:J46" si="8">E40*8</f>
        <v>9.2999999999999989</v>
      </c>
      <c r="K41" s="1128">
        <v>1.5909099999999999E-2</v>
      </c>
      <c r="L41" s="1476">
        <v>2.1361249999999998</v>
      </c>
      <c r="M41" s="1286"/>
      <c r="N41" s="378" t="s">
        <v>28</v>
      </c>
      <c r="O41" s="1283">
        <v>1.94</v>
      </c>
      <c r="P41" s="1429">
        <v>1.95</v>
      </c>
      <c r="Q41" s="307">
        <f>'APRIL-2023'!E41+'MAY-2023'!E41+'JUNE-23'!E41+'JULY-23'!E41+E41</f>
        <v>0.8125</v>
      </c>
      <c r="R41" s="315">
        <f>'APRIL-2023'!F41+'MAY-2023'!F41+'JUNE-23'!F41+'JULY-23'!F41+F41</f>
        <v>0.2018828</v>
      </c>
      <c r="S41" s="315">
        <f>'APRIL-2023'!G41+'MAY-2023'!G41+'JUNE-23'!G41+'JULY-23'!G41+G41</f>
        <v>0.89352529999999997</v>
      </c>
      <c r="T41" s="314">
        <f t="shared" ref="T41:T42" si="9">(S41-Q41)/Q41*100</f>
        <v>9.9723446153846105</v>
      </c>
      <c r="U41" s="314">
        <f>(S41-R41)/R41*100</f>
        <v>342.59605077797607</v>
      </c>
      <c r="W41" s="5">
        <f>(E41*10000000)/100000</f>
        <v>16.25</v>
      </c>
      <c r="X41" s="172">
        <v>19.73</v>
      </c>
      <c r="Y41" s="5">
        <v>3.12</v>
      </c>
      <c r="Z41" s="11">
        <f t="shared" si="6"/>
        <v>21.415384615384617</v>
      </c>
      <c r="AA41" s="11">
        <f t="shared" si="7"/>
        <v>532.3717948717948</v>
      </c>
    </row>
    <row r="42" spans="1:27" ht="15.4" x14ac:dyDescent="0.4">
      <c r="A42" s="2387"/>
      <c r="B42" s="378" t="s">
        <v>224</v>
      </c>
      <c r="C42" s="1521">
        <v>1.96</v>
      </c>
      <c r="D42" s="1429">
        <v>3.25</v>
      </c>
      <c r="E42" s="315">
        <v>0.27</v>
      </c>
      <c r="F42" s="313">
        <v>6.6659200000000002E-2</v>
      </c>
      <c r="G42" s="313">
        <f>'ACTUAL- 23-24'!Q24/10000000</f>
        <v>0.35313480000000003</v>
      </c>
      <c r="H42" s="314">
        <f>(G42-E42)/E42*100</f>
        <v>30.790666666666667</v>
      </c>
      <c r="I42" s="314">
        <f>(G42-F42)/F42*100</f>
        <v>429.76153329172871</v>
      </c>
      <c r="J42" s="84">
        <f t="shared" si="8"/>
        <v>1.3</v>
      </c>
      <c r="K42" s="1128">
        <v>7.9338400000000003E-2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7">
        <f>'APRIL-2023'!E42+'MAY-2023'!E42+'JUNE-23'!E42+'JULY-23'!E42+E42</f>
        <v>1.35</v>
      </c>
      <c r="R42" s="315">
        <f>'APRIL-2023'!F42+'MAY-2023'!F42+'JUNE-23'!F42+'JULY-23'!F42+F42</f>
        <v>0.2016578</v>
      </c>
      <c r="S42" s="315">
        <f>'APRIL-2023'!G42+'MAY-2023'!G42+'JUNE-23'!G42+'JULY-23'!G42+G42</f>
        <v>0.7218715</v>
      </c>
      <c r="T42" s="314">
        <f t="shared" si="9"/>
        <v>-46.528037037037038</v>
      </c>
      <c r="U42" s="314">
        <f>(S42-R42)/R42*100</f>
        <v>257.96854869982712</v>
      </c>
      <c r="W42" s="11">
        <f>(E42*10000000)/100000</f>
        <v>27</v>
      </c>
      <c r="X42" s="172">
        <v>45.45</v>
      </c>
      <c r="Y42" s="5">
        <v>0</v>
      </c>
      <c r="Z42" s="11">
        <f t="shared" si="6"/>
        <v>68.333333333333343</v>
      </c>
      <c r="AA42" s="11" t="e">
        <f t="shared" si="7"/>
        <v>#DIV/0!</v>
      </c>
    </row>
    <row r="43" spans="1:27" ht="15.4" hidden="1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/>
      <c r="H43" s="314" t="e">
        <f>(G43-E43)/E43*100</f>
        <v>#VALUE!</v>
      </c>
      <c r="I43" s="314" t="e">
        <f>(G43-F43)/F43*100</f>
        <v>#DIV/0!</v>
      </c>
      <c r="J43" s="323">
        <f t="shared" si="8"/>
        <v>2.16</v>
      </c>
      <c r="K43" s="1128">
        <v>0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15">
        <f>'APRIL-2023'!F43+'MAY-2023'!F43+'JUNE-23'!F43+'JULY-23'!F43+F43</f>
        <v>0</v>
      </c>
      <c r="S43" s="315">
        <f>'APRIL-2023'!G43+'MAY-2023'!G43+'JUNE-23'!G43+'JULY-23'!G43+G43</f>
        <v>0</v>
      </c>
      <c r="T43" s="314" t="s">
        <v>221</v>
      </c>
      <c r="U43" s="314">
        <v>0</v>
      </c>
      <c r="W43" s="5" t="e">
        <f>(E43*10000000)/100000</f>
        <v>#VALUE!</v>
      </c>
      <c r="Z43" s="11" t="e">
        <f t="shared" si="6"/>
        <v>#VALUE!</v>
      </c>
      <c r="AA43" s="11" t="e">
        <f t="shared" si="7"/>
        <v>#DIV/0!</v>
      </c>
    </row>
    <row r="44" spans="1:27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0</v>
      </c>
      <c r="G44" s="313">
        <f>'ACTUAL- 23-24'!R24/10000000</f>
        <v>2.1172000000000001E-3</v>
      </c>
      <c r="H44" s="314"/>
      <c r="I44" s="314" t="s">
        <v>221</v>
      </c>
      <c r="J44" s="84" t="e">
        <f t="shared" si="8"/>
        <v>#VALUE!</v>
      </c>
      <c r="K44" s="1128">
        <v>6.3045000000000002E-3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15">
        <f>'APRIL-2023'!F44+'MAY-2023'!F44+'JUNE-23'!F44+'JULY-23'!F44+F44</f>
        <v>2.59045E-2</v>
      </c>
      <c r="S44" s="315">
        <f>'APRIL-2023'!G44+'MAY-2023'!G44+'JUNE-23'!G44+'JULY-23'!G44+G44</f>
        <v>0.43044450000000001</v>
      </c>
      <c r="T44" s="314" t="s">
        <v>221</v>
      </c>
      <c r="U44" s="314">
        <f>(S44-R44)/R44*100</f>
        <v>1561.6591711864735</v>
      </c>
      <c r="X44" s="172">
        <v>0</v>
      </c>
      <c r="Y44" s="5">
        <v>0.06</v>
      </c>
      <c r="Z44" s="11" t="e">
        <f t="shared" si="6"/>
        <v>#DIV/0!</v>
      </c>
      <c r="AA44" s="11">
        <f t="shared" si="7"/>
        <v>-100</v>
      </c>
    </row>
    <row r="45" spans="1:27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0.24945800000000001</v>
      </c>
      <c r="G45" s="313">
        <f>'ACTUAL- 23-24'!S24/10000000</f>
        <v>9.0672799999999998E-2</v>
      </c>
      <c r="H45" s="314"/>
      <c r="I45" s="314" t="s">
        <v>221</v>
      </c>
      <c r="J45" s="84" t="e">
        <f t="shared" si="8"/>
        <v>#VALUE!</v>
      </c>
      <c r="K45" s="1128">
        <v>7.3470099999999997E-2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15">
        <f>'APRIL-2023'!F45+'MAY-2023'!F45+'JUNE-23'!F45+'JULY-23'!F45+F45</f>
        <v>0.60130379999999994</v>
      </c>
      <c r="S45" s="315">
        <f>'APRIL-2023'!G45+'MAY-2023'!G45+'JUNE-23'!G45+'JULY-23'!G45+G45</f>
        <v>0.3957003</v>
      </c>
      <c r="T45" s="407" t="s">
        <v>221</v>
      </c>
      <c r="U45" s="314">
        <f>(S45-R45)/R45*100</f>
        <v>-34.192948722426159</v>
      </c>
      <c r="W45" s="595">
        <f>W40+W41+W42+W44</f>
        <v>159.5</v>
      </c>
      <c r="X45" s="172">
        <f>X40+X41+X42+X44</f>
        <v>206.23000000000002</v>
      </c>
      <c r="Y45" s="172">
        <f>Y40+Y41+Y42+Y44</f>
        <v>73.350000000000009</v>
      </c>
      <c r="Z45" s="11">
        <f t="shared" si="6"/>
        <v>29.297805642633239</v>
      </c>
      <c r="AA45" s="11">
        <f t="shared" si="7"/>
        <v>181.15882753919561</v>
      </c>
    </row>
    <row r="46" spans="1:27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8"/>
        <v>#VALUE!</v>
      </c>
      <c r="L46" s="1476">
        <v>0.93056630000000007</v>
      </c>
      <c r="M46" s="2388"/>
      <c r="N46" s="2021" t="s">
        <v>419</v>
      </c>
      <c r="O46" s="2022"/>
      <c r="P46" s="2022"/>
      <c r="Q46" s="2022"/>
      <c r="R46" s="2022"/>
      <c r="S46" s="2022"/>
      <c r="T46" s="2022"/>
      <c r="U46" s="2023"/>
    </row>
    <row r="47" spans="1:27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15">
        <v>1.82</v>
      </c>
      <c r="F47" s="315">
        <v>1.5</v>
      </c>
      <c r="G47" s="315">
        <f>'ACTUAL- 23-24'!E24/1000000</f>
        <v>2.0026480000000002</v>
      </c>
      <c r="H47" s="316">
        <f>(G47-E47)/E47*100</f>
        <v>10.035604395604402</v>
      </c>
      <c r="I47" s="314">
        <f>(G47-F47)/F47*100</f>
        <v>33.509866666666682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f>E47+'JULY-23'!Q47</f>
        <v>7.99</v>
      </c>
      <c r="R47" s="315">
        <f>F47+'JULY-23'!R47</f>
        <v>6.8253019999999998</v>
      </c>
      <c r="S47" s="315">
        <f>G47+'JULY-23'!S47</f>
        <v>9.1148670000000003</v>
      </c>
      <c r="T47" s="316">
        <f>(S47-Q47)/Q47*100</f>
        <v>14.07843554443054</v>
      </c>
      <c r="U47" s="314">
        <f>(S47-R47)/R47*100</f>
        <v>33.545255579899624</v>
      </c>
      <c r="V47" s="5">
        <f>S47/153</f>
        <v>5.9574294117647059E-2</v>
      </c>
    </row>
    <row r="48" spans="1:27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154">
        <v>2.68</v>
      </c>
      <c r="F48" s="315">
        <v>1.21</v>
      </c>
      <c r="G48" s="315">
        <f>'ACTUAL- 23-24'!F24/1000000</f>
        <v>1.7094879999999999</v>
      </c>
      <c r="H48" s="2027">
        <f>L48</f>
        <v>8.9571641791044758</v>
      </c>
      <c r="I48" s="314">
        <f>(G48-F48)/F48*100</f>
        <v>41.279999999999994</v>
      </c>
      <c r="J48" s="84">
        <f>94132</f>
        <v>94132</v>
      </c>
      <c r="K48" s="12">
        <f>G48+G49</f>
        <v>2.9200520000000001</v>
      </c>
      <c r="L48" s="172">
        <f>(K48-E48)/E48*100</f>
        <v>8.9571641791044758</v>
      </c>
      <c r="M48" s="2388"/>
      <c r="N48" s="1280" t="s">
        <v>792</v>
      </c>
      <c r="O48" s="1285">
        <v>15.344440000000001</v>
      </c>
      <c r="P48" s="2067">
        <v>32.97</v>
      </c>
      <c r="Q48" s="2065">
        <v>11.62</v>
      </c>
      <c r="R48" s="315">
        <f>F48+'JULY-23'!R48</f>
        <v>4.4130039999999999</v>
      </c>
      <c r="S48" s="315">
        <f>G48+'JULY-23'!S48</f>
        <v>8.5842720000000003</v>
      </c>
      <c r="T48" s="2027">
        <f>X48</f>
        <v>20.862392426850263</v>
      </c>
      <c r="U48" s="314">
        <f>(S48-R48)/R48*100</f>
        <v>94.522189420177284</v>
      </c>
      <c r="V48" s="5">
        <f t="shared" ref="V48:V49" si="10">S48/153</f>
        <v>5.6106352941176475E-2</v>
      </c>
      <c r="W48" s="12">
        <f>S48+S49</f>
        <v>14.04421</v>
      </c>
      <c r="X48" s="172">
        <f>(W48-Q48)/Q48*100</f>
        <v>20.862392426850263</v>
      </c>
    </row>
    <row r="49" spans="1:33" ht="16.5" x14ac:dyDescent="0.55000000000000004">
      <c r="A49" s="2387"/>
      <c r="B49" s="1606" t="s">
        <v>934</v>
      </c>
      <c r="C49" s="1524">
        <v>12.857975999999999</v>
      </c>
      <c r="D49" s="2066"/>
      <c r="E49" s="2155"/>
      <c r="F49" s="315">
        <v>1.02</v>
      </c>
      <c r="G49" s="315">
        <f>'ACTUAL- 23-24'!G24/1000000</f>
        <v>1.210564</v>
      </c>
      <c r="H49" s="2029"/>
      <c r="I49" s="314">
        <f>(G49-F49)/F49*100</f>
        <v>18.682745098039209</v>
      </c>
      <c r="J49" s="84">
        <v>31105</v>
      </c>
      <c r="K49" s="1198"/>
      <c r="L49" s="1477">
        <f>(K48-E48)/E48*100</f>
        <v>8.9571641791044758</v>
      </c>
      <c r="M49" s="2388"/>
      <c r="N49" s="320" t="s">
        <v>931</v>
      </c>
      <c r="O49" s="1285">
        <v>12.857975999999999</v>
      </c>
      <c r="P49" s="2068"/>
      <c r="Q49" s="2066"/>
      <c r="R49" s="315">
        <f>F49+'JULY-23'!R49</f>
        <v>5.539396</v>
      </c>
      <c r="S49" s="315">
        <f>G49+'JULY-23'!S49</f>
        <v>5.4599379999999993</v>
      </c>
      <c r="T49" s="2029"/>
      <c r="U49" s="314">
        <f>(S49-R49)/R49*100</f>
        <v>-1.4344163154250156</v>
      </c>
      <c r="V49" s="5">
        <f t="shared" si="10"/>
        <v>3.5685869281045744E-2</v>
      </c>
    </row>
    <row r="50" spans="1:33" ht="16.5" customHeight="1" x14ac:dyDescent="0.55000000000000004">
      <c r="A50" s="2387">
        <v>6</v>
      </c>
      <c r="B50" s="2021" t="s">
        <v>926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8">
        <v>6</v>
      </c>
      <c r="N50" s="2021" t="s">
        <v>927</v>
      </c>
      <c r="O50" s="2022"/>
      <c r="P50" s="2022"/>
      <c r="Q50" s="2022"/>
      <c r="R50" s="2022"/>
      <c r="S50" s="2022"/>
      <c r="T50" s="2022"/>
      <c r="U50" s="2023"/>
    </row>
    <row r="51" spans="1:33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219.34</v>
      </c>
      <c r="G51" s="313">
        <v>94.99</v>
      </c>
      <c r="H51" s="2027" t="s">
        <v>221</v>
      </c>
      <c r="I51" s="314">
        <f>(G51-F51)/F51*100</f>
        <v>-56.692805689796664</v>
      </c>
      <c r="K51" s="84">
        <v>1.4243969999999999</v>
      </c>
      <c r="M51" s="2388"/>
      <c r="N51" s="2006" t="s">
        <v>36</v>
      </c>
      <c r="O51" s="2007"/>
      <c r="P51" s="2368">
        <v>0.55000000000000004</v>
      </c>
      <c r="Q51" s="2024" t="s">
        <v>221</v>
      </c>
      <c r="R51" s="313">
        <v>219.34</v>
      </c>
      <c r="S51" s="313">
        <v>94.99</v>
      </c>
      <c r="T51" s="2027"/>
      <c r="U51" s="314">
        <f>(S51-R51)/R51*100</f>
        <v>-56.692805689796664</v>
      </c>
    </row>
    <row r="52" spans="1:33" ht="15.4" x14ac:dyDescent="0.4">
      <c r="A52" s="2387"/>
      <c r="B52" s="378" t="s">
        <v>37</v>
      </c>
      <c r="C52" s="1525"/>
      <c r="D52" s="2369"/>
      <c r="E52" s="2025"/>
      <c r="F52" s="313">
        <v>43.37</v>
      </c>
      <c r="G52" s="313">
        <v>21.55</v>
      </c>
      <c r="H52" s="2028"/>
      <c r="I52" s="314">
        <f>(G52-F52)/F52*100</f>
        <v>-50.311275074936589</v>
      </c>
      <c r="K52" s="84">
        <v>1.1149039999999999</v>
      </c>
      <c r="M52" s="2388"/>
      <c r="N52" s="2006" t="s">
        <v>37</v>
      </c>
      <c r="O52" s="2007"/>
      <c r="P52" s="2369"/>
      <c r="Q52" s="2025"/>
      <c r="R52" s="313">
        <v>43.37</v>
      </c>
      <c r="S52" s="313">
        <v>21.55</v>
      </c>
      <c r="T52" s="2028"/>
      <c r="U52" s="314">
        <f>(S52-R52)/R52*100</f>
        <v>-50.311275074936589</v>
      </c>
    </row>
    <row r="53" spans="1:33" ht="15.4" x14ac:dyDescent="0.4">
      <c r="A53" s="2387"/>
      <c r="B53" s="378" t="s">
        <v>38</v>
      </c>
      <c r="C53" s="1525"/>
      <c r="D53" s="2245"/>
      <c r="E53" s="2026"/>
      <c r="F53" s="313">
        <f>SUM(F51:F52)</f>
        <v>262.70999999999998</v>
      </c>
      <c r="G53" s="313">
        <f>SUM(G51:G52)</f>
        <v>116.53999999999999</v>
      </c>
      <c r="H53" s="2029"/>
      <c r="I53" s="314">
        <f>(G53-F53)/F53*100</f>
        <v>-55.639298085341252</v>
      </c>
      <c r="K53" s="84">
        <v>1.0979049999999999</v>
      </c>
      <c r="M53" s="2388"/>
      <c r="N53" s="2006" t="s">
        <v>38</v>
      </c>
      <c r="O53" s="2007"/>
      <c r="P53" s="2245"/>
      <c r="Q53" s="2026"/>
      <c r="R53" s="313">
        <f>SUM(R51:R52)</f>
        <v>262.70999999999998</v>
      </c>
      <c r="S53" s="313">
        <f>SUM(S51:S52)</f>
        <v>116.53999999999999</v>
      </c>
      <c r="T53" s="2029"/>
      <c r="U53" s="314">
        <f>(S53-R53)/R53*100</f>
        <v>-55.639298085341252</v>
      </c>
    </row>
    <row r="54" spans="1:33" ht="15.4" x14ac:dyDescent="0.4">
      <c r="C54" s="315"/>
      <c r="H54" s="41"/>
      <c r="I54" s="41"/>
    </row>
    <row r="55" spans="1:33" ht="15.75" x14ac:dyDescent="0.45">
      <c r="C55" s="315"/>
      <c r="D55" s="229"/>
      <c r="E55" s="229"/>
      <c r="F55" s="229"/>
      <c r="G55" s="12"/>
      <c r="H55" s="314"/>
      <c r="I55" s="314"/>
      <c r="Q55" s="12"/>
      <c r="R55" s="12">
        <f t="shared" ref="R55:S57" si="11">(R47*1000000)/100000</f>
        <v>68.253020000000006</v>
      </c>
      <c r="S55" s="12">
        <f t="shared" si="11"/>
        <v>91.148669999999996</v>
      </c>
      <c r="T55" s="314"/>
      <c r="U55" s="314">
        <f>(S55-R55)/R55*100</f>
        <v>33.545255579899596</v>
      </c>
      <c r="W55" s="12">
        <f>R56+R57</f>
        <v>99.524000000000001</v>
      </c>
      <c r="X55" s="12">
        <f>S56+S57</f>
        <v>140.44209999999998</v>
      </c>
      <c r="Z55" s="314">
        <f>(X55-W55)/W55*100</f>
        <v>41.113801696073288</v>
      </c>
    </row>
    <row r="56" spans="1:33" ht="15.4" x14ac:dyDescent="0.4">
      <c r="C56" s="315"/>
      <c r="H56" s="35"/>
      <c r="I56" s="5"/>
      <c r="J56" s="314">
        <f>210288-1860</f>
        <v>208428</v>
      </c>
      <c r="K56" s="5"/>
      <c r="P56" s="12"/>
      <c r="Q56" s="12"/>
      <c r="R56" s="12">
        <f t="shared" si="11"/>
        <v>44.130040000000001</v>
      </c>
      <c r="S56" s="12">
        <f t="shared" si="11"/>
        <v>85.84272</v>
      </c>
      <c r="U56" s="314">
        <f>(S56-R56)/R56*100</f>
        <v>94.52218942017727</v>
      </c>
    </row>
    <row r="57" spans="1:33" ht="15.4" x14ac:dyDescent="0.4">
      <c r="J57" s="35"/>
      <c r="L57" s="35"/>
      <c r="R57" s="12">
        <f t="shared" si="11"/>
        <v>55.39396</v>
      </c>
      <c r="S57" s="12">
        <f t="shared" si="11"/>
        <v>54.599379999999989</v>
      </c>
      <c r="U57" s="314">
        <f>(S57-R57)/R57*100</f>
        <v>-1.434416315425022</v>
      </c>
    </row>
    <row r="58" spans="1:33" x14ac:dyDescent="0.4">
      <c r="D58" s="1407"/>
      <c r="E58" s="1192">
        <v>44795</v>
      </c>
      <c r="F58" s="1192">
        <v>45161</v>
      </c>
      <c r="H58" s="1192">
        <f>E58</f>
        <v>44795</v>
      </c>
      <c r="I58" s="1192">
        <f>F58</f>
        <v>45161</v>
      </c>
      <c r="K58" s="84">
        <v>2.94</v>
      </c>
      <c r="R58" s="12">
        <f>SUM(R55:R57)</f>
        <v>167.77701999999999</v>
      </c>
      <c r="S58" s="12">
        <f>SUM(S55:S57)</f>
        <v>231.59076999999999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33" ht="15.75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S59" s="9" t="s">
        <v>152</v>
      </c>
      <c r="T59" s="1291">
        <f>E58</f>
        <v>44795</v>
      </c>
      <c r="U59" s="1291">
        <f>F58</f>
        <v>45161</v>
      </c>
      <c r="V59" s="26"/>
      <c r="W59" s="1291">
        <v>44958</v>
      </c>
      <c r="X59" s="1291">
        <v>44958</v>
      </c>
      <c r="Y59" s="26"/>
      <c r="Z59" s="1291">
        <f>T59</f>
        <v>44795</v>
      </c>
      <c r="AA59" s="1291">
        <f>X59</f>
        <v>44958</v>
      </c>
      <c r="AC59" s="5">
        <v>57578</v>
      </c>
      <c r="AD59" s="5">
        <v>76550</v>
      </c>
    </row>
    <row r="60" spans="1:33" ht="16.149999999999999" x14ac:dyDescent="0.55000000000000004">
      <c r="D60" s="1407" t="s">
        <v>94</v>
      </c>
      <c r="E60" s="1193">
        <f t="shared" ref="E60:F62" si="12">H60/10000000</f>
        <v>0.99882199999999999</v>
      </c>
      <c r="F60" s="1193">
        <f>I60/10000000</f>
        <v>1.1061137000000001</v>
      </c>
      <c r="H60" s="598">
        <f>E152</f>
        <v>9988220</v>
      </c>
      <c r="I60" s="598">
        <f>E115</f>
        <v>11061137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33" ht="16.149999999999999" x14ac:dyDescent="0.55000000000000004">
      <c r="D61" s="1407" t="s">
        <v>502</v>
      </c>
      <c r="E61" s="1193">
        <f t="shared" si="12"/>
        <v>10.6585511</v>
      </c>
      <c r="F61" s="1193">
        <f t="shared" si="12"/>
        <v>13.416032599999999</v>
      </c>
      <c r="H61" s="598">
        <f>G152</f>
        <v>106585511</v>
      </c>
      <c r="I61" s="598">
        <f>G115</f>
        <v>134160326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33" ht="16.899999999999999" thickBot="1" x14ac:dyDescent="0.6">
      <c r="D62" s="1407" t="s">
        <v>767</v>
      </c>
      <c r="E62" s="1193">
        <f t="shared" si="12"/>
        <v>74.071692200000001</v>
      </c>
      <c r="F62" s="1193">
        <f>I62/10000000</f>
        <v>76.9650295</v>
      </c>
      <c r="H62" s="1496">
        <f>I152</f>
        <v>740716922</v>
      </c>
      <c r="I62" s="1496">
        <f>I115</f>
        <v>769650295</v>
      </c>
      <c r="J62" s="1320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33" ht="16.5" x14ac:dyDescent="0.55000000000000004">
      <c r="E63" s="428"/>
      <c r="F63" s="428"/>
      <c r="J63" s="1215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33" ht="15.4" x14ac:dyDescent="0.4">
      <c r="E64" s="428"/>
      <c r="F64" s="428"/>
      <c r="I64" s="82">
        <f>J65/1000000</f>
        <v>0.23699999999999999</v>
      </c>
      <c r="K64" s="212"/>
      <c r="L64" s="1217"/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6.149999999999999" x14ac:dyDescent="0.55000000000000004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>
        <f>SUM(T60:T64)</f>
        <v>665125</v>
      </c>
      <c r="U65" s="26">
        <f t="shared" ref="U65:AA65" si="13">SUM(U60:U64)</f>
        <v>3363834</v>
      </c>
      <c r="W65" s="9">
        <f>SUM(W60:W64)</f>
        <v>1174725</v>
      </c>
      <c r="X65" s="9">
        <f t="shared" si="13"/>
        <v>7176648</v>
      </c>
      <c r="Y65" s="26"/>
      <c r="Z65" s="9">
        <f t="shared" si="13"/>
        <v>403700</v>
      </c>
      <c r="AA65" s="9">
        <f t="shared" si="13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6.149999999999999" x14ac:dyDescent="0.55000000000000004">
      <c r="D66" s="1407" t="s">
        <v>94</v>
      </c>
      <c r="E66" s="1193">
        <f>H66/1000000</f>
        <v>1.5668409999999999</v>
      </c>
      <c r="F66" s="1193">
        <f>I66/1000000</f>
        <v>1.7121489999999999</v>
      </c>
      <c r="H66" s="598">
        <f>D152</f>
        <v>1566841</v>
      </c>
      <c r="I66" s="598">
        <f>D115</f>
        <v>1712149</v>
      </c>
      <c r="J66" s="323">
        <f>H66/100000</f>
        <v>15.66841</v>
      </c>
      <c r="K66" s="323">
        <f t="shared" ref="K66:K68" si="14">I66/100000</f>
        <v>17.121490000000001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6.149999999999999" x14ac:dyDescent="0.55000000000000004">
      <c r="D67" s="1407" t="s">
        <v>502</v>
      </c>
      <c r="E67" s="1193">
        <f t="shared" ref="E67:F68" si="15">H67/1000000</f>
        <v>1.2827710000000001</v>
      </c>
      <c r="F67" s="1193">
        <f t="shared" si="15"/>
        <v>1.4640500000000001</v>
      </c>
      <c r="H67" s="598">
        <f>F152</f>
        <v>1282771</v>
      </c>
      <c r="I67" s="598">
        <f>F115</f>
        <v>1464050</v>
      </c>
      <c r="J67" s="323">
        <f>H67/100000</f>
        <v>12.82771</v>
      </c>
      <c r="K67" s="323">
        <f t="shared" si="14"/>
        <v>14.640499999999999</v>
      </c>
      <c r="L67" s="491">
        <f>K66/100000</f>
        <v>1.7121490000000003E-4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6.149999999999999" x14ac:dyDescent="0.55000000000000004">
      <c r="D68" s="1407" t="s">
        <v>767</v>
      </c>
      <c r="E68" s="1193">
        <f t="shared" si="15"/>
        <v>1.024098</v>
      </c>
      <c r="F68" s="1193">
        <f>I68/1000000</f>
        <v>1.062262</v>
      </c>
      <c r="H68" s="1496">
        <f>H152</f>
        <v>1024098</v>
      </c>
      <c r="I68" s="1496">
        <f>H115</f>
        <v>1062262</v>
      </c>
      <c r="J68" s="323">
        <f>H68/100000</f>
        <v>10.24098</v>
      </c>
      <c r="K68" s="323">
        <f t="shared" si="14"/>
        <v>10.62262</v>
      </c>
      <c r="L68" s="491">
        <f>K67/100000</f>
        <v>1.4640500000000001E-4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J69" s="323"/>
      <c r="K69" s="212"/>
      <c r="L69" s="491">
        <f>K68/100000</f>
        <v>1.062262E-4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6.149999999999999" x14ac:dyDescent="0.55000000000000004">
      <c r="D71" s="1418" t="s">
        <v>436</v>
      </c>
      <c r="E71" s="134">
        <f>H71</f>
        <v>1.2381945000000001</v>
      </c>
      <c r="F71" s="134">
        <f>I71</f>
        <v>1.5170129999999999</v>
      </c>
      <c r="H71" s="1372">
        <f>J71/10000000</f>
        <v>1.2381945000000001</v>
      </c>
      <c r="I71" s="1372">
        <f>K71/10000000</f>
        <v>1.5170129999999999</v>
      </c>
      <c r="J71" s="1533">
        <v>12381945</v>
      </c>
      <c r="K71" s="122">
        <v>15170130</v>
      </c>
      <c r="L71" s="1217"/>
      <c r="N71" s="755">
        <v>6531262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5">
        <f>66.07-3.11</f>
        <v>62.959999999999994</v>
      </c>
      <c r="D72" s="1418" t="s">
        <v>769</v>
      </c>
      <c r="E72" s="134">
        <f>J79/100</f>
        <v>1.923</v>
      </c>
      <c r="F72" s="134">
        <f>K79/100</f>
        <v>2.1090999999999998</v>
      </c>
      <c r="H72" s="1263"/>
      <c r="I72" s="1263"/>
      <c r="J72" s="85"/>
      <c r="K72" s="134"/>
      <c r="L72" s="1217"/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9.5600000000000004E-2</v>
      </c>
      <c r="F73" s="283">
        <f>K77/100</f>
        <v>6.5000000000000002E-2</v>
      </c>
      <c r="H73" s="1263"/>
      <c r="I73" s="1263"/>
      <c r="J73" s="283"/>
      <c r="K73" s="283"/>
      <c r="L73" s="1217"/>
      <c r="U73" s="1239"/>
      <c r="AB73" s="1239"/>
    </row>
    <row r="74" spans="3:30" ht="15.4" x14ac:dyDescent="0.45">
      <c r="D74" s="1418" t="s">
        <v>196</v>
      </c>
      <c r="E74" s="134">
        <f t="shared" ref="E74:F76" si="16">H74/10000000</f>
        <v>0.231659</v>
      </c>
      <c r="F74" s="134">
        <f t="shared" si="16"/>
        <v>0.21703500000000001</v>
      </c>
      <c r="H74" s="1578">
        <f>J152</f>
        <v>2316590</v>
      </c>
      <c r="I74" s="1578">
        <f>J115</f>
        <v>2170350</v>
      </c>
      <c r="J74" s="598"/>
      <c r="K74" s="210">
        <f>J116</f>
        <v>0</v>
      </c>
      <c r="L74" s="1217"/>
      <c r="M74" s="1210"/>
      <c r="N74" s="12"/>
      <c r="X74" s="5"/>
    </row>
    <row r="75" spans="3:30" ht="16.149999999999999" x14ac:dyDescent="0.55000000000000004">
      <c r="D75" s="1418" t="s">
        <v>123</v>
      </c>
      <c r="E75" s="134">
        <f t="shared" si="16"/>
        <v>3.63459E-9</v>
      </c>
      <c r="F75" s="134">
        <f t="shared" si="16"/>
        <v>0</v>
      </c>
      <c r="H75" s="1372">
        <f>J75/10000000</f>
        <v>3.63459E-2</v>
      </c>
      <c r="I75" s="1372">
        <f t="shared" ref="I75" si="17">K75/10000000</f>
        <v>0</v>
      </c>
      <c r="J75" s="210">
        <f>L152</f>
        <v>363459</v>
      </c>
      <c r="K75" s="1498">
        <f>L115</f>
        <v>0</v>
      </c>
    </row>
    <row r="76" spans="3:30" ht="16.149999999999999" x14ac:dyDescent="0.55000000000000004">
      <c r="D76" s="1418" t="s">
        <v>435</v>
      </c>
      <c r="E76" s="134">
        <f t="shared" si="16"/>
        <v>3.529782</v>
      </c>
      <c r="F76" s="134">
        <f t="shared" si="16"/>
        <v>3.5121256000000001</v>
      </c>
      <c r="H76" s="1578">
        <f>K152</f>
        <v>35297820</v>
      </c>
      <c r="I76" s="1578">
        <f>K115</f>
        <v>35121256</v>
      </c>
      <c r="J76" s="1498">
        <v>32202382</v>
      </c>
      <c r="K76" s="1499">
        <f>K115</f>
        <v>35121256</v>
      </c>
      <c r="N76" s="755"/>
    </row>
    <row r="77" spans="3:30" x14ac:dyDescent="0.4">
      <c r="H77" s="1224"/>
      <c r="I77" s="1225"/>
      <c r="J77" s="85">
        <v>9.56</v>
      </c>
      <c r="K77" s="134">
        <v>6.5</v>
      </c>
    </row>
    <row r="78" spans="3:30" x14ac:dyDescent="0.4">
      <c r="E78" s="428"/>
      <c r="F78" s="428"/>
      <c r="J78" s="85">
        <v>201.86</v>
      </c>
      <c r="K78" s="85">
        <v>217.41</v>
      </c>
      <c r="L78" s="172">
        <f>J77/100</f>
        <v>9.5600000000000004E-2</v>
      </c>
    </row>
    <row r="79" spans="3:30" x14ac:dyDescent="0.4">
      <c r="E79" s="428"/>
      <c r="F79" s="428"/>
      <c r="J79" s="85">
        <f>J78-J77</f>
        <v>192.3</v>
      </c>
      <c r="K79" s="134">
        <f>K78-K77</f>
        <v>210.91</v>
      </c>
    </row>
    <row r="80" spans="3:30" x14ac:dyDescent="0.4">
      <c r="E80" s="428"/>
      <c r="F80" s="428"/>
      <c r="L80" s="172">
        <f>J79/100</f>
        <v>1.923</v>
      </c>
    </row>
    <row r="81" spans="3:21" x14ac:dyDescent="0.4">
      <c r="C81" s="9"/>
      <c r="D81" s="235" t="s">
        <v>164</v>
      </c>
      <c r="E81" s="265" t="s">
        <v>710</v>
      </c>
      <c r="F81" s="29" t="s">
        <v>164</v>
      </c>
      <c r="G81" s="265" t="s">
        <v>710</v>
      </c>
      <c r="H81" s="29" t="s">
        <v>164</v>
      </c>
      <c r="I81" s="265" t="s">
        <v>710</v>
      </c>
      <c r="J81" s="29"/>
      <c r="K81" s="29"/>
      <c r="L81" s="1596"/>
    </row>
    <row r="82" spans="3:21" x14ac:dyDescent="0.4">
      <c r="C82" s="9"/>
      <c r="D82" s="235">
        <v>23</v>
      </c>
      <c r="E82" s="29">
        <v>23</v>
      </c>
      <c r="F82" s="29">
        <v>23</v>
      </c>
      <c r="G82" s="29">
        <v>23</v>
      </c>
      <c r="H82" s="29">
        <v>23</v>
      </c>
      <c r="I82" s="29">
        <v>23</v>
      </c>
      <c r="J82" s="29" t="s">
        <v>196</v>
      </c>
      <c r="K82" s="780">
        <v>23</v>
      </c>
      <c r="L82" s="1596"/>
    </row>
    <row r="83" spans="3:21" x14ac:dyDescent="0.4">
      <c r="C83" s="9"/>
      <c r="D83" s="1939" t="s">
        <v>795</v>
      </c>
      <c r="E83" s="1939"/>
      <c r="F83" s="1939" t="s">
        <v>796</v>
      </c>
      <c r="G83" s="1939"/>
      <c r="H83" s="1939" t="s">
        <v>797</v>
      </c>
      <c r="I83" s="1939"/>
      <c r="J83" s="29">
        <v>23</v>
      </c>
      <c r="K83" s="9" t="s">
        <v>882</v>
      </c>
      <c r="L83" s="1596" t="s">
        <v>123</v>
      </c>
    </row>
    <row r="84" spans="3:21" ht="16.149999999999999" x14ac:dyDescent="0.55000000000000004">
      <c r="C84" s="1239">
        <v>45139</v>
      </c>
      <c r="D84" s="1599"/>
      <c r="E84" s="1600"/>
      <c r="F84" s="224"/>
      <c r="G84" s="224"/>
      <c r="H84" s="1601"/>
      <c r="I84" s="1602"/>
      <c r="J84" s="1575"/>
      <c r="K84" s="1602"/>
      <c r="L84" s="1577"/>
      <c r="O84" s="1449">
        <v>62890</v>
      </c>
      <c r="P84" s="476">
        <v>373538</v>
      </c>
      <c r="Q84" s="7">
        <v>48426</v>
      </c>
      <c r="R84" s="7">
        <v>4303143</v>
      </c>
      <c r="S84" s="1453"/>
      <c r="T84" s="828"/>
      <c r="U84" s="85">
        <v>68220</v>
      </c>
    </row>
    <row r="85" spans="3:21" x14ac:dyDescent="0.4">
      <c r="C85" s="1239">
        <v>45140</v>
      </c>
      <c r="D85" s="1451"/>
      <c r="E85" s="476"/>
      <c r="F85" s="7"/>
      <c r="G85" s="7"/>
      <c r="H85" s="224"/>
      <c r="I85" s="1576"/>
      <c r="J85" s="1576"/>
      <c r="K85" s="1575"/>
      <c r="L85" s="1577"/>
      <c r="O85" s="1451">
        <v>69548</v>
      </c>
      <c r="P85" s="476">
        <v>406133</v>
      </c>
      <c r="Q85" s="7">
        <v>51371</v>
      </c>
      <c r="R85" s="7">
        <v>3850288</v>
      </c>
      <c r="S85" s="224"/>
      <c r="T85" s="1576"/>
      <c r="U85" s="1576">
        <v>68040</v>
      </c>
    </row>
    <row r="86" spans="3:21" x14ac:dyDescent="0.4">
      <c r="C86" s="1239">
        <v>45141</v>
      </c>
      <c r="D86" s="1451"/>
      <c r="E86" s="476"/>
      <c r="F86" s="7"/>
      <c r="G86" s="7"/>
      <c r="H86" s="7"/>
      <c r="I86" s="210"/>
      <c r="J86" s="210"/>
      <c r="K86" s="85"/>
      <c r="L86" s="1297"/>
      <c r="O86" s="1451">
        <v>68805</v>
      </c>
      <c r="P86" s="476">
        <v>395004</v>
      </c>
      <c r="Q86" s="7">
        <v>51335</v>
      </c>
      <c r="R86" s="7">
        <v>4085432</v>
      </c>
      <c r="S86" s="7"/>
      <c r="T86" s="210"/>
      <c r="U86" s="210">
        <v>71690</v>
      </c>
    </row>
    <row r="87" spans="3:21" x14ac:dyDescent="0.4">
      <c r="C87" s="1239">
        <v>45142</v>
      </c>
      <c r="D87" s="1451"/>
      <c r="E87" s="476"/>
      <c r="F87" s="7"/>
      <c r="G87" s="7"/>
      <c r="H87" s="7"/>
      <c r="I87" s="210"/>
      <c r="J87" s="210"/>
      <c r="K87" s="85"/>
      <c r="L87" s="1297"/>
      <c r="O87" s="1451">
        <v>60608</v>
      </c>
      <c r="P87" s="476">
        <v>361532</v>
      </c>
      <c r="Q87" s="7">
        <v>49071</v>
      </c>
      <c r="R87" s="7">
        <v>4100485</v>
      </c>
      <c r="S87" s="7"/>
      <c r="T87" s="210"/>
      <c r="U87" s="210">
        <v>63060</v>
      </c>
    </row>
    <row r="88" spans="3:21" x14ac:dyDescent="0.4">
      <c r="C88" s="1239">
        <v>45143</v>
      </c>
      <c r="D88" s="1451"/>
      <c r="E88" s="476"/>
      <c r="F88" s="7"/>
      <c r="G88" s="7"/>
      <c r="H88" s="7"/>
      <c r="I88" s="210"/>
      <c r="J88" s="1604"/>
      <c r="K88" s="85"/>
      <c r="L88" s="1297"/>
      <c r="O88" s="1451">
        <v>56363</v>
      </c>
      <c r="P88" s="476">
        <v>418378</v>
      </c>
      <c r="Q88" s="7">
        <v>51147</v>
      </c>
      <c r="R88" s="7">
        <v>4595376</v>
      </c>
      <c r="S88" s="7"/>
      <c r="T88" s="210"/>
      <c r="U88" s="210">
        <v>77790</v>
      </c>
    </row>
    <row r="89" spans="3:21" ht="16.5" thickBot="1" x14ac:dyDescent="0.6">
      <c r="C89" s="1239">
        <v>45144</v>
      </c>
      <c r="D89" s="1451"/>
      <c r="E89" s="476"/>
      <c r="F89" s="6"/>
      <c r="G89" s="6"/>
      <c r="H89" s="1255"/>
      <c r="I89" s="828"/>
      <c r="J89" s="1604"/>
      <c r="K89" s="755"/>
      <c r="L89" s="1297"/>
      <c r="O89" s="1451">
        <v>58004</v>
      </c>
      <c r="P89" s="476">
        <v>513836</v>
      </c>
      <c r="Q89" s="6">
        <v>48683</v>
      </c>
      <c r="R89" s="6">
        <v>4834875</v>
      </c>
      <c r="S89" s="824"/>
      <c r="T89" s="755"/>
      <c r="U89" s="210">
        <v>94230</v>
      </c>
    </row>
    <row r="90" spans="3:21" x14ac:dyDescent="0.4">
      <c r="C90" s="1239">
        <v>45145</v>
      </c>
      <c r="D90" s="1451"/>
      <c r="E90" s="476"/>
      <c r="F90" s="6"/>
      <c r="G90" s="6"/>
      <c r="H90" s="1461"/>
      <c r="I90" s="1460"/>
      <c r="J90" s="1593"/>
      <c r="K90" s="85"/>
      <c r="L90" s="1594"/>
    </row>
    <row r="91" spans="3:21" x14ac:dyDescent="0.4">
      <c r="C91" s="1239">
        <v>45146</v>
      </c>
      <c r="D91" s="1451"/>
      <c r="E91" s="476"/>
      <c r="F91" s="6"/>
      <c r="G91" s="6"/>
      <c r="H91" s="31"/>
      <c r="I91" s="79"/>
      <c r="J91" s="1593"/>
      <c r="K91" s="85"/>
      <c r="L91" s="1594"/>
    </row>
    <row r="92" spans="3:21" x14ac:dyDescent="0.4">
      <c r="C92" s="1239">
        <v>45147</v>
      </c>
      <c r="D92" s="1451"/>
      <c r="E92" s="476"/>
      <c r="F92" s="6"/>
      <c r="G92" s="6"/>
      <c r="H92" s="31"/>
      <c r="I92" s="79"/>
      <c r="J92" s="1593"/>
      <c r="K92" s="85"/>
      <c r="L92" s="1594"/>
    </row>
    <row r="93" spans="3:21" ht="16.149999999999999" x14ac:dyDescent="0.55000000000000004">
      <c r="C93" s="1239">
        <v>45148</v>
      </c>
      <c r="D93" s="1451">
        <v>668705</v>
      </c>
      <c r="E93" s="476">
        <v>4098281</v>
      </c>
      <c r="F93" s="6">
        <v>520930</v>
      </c>
      <c r="G93" s="6">
        <v>43453996</v>
      </c>
      <c r="H93" s="1453"/>
      <c r="I93" s="1453"/>
      <c r="J93" s="1593">
        <v>745240</v>
      </c>
      <c r="K93" s="828"/>
      <c r="L93" s="1594">
        <v>0</v>
      </c>
    </row>
    <row r="94" spans="3:21" ht="16.149999999999999" x14ac:dyDescent="0.55000000000000004">
      <c r="C94" s="1239">
        <v>45149</v>
      </c>
      <c r="D94" s="1451"/>
      <c r="E94" s="476"/>
      <c r="F94" s="6"/>
      <c r="G94" s="6"/>
      <c r="H94" s="1255"/>
      <c r="I94" s="828"/>
      <c r="J94" s="1593"/>
      <c r="K94" s="828"/>
      <c r="L94" s="1594"/>
    </row>
    <row r="95" spans="3:21" ht="15.75" x14ac:dyDescent="0.4">
      <c r="C95" s="1239">
        <v>45150</v>
      </c>
      <c r="D95" s="1451"/>
      <c r="E95" s="476"/>
      <c r="F95" s="6"/>
      <c r="G95" s="6"/>
      <c r="H95" s="1255"/>
      <c r="I95" s="1453"/>
      <c r="J95" s="1593"/>
      <c r="K95" s="85"/>
      <c r="L95" s="1594"/>
    </row>
    <row r="96" spans="3:21" ht="16.149999999999999" x14ac:dyDescent="0.55000000000000004">
      <c r="C96" s="1239">
        <v>45151</v>
      </c>
      <c r="D96" s="1451"/>
      <c r="E96" s="476"/>
      <c r="F96" s="6"/>
      <c r="G96" s="6"/>
      <c r="H96" s="828"/>
      <c r="I96" s="828"/>
      <c r="J96" s="1593"/>
      <c r="K96" s="1255"/>
      <c r="L96" s="1594"/>
    </row>
    <row r="97" spans="3:12" ht="16.149999999999999" x14ac:dyDescent="0.55000000000000004">
      <c r="C97" s="1239">
        <v>45152</v>
      </c>
      <c r="D97" s="1451"/>
      <c r="E97" s="476"/>
      <c r="F97" s="6"/>
      <c r="G97" s="6"/>
      <c r="H97" s="1254"/>
      <c r="I97" s="1254"/>
      <c r="J97" s="1593"/>
      <c r="K97" s="1255"/>
      <c r="L97" s="1594"/>
    </row>
    <row r="98" spans="3:12" x14ac:dyDescent="0.4">
      <c r="C98" s="1239">
        <v>45153</v>
      </c>
      <c r="D98" s="1451"/>
      <c r="E98" s="476"/>
      <c r="F98" s="6"/>
      <c r="G98" s="6"/>
      <c r="H98" s="31"/>
      <c r="I98" s="79"/>
      <c r="J98" s="1593"/>
      <c r="K98" s="85"/>
      <c r="L98" s="1594"/>
    </row>
    <row r="99" spans="3:12" ht="16.149999999999999" x14ac:dyDescent="0.55000000000000004">
      <c r="C99" s="1239">
        <v>45154</v>
      </c>
      <c r="D99" s="1451"/>
      <c r="E99" s="476"/>
      <c r="F99" s="6"/>
      <c r="G99" s="6"/>
      <c r="H99" s="828"/>
      <c r="I99" s="1453"/>
      <c r="J99" s="1593"/>
      <c r="K99" s="85"/>
      <c r="L99" s="1594"/>
    </row>
    <row r="100" spans="3:12" ht="16.149999999999999" x14ac:dyDescent="0.55000000000000004">
      <c r="C100" s="1239">
        <v>45155</v>
      </c>
      <c r="D100" s="1451"/>
      <c r="E100" s="476"/>
      <c r="F100" s="6"/>
      <c r="G100" s="6"/>
      <c r="H100" s="828"/>
      <c r="I100" s="828"/>
      <c r="J100" s="1593"/>
      <c r="K100" s="828"/>
      <c r="L100" s="1594"/>
    </row>
    <row r="101" spans="3:12" ht="16.149999999999999" x14ac:dyDescent="0.55000000000000004">
      <c r="C101" s="1239">
        <v>45156</v>
      </c>
      <c r="D101" s="1451"/>
      <c r="E101" s="476"/>
      <c r="F101" s="6"/>
      <c r="G101" s="6"/>
      <c r="H101" s="1255"/>
      <c r="I101" s="828"/>
      <c r="J101" s="1593"/>
      <c r="K101" s="828"/>
      <c r="L101" s="1594"/>
    </row>
    <row r="102" spans="3:12" x14ac:dyDescent="0.4">
      <c r="C102" s="1239">
        <v>45157</v>
      </c>
      <c r="D102" s="234"/>
      <c r="E102" s="476"/>
      <c r="F102" s="6"/>
      <c r="G102" s="6"/>
      <c r="H102" s="31"/>
      <c r="I102" s="79"/>
      <c r="J102" s="1593"/>
      <c r="K102" s="85"/>
      <c r="L102" s="1594"/>
    </row>
    <row r="103" spans="3:12" ht="15.75" x14ac:dyDescent="0.4">
      <c r="C103" s="1239">
        <v>45158</v>
      </c>
      <c r="D103" s="1451">
        <v>612324</v>
      </c>
      <c r="E103" s="476">
        <v>4256346</v>
      </c>
      <c r="F103" s="6">
        <v>570207</v>
      </c>
      <c r="G103" s="6">
        <v>54227788</v>
      </c>
      <c r="H103" s="1453"/>
      <c r="I103" s="1453"/>
      <c r="J103" s="1593">
        <v>847820</v>
      </c>
      <c r="K103" s="1453"/>
      <c r="L103" s="1594"/>
    </row>
    <row r="104" spans="3:12" ht="16.149999999999999" x14ac:dyDescent="0.55000000000000004">
      <c r="C104" s="1239">
        <v>45159</v>
      </c>
      <c r="D104" s="1478">
        <v>90766</v>
      </c>
      <c r="E104" s="1479">
        <v>482491</v>
      </c>
      <c r="F104" s="1603">
        <v>64490</v>
      </c>
      <c r="G104" s="1603">
        <v>5139264</v>
      </c>
      <c r="H104" s="828"/>
      <c r="I104" s="828"/>
      <c r="J104" s="1593">
        <v>80950</v>
      </c>
      <c r="K104" s="1255"/>
      <c r="L104" s="1594"/>
    </row>
    <row r="105" spans="3:12" x14ac:dyDescent="0.4">
      <c r="C105" s="1239">
        <v>45160</v>
      </c>
      <c r="D105" s="1451">
        <v>70391</v>
      </c>
      <c r="E105" s="476">
        <v>386258</v>
      </c>
      <c r="F105" s="85">
        <v>54047</v>
      </c>
      <c r="G105" s="85">
        <v>4703838</v>
      </c>
      <c r="H105" s="31"/>
      <c r="I105" s="79"/>
      <c r="J105" s="85">
        <v>75140</v>
      </c>
      <c r="K105" s="85"/>
      <c r="L105" s="1594"/>
    </row>
    <row r="106" spans="3:12" x14ac:dyDescent="0.4">
      <c r="C106" s="1239">
        <v>45161</v>
      </c>
      <c r="D106" s="1451">
        <v>66296</v>
      </c>
      <c r="E106" s="476">
        <v>350584</v>
      </c>
      <c r="F106" s="476">
        <v>47064</v>
      </c>
      <c r="G106" s="85">
        <v>4545276</v>
      </c>
      <c r="H106" s="31"/>
      <c r="I106" s="79"/>
      <c r="J106" s="85">
        <v>74140</v>
      </c>
      <c r="K106" s="85"/>
      <c r="L106" s="1297"/>
    </row>
    <row r="107" spans="3:12" x14ac:dyDescent="0.4">
      <c r="C107" s="1239">
        <v>45162</v>
      </c>
      <c r="D107" s="1451">
        <v>71592</v>
      </c>
      <c r="E107" s="476">
        <v>379873</v>
      </c>
      <c r="F107" s="85">
        <v>47550</v>
      </c>
      <c r="G107" s="85">
        <v>4559413</v>
      </c>
      <c r="H107" s="31"/>
      <c r="I107" s="79"/>
      <c r="J107" s="85">
        <v>79680</v>
      </c>
      <c r="K107" s="85"/>
      <c r="L107" s="1297"/>
    </row>
    <row r="108" spans="3:12" x14ac:dyDescent="0.4">
      <c r="C108" s="1239">
        <v>45163</v>
      </c>
      <c r="D108" s="1454">
        <v>58224</v>
      </c>
      <c r="E108" s="1243">
        <v>340975</v>
      </c>
      <c r="F108" s="1243">
        <v>48787</v>
      </c>
      <c r="G108" s="1243">
        <v>5015104</v>
      </c>
      <c r="H108" s="1243"/>
      <c r="I108" s="1243"/>
      <c r="J108" s="85">
        <v>71100</v>
      </c>
      <c r="K108" s="1243"/>
      <c r="L108" s="1297"/>
    </row>
    <row r="109" spans="3:12" x14ac:dyDescent="0.4">
      <c r="C109" s="1239">
        <v>45164</v>
      </c>
      <c r="D109" s="1407">
        <v>50788</v>
      </c>
      <c r="E109" s="476">
        <v>371373</v>
      </c>
      <c r="F109" s="85">
        <v>54550</v>
      </c>
      <c r="G109" s="85">
        <v>5818839</v>
      </c>
      <c r="H109" s="31"/>
      <c r="I109" s="79"/>
      <c r="J109" s="1243">
        <v>91720</v>
      </c>
      <c r="K109" s="85"/>
      <c r="L109" s="1297"/>
    </row>
    <row r="110" spans="3:12" ht="16.149999999999999" x14ac:dyDescent="0.55000000000000004">
      <c r="C110" s="1239">
        <v>45165</v>
      </c>
      <c r="D110" s="1407">
        <v>23063</v>
      </c>
      <c r="E110" s="476">
        <v>394956</v>
      </c>
      <c r="F110" s="85">
        <v>56425</v>
      </c>
      <c r="G110" s="85">
        <v>6696808</v>
      </c>
      <c r="H110" s="755">
        <v>1062262</v>
      </c>
      <c r="I110" s="755">
        <v>769650295</v>
      </c>
      <c r="J110" s="85">
        <v>104560</v>
      </c>
      <c r="K110" s="755">
        <v>35121256</v>
      </c>
      <c r="L110" s="1297"/>
    </row>
    <row r="111" spans="3:12" ht="16.5" thickBot="1" x14ac:dyDescent="0.6">
      <c r="C111" s="1239">
        <v>45166</v>
      </c>
      <c r="D111" s="1407"/>
      <c r="E111" s="476"/>
      <c r="F111" s="6"/>
      <c r="G111" s="6"/>
      <c r="H111" s="824"/>
      <c r="I111" s="910"/>
      <c r="J111" s="85"/>
      <c r="K111" s="755"/>
      <c r="L111" s="1297"/>
    </row>
    <row r="112" spans="3:12" x14ac:dyDescent="0.4">
      <c r="C112" s="1239">
        <v>45167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34" ht="16.149999999999999" x14ac:dyDescent="0.55000000000000004">
      <c r="C113" s="1239">
        <v>45168</v>
      </c>
      <c r="D113" s="1407"/>
      <c r="E113" s="476"/>
      <c r="F113" s="6"/>
      <c r="G113" s="6"/>
      <c r="H113" s="755"/>
      <c r="I113" s="755"/>
      <c r="J113" s="85"/>
      <c r="K113" s="755"/>
      <c r="L113" s="1297"/>
    </row>
    <row r="114" spans="1:34" x14ac:dyDescent="0.4">
      <c r="C114" s="1239">
        <v>45169</v>
      </c>
      <c r="D114" s="1455"/>
      <c r="E114" s="277"/>
      <c r="F114" s="44"/>
      <c r="G114" s="44"/>
      <c r="H114" s="1456"/>
      <c r="I114" s="278"/>
      <c r="J114" s="85"/>
      <c r="K114" s="1448"/>
      <c r="L114" s="1297"/>
    </row>
    <row r="115" spans="1:34" x14ac:dyDescent="0.4">
      <c r="C115" s="1239">
        <v>45170</v>
      </c>
      <c r="D115" s="1462">
        <f>SUM(D84:D114)</f>
        <v>1712149</v>
      </c>
      <c r="E115" s="1462">
        <f t="shared" ref="E115:L115" si="18">SUM(E84:E114)</f>
        <v>11061137</v>
      </c>
      <c r="F115" s="1462">
        <f>SUM(F84:F114)</f>
        <v>1464050</v>
      </c>
      <c r="G115" s="1462">
        <f t="shared" si="18"/>
        <v>134160326</v>
      </c>
      <c r="H115" s="1462">
        <f>SUM(H84:H114)</f>
        <v>1062262</v>
      </c>
      <c r="I115" s="1462">
        <f>SUM(I84:I114)</f>
        <v>769650295</v>
      </c>
      <c r="J115" s="1462">
        <f>SUM(J84:J114)</f>
        <v>2170350</v>
      </c>
      <c r="K115" s="1462">
        <f>SUM(K84:K114)</f>
        <v>35121256</v>
      </c>
      <c r="L115" s="1462">
        <f t="shared" si="18"/>
        <v>0</v>
      </c>
    </row>
    <row r="116" spans="1:34" x14ac:dyDescent="0.4">
      <c r="J116" s="1462"/>
    </row>
    <row r="117" spans="1:34" x14ac:dyDescent="0.4">
      <c r="L117" s="1297"/>
    </row>
    <row r="118" spans="1:34" s="172" customFormat="1" x14ac:dyDescent="0.4">
      <c r="A118" s="1235"/>
      <c r="B118" s="300"/>
      <c r="C118" s="9"/>
      <c r="D118" s="235" t="s">
        <v>164</v>
      </c>
      <c r="E118" s="265" t="s">
        <v>710</v>
      </c>
      <c r="F118" s="29" t="s">
        <v>164</v>
      </c>
      <c r="G118" s="265" t="s">
        <v>710</v>
      </c>
      <c r="H118" s="29" t="s">
        <v>164</v>
      </c>
      <c r="I118" s="265" t="s">
        <v>710</v>
      </c>
      <c r="J118" s="29" t="s">
        <v>196</v>
      </c>
      <c r="K118" s="1592"/>
      <c r="L118" s="1596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 s="172" customFormat="1" x14ac:dyDescent="0.4">
      <c r="A119" s="1235"/>
      <c r="B119" s="300"/>
      <c r="C119" s="9"/>
      <c r="D119" s="235">
        <v>22</v>
      </c>
      <c r="E119" s="29">
        <v>22</v>
      </c>
      <c r="F119" s="29">
        <v>22</v>
      </c>
      <c r="G119" s="29">
        <v>22</v>
      </c>
      <c r="H119" s="29">
        <v>22</v>
      </c>
      <c r="I119" s="29">
        <v>22</v>
      </c>
      <c r="J119" s="29">
        <v>22</v>
      </c>
      <c r="K119" s="1597">
        <v>22</v>
      </c>
      <c r="L119" s="1596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 s="172" customFormat="1" x14ac:dyDescent="0.4">
      <c r="A120" s="1235"/>
      <c r="B120" s="300"/>
      <c r="C120" s="9"/>
      <c r="D120" s="1939" t="s">
        <v>795</v>
      </c>
      <c r="E120" s="1939"/>
      <c r="F120" s="1939" t="s">
        <v>796</v>
      </c>
      <c r="G120" s="1939"/>
      <c r="H120" s="1939" t="s">
        <v>797</v>
      </c>
      <c r="I120" s="1939"/>
      <c r="J120" s="9" t="s">
        <v>196</v>
      </c>
      <c r="K120" s="1598" t="s">
        <v>435</v>
      </c>
      <c r="L120" s="1596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 s="172" customFormat="1" ht="16.149999999999999" x14ac:dyDescent="0.55000000000000004">
      <c r="A121" s="1235"/>
      <c r="B121" s="300"/>
      <c r="C121" s="1261">
        <v>44774</v>
      </c>
      <c r="D121" s="1449"/>
      <c r="E121" s="476"/>
      <c r="F121" s="6"/>
      <c r="G121" s="6"/>
      <c r="H121" s="755"/>
      <c r="I121" s="755"/>
      <c r="J121" s="85"/>
      <c r="K121" s="1255"/>
      <c r="L121" s="1297"/>
      <c r="M121" s="1209"/>
      <c r="N121" s="5"/>
      <c r="O121" s="1449">
        <v>64100</v>
      </c>
      <c r="P121" s="476">
        <v>352606</v>
      </c>
      <c r="Q121" s="6">
        <v>50287</v>
      </c>
      <c r="R121" s="6">
        <v>3243776</v>
      </c>
      <c r="S121" s="755"/>
      <c r="T121" s="755"/>
      <c r="U121" s="85">
        <v>72390</v>
      </c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 s="172" customFormat="1" x14ac:dyDescent="0.4">
      <c r="A122" s="1235"/>
      <c r="B122" s="300"/>
      <c r="C122" s="1261">
        <v>44775</v>
      </c>
      <c r="D122" s="1451"/>
      <c r="E122" s="476"/>
      <c r="F122" s="6"/>
      <c r="G122" s="6"/>
      <c r="H122" s="31"/>
      <c r="I122" s="79"/>
      <c r="J122" s="85"/>
      <c r="K122" s="85"/>
      <c r="L122" s="1297"/>
      <c r="M122" s="1209"/>
      <c r="N122" s="5"/>
      <c r="O122" s="1451">
        <v>47455</v>
      </c>
      <c r="P122" s="476">
        <v>274841</v>
      </c>
      <c r="Q122" s="6">
        <v>37882</v>
      </c>
      <c r="R122" s="6">
        <v>2992313</v>
      </c>
      <c r="S122" s="31"/>
      <c r="T122" s="79"/>
      <c r="U122" s="85">
        <v>71700</v>
      </c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 s="172" customFormat="1" x14ac:dyDescent="0.4">
      <c r="A123" s="1235"/>
      <c r="B123" s="300"/>
      <c r="C123" s="1261">
        <v>44776</v>
      </c>
      <c r="D123" s="1451"/>
      <c r="E123" s="476"/>
      <c r="F123" s="6"/>
      <c r="G123" s="6"/>
      <c r="H123" s="31"/>
      <c r="I123" s="79"/>
      <c r="J123" s="85"/>
      <c r="K123" s="85"/>
      <c r="L123" s="1297"/>
      <c r="M123" s="1209"/>
      <c r="N123" s="5"/>
      <c r="O123" s="1451">
        <v>51343</v>
      </c>
      <c r="P123" s="476">
        <v>284320</v>
      </c>
      <c r="Q123" s="6">
        <v>35510</v>
      </c>
      <c r="R123" s="6">
        <v>2980113</v>
      </c>
      <c r="S123" s="31"/>
      <c r="T123" s="79"/>
      <c r="U123" s="85">
        <v>70770</v>
      </c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 s="172" customFormat="1" x14ac:dyDescent="0.4">
      <c r="A124" s="1235"/>
      <c r="B124" s="300"/>
      <c r="C124" s="1261">
        <v>44777</v>
      </c>
      <c r="D124" s="1451"/>
      <c r="E124" s="476"/>
      <c r="F124" s="6"/>
      <c r="G124" s="6"/>
      <c r="H124" s="31"/>
      <c r="I124" s="79"/>
      <c r="J124" s="85"/>
      <c r="K124" s="85"/>
      <c r="L124" s="1297"/>
      <c r="M124" s="1209"/>
      <c r="N124" s="5"/>
      <c r="O124" s="1451">
        <v>50716</v>
      </c>
      <c r="P124" s="476">
        <v>287532</v>
      </c>
      <c r="Q124" s="6">
        <v>39138</v>
      </c>
      <c r="R124" s="6">
        <v>2848582</v>
      </c>
      <c r="S124" s="31"/>
      <c r="T124" s="79"/>
      <c r="U124" s="85">
        <v>70340</v>
      </c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 s="172" customFormat="1" x14ac:dyDescent="0.4">
      <c r="A125" s="1235"/>
      <c r="B125" s="300"/>
      <c r="C125" s="1261">
        <v>44778</v>
      </c>
      <c r="D125" s="1451"/>
      <c r="E125" s="476"/>
      <c r="F125" s="6"/>
      <c r="G125" s="6"/>
      <c r="H125" s="31"/>
      <c r="I125" s="79"/>
      <c r="J125" s="85"/>
      <c r="K125" s="85"/>
      <c r="L125" s="1297"/>
      <c r="M125" s="1209"/>
      <c r="N125" s="5"/>
      <c r="O125" s="1451">
        <v>46074</v>
      </c>
      <c r="P125" s="476">
        <v>269365</v>
      </c>
      <c r="Q125" s="6">
        <v>35823</v>
      </c>
      <c r="R125" s="6">
        <v>3069600</v>
      </c>
      <c r="S125" s="31"/>
      <c r="T125" s="79"/>
      <c r="U125" s="85">
        <v>61840</v>
      </c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 s="172" customFormat="1" ht="16.5" thickBot="1" x14ac:dyDescent="0.6">
      <c r="A126" s="1235"/>
      <c r="B126" s="300"/>
      <c r="C126" s="1261">
        <v>44779</v>
      </c>
      <c r="D126" s="1451"/>
      <c r="E126" s="476"/>
      <c r="F126" s="6"/>
      <c r="G126" s="6"/>
      <c r="H126" s="1255"/>
      <c r="I126" s="828"/>
      <c r="J126" s="85"/>
      <c r="K126" s="1255"/>
      <c r="L126" s="1297"/>
      <c r="M126" s="1209"/>
      <c r="N126" s="5"/>
      <c r="O126" s="1451">
        <v>44550</v>
      </c>
      <c r="P126" s="476">
        <v>324802</v>
      </c>
      <c r="Q126" s="6">
        <v>36929</v>
      </c>
      <c r="R126" s="6">
        <v>3450395</v>
      </c>
      <c r="S126" s="824"/>
      <c r="T126" s="755"/>
      <c r="U126" s="85">
        <v>79260</v>
      </c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 s="172" customFormat="1" ht="15.75" x14ac:dyDescent="0.5">
      <c r="A127" s="1235"/>
      <c r="B127" s="300"/>
      <c r="C127" s="1261">
        <v>44780</v>
      </c>
      <c r="D127" s="1451"/>
      <c r="E127" s="476"/>
      <c r="F127" s="6"/>
      <c r="G127" s="6"/>
      <c r="H127" s="7"/>
      <c r="I127" s="1459"/>
      <c r="J127" s="85"/>
      <c r="K127" s="1277"/>
      <c r="L127" s="1594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 s="172" customFormat="1" x14ac:dyDescent="0.4">
      <c r="A128" s="1235"/>
      <c r="B128" s="300"/>
      <c r="C128" s="1261">
        <v>44781</v>
      </c>
      <c r="D128" s="1451"/>
      <c r="E128" s="476"/>
      <c r="F128" s="6"/>
      <c r="G128" s="6"/>
      <c r="H128" s="31"/>
      <c r="I128" s="79"/>
      <c r="J128" s="85"/>
      <c r="K128" s="85"/>
      <c r="L128" s="1594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261">
        <v>44782</v>
      </c>
      <c r="D129" s="1451"/>
      <c r="E129" s="476"/>
      <c r="F129" s="6"/>
      <c r="G129" s="6"/>
      <c r="H129" s="31"/>
      <c r="I129" s="79"/>
      <c r="J129" s="85"/>
      <c r="K129" s="85"/>
      <c r="L129" s="1594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6.149999999999999" x14ac:dyDescent="0.55000000000000004">
      <c r="A130" s="1235"/>
      <c r="B130" s="300"/>
      <c r="C130" s="1261">
        <v>44783</v>
      </c>
      <c r="D130" s="1451">
        <v>503710</v>
      </c>
      <c r="E130" s="476">
        <v>3057382</v>
      </c>
      <c r="F130" s="6">
        <v>397416</v>
      </c>
      <c r="G130" s="6">
        <v>33220560</v>
      </c>
      <c r="H130" s="828"/>
      <c r="I130" s="1459"/>
      <c r="J130" s="1593">
        <v>728690</v>
      </c>
      <c r="K130" s="1488"/>
      <c r="L130" s="1297"/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6.149999999999999" x14ac:dyDescent="0.55000000000000004">
      <c r="A131" s="1235"/>
      <c r="B131" s="300"/>
      <c r="C131" s="1261">
        <v>44784</v>
      </c>
      <c r="D131" s="1451"/>
      <c r="E131" s="476"/>
      <c r="F131" s="6"/>
      <c r="G131" s="6"/>
      <c r="H131" s="1255"/>
      <c r="I131" s="1255"/>
      <c r="J131" s="1593"/>
      <c r="K131" s="755"/>
      <c r="L131" s="1297">
        <v>206225</v>
      </c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6.149999999999999" x14ac:dyDescent="0.55000000000000004">
      <c r="A132" s="1235"/>
      <c r="B132" s="300"/>
      <c r="C132" s="1261">
        <v>44785</v>
      </c>
      <c r="D132" s="1451"/>
      <c r="E132" s="476"/>
      <c r="F132" s="6"/>
      <c r="G132" s="6"/>
      <c r="H132" s="828"/>
      <c r="I132" s="828"/>
      <c r="J132" s="1593"/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ht="15.75" x14ac:dyDescent="0.4">
      <c r="A133" s="1235"/>
      <c r="B133" s="300"/>
      <c r="C133" s="1261">
        <v>44786</v>
      </c>
      <c r="D133" s="1451"/>
      <c r="E133" s="476"/>
      <c r="F133" s="6"/>
      <c r="G133" s="6"/>
      <c r="H133" s="1255"/>
      <c r="I133" s="1255"/>
      <c r="J133" s="1593"/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6.149999999999999" x14ac:dyDescent="0.55000000000000004">
      <c r="A134" s="1235"/>
      <c r="B134" s="300"/>
      <c r="C134" s="1261">
        <v>44787</v>
      </c>
      <c r="D134" s="1452"/>
      <c r="E134" s="476"/>
      <c r="F134" s="6"/>
      <c r="G134" s="6"/>
      <c r="H134" s="828"/>
      <c r="I134" s="1255"/>
      <c r="J134" s="1593"/>
      <c r="K134" s="1492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x14ac:dyDescent="0.4">
      <c r="A135" s="1235"/>
      <c r="B135" s="300"/>
      <c r="C135" s="1261">
        <v>44788</v>
      </c>
      <c r="D135" s="1452"/>
      <c r="E135" s="476"/>
      <c r="F135" s="6"/>
      <c r="G135" s="6"/>
      <c r="H135" s="31"/>
      <c r="I135" s="79"/>
      <c r="J135" s="1593"/>
      <c r="K135" s="1488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6.149999999999999" x14ac:dyDescent="0.55000000000000004">
      <c r="A136" s="1235"/>
      <c r="B136" s="300"/>
      <c r="C136" s="1261">
        <v>44789</v>
      </c>
      <c r="D136" s="1452"/>
      <c r="E136" s="476"/>
      <c r="F136" s="6"/>
      <c r="G136" s="6"/>
      <c r="H136" s="828"/>
      <c r="I136" s="828"/>
      <c r="J136" s="1593"/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261">
        <v>44790</v>
      </c>
      <c r="D137" s="1452"/>
      <c r="E137" s="476"/>
      <c r="F137" s="6"/>
      <c r="G137" s="6"/>
      <c r="H137" s="31"/>
      <c r="I137" s="79"/>
      <c r="J137" s="85"/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6.149999999999999" x14ac:dyDescent="0.55000000000000004">
      <c r="A138" s="1235"/>
      <c r="B138" s="300"/>
      <c r="C138" s="1261">
        <v>44791</v>
      </c>
      <c r="D138" s="1452"/>
      <c r="E138" s="476"/>
      <c r="F138" s="6"/>
      <c r="G138" s="6"/>
      <c r="H138" s="1255"/>
      <c r="I138" s="828"/>
      <c r="J138" s="85"/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x14ac:dyDescent="0.4">
      <c r="A139" s="1235"/>
      <c r="B139" s="300"/>
      <c r="C139" s="1261">
        <v>44792</v>
      </c>
      <c r="D139" s="1452"/>
      <c r="E139" s="476"/>
      <c r="F139" s="6"/>
      <c r="G139" s="6"/>
      <c r="H139" s="186"/>
      <c r="I139" s="1591"/>
      <c r="J139" s="85"/>
      <c r="K139" s="1488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ht="16.149999999999999" x14ac:dyDescent="0.55000000000000004">
      <c r="A140" s="1235"/>
      <c r="B140" s="300"/>
      <c r="C140" s="1261">
        <v>44793</v>
      </c>
      <c r="D140" s="1451">
        <v>518990</v>
      </c>
      <c r="E140" s="210">
        <v>3522820</v>
      </c>
      <c r="F140" s="7">
        <v>448552</v>
      </c>
      <c r="G140" s="7">
        <v>37644978</v>
      </c>
      <c r="H140" s="1244">
        <v>646577</v>
      </c>
      <c r="I140" s="755">
        <v>474408112</v>
      </c>
      <c r="J140" s="210">
        <v>803510</v>
      </c>
      <c r="K140" s="755">
        <v>23889972</v>
      </c>
      <c r="L140" s="1488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6.149999999999999" x14ac:dyDescent="0.55000000000000004">
      <c r="A141" s="1235"/>
      <c r="B141" s="300"/>
      <c r="C141" s="1261">
        <v>44794</v>
      </c>
      <c r="D141" s="1407"/>
      <c r="E141" s="33"/>
      <c r="F141" s="6"/>
      <c r="G141" s="6"/>
      <c r="H141" s="1453"/>
      <c r="I141" s="1255"/>
      <c r="J141" s="1593"/>
      <c r="K141" s="755"/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6.149999999999999" x14ac:dyDescent="0.55000000000000004">
      <c r="A142" s="1235"/>
      <c r="B142" s="300"/>
      <c r="C142" s="1261">
        <v>44795</v>
      </c>
      <c r="D142" s="1407"/>
      <c r="E142" s="33"/>
      <c r="F142" s="6"/>
      <c r="G142" s="6"/>
      <c r="H142" s="828"/>
      <c r="I142" s="1255"/>
      <c r="J142" s="1593"/>
      <c r="K142" s="1494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261">
        <v>44796</v>
      </c>
      <c r="D143" s="1407"/>
      <c r="E143" s="33"/>
      <c r="F143" s="6"/>
      <c r="G143" s="6"/>
      <c r="H143" s="31"/>
      <c r="I143" s="79"/>
      <c r="J143" s="1593"/>
      <c r="K143" s="1488"/>
      <c r="L143" s="1297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ht="16.149999999999999" x14ac:dyDescent="0.55000000000000004">
      <c r="A144" s="1235"/>
      <c r="B144" s="300"/>
      <c r="C144" s="1261">
        <v>44797</v>
      </c>
      <c r="D144" s="1454"/>
      <c r="E144" s="1243"/>
      <c r="F144" s="1246"/>
      <c r="G144" s="1246"/>
      <c r="H144" s="1255"/>
      <c r="I144" s="828"/>
      <c r="J144" s="1595"/>
      <c r="K144" s="755"/>
      <c r="L144" s="1297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 s="172" customFormat="1" x14ac:dyDescent="0.4">
      <c r="A145" s="1235"/>
      <c r="B145" s="300"/>
      <c r="C145" s="1261">
        <v>44798</v>
      </c>
      <c r="D145" s="1407"/>
      <c r="E145" s="33"/>
      <c r="F145" s="6"/>
      <c r="G145" s="6"/>
      <c r="H145" s="31"/>
      <c r="I145" s="79"/>
      <c r="J145" s="1593"/>
      <c r="K145" s="1488"/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 x14ac:dyDescent="0.4">
      <c r="C146" s="1261">
        <v>44799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34" x14ac:dyDescent="0.4">
      <c r="C147" s="1261">
        <v>44800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34" x14ac:dyDescent="0.4">
      <c r="C148" s="1261">
        <v>44801</v>
      </c>
      <c r="D148" s="1407"/>
      <c r="E148" s="33"/>
      <c r="F148" s="6"/>
      <c r="G148" s="6"/>
      <c r="H148" s="31"/>
      <c r="I148" s="79"/>
      <c r="J148" s="85"/>
      <c r="K148" s="1488"/>
      <c r="L148" s="1297"/>
    </row>
    <row r="149" spans="1:34" x14ac:dyDescent="0.4">
      <c r="C149" s="1261">
        <v>44802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34" x14ac:dyDescent="0.4">
      <c r="C150" s="1261">
        <v>44803</v>
      </c>
      <c r="D150" s="1407"/>
      <c r="E150" s="33"/>
      <c r="F150" s="6"/>
      <c r="G150" s="6"/>
      <c r="H150" s="31"/>
      <c r="I150" s="79"/>
      <c r="J150" s="85"/>
      <c r="K150" s="1488"/>
    </row>
    <row r="151" spans="1:34" ht="16.149999999999999" x14ac:dyDescent="0.55000000000000004">
      <c r="C151" s="1261">
        <v>44804</v>
      </c>
      <c r="D151" s="1407">
        <v>544141</v>
      </c>
      <c r="E151" s="33">
        <v>3408018</v>
      </c>
      <c r="F151" s="6">
        <v>436803</v>
      </c>
      <c r="G151" s="6">
        <v>35719973</v>
      </c>
      <c r="H151" s="755">
        <v>377521</v>
      </c>
      <c r="I151" s="755">
        <v>266308810</v>
      </c>
      <c r="J151" s="1462">
        <v>784390</v>
      </c>
      <c r="K151" s="755">
        <v>11407848</v>
      </c>
      <c r="L151" s="172">
        <v>157234</v>
      </c>
    </row>
    <row r="152" spans="1:34" x14ac:dyDescent="0.4">
      <c r="D152" s="1462">
        <f>SUM(D121:D151)</f>
        <v>1566841</v>
      </c>
      <c r="E152" s="1462">
        <f t="shared" ref="E152:L152" si="19">SUM(E121:E151)</f>
        <v>9988220</v>
      </c>
      <c r="F152" s="1462">
        <f t="shared" si="19"/>
        <v>1282771</v>
      </c>
      <c r="G152" s="1462">
        <f t="shared" si="19"/>
        <v>106585511</v>
      </c>
      <c r="H152" s="1462">
        <f t="shared" si="19"/>
        <v>1024098</v>
      </c>
      <c r="I152" s="1462">
        <f t="shared" si="19"/>
        <v>740716922</v>
      </c>
      <c r="J152" s="1462">
        <f t="shared" si="19"/>
        <v>2316590</v>
      </c>
      <c r="K152" s="1462">
        <f>SUM(K121:K151)</f>
        <v>35297820</v>
      </c>
      <c r="L152" s="1462">
        <f t="shared" si="19"/>
        <v>363459</v>
      </c>
    </row>
    <row r="153" spans="1:34" x14ac:dyDescent="0.4">
      <c r="L153" s="172">
        <f>L152/10000000</f>
        <v>3.63459E-2</v>
      </c>
    </row>
  </sheetData>
  <mergeCells count="86">
    <mergeCell ref="D83:E83"/>
    <mergeCell ref="F83:G83"/>
    <mergeCell ref="H83:I83"/>
    <mergeCell ref="D120:E120"/>
    <mergeCell ref="F120:G120"/>
    <mergeCell ref="H120:I120"/>
    <mergeCell ref="A50:A53"/>
    <mergeCell ref="B50:I50"/>
    <mergeCell ref="M50:M53"/>
    <mergeCell ref="N50:U50"/>
    <mergeCell ref="D51:D53"/>
    <mergeCell ref="E51:E53"/>
    <mergeCell ref="H51:H53"/>
    <mergeCell ref="N51:O51"/>
    <mergeCell ref="P51:P53"/>
    <mergeCell ref="Q51:Q53"/>
    <mergeCell ref="T51:T53"/>
    <mergeCell ref="N52:O52"/>
    <mergeCell ref="N53:O53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P48:P49"/>
    <mergeCell ref="Q48:Q49"/>
    <mergeCell ref="T48:T49"/>
    <mergeCell ref="R28:S28"/>
    <mergeCell ref="T28:U28"/>
    <mergeCell ref="A30:A37"/>
    <mergeCell ref="B30:I30"/>
    <mergeCell ref="M30:M38"/>
    <mergeCell ref="N30:U30"/>
    <mergeCell ref="B28:C29"/>
    <mergeCell ref="D28:E28"/>
    <mergeCell ref="F28:G28"/>
    <mergeCell ref="H28:I28"/>
    <mergeCell ref="N28:O29"/>
    <mergeCell ref="P28:Q28"/>
    <mergeCell ref="M18:M26"/>
    <mergeCell ref="O18:Q18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R18:U18"/>
    <mergeCell ref="A18:A26"/>
    <mergeCell ref="C18:E18"/>
    <mergeCell ref="F18:I18"/>
    <mergeCell ref="T3:U3"/>
    <mergeCell ref="A11:I11"/>
    <mergeCell ref="M11:U11"/>
    <mergeCell ref="B13:I13"/>
    <mergeCell ref="N13:U13"/>
    <mergeCell ref="P5:Q5"/>
    <mergeCell ref="M3:M5"/>
    <mergeCell ref="N3:N5"/>
    <mergeCell ref="P3:Q3"/>
    <mergeCell ref="R3:S3"/>
    <mergeCell ref="AC3:AH3"/>
    <mergeCell ref="A1:I1"/>
    <mergeCell ref="M1:U1"/>
    <mergeCell ref="A2:I2"/>
    <mergeCell ref="M2:U2"/>
    <mergeCell ref="AC2:AH2"/>
    <mergeCell ref="A3:A5"/>
    <mergeCell ref="B3:B5"/>
    <mergeCell ref="D3:E3"/>
    <mergeCell ref="F3:G3"/>
    <mergeCell ref="H3:I3"/>
    <mergeCell ref="H4:H5"/>
    <mergeCell ref="I4:I5"/>
    <mergeCell ref="T4:T5"/>
    <mergeCell ref="U4:U5"/>
    <mergeCell ref="D5:E5"/>
  </mergeCells>
  <pageMargins left="0.2" right="0.2" top="0.75" bottom="0.24" header="0.3" footer="0.3"/>
  <pageSetup paperSize="9" scale="20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pageSetUpPr fitToPage="1"/>
  </sheetPr>
  <dimension ref="A1:Z73"/>
  <sheetViews>
    <sheetView zoomScale="90" zoomScaleNormal="90" workbookViewId="0">
      <selection activeCell="G39" sqref="G39:G44"/>
    </sheetView>
  </sheetViews>
  <sheetFormatPr defaultColWidth="9.1328125" defaultRowHeight="16.899999999999999" x14ac:dyDescent="0.35"/>
  <cols>
    <col min="1" max="1" width="5.86328125" style="376" customWidth="1"/>
    <col min="2" max="2" width="37.3984375" style="300" customWidth="1"/>
    <col min="3" max="3" width="10" style="5" customWidth="1"/>
    <col min="4" max="4" width="11.398437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86328125" style="11" customWidth="1"/>
    <col min="9" max="9" width="14.265625" style="82" customWidth="1"/>
    <col min="10" max="11" width="10.1328125" style="84" bestFit="1" customWidth="1"/>
    <col min="12" max="12" width="9.1328125" style="172"/>
    <col min="13" max="13" width="4.59765625" style="5" customWidth="1"/>
    <col min="14" max="14" width="37.265625" style="5" customWidth="1"/>
    <col min="15" max="15" width="12.1328125" style="5" customWidth="1"/>
    <col min="16" max="16" width="11.3984375" style="5" bestFit="1" customWidth="1"/>
    <col min="17" max="17" width="11.265625" style="5" bestFit="1" customWidth="1"/>
    <col min="18" max="19" width="14" style="5" customWidth="1"/>
    <col min="20" max="21" width="11.1328125" style="5" customWidth="1"/>
    <col min="22" max="23" width="9.1328125" style="5"/>
    <col min="24" max="24" width="9.1328125" style="172"/>
    <col min="25" max="16384" width="9.1328125" style="5"/>
  </cols>
  <sheetData>
    <row r="1" spans="1:26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  <c r="M1" s="2345" t="s">
        <v>5</v>
      </c>
      <c r="N1" s="2345"/>
      <c r="O1" s="2345"/>
      <c r="P1" s="2345"/>
      <c r="Q1" s="2345"/>
      <c r="R1" s="2345"/>
      <c r="S1" s="2345"/>
      <c r="T1" s="2345"/>
      <c r="U1" s="2345"/>
    </row>
    <row r="2" spans="1:26" s="301" customFormat="1" ht="17.25" thickBot="1" x14ac:dyDescent="0.4">
      <c r="A2" s="2346" t="s">
        <v>750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761</v>
      </c>
      <c r="N2" s="2093"/>
      <c r="O2" s="2446"/>
      <c r="P2" s="2093"/>
      <c r="Q2" s="2093"/>
      <c r="R2" s="2093"/>
      <c r="S2" s="2093"/>
      <c r="T2" s="2093"/>
      <c r="U2" s="2094"/>
      <c r="X2" s="1149"/>
    </row>
    <row r="3" spans="1:26" ht="17.25" thickTop="1" x14ac:dyDescent="0.5">
      <c r="A3" s="2484" t="s">
        <v>144</v>
      </c>
      <c r="B3" s="2486" t="s">
        <v>7</v>
      </c>
      <c r="C3" s="2487"/>
      <c r="D3" s="2447" t="s">
        <v>8</v>
      </c>
      <c r="E3" s="2448"/>
      <c r="F3" s="2447" t="s">
        <v>10</v>
      </c>
      <c r="G3" s="2448"/>
      <c r="H3" s="2490" t="s">
        <v>11</v>
      </c>
      <c r="I3" s="2491"/>
      <c r="M3" s="2035" t="s">
        <v>757</v>
      </c>
      <c r="N3" s="1158" t="s">
        <v>7</v>
      </c>
      <c r="O3" s="1190" t="s">
        <v>763</v>
      </c>
      <c r="P3" s="2107" t="s">
        <v>8</v>
      </c>
      <c r="Q3" s="2108"/>
      <c r="R3" s="2107" t="s">
        <v>10</v>
      </c>
      <c r="S3" s="2108"/>
      <c r="T3" s="2109" t="s">
        <v>11</v>
      </c>
      <c r="U3" s="2110"/>
    </row>
    <row r="4" spans="1:26" s="35" customFormat="1" ht="33.75" x14ac:dyDescent="0.35">
      <c r="A4" s="2484"/>
      <c r="B4" s="2488"/>
      <c r="C4" s="2489"/>
      <c r="D4" s="1064" t="s">
        <v>9</v>
      </c>
      <c r="E4" s="1133" t="str">
        <f>G4</f>
        <v xml:space="preserve"> SEP-22</v>
      </c>
      <c r="F4" s="1133" t="s">
        <v>752</v>
      </c>
      <c r="G4" s="1133" t="s">
        <v>751</v>
      </c>
      <c r="H4" s="1061" t="s">
        <v>12</v>
      </c>
      <c r="I4" s="1061" t="s">
        <v>13</v>
      </c>
      <c r="J4" s="84"/>
      <c r="K4" s="84"/>
      <c r="L4" s="1150"/>
      <c r="M4" s="2035"/>
      <c r="N4" s="1180"/>
      <c r="O4" s="1183" t="s">
        <v>764</v>
      </c>
      <c r="P4" s="421" t="s">
        <v>9</v>
      </c>
      <c r="Q4" s="1133" t="str">
        <f>S4</f>
        <v xml:space="preserve"> SEP-22</v>
      </c>
      <c r="R4" s="1133" t="s">
        <v>752</v>
      </c>
      <c r="S4" s="1133" t="s">
        <v>751</v>
      </c>
      <c r="T4" s="1061" t="s">
        <v>12</v>
      </c>
      <c r="U4" s="1061" t="s">
        <v>13</v>
      </c>
      <c r="X4" s="1150"/>
    </row>
    <row r="5" spans="1:26" ht="20.25" hidden="1" customHeight="1" x14ac:dyDescent="0.5">
      <c r="A5" s="2485"/>
      <c r="B5" s="2488"/>
      <c r="C5" s="2489"/>
      <c r="D5" s="2157" t="s">
        <v>249</v>
      </c>
      <c r="E5" s="2158"/>
      <c r="F5" s="1134" t="s">
        <v>249</v>
      </c>
      <c r="G5" s="1134" t="s">
        <v>438</v>
      </c>
      <c r="H5" s="1062"/>
      <c r="I5" s="1062"/>
      <c r="M5" s="2036"/>
      <c r="N5" s="1159"/>
      <c r="O5" s="1184"/>
      <c r="P5" s="2157" t="s">
        <v>249</v>
      </c>
      <c r="Q5" s="2158"/>
      <c r="R5" s="602" t="s">
        <v>249</v>
      </c>
      <c r="S5" s="602" t="s">
        <v>438</v>
      </c>
      <c r="T5" s="1062"/>
      <c r="U5" s="1062"/>
    </row>
    <row r="6" spans="1:26" ht="30" customHeight="1" x14ac:dyDescent="0.35">
      <c r="A6" s="1135">
        <v>1</v>
      </c>
      <c r="B6" s="2477" t="s">
        <v>290</v>
      </c>
      <c r="C6" s="2477"/>
      <c r="D6" s="304">
        <v>908.2</v>
      </c>
      <c r="E6" s="636">
        <f>E15+E16</f>
        <v>73.83</v>
      </c>
      <c r="F6" s="305">
        <f>F15+F16+F17</f>
        <v>58.614350700000003</v>
      </c>
      <c r="G6" s="305">
        <f>G15+G16+G17</f>
        <v>86.014447599999997</v>
      </c>
      <c r="H6" s="306">
        <f>(G6-E6)/E6*100</f>
        <v>16.503382906677501</v>
      </c>
      <c r="I6" s="306">
        <f>(G6-F6)/F6*100</f>
        <v>46.746396697694706</v>
      </c>
      <c r="M6" s="372">
        <v>1</v>
      </c>
      <c r="N6" s="1179" t="s">
        <v>290</v>
      </c>
      <c r="O6" s="1185">
        <v>615.09889696200003</v>
      </c>
      <c r="P6" s="304">
        <v>908.2</v>
      </c>
      <c r="Q6" s="305">
        <f>Q15+Q16</f>
        <v>482.99999999999994</v>
      </c>
      <c r="R6" s="305">
        <f>R15+R16+R17</f>
        <v>234.29859418300001</v>
      </c>
      <c r="S6" s="305">
        <f>S15+S16+S17</f>
        <v>486.57014340000001</v>
      </c>
      <c r="T6" s="1160">
        <f>(S6-Q6)/Q6*100</f>
        <v>0.73916012422361566</v>
      </c>
      <c r="U6" s="1160">
        <f>(S6-R6)/R6*100</f>
        <v>107.67096153379482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</row>
    <row r="7" spans="1:26" ht="26.25" customHeight="1" x14ac:dyDescent="0.35">
      <c r="A7" s="1136">
        <v>2</v>
      </c>
      <c r="B7" s="2478" t="s">
        <v>291</v>
      </c>
      <c r="C7" s="2479"/>
      <c r="D7" s="307">
        <v>322.42</v>
      </c>
      <c r="E7" s="1129">
        <v>31.31</v>
      </c>
      <c r="F7" s="307">
        <f>F20+F21+F22+F23+F24+F25+F26</f>
        <v>26.06</v>
      </c>
      <c r="G7" s="307">
        <v>38.9</v>
      </c>
      <c r="H7" s="308">
        <f>(G7-E7)/E7*100</f>
        <v>24.241456403704888</v>
      </c>
      <c r="I7" s="308">
        <f>(G7-F7)/F7*100</f>
        <v>49.270913277052955</v>
      </c>
      <c r="M7" s="373">
        <v>2</v>
      </c>
      <c r="N7" s="1154" t="s">
        <v>291</v>
      </c>
      <c r="O7" s="1186">
        <v>275.33999999999997</v>
      </c>
      <c r="P7" s="307">
        <v>322.42</v>
      </c>
      <c r="Q7" s="307">
        <f>E7+'AUG-22'!Q7</f>
        <v>151.89000000000001</v>
      </c>
      <c r="R7" s="307">
        <f>R20+R21+R22+R23+R24+R25+R26</f>
        <v>125.6540586</v>
      </c>
      <c r="S7" s="307">
        <f>S20+S21+S22+S23+S24+S25+S26</f>
        <v>203.11890100000002</v>
      </c>
      <c r="T7" s="1161">
        <f>(S7-Q7)/Q7*100</f>
        <v>33.727632497201924</v>
      </c>
      <c r="U7" s="1161">
        <f>(S7-R7)/R7*100</f>
        <v>61.649295902647452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</row>
    <row r="8" spans="1:26" ht="32.25" customHeight="1" x14ac:dyDescent="0.35">
      <c r="A8" s="1137">
        <v>3</v>
      </c>
      <c r="B8" s="2376" t="s">
        <v>292</v>
      </c>
      <c r="C8" s="2378"/>
      <c r="D8" s="364">
        <v>96.78</v>
      </c>
      <c r="E8" s="636">
        <v>7.76</v>
      </c>
      <c r="F8" s="364">
        <f>F31+F32+F33+F34+F35+F36+F37</f>
        <v>5.1427561999999991</v>
      </c>
      <c r="G8" s="364">
        <f>G31+G32+G33+G34+G35+G36+G37</f>
        <v>8.3615614999999988</v>
      </c>
      <c r="H8" s="306">
        <f>(G8-E8)/E8*100</f>
        <v>7.7520811855669978</v>
      </c>
      <c r="I8" s="306">
        <f>(G8-F8)/F8*100</f>
        <v>62.589109318462341</v>
      </c>
      <c r="M8" s="374">
        <v>3</v>
      </c>
      <c r="N8" s="1155" t="s">
        <v>292</v>
      </c>
      <c r="O8" s="1187">
        <v>71.674099700000014</v>
      </c>
      <c r="P8" s="364">
        <v>96.78</v>
      </c>
      <c r="Q8" s="364">
        <f>E8+'AUG-22'!Q8</f>
        <v>37.089999999999996</v>
      </c>
      <c r="R8" s="364">
        <f>R31+R32+R33+R34+R35+R36+R37</f>
        <v>27.9449668</v>
      </c>
      <c r="S8" s="364">
        <f>S31+S32+S33+S34+S35+S36+S37</f>
        <v>55.061007699999998</v>
      </c>
      <c r="T8" s="1160">
        <f>(S8-Q8)/Q8*100</f>
        <v>48.452433809652206</v>
      </c>
      <c r="U8" s="1160">
        <f>(S8-R8)/R8*100</f>
        <v>97.033720218984115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</row>
    <row r="9" spans="1:26" ht="34.5" customHeight="1" x14ac:dyDescent="0.35">
      <c r="A9" s="1136">
        <v>4</v>
      </c>
      <c r="B9" s="2480" t="s">
        <v>293</v>
      </c>
      <c r="C9" s="2481"/>
      <c r="D9" s="307">
        <f>D39+D40+D41</f>
        <v>17.53</v>
      </c>
      <c r="E9" s="1129">
        <f>E39+E40+E41</f>
        <v>1.4601666666666666</v>
      </c>
      <c r="F9" s="307">
        <f>F39+F40+F41+F42+F43+F44</f>
        <v>0.32720840000000001</v>
      </c>
      <c r="G9" s="307">
        <f>G39+G40+G41+G42+G43+G44</f>
        <v>2.9474174999999998</v>
      </c>
      <c r="H9" s="306">
        <f>(G9-E9)/E9*100</f>
        <v>101.8548681657345</v>
      </c>
      <c r="I9" s="308">
        <f>(G9-F9)/F9*100</f>
        <v>800.77684435974129</v>
      </c>
      <c r="M9" s="373">
        <v>4</v>
      </c>
      <c r="N9" s="1156" t="s">
        <v>293</v>
      </c>
      <c r="O9" s="1185">
        <v>5.1459812999999999</v>
      </c>
      <c r="P9" s="307">
        <f>P39+P40+P41</f>
        <v>17.53</v>
      </c>
      <c r="Q9" s="307">
        <f>Q39+Q40+Q41</f>
        <v>8.7609999999999992</v>
      </c>
      <c r="R9" s="307">
        <f>R39+R40+R41+R42+R43+R44</f>
        <v>2.7126842999999998</v>
      </c>
      <c r="S9" s="307">
        <f>S39+S40+S41+S42+S43+S44</f>
        <v>7.3498645000000007</v>
      </c>
      <c r="T9" s="1160">
        <f>(S9-Q9)/Q9*100</f>
        <v>-16.10701403949319</v>
      </c>
      <c r="U9" s="1161">
        <f>(S9-R9)/R9*100</f>
        <v>170.94433731193865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</row>
    <row r="10" spans="1:26" ht="28.5" customHeight="1" x14ac:dyDescent="0.35">
      <c r="A10" s="1137">
        <v>5</v>
      </c>
      <c r="B10" s="2482" t="s">
        <v>294</v>
      </c>
      <c r="C10" s="2483"/>
      <c r="D10" s="321">
        <f>SUM(D6:D9)</f>
        <v>1344.93</v>
      </c>
      <c r="E10" s="321">
        <f>SUM(E6:E9)</f>
        <v>114.36016666666667</v>
      </c>
      <c r="F10" s="321">
        <f>SUM(F6:F9)</f>
        <v>90.144315300000002</v>
      </c>
      <c r="G10" s="321">
        <f>SUM(G6:G9)</f>
        <v>136.22342659999998</v>
      </c>
      <c r="H10" s="322">
        <f>(G10-E10)/E10*100</f>
        <v>19.117897927745801</v>
      </c>
      <c r="I10" s="322">
        <f>(G10-F10)/F10*100</f>
        <v>51.11704620158114</v>
      </c>
      <c r="M10" s="374">
        <v>5</v>
      </c>
      <c r="N10" s="1157" t="s">
        <v>294</v>
      </c>
      <c r="O10" s="1188">
        <f>SUM(O6:O9)</f>
        <v>967.25897796200002</v>
      </c>
      <c r="P10" s="321">
        <f>SUM(P6:P9)</f>
        <v>1344.93</v>
      </c>
      <c r="Q10" s="321">
        <f>SUM(Q6:Q9)</f>
        <v>680.74099999999999</v>
      </c>
      <c r="R10" s="321">
        <f>SUM(R6:R9)</f>
        <v>390.61030388299997</v>
      </c>
      <c r="S10" s="321">
        <f>SUM(S6:S9)</f>
        <v>752.09991660000003</v>
      </c>
      <c r="T10" s="1162">
        <f>(S10-Q10)/Q10*100</f>
        <v>10.482535442995214</v>
      </c>
      <c r="U10" s="1162">
        <f>(S10-R10)/R10*100</f>
        <v>92.544822582375488</v>
      </c>
      <c r="X10" s="12">
        <f>SUM(X6:X9)</f>
        <v>389.94179218299996</v>
      </c>
      <c r="Y10" s="12">
        <f>SUM(Y6:Y9)</f>
        <v>752.12112639999998</v>
      </c>
      <c r="Z10" s="12">
        <f>S10-Y10</f>
        <v>-2.1209799999951429E-2</v>
      </c>
    </row>
    <row r="11" spans="1:26" ht="6.75" customHeight="1" thickBot="1" x14ac:dyDescent="0.4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</row>
    <row r="12" spans="1:26" ht="27" customHeight="1" thickBot="1" x14ac:dyDescent="0.4">
      <c r="A12" s="1138">
        <v>6.3</v>
      </c>
      <c r="B12" s="2465" t="s">
        <v>250</v>
      </c>
      <c r="C12" s="2466"/>
      <c r="D12" s="1041">
        <f>D46+D47</f>
        <v>80.319999999999993</v>
      </c>
      <c r="E12" s="1042">
        <f>E46+E47</f>
        <v>6.93</v>
      </c>
      <c r="F12" s="1043">
        <f>F46+F47+F48</f>
        <v>1.3126600000000002</v>
      </c>
      <c r="G12" s="1043">
        <f>G46+G47+G48</f>
        <v>4.2093179999999997</v>
      </c>
      <c r="H12" s="1044">
        <f>(G12-E12)/E12*100</f>
        <v>-39.259480519480519</v>
      </c>
      <c r="I12" s="1045">
        <f>(G12-F12)/F12*100</f>
        <v>220.67085155333439</v>
      </c>
      <c r="M12" s="1040">
        <v>6.3</v>
      </c>
      <c r="N12" s="2324" t="s">
        <v>250</v>
      </c>
      <c r="O12" s="2325"/>
      <c r="P12" s="1041">
        <f>P46+P47</f>
        <v>80.319999999999993</v>
      </c>
      <c r="Q12" s="1042">
        <f>Q46+Q47</f>
        <v>35.39</v>
      </c>
      <c r="R12" s="1043">
        <f>R46+R47+R48</f>
        <v>5.1259579999999998</v>
      </c>
      <c r="S12" s="1043">
        <f>S46+S47+S48</f>
        <v>20.987020000000001</v>
      </c>
      <c r="T12" s="1163">
        <f>(S12-Q12)/Q12*100</f>
        <v>-40.697880757276067</v>
      </c>
      <c r="U12" s="1164">
        <f>(S12-R12)/R12*100</f>
        <v>309.42629650886727</v>
      </c>
    </row>
    <row r="13" spans="1:26" ht="17.649999999999999" x14ac:dyDescent="0.35">
      <c r="A13" s="1139"/>
      <c r="B13" s="2467" t="s">
        <v>229</v>
      </c>
      <c r="C13" s="2468"/>
      <c r="D13" s="2468"/>
      <c r="E13" s="2468"/>
      <c r="F13" s="2468"/>
      <c r="G13" s="2468"/>
      <c r="H13" s="2468"/>
      <c r="I13" s="2469"/>
      <c r="M13" s="376"/>
      <c r="N13" s="2058" t="s">
        <v>229</v>
      </c>
      <c r="O13" s="2059"/>
      <c r="P13" s="2059"/>
      <c r="Q13" s="2059"/>
      <c r="R13" s="2059"/>
      <c r="S13" s="2059"/>
      <c r="T13" s="2059"/>
      <c r="U13" s="2060"/>
    </row>
    <row r="14" spans="1:26" ht="15" x14ac:dyDescent="0.35">
      <c r="A14" s="2470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003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26" ht="15.4" x14ac:dyDescent="0.4">
      <c r="A15" s="2471"/>
      <c r="B15" s="2473" t="s">
        <v>16</v>
      </c>
      <c r="C15" s="2474"/>
      <c r="D15" s="1140">
        <f>'target FY 22-23'!K56</f>
        <v>21.180000000000003</v>
      </c>
      <c r="E15" s="307">
        <v>1.85</v>
      </c>
      <c r="F15" s="315">
        <v>0.102888752</v>
      </c>
      <c r="G15" s="315">
        <f>'actual fig'!L9/10000000</f>
        <v>1.0199491999999999</v>
      </c>
      <c r="H15" s="316">
        <f>(G15-E15)/E15*100</f>
        <v>-44.867610810810824</v>
      </c>
      <c r="I15" s="314">
        <f>(G15-F15)/F15*100</f>
        <v>891.31263639003021</v>
      </c>
      <c r="J15" s="1128">
        <f>373857/10000000</f>
        <v>3.7385700000000001E-2</v>
      </c>
      <c r="M15" s="2004"/>
      <c r="N15" s="2006" t="s">
        <v>16</v>
      </c>
      <c r="O15" s="2007"/>
      <c r="P15" s="333">
        <f>D15</f>
        <v>21.180000000000003</v>
      </c>
      <c r="Q15" s="307">
        <f>E15+'AUG-22'!Q15</f>
        <v>11.459999999999999</v>
      </c>
      <c r="R15" s="315">
        <f>F15+'AUG-22'!R15</f>
        <v>0.38540063499999999</v>
      </c>
      <c r="S15" s="315">
        <f>G15+'AUG-22'!S15</f>
        <v>5.3083567</v>
      </c>
      <c r="T15" s="316">
        <f>(S15-Q15)/Q15*100</f>
        <v>-53.679260907504357</v>
      </c>
      <c r="U15" s="314">
        <f>(S15-R15)/R15*100</f>
        <v>1277.3606522469795</v>
      </c>
    </row>
    <row r="16" spans="1:26" ht="15.4" x14ac:dyDescent="0.4">
      <c r="A16" s="2471"/>
      <c r="B16" s="2422" t="s">
        <v>15</v>
      </c>
      <c r="C16" s="1141" t="s">
        <v>166</v>
      </c>
      <c r="D16" s="2475">
        <f>'target FY 22-23'!L56</f>
        <v>887.02</v>
      </c>
      <c r="E16" s="2065">
        <v>71.98</v>
      </c>
      <c r="F16" s="315">
        <v>6.1709647999999999E-2</v>
      </c>
      <c r="G16" s="315">
        <f>'actual fig'!M9/10000000</f>
        <v>11.7188304</v>
      </c>
      <c r="H16" s="2154">
        <f>L16</f>
        <v>18.080714642956366</v>
      </c>
      <c r="I16" s="314">
        <f>(G16-F16)/F16*100</f>
        <v>18890.272639377232</v>
      </c>
      <c r="J16" s="12">
        <f>F16+F17</f>
        <v>58.511461947999997</v>
      </c>
      <c r="K16" s="12">
        <f>G16+G17</f>
        <v>84.994498399999998</v>
      </c>
      <c r="L16" s="172">
        <f>(K16-E16)/E16*100</f>
        <v>18.080714642956366</v>
      </c>
      <c r="M16" s="2004"/>
      <c r="N16" s="2071" t="s">
        <v>15</v>
      </c>
      <c r="O16" s="1189" t="s">
        <v>166</v>
      </c>
      <c r="P16" s="2166">
        <f>D16</f>
        <v>887.02</v>
      </c>
      <c r="Q16" s="2065">
        <f>E16+'AUG-22'!Q16:Q17</f>
        <v>471.53999999999996</v>
      </c>
      <c r="R16" s="315">
        <f>F16+'AUG-22'!R16</f>
        <v>0.27737604799999999</v>
      </c>
      <c r="S16" s="315">
        <f>G16+'AUG-22'!S16</f>
        <v>38.762616000000001</v>
      </c>
      <c r="T16" s="2154">
        <f>X16</f>
        <v>2.0617098655469306</v>
      </c>
      <c r="U16" s="314">
        <f>(S16-R16)/R16*100</f>
        <v>13874.752427073301</v>
      </c>
      <c r="W16" s="12">
        <f>S16+S17</f>
        <v>481.26178669999996</v>
      </c>
      <c r="X16" s="172">
        <f>(W16-Q16)/Q16*100</f>
        <v>2.0617098655469306</v>
      </c>
    </row>
    <row r="17" spans="1:24" ht="15.4" x14ac:dyDescent="0.4">
      <c r="A17" s="2472"/>
      <c r="B17" s="2422"/>
      <c r="C17" s="1141" t="s">
        <v>228</v>
      </c>
      <c r="D17" s="2476"/>
      <c r="E17" s="2066"/>
      <c r="F17" s="315">
        <v>58.4497523</v>
      </c>
      <c r="G17" s="315">
        <f>'actual fig'!N9/10000000</f>
        <v>73.275667999999996</v>
      </c>
      <c r="H17" s="2155"/>
      <c r="I17" s="314">
        <f>(G17-F17)/F17*100</f>
        <v>25.36523272828309</v>
      </c>
      <c r="J17" s="323">
        <f>114680295/10000000</f>
        <v>11.4680295</v>
      </c>
      <c r="M17" s="2005"/>
      <c r="N17" s="2071"/>
      <c r="O17" s="1189" t="s">
        <v>228</v>
      </c>
      <c r="P17" s="2064"/>
      <c r="Q17" s="2066"/>
      <c r="R17" s="315">
        <f>F17+'AUG-22'!R17</f>
        <v>233.6358175</v>
      </c>
      <c r="S17" s="315">
        <f>G17+'AUG-22'!S17</f>
        <v>442.49917069999998</v>
      </c>
      <c r="T17" s="2155"/>
      <c r="U17" s="314">
        <f>(S17-R17)/R17*100</f>
        <v>89.396974930866492</v>
      </c>
    </row>
    <row r="18" spans="1:24" ht="21.75" customHeight="1" x14ac:dyDescent="0.35">
      <c r="A18" s="2003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  <c r="M18" s="2003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4" ht="31.5" customHeight="1" x14ac:dyDescent="0.35">
      <c r="A19" s="2004"/>
      <c r="B19" s="1069" t="s">
        <v>230</v>
      </c>
      <c r="C19" s="1098" t="str">
        <f>F4</f>
        <v xml:space="preserve"> SEP-21</v>
      </c>
      <c r="D19" s="1098" t="str">
        <f>G4</f>
        <v xml:space="preserve"> SEP-22</v>
      </c>
      <c r="E19" s="1069" t="s">
        <v>681</v>
      </c>
      <c r="F19" s="1098" t="str">
        <f>F4</f>
        <v xml:space="preserve"> SEP-21</v>
      </c>
      <c r="G19" s="1098" t="str">
        <f>G4</f>
        <v xml:space="preserve"> SEP-22</v>
      </c>
      <c r="H19" s="1071" t="s">
        <v>682</v>
      </c>
      <c r="I19" s="1072" t="s">
        <v>681</v>
      </c>
      <c r="M19" s="2004"/>
      <c r="N19" s="1069" t="s">
        <v>230</v>
      </c>
      <c r="O19" s="1098" t="str">
        <f>R4</f>
        <v xml:space="preserve"> SEP-21</v>
      </c>
      <c r="P19" s="1098" t="str">
        <f>S4</f>
        <v xml:space="preserve"> SEP-22</v>
      </c>
      <c r="Q19" s="1069" t="s">
        <v>681</v>
      </c>
      <c r="R19" s="1098" t="str">
        <f>R4</f>
        <v xml:space="preserve"> SEP-21</v>
      </c>
      <c r="S19" s="1098" t="str">
        <f>S4</f>
        <v xml:space="preserve"> SEP-22</v>
      </c>
      <c r="T19" s="1071" t="s">
        <v>682</v>
      </c>
      <c r="U19" s="1072" t="s">
        <v>681</v>
      </c>
    </row>
    <row r="20" spans="1:24" ht="18.75" customHeight="1" x14ac:dyDescent="0.4">
      <c r="A20" s="2004"/>
      <c r="B20" s="1055" t="s">
        <v>231</v>
      </c>
      <c r="C20" s="85">
        <v>114328</v>
      </c>
      <c r="D20" s="303">
        <v>70433</v>
      </c>
      <c r="E20" s="314">
        <f>(D20-C20)/C20*100</f>
        <v>-38.393919249877548</v>
      </c>
      <c r="F20" s="315">
        <v>22.47</v>
      </c>
      <c r="G20" s="315">
        <v>14.99</v>
      </c>
      <c r="H20" s="1060">
        <f>G20/G7*100</f>
        <v>38.534704370179952</v>
      </c>
      <c r="I20" s="314">
        <f>(G20-F20)/F20*100</f>
        <v>-33.288829550511792</v>
      </c>
      <c r="M20" s="2004"/>
      <c r="N20" s="1055" t="s">
        <v>231</v>
      </c>
      <c r="O20" s="833">
        <f>'AUG-22'!O20+'SEP-2022'!C20</f>
        <v>558315</v>
      </c>
      <c r="P20" s="833">
        <f>'AUG-22'!P20+'SEP-2022'!D20</f>
        <v>594417</v>
      </c>
      <c r="Q20" s="314">
        <f>(P20-O20)/O20*100</f>
        <v>6.4662421751161974</v>
      </c>
      <c r="R20" s="315">
        <f>'AUG-22'!R20+'SEP-2022'!F20</f>
        <v>102.15</v>
      </c>
      <c r="S20" s="315">
        <v>105.43</v>
      </c>
      <c r="T20" s="1060">
        <f>S20/S7*100</f>
        <v>51.9055585083143</v>
      </c>
      <c r="U20" s="314">
        <f>(S20-R20)/R20*100</f>
        <v>3.2109642682329915</v>
      </c>
    </row>
    <row r="21" spans="1:24" ht="18.75" customHeight="1" x14ac:dyDescent="0.4">
      <c r="A21" s="2004"/>
      <c r="B21" s="1055" t="s">
        <v>232</v>
      </c>
      <c r="C21" s="303">
        <v>25155</v>
      </c>
      <c r="D21" s="303">
        <v>98461</v>
      </c>
      <c r="E21" s="314">
        <f>(D21-C21)/C21*100</f>
        <v>291.4172132776784</v>
      </c>
      <c r="F21" s="315">
        <v>1.63</v>
      </c>
      <c r="G21" s="315">
        <v>12.22</v>
      </c>
      <c r="H21" s="1060">
        <f>G21/G7*100</f>
        <v>31.413881748071979</v>
      </c>
      <c r="I21" s="314">
        <f>(G21-F21)/F21*100</f>
        <v>649.69325153374234</v>
      </c>
      <c r="M21" s="2004"/>
      <c r="N21" s="1055" t="s">
        <v>232</v>
      </c>
      <c r="O21" s="833">
        <f>'AUG-22'!O21+'SEP-2022'!C21</f>
        <v>49121</v>
      </c>
      <c r="P21" s="833">
        <f>'AUG-22'!P21+'SEP-2022'!D21</f>
        <v>507739</v>
      </c>
      <c r="Q21" s="314">
        <f>(P21-O21)/O21*100</f>
        <v>933.64955925164384</v>
      </c>
      <c r="R21" s="315">
        <f>'AUG-22'!R21+'SEP-2022'!F21</f>
        <v>4.0393875999999995</v>
      </c>
      <c r="S21" s="315">
        <f>'AUG-22'!S21+'SEP-2022'!G21</f>
        <v>44.367490199999992</v>
      </c>
      <c r="T21" s="1060">
        <f>S21/S7*100</f>
        <v>21.843112571783749</v>
      </c>
      <c r="U21" s="314">
        <f>(S21-R21)/R21*100</f>
        <v>998.37169871987521</v>
      </c>
    </row>
    <row r="22" spans="1:24" ht="18.75" customHeight="1" x14ac:dyDescent="0.4">
      <c r="A22" s="2004"/>
      <c r="B22" s="1055" t="s">
        <v>239</v>
      </c>
      <c r="C22" s="303">
        <v>10290</v>
      </c>
      <c r="D22" s="303">
        <v>78204</v>
      </c>
      <c r="E22" s="314">
        <f>(D22-C22)/C22*100</f>
        <v>660</v>
      </c>
      <c r="F22" s="315">
        <v>1.26</v>
      </c>
      <c r="G22" s="315">
        <v>9.52</v>
      </c>
      <c r="H22" s="1060">
        <f>G22/G7*100</f>
        <v>24.473007712082261</v>
      </c>
      <c r="I22" s="314">
        <f>(G22-F22)/F22*100</f>
        <v>655.55555555555554</v>
      </c>
      <c r="M22" s="2004"/>
      <c r="N22" s="1055" t="s">
        <v>239</v>
      </c>
      <c r="O22" s="833">
        <f>'AUG-22'!O22+'SEP-2022'!C22</f>
        <v>124891</v>
      </c>
      <c r="P22" s="833">
        <f>'AUG-22'!P22+'SEP-2022'!D22</f>
        <v>398551</v>
      </c>
      <c r="Q22" s="314">
        <f>(P22-O22)/O22*100</f>
        <v>219.1190718306363</v>
      </c>
      <c r="R22" s="315">
        <f>'AUG-22'!R22+'SEP-2022'!F22</f>
        <v>14.091676600000001</v>
      </c>
      <c r="S22" s="315">
        <v>47.83</v>
      </c>
      <c r="T22" s="1060">
        <f>S22/S7*100</f>
        <v>23.547783965215523</v>
      </c>
      <c r="U22" s="314">
        <f>(S22-R22)/R22*100</f>
        <v>239.42022200537866</v>
      </c>
    </row>
    <row r="23" spans="1:24" ht="18.75" customHeight="1" x14ac:dyDescent="0.4">
      <c r="A23" s="2004"/>
      <c r="B23" s="1055" t="s">
        <v>233</v>
      </c>
      <c r="C23" s="303">
        <v>21349</v>
      </c>
      <c r="D23" s="303">
        <v>29957</v>
      </c>
      <c r="E23" s="314">
        <f>(D23-C23)/C23*100</f>
        <v>40.320389713803927</v>
      </c>
      <c r="F23" s="315">
        <v>0.7</v>
      </c>
      <c r="G23" s="315">
        <v>1.01</v>
      </c>
      <c r="H23" s="1060">
        <f>G23/G7*100</f>
        <v>2.5964010282776351</v>
      </c>
      <c r="I23" s="314">
        <f>(G23-F23)/F23*100</f>
        <v>44.285714285714292</v>
      </c>
      <c r="M23" s="2004"/>
      <c r="N23" s="1055" t="s">
        <v>233</v>
      </c>
      <c r="O23" s="833">
        <f>'AUG-22'!O23+'SEP-2022'!C23</f>
        <v>154439</v>
      </c>
      <c r="P23" s="833">
        <f>'AUG-22'!P23+'SEP-2022'!D23</f>
        <v>147255</v>
      </c>
      <c r="Q23" s="314">
        <f>(P23-O23)/O23*100</f>
        <v>-4.6516747712689153</v>
      </c>
      <c r="R23" s="315">
        <f>'AUG-22'!R23+'SEP-2022'!F23</f>
        <v>5.0574482000000005</v>
      </c>
      <c r="S23" s="315">
        <f>'AUG-22'!S23+'SEP-2022'!G23</f>
        <v>5.1590007999999994</v>
      </c>
      <c r="T23" s="1060">
        <f>S23/S7*100</f>
        <v>2.5398920408692045</v>
      </c>
      <c r="U23" s="314">
        <f>(S23-R23)/R23*100</f>
        <v>2.0079810209425153</v>
      </c>
    </row>
    <row r="24" spans="1:24" ht="18.75" customHeight="1" x14ac:dyDescent="0.4">
      <c r="A24" s="2004"/>
      <c r="B24" s="1055" t="s">
        <v>739</v>
      </c>
      <c r="C24" s="303">
        <v>0</v>
      </c>
      <c r="D24" s="303">
        <v>0</v>
      </c>
      <c r="E24" s="836">
        <v>0</v>
      </c>
      <c r="F24" s="315">
        <v>0</v>
      </c>
      <c r="G24" s="315">
        <v>0</v>
      </c>
      <c r="H24" s="1060">
        <f>G24/G7*100</f>
        <v>0</v>
      </c>
      <c r="I24" s="314">
        <v>0</v>
      </c>
      <c r="M24" s="2004"/>
      <c r="N24" s="1055" t="s">
        <v>739</v>
      </c>
      <c r="O24" s="833">
        <f>'AUG-22'!O24+'SEP-2022'!C24</f>
        <v>0</v>
      </c>
      <c r="P24" s="833">
        <f>'AUG-22'!P24+'SEP-2022'!D24</f>
        <v>2661</v>
      </c>
      <c r="Q24" s="836">
        <v>0</v>
      </c>
      <c r="R24" s="315">
        <f>'AUG-22'!R24+'SEP-2022'!F24</f>
        <v>0</v>
      </c>
      <c r="S24" s="315">
        <f>'AUG-22'!S24+'SEP-2022'!G24</f>
        <v>4.1799999999999997E-2</v>
      </c>
      <c r="T24" s="1060">
        <f>S24/S7*100</f>
        <v>2.057907944273487E-2</v>
      </c>
      <c r="U24" s="314">
        <v>0</v>
      </c>
    </row>
    <row r="25" spans="1:24" ht="18.75" customHeight="1" x14ac:dyDescent="0.4">
      <c r="A25" s="2004"/>
      <c r="B25" s="1055" t="s">
        <v>235</v>
      </c>
      <c r="C25" s="303">
        <v>0</v>
      </c>
      <c r="D25" s="303">
        <v>1380</v>
      </c>
      <c r="E25" s="836">
        <v>0</v>
      </c>
      <c r="F25" s="315">
        <v>0</v>
      </c>
      <c r="G25" s="404">
        <v>6.8900000000000003E-2</v>
      </c>
      <c r="H25" s="1060">
        <f>G25/G7*100</f>
        <v>0.17712082262210799</v>
      </c>
      <c r="I25" s="314">
        <v>0</v>
      </c>
      <c r="M25" s="2004"/>
      <c r="N25" s="1055" t="s">
        <v>235</v>
      </c>
      <c r="O25" s="833">
        <f>'AUG-22'!O25+'SEP-2022'!C25</f>
        <v>1377</v>
      </c>
      <c r="P25" s="833">
        <f>'AUG-22'!P25+'SEP-2022'!D25</f>
        <v>1380</v>
      </c>
      <c r="Q25" s="836">
        <v>0</v>
      </c>
      <c r="R25" s="315">
        <f>'AUG-22'!R25+'SEP-2022'!F25</f>
        <v>0.04</v>
      </c>
      <c r="S25" s="315">
        <f>'AUG-22'!S25+'SEP-2022'!G25</f>
        <v>6.8900000000000003E-2</v>
      </c>
      <c r="T25" s="1060">
        <f>S25/S7*100</f>
        <v>3.3921018507283081E-2</v>
      </c>
      <c r="U25" s="314">
        <v>0</v>
      </c>
    </row>
    <row r="26" spans="1:24" ht="27" customHeight="1" x14ac:dyDescent="0.4">
      <c r="A26" s="2005"/>
      <c r="B26" s="1056" t="s">
        <v>693</v>
      </c>
      <c r="C26" s="1059">
        <v>0</v>
      </c>
      <c r="D26" s="1059">
        <v>0</v>
      </c>
      <c r="E26" s="836">
        <v>0</v>
      </c>
      <c r="F26" s="315">
        <v>0</v>
      </c>
      <c r="G26" s="404">
        <v>2.554E-2</v>
      </c>
      <c r="H26" s="1060">
        <f>G26/G7*100</f>
        <v>6.5655526992287924E-2</v>
      </c>
      <c r="I26" s="314" t="e">
        <f>(G26-F26)/F26*100</f>
        <v>#DIV/0!</v>
      </c>
      <c r="M26" s="2005"/>
      <c r="N26" s="1056" t="s">
        <v>693</v>
      </c>
      <c r="O26" s="833">
        <f>'AUG-22'!O26+'SEP-2022'!C26</f>
        <v>1450</v>
      </c>
      <c r="P26" s="833">
        <f>'AUG-22'!P26+'SEP-2022'!D26</f>
        <v>0</v>
      </c>
      <c r="Q26" s="836">
        <v>0</v>
      </c>
      <c r="R26" s="315">
        <f>'AUG-22'!R26+'SEP-2022'!F26</f>
        <v>0.27554620000000002</v>
      </c>
      <c r="S26" s="315">
        <f>'AUG-22'!S26+'SEP-2022'!G26</f>
        <v>0.22171000000000002</v>
      </c>
      <c r="T26" s="1060">
        <f>S26/S7*100</f>
        <v>0.10915281586719495</v>
      </c>
      <c r="U26" s="314">
        <f>(S26-R26)/R26*100</f>
        <v>-19.537993991570197</v>
      </c>
    </row>
    <row r="27" spans="1:24" s="26" customFormat="1" ht="19.5" customHeight="1" x14ac:dyDescent="0.4">
      <c r="A27" s="1053"/>
      <c r="B27" s="1063" t="s">
        <v>683</v>
      </c>
      <c r="C27" s="1063">
        <f>SUM(C20:C26)</f>
        <v>171122</v>
      </c>
      <c r="D27" s="1063">
        <f>SUM(D20:D26)</f>
        <v>278435</v>
      </c>
      <c r="E27" s="394">
        <f>(D27-C27)/C27*100</f>
        <v>62.71139888500602</v>
      </c>
      <c r="F27" s="1054">
        <f>SUM(F20:F26)</f>
        <v>26.06</v>
      </c>
      <c r="G27" s="1054">
        <f>G20+G21+G22+G23+G24+G25+G26</f>
        <v>37.834440000000001</v>
      </c>
      <c r="H27" s="1066">
        <f>SUM(H20:H26)</f>
        <v>97.260771208226245</v>
      </c>
      <c r="I27" s="394">
        <f>(G27-F27)/F27*100</f>
        <v>45.182041442824264</v>
      </c>
      <c r="J27" s="762"/>
      <c r="K27" s="762"/>
      <c r="L27" s="432"/>
      <c r="M27" s="1053"/>
      <c r="N27" s="1063" t="s">
        <v>683</v>
      </c>
      <c r="O27" s="1063">
        <f>SUM(O20:O26)</f>
        <v>889593</v>
      </c>
      <c r="P27" s="1063">
        <f>SUM(P20:P26)</f>
        <v>1652003</v>
      </c>
      <c r="Q27" s="394">
        <f>(P27-O27)/O27*100</f>
        <v>85.703237323135411</v>
      </c>
      <c r="R27" s="1054">
        <f>SUM(R20:R26)</f>
        <v>125.6540586</v>
      </c>
      <c r="S27" s="1054">
        <f>SUM(S20:S26)</f>
        <v>203.11890100000002</v>
      </c>
      <c r="T27" s="1066">
        <f>SUM(T20:T26)</f>
        <v>99.999999999999986</v>
      </c>
      <c r="U27" s="394">
        <f>(S27-R27)/R27*100</f>
        <v>61.649295902647452</v>
      </c>
      <c r="X27" s="432"/>
    </row>
    <row r="28" spans="1:24" ht="13.9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6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4" ht="24" hidden="1" customHeight="1" x14ac:dyDescent="0.35">
      <c r="A29" s="1064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1064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4" ht="15" x14ac:dyDescent="0.35">
      <c r="A30" s="2014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2014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4" ht="15.4" x14ac:dyDescent="0.4">
      <c r="A31" s="2015"/>
      <c r="B31" s="2006" t="s">
        <v>2</v>
      </c>
      <c r="C31" s="2007"/>
      <c r="D31" s="331">
        <v>12.05</v>
      </c>
      <c r="E31" s="315">
        <v>0.75</v>
      </c>
      <c r="F31" s="313">
        <v>0.56586069999999999</v>
      </c>
      <c r="G31" s="313">
        <f>'actual fig'!U9/10000000</f>
        <v>1.9427920000000001</v>
      </c>
      <c r="H31" s="314">
        <f>(G31-E31)/E31*100</f>
        <v>159.03893333333335</v>
      </c>
      <c r="I31" s="314">
        <f t="shared" ref="I31:I37" si="0">(G31-F31)/F31*100</f>
        <v>243.33396894323994</v>
      </c>
      <c r="J31" s="84">
        <f>2661720/10000000</f>
        <v>0.26617200000000002</v>
      </c>
      <c r="K31" s="84">
        <f>11596205/10000000</f>
        <v>1.1596204999999999</v>
      </c>
      <c r="M31" s="2015"/>
      <c r="N31" s="2006" t="s">
        <v>2</v>
      </c>
      <c r="O31" s="2007"/>
      <c r="P31" s="331">
        <v>12.05</v>
      </c>
      <c r="Q31" s="315">
        <f>E31+'AUG-22'!Q31</f>
        <v>5.85</v>
      </c>
      <c r="R31" s="315">
        <f>F31+'AUG-22'!R31</f>
        <v>2.1165756</v>
      </c>
      <c r="S31" s="315">
        <f>G31+'AUG-22'!S31</f>
        <v>12.036421500000001</v>
      </c>
      <c r="T31" s="314">
        <f>(S31-Q31)/Q31*100</f>
        <v>105.75079487179491</v>
      </c>
      <c r="U31" s="314">
        <f t="shared" ref="U31:U37" si="1">(S31-R31)/R31*100</f>
        <v>468.67430107386679</v>
      </c>
    </row>
    <row r="32" spans="1:24" ht="15.4" x14ac:dyDescent="0.4">
      <c r="A32" s="2015"/>
      <c r="B32" s="2006" t="s">
        <v>23</v>
      </c>
      <c r="C32" s="2007"/>
      <c r="D32" s="331">
        <v>27.75</v>
      </c>
      <c r="E32" s="315">
        <v>2.62</v>
      </c>
      <c r="F32" s="313">
        <v>2.4216750999999999</v>
      </c>
      <c r="G32" s="313">
        <f>'actual fig'!V9/10000000</f>
        <v>2.7555812</v>
      </c>
      <c r="H32" s="314">
        <f>(G32-E32)/E32*100</f>
        <v>5.1748549618320556</v>
      </c>
      <c r="I32" s="314">
        <f t="shared" si="0"/>
        <v>13.788228652142481</v>
      </c>
      <c r="J32" s="1128">
        <f>0.42-0.02</f>
        <v>0.39999999999999997</v>
      </c>
      <c r="K32" s="84">
        <f>0.58-0.12</f>
        <v>0.45999999999999996</v>
      </c>
      <c r="M32" s="2015"/>
      <c r="N32" s="2006" t="s">
        <v>23</v>
      </c>
      <c r="O32" s="2007"/>
      <c r="P32" s="331">
        <v>27.75</v>
      </c>
      <c r="Q32" s="315">
        <v>13.04</v>
      </c>
      <c r="R32" s="315">
        <f>F32+'AUG-22'!R32</f>
        <v>12.0446008</v>
      </c>
      <c r="S32" s="315">
        <f>G32+'AUG-22'!S32</f>
        <v>15.437062299999999</v>
      </c>
      <c r="T32" s="314">
        <f>(S32-Q32)/Q32*100</f>
        <v>18.382379601226994</v>
      </c>
      <c r="U32" s="314">
        <f t="shared" si="1"/>
        <v>28.165827629588186</v>
      </c>
    </row>
    <row r="33" spans="1:24" ht="15.4" x14ac:dyDescent="0.4">
      <c r="A33" s="2015"/>
      <c r="B33" s="2006" t="s">
        <v>1</v>
      </c>
      <c r="C33" s="2007"/>
      <c r="D33" s="331">
        <v>5.77</v>
      </c>
      <c r="E33" s="315">
        <v>0.52</v>
      </c>
      <c r="F33" s="313">
        <v>0.10306800000000001</v>
      </c>
      <c r="G33" s="313">
        <f>'actual fig'!W9/10000000</f>
        <v>7.9577300000000004E-2</v>
      </c>
      <c r="H33" s="314">
        <f>(G33-E33)/E33*100</f>
        <v>-84.696673076923076</v>
      </c>
      <c r="I33" s="314">
        <f t="shared" si="0"/>
        <v>-22.791458066519194</v>
      </c>
      <c r="M33" s="2015"/>
      <c r="N33" s="2006" t="s">
        <v>1</v>
      </c>
      <c r="O33" s="2007"/>
      <c r="P33" s="331">
        <v>5.77</v>
      </c>
      <c r="Q33" s="315">
        <v>3</v>
      </c>
      <c r="R33" s="315">
        <f>F33+'AUG-22'!R33</f>
        <v>0.58542020000000006</v>
      </c>
      <c r="S33" s="315">
        <f>G33+'AUG-22'!S33</f>
        <v>0.57152389999999997</v>
      </c>
      <c r="T33" s="314">
        <f>(S33-Q33)/Q33*100</f>
        <v>-80.949203333333344</v>
      </c>
      <c r="U33" s="314">
        <f t="shared" si="1"/>
        <v>-2.3737308688699299</v>
      </c>
    </row>
    <row r="34" spans="1:24" ht="15.4" x14ac:dyDescent="0.4">
      <c r="A34" s="2015"/>
      <c r="B34" s="2006" t="s">
        <v>24</v>
      </c>
      <c r="C34" s="2007"/>
      <c r="D34" s="603" t="s">
        <v>221</v>
      </c>
      <c r="E34" s="315"/>
      <c r="F34" s="313">
        <v>2.5111999999999999E-2</v>
      </c>
      <c r="G34" s="313">
        <f>'actual fig'!Y9/10000000</f>
        <v>0.23116800000000001</v>
      </c>
      <c r="H34" s="316" t="s">
        <v>221</v>
      </c>
      <c r="I34" s="314">
        <f t="shared" si="0"/>
        <v>820.54794520547955</v>
      </c>
      <c r="J34" s="84">
        <f>62410/10000000</f>
        <v>6.241E-3</v>
      </c>
      <c r="M34" s="2015"/>
      <c r="N34" s="2006" t="s">
        <v>24</v>
      </c>
      <c r="O34" s="2007"/>
      <c r="P34" s="603" t="s">
        <v>221</v>
      </c>
      <c r="Q34" s="315"/>
      <c r="R34" s="315">
        <f>F34+'AUG-22'!R34</f>
        <v>0.115007</v>
      </c>
      <c r="S34" s="315">
        <f>G34+'AUG-22'!S34</f>
        <v>1.5572519999999999</v>
      </c>
      <c r="T34" s="316" t="s">
        <v>221</v>
      </c>
      <c r="U34" s="314">
        <f t="shared" si="1"/>
        <v>1254.0497534932656</v>
      </c>
    </row>
    <row r="35" spans="1:24" ht="15.4" x14ac:dyDescent="0.4">
      <c r="A35" s="2015"/>
      <c r="B35" s="2017" t="s">
        <v>25</v>
      </c>
      <c r="C35" s="2030"/>
      <c r="D35" s="603" t="s">
        <v>221</v>
      </c>
      <c r="E35" s="315"/>
      <c r="F35" s="313">
        <v>1.0898E-2</v>
      </c>
      <c r="G35" s="313">
        <v>0</v>
      </c>
      <c r="H35" s="316" t="s">
        <v>221</v>
      </c>
      <c r="I35" s="314">
        <f t="shared" si="0"/>
        <v>-100</v>
      </c>
      <c r="M35" s="2015"/>
      <c r="N35" s="2017" t="s">
        <v>25</v>
      </c>
      <c r="O35" s="2030"/>
      <c r="P35" s="603" t="s">
        <v>221</v>
      </c>
      <c r="Q35" s="315"/>
      <c r="R35" s="315">
        <f>F35+'AUG-22'!R35</f>
        <v>0.69912439999999998</v>
      </c>
      <c r="S35" s="315">
        <f>G35+'AUG-22'!S35</f>
        <v>4.5529582999999993</v>
      </c>
      <c r="T35" s="316" t="s">
        <v>221</v>
      </c>
      <c r="U35" s="314">
        <f t="shared" si="1"/>
        <v>551.23721901281078</v>
      </c>
    </row>
    <row r="36" spans="1:24" ht="17.25" x14ac:dyDescent="0.6">
      <c r="A36" s="2016"/>
      <c r="B36" s="2017" t="s">
        <v>241</v>
      </c>
      <c r="C36" s="2030"/>
      <c r="D36" s="540" t="s">
        <v>221</v>
      </c>
      <c r="E36" s="316"/>
      <c r="F36" s="313">
        <v>1.9631273</v>
      </c>
      <c r="G36" s="1181">
        <f>'actual fig'!T9/10000000</f>
        <v>3.2844408999999999</v>
      </c>
      <c r="H36" s="316" t="s">
        <v>221</v>
      </c>
      <c r="I36" s="314">
        <f t="shared" si="0"/>
        <v>67.30656743452144</v>
      </c>
      <c r="J36" s="323">
        <f>(3613355)/10000000</f>
        <v>0.36133549999999998</v>
      </c>
      <c r="K36" s="323">
        <f>(20880+ 10612529)/10000000</f>
        <v>1.0633409</v>
      </c>
      <c r="M36" s="2016"/>
      <c r="N36" s="2017" t="s">
        <v>241</v>
      </c>
      <c r="O36" s="2030"/>
      <c r="P36" s="540" t="s">
        <v>221</v>
      </c>
      <c r="Q36" s="316"/>
      <c r="R36" s="315">
        <f>F36+'AUG-22'!R36</f>
        <v>12.118206199999999</v>
      </c>
      <c r="S36" s="315">
        <f>G36+'AUG-22'!S36</f>
        <v>20.4644409</v>
      </c>
      <c r="T36" s="316" t="s">
        <v>221</v>
      </c>
      <c r="U36" s="314">
        <f t="shared" si="1"/>
        <v>68.873516114951073</v>
      </c>
    </row>
    <row r="37" spans="1:24" x14ac:dyDescent="0.4">
      <c r="A37" s="403"/>
      <c r="B37" s="2006" t="s">
        <v>260</v>
      </c>
      <c r="C37" s="2019"/>
      <c r="D37" s="540" t="s">
        <v>221</v>
      </c>
      <c r="E37" s="316"/>
      <c r="F37" s="313">
        <v>5.3015100000000003E-2</v>
      </c>
      <c r="G37" s="313">
        <f>'actual fig'!Z9/10000000</f>
        <v>6.8002099999999996E-2</v>
      </c>
      <c r="H37" s="413"/>
      <c r="I37" s="314">
        <f t="shared" si="0"/>
        <v>28.269304405725904</v>
      </c>
      <c r="M37" s="403"/>
      <c r="N37" s="2006" t="s">
        <v>260</v>
      </c>
      <c r="O37" s="2019"/>
      <c r="P37" s="540" t="s">
        <v>221</v>
      </c>
      <c r="Q37" s="316"/>
      <c r="R37" s="315">
        <f>F37+'AUG-22'!R37</f>
        <v>0.26603259999999995</v>
      </c>
      <c r="S37" s="315">
        <f>G37+'AUG-22'!S37</f>
        <v>0.44134880000000004</v>
      </c>
      <c r="T37" s="413"/>
      <c r="U37" s="314">
        <f t="shared" si="1"/>
        <v>65.900269365483823</v>
      </c>
    </row>
    <row r="38" spans="1:24" ht="15" x14ac:dyDescent="0.35">
      <c r="A38" s="2020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  <c r="M38" s="2020">
        <v>4</v>
      </c>
      <c r="N38" s="2309" t="s">
        <v>622</v>
      </c>
      <c r="O38" s="2310"/>
      <c r="P38" s="2310"/>
      <c r="Q38" s="2310"/>
      <c r="R38" s="2310"/>
      <c r="S38" s="2310"/>
      <c r="T38" s="2310"/>
      <c r="U38" s="2311"/>
    </row>
    <row r="39" spans="1:24" ht="15.4" x14ac:dyDescent="0.4">
      <c r="A39" s="2020"/>
      <c r="B39" s="2006" t="s">
        <v>27</v>
      </c>
      <c r="C39" s="2007"/>
      <c r="D39" s="331">
        <v>12.24</v>
      </c>
      <c r="E39" s="315">
        <v>1.02</v>
      </c>
      <c r="F39" s="313">
        <v>0.1284081</v>
      </c>
      <c r="G39" s="313">
        <f>'actual fig'!T25/10000000</f>
        <v>1.7060818</v>
      </c>
      <c r="H39" s="314">
        <f>(G39-E39)/E39*100</f>
        <v>67.262921568627448</v>
      </c>
      <c r="I39" s="314">
        <f t="shared" ref="I39:I44" si="2">(G39-F39)/F39*100</f>
        <v>1228.6403272067728</v>
      </c>
      <c r="M39" s="2020"/>
      <c r="N39" s="2006" t="s">
        <v>27</v>
      </c>
      <c r="O39" s="2007"/>
      <c r="P39" s="331">
        <v>12.24</v>
      </c>
      <c r="Q39" s="315">
        <f>'APRIL-22'!E39+'MAY-22'!E39+'JUNE-22'!E39+'JULY 22'!E39+'AUG-22'!E39+'SEP-2022'!E39</f>
        <v>6.1199999999999992</v>
      </c>
      <c r="R39" s="315">
        <f>F39+'AUG-22'!R39</f>
        <v>1.6084080999999999</v>
      </c>
      <c r="S39" s="315">
        <f>G39+'AUG-22'!S39</f>
        <v>5.0989288000000004</v>
      </c>
      <c r="T39" s="314">
        <f>(S39-Q39)/Q39*100</f>
        <v>-16.684169934640504</v>
      </c>
      <c r="U39" s="314">
        <f t="shared" ref="U39:U44" si="3">(S39-R39)/R39*100</f>
        <v>217.01710529808952</v>
      </c>
      <c r="W39" s="5">
        <f>P39/12</f>
        <v>1.02</v>
      </c>
      <c r="X39" s="172">
        <f>W39*4</f>
        <v>4.08</v>
      </c>
    </row>
    <row r="40" spans="1:24" ht="15.4" x14ac:dyDescent="0.4">
      <c r="A40" s="2020"/>
      <c r="B40" s="2006" t="s">
        <v>28</v>
      </c>
      <c r="C40" s="2007"/>
      <c r="D40" s="333">
        <v>2.84</v>
      </c>
      <c r="E40" s="315">
        <v>0.23599999999999999</v>
      </c>
      <c r="F40" s="381">
        <v>2.6559699999999999E-2</v>
      </c>
      <c r="G40" s="381">
        <f>'actual fig'!U25/10000000</f>
        <v>0.3620062</v>
      </c>
      <c r="H40" s="314">
        <f>(G40-E40)/E40*100</f>
        <v>53.392457627118652</v>
      </c>
      <c r="I40" s="314">
        <f t="shared" si="2"/>
        <v>1262.9905458269484</v>
      </c>
      <c r="M40" s="2020"/>
      <c r="N40" s="2006" t="s">
        <v>28</v>
      </c>
      <c r="O40" s="2007"/>
      <c r="P40" s="333">
        <v>2.84</v>
      </c>
      <c r="Q40" s="315">
        <f>'APRIL-22'!E40+'MAY-22'!E40+'JUNE-22'!E40+'JULY 22'!E40+'AUG-22'!E40+'SEP-2022'!E40</f>
        <v>1.4159999999999999</v>
      </c>
      <c r="R40" s="315">
        <f>F40+'AUG-22'!R40</f>
        <v>5.19376E-2</v>
      </c>
      <c r="S40" s="315">
        <f>G40+'AUG-22'!S40</f>
        <v>0.5520062</v>
      </c>
      <c r="T40" s="314">
        <f>(S40-Q40)/Q40*100</f>
        <v>-61.016511299435031</v>
      </c>
      <c r="U40" s="314">
        <f t="shared" si="3"/>
        <v>962.82577554603984</v>
      </c>
      <c r="W40" s="5">
        <f>P40/12</f>
        <v>0.23666666666666666</v>
      </c>
      <c r="X40" s="172">
        <f>W40*4</f>
        <v>0.94666666666666666</v>
      </c>
    </row>
    <row r="41" spans="1:24" ht="15.4" x14ac:dyDescent="0.4">
      <c r="A41" s="2020"/>
      <c r="B41" s="378" t="s">
        <v>224</v>
      </c>
      <c r="C41" s="379"/>
      <c r="D41" s="331">
        <v>2.4500000000000002</v>
      </c>
      <c r="E41" s="323">
        <v>0.20416666666666669</v>
      </c>
      <c r="F41" s="381">
        <v>0.148177</v>
      </c>
      <c r="G41" s="313">
        <f>'actual fig'!V25/10000000</f>
        <v>0.4819407</v>
      </c>
      <c r="H41" s="314">
        <f>(G41-E41)/E41*100</f>
        <v>136.052587755102</v>
      </c>
      <c r="I41" s="314">
        <f t="shared" si="2"/>
        <v>225.24663071866752</v>
      </c>
      <c r="M41" s="2020"/>
      <c r="N41" s="378" t="s">
        <v>224</v>
      </c>
      <c r="O41" s="379"/>
      <c r="P41" s="331">
        <v>2.4500000000000002</v>
      </c>
      <c r="Q41" s="315">
        <f>'APRIL-22'!E41+'MAY-22'!E41+'JUNE-22'!E41+'JULY 22'!E41+'AUG-22'!E41+'SEP-2022'!E41</f>
        <v>1.2250000000000001</v>
      </c>
      <c r="R41" s="315">
        <f>F41+'AUG-22'!R41</f>
        <v>0.15901880000000002</v>
      </c>
      <c r="S41" s="315">
        <f>G41+'AUG-22'!S41</f>
        <v>0.68194069999999996</v>
      </c>
      <c r="T41" s="314">
        <f>(S41-Q41)/Q41*100</f>
        <v>-44.331371428571437</v>
      </c>
      <c r="U41" s="314">
        <f t="shared" si="3"/>
        <v>328.84281606954642</v>
      </c>
      <c r="W41" s="5">
        <f>P41/12</f>
        <v>0.20416666666666669</v>
      </c>
      <c r="X41" s="172">
        <f>W41*4</f>
        <v>0.81666666666666676</v>
      </c>
    </row>
    <row r="42" spans="1:24" ht="15.4" x14ac:dyDescent="0.4">
      <c r="A42" s="2020"/>
      <c r="B42" s="2006" t="s">
        <v>64</v>
      </c>
      <c r="C42" s="2007"/>
      <c r="D42" s="540" t="s">
        <v>221</v>
      </c>
      <c r="E42" s="315"/>
      <c r="F42" s="314">
        <v>0</v>
      </c>
      <c r="G42" s="313">
        <v>0</v>
      </c>
      <c r="H42" s="314" t="s">
        <v>221</v>
      </c>
      <c r="I42" s="314" t="e">
        <f t="shared" si="2"/>
        <v>#DIV/0!</v>
      </c>
      <c r="M42" s="2020"/>
      <c r="N42" s="2006" t="s">
        <v>64</v>
      </c>
      <c r="O42" s="2007"/>
      <c r="P42" s="540" t="s">
        <v>221</v>
      </c>
      <c r="Q42" s="315"/>
      <c r="R42" s="315">
        <f>F42+'AUG-22'!R42</f>
        <v>0</v>
      </c>
      <c r="S42" s="315">
        <f>G42+'AUG-22'!S42</f>
        <v>0</v>
      </c>
      <c r="T42" s="314" t="s">
        <v>221</v>
      </c>
      <c r="U42" s="314" t="e">
        <f t="shared" si="3"/>
        <v>#DIV/0!</v>
      </c>
    </row>
    <row r="43" spans="1:24" ht="15.4" x14ac:dyDescent="0.4">
      <c r="A43" s="2020"/>
      <c r="B43" s="2006" t="s">
        <v>4</v>
      </c>
      <c r="C43" s="2007"/>
      <c r="D43" s="540" t="s">
        <v>221</v>
      </c>
      <c r="E43" s="315"/>
      <c r="F43" s="314">
        <v>3.0529999999999999E-4</v>
      </c>
      <c r="G43" s="313">
        <f>'actual fig'!W25/10000000</f>
        <v>0.1800002</v>
      </c>
      <c r="H43" s="314" t="s">
        <v>221</v>
      </c>
      <c r="I43" s="314">
        <f t="shared" si="2"/>
        <v>58858.467081559116</v>
      </c>
      <c r="M43" s="2020"/>
      <c r="N43" s="2006" t="s">
        <v>4</v>
      </c>
      <c r="O43" s="2007"/>
      <c r="P43" s="540" t="s">
        <v>221</v>
      </c>
      <c r="Q43" s="315"/>
      <c r="R43" s="315">
        <f>F43+'AUG-22'!R43</f>
        <v>4.0018400000000003E-2</v>
      </c>
      <c r="S43" s="315">
        <f>G43+'AUG-22'!S43</f>
        <v>0.19960020000000001</v>
      </c>
      <c r="T43" s="314" t="s">
        <v>221</v>
      </c>
      <c r="U43" s="314">
        <f t="shared" si="3"/>
        <v>398.77106530995741</v>
      </c>
    </row>
    <row r="44" spans="1:24" x14ac:dyDescent="0.4">
      <c r="A44" s="373"/>
      <c r="B44" s="2006" t="s">
        <v>259</v>
      </c>
      <c r="C44" s="2019"/>
      <c r="D44" s="540" t="s">
        <v>221</v>
      </c>
      <c r="E44" s="315"/>
      <c r="F44" s="1039">
        <v>2.37583E-2</v>
      </c>
      <c r="G44" s="313">
        <f>'actual fig'!X25/10000000</f>
        <v>0.21738859999999999</v>
      </c>
      <c r="H44" s="407" t="s">
        <v>221</v>
      </c>
      <c r="I44" s="314">
        <f t="shared" si="2"/>
        <v>815.00065240358094</v>
      </c>
      <c r="M44" s="373"/>
      <c r="N44" s="2006" t="s">
        <v>259</v>
      </c>
      <c r="O44" s="2019"/>
      <c r="P44" s="540" t="s">
        <v>221</v>
      </c>
      <c r="Q44" s="315"/>
      <c r="R44" s="315">
        <f>F44+'AUG-22'!R44</f>
        <v>0.85330139999999999</v>
      </c>
      <c r="S44" s="315">
        <f>G44+'AUG-22'!S44</f>
        <v>0.81738859999999991</v>
      </c>
      <c r="T44" s="407" t="s">
        <v>221</v>
      </c>
      <c r="U44" s="314">
        <f t="shared" si="3"/>
        <v>-4.2086887470242136</v>
      </c>
    </row>
    <row r="45" spans="1:24" ht="15" x14ac:dyDescent="0.35">
      <c r="A45" s="2020"/>
      <c r="B45" s="2309" t="s">
        <v>419</v>
      </c>
      <c r="C45" s="2310"/>
      <c r="D45" s="2310"/>
      <c r="E45" s="2310"/>
      <c r="F45" s="2310"/>
      <c r="G45" s="2310"/>
      <c r="H45" s="2310"/>
      <c r="I45" s="2311"/>
      <c r="M45" s="2020"/>
      <c r="N45" s="2309" t="s">
        <v>419</v>
      </c>
      <c r="O45" s="2310"/>
      <c r="P45" s="2310"/>
      <c r="Q45" s="2310"/>
      <c r="R45" s="2310"/>
      <c r="S45" s="2310"/>
      <c r="T45" s="2310"/>
      <c r="U45" s="2311"/>
    </row>
    <row r="46" spans="1:24" ht="15.4" x14ac:dyDescent="0.4">
      <c r="A46" s="2020"/>
      <c r="B46" s="2006" t="s">
        <v>16</v>
      </c>
      <c r="C46" s="2007"/>
      <c r="D46" s="331">
        <v>37.090000000000003</v>
      </c>
      <c r="E46" s="315">
        <v>3.37</v>
      </c>
      <c r="F46" s="315">
        <v>0.25074099999999999</v>
      </c>
      <c r="G46" s="315">
        <f>'actual fig'!L25/1000000</f>
        <v>1.7565010000000001</v>
      </c>
      <c r="H46" s="316">
        <f>(G46-E46)/E46*100</f>
        <v>-47.878308605341246</v>
      </c>
      <c r="I46" s="314">
        <f>(G46-F46)/F46*100</f>
        <v>600.52404672550563</v>
      </c>
      <c r="J46" s="84">
        <f>94132</f>
        <v>94132</v>
      </c>
      <c r="L46" s="172">
        <f>K46/100000</f>
        <v>0</v>
      </c>
      <c r="M46" s="2020"/>
      <c r="N46" s="2006" t="s">
        <v>16</v>
      </c>
      <c r="O46" s="2007"/>
      <c r="P46" s="331">
        <v>37.090000000000003</v>
      </c>
      <c r="Q46" s="315">
        <f>E46+'AUG-22'!Q46</f>
        <v>16.560000000000002</v>
      </c>
      <c r="R46" s="315">
        <f>F46+'AUG-22'!R46</f>
        <v>0.93494599999999994</v>
      </c>
      <c r="S46" s="315">
        <f>G46+'AUG-22'!S46</f>
        <v>8.5818030000000007</v>
      </c>
      <c r="T46" s="316">
        <f>(S46-Q46)/Q46*100</f>
        <v>-48.177518115942028</v>
      </c>
      <c r="U46" s="314">
        <f>(S46-R46)/R46*100</f>
        <v>817.89290504478345</v>
      </c>
    </row>
    <row r="47" spans="1:24" ht="15.4" x14ac:dyDescent="0.4">
      <c r="A47" s="2020"/>
      <c r="B47" s="2069" t="s">
        <v>15</v>
      </c>
      <c r="C47" s="320" t="s">
        <v>166</v>
      </c>
      <c r="D47" s="2067">
        <v>43.23</v>
      </c>
      <c r="E47" s="2154">
        <v>3.56</v>
      </c>
      <c r="F47" s="315">
        <v>5.2392000000000001E-2</v>
      </c>
      <c r="G47" s="315">
        <f>'actual fig'!M25/1000000</f>
        <v>1.380501</v>
      </c>
      <c r="H47" s="2027">
        <f>L47</f>
        <v>-31.100646067415731</v>
      </c>
      <c r="I47" s="314">
        <f>(G47-F47)/F47*100</f>
        <v>2534.9461749885477</v>
      </c>
      <c r="J47" s="84">
        <v>31105</v>
      </c>
      <c r="K47" s="323">
        <f>G47+G48</f>
        <v>2.452817</v>
      </c>
      <c r="L47" s="1151">
        <f>(K47-E47)/E47*100</f>
        <v>-31.100646067415731</v>
      </c>
      <c r="M47" s="2020"/>
      <c r="N47" s="2069" t="s">
        <v>15</v>
      </c>
      <c r="O47" s="320" t="s">
        <v>166</v>
      </c>
      <c r="P47" s="2067">
        <v>43.23</v>
      </c>
      <c r="Q47" s="2154">
        <f>E47+'AUG-22'!Q47:Q48</f>
        <v>18.829999999999998</v>
      </c>
      <c r="R47" s="315">
        <f>F47+'AUG-22'!R47</f>
        <v>0.27518099999999995</v>
      </c>
      <c r="S47" s="315">
        <f>G47+'AUG-22'!S47</f>
        <v>5.7935049999999997</v>
      </c>
      <c r="T47" s="2027">
        <f>X47</f>
        <v>-34.119930961232072</v>
      </c>
      <c r="U47" s="314">
        <f>(S47-R47)/R47*100</f>
        <v>2005.3433921673375</v>
      </c>
      <c r="W47" s="12">
        <f>S47+S48</f>
        <v>12.405217</v>
      </c>
      <c r="X47" s="172">
        <f>(W47-Q47)/Q47*100</f>
        <v>-34.119930961232072</v>
      </c>
    </row>
    <row r="48" spans="1:24" ht="16.5" x14ac:dyDescent="0.55000000000000004">
      <c r="A48" s="2020"/>
      <c r="B48" s="2070"/>
      <c r="C48" s="320" t="s">
        <v>228</v>
      </c>
      <c r="D48" s="2068"/>
      <c r="E48" s="2155"/>
      <c r="F48" s="315">
        <v>1.0095270000000001</v>
      </c>
      <c r="G48" s="315">
        <f>'actual fig'!N25/1000000</f>
        <v>1.072316</v>
      </c>
      <c r="H48" s="2029"/>
      <c r="I48" s="314">
        <f>(G48-F48)/F48*100</f>
        <v>6.2196454379130008</v>
      </c>
      <c r="J48" s="755">
        <v>205039</v>
      </c>
      <c r="K48" s="755"/>
      <c r="M48" s="2020"/>
      <c r="N48" s="2070"/>
      <c r="O48" s="320" t="s">
        <v>228</v>
      </c>
      <c r="P48" s="2068"/>
      <c r="Q48" s="2155"/>
      <c r="R48" s="315">
        <f>F48+'AUG-22'!R48</f>
        <v>3.9158309999999998</v>
      </c>
      <c r="S48" s="315">
        <f>G48+'AUG-22'!S48</f>
        <v>6.6117119999999998</v>
      </c>
      <c r="T48" s="2029"/>
      <c r="U48" s="314">
        <f>(S48-R48)/R48*100</f>
        <v>68.845693289623583</v>
      </c>
    </row>
    <row r="49" spans="1:22" ht="15.75" customHeight="1" x14ac:dyDescent="0.35">
      <c r="A49" s="2020">
        <v>6</v>
      </c>
      <c r="B49" s="2309" t="s">
        <v>738</v>
      </c>
      <c r="C49" s="2310"/>
      <c r="D49" s="2310"/>
      <c r="E49" s="2310"/>
      <c r="F49" s="2310"/>
      <c r="G49" s="2310"/>
      <c r="H49" s="2310"/>
      <c r="I49" s="2311"/>
      <c r="M49" s="2020">
        <v>6</v>
      </c>
      <c r="N49" s="2309" t="s">
        <v>762</v>
      </c>
      <c r="O49" s="2310"/>
      <c r="P49" s="2310"/>
      <c r="Q49" s="2310"/>
      <c r="R49" s="2310"/>
      <c r="S49" s="2310"/>
      <c r="T49" s="2310"/>
      <c r="U49" s="2311"/>
    </row>
    <row r="50" spans="1:22" ht="15.4" x14ac:dyDescent="0.4">
      <c r="A50" s="2020"/>
      <c r="B50" s="2006" t="s">
        <v>36</v>
      </c>
      <c r="C50" s="2007"/>
      <c r="D50" s="2368">
        <v>293</v>
      </c>
      <c r="E50" s="2024" t="s">
        <v>221</v>
      </c>
      <c r="F50" s="313">
        <v>188.18</v>
      </c>
      <c r="G50" s="313">
        <v>196.75</v>
      </c>
      <c r="H50" s="2027">
        <f>(G52-D50)/D50*100</f>
        <v>-18.86689419795222</v>
      </c>
      <c r="I50" s="314">
        <f>(G50-F50)/F50*100</f>
        <v>4.5541502816452288</v>
      </c>
      <c r="M50" s="2020"/>
      <c r="N50" s="2006" t="s">
        <v>36</v>
      </c>
      <c r="O50" s="2007"/>
      <c r="P50" s="2368">
        <v>293</v>
      </c>
      <c r="Q50" s="2024" t="s">
        <v>327</v>
      </c>
      <c r="R50" s="313">
        <v>188.18</v>
      </c>
      <c r="S50" s="313">
        <v>196.75</v>
      </c>
      <c r="T50" s="2027">
        <f>(S52-P50)/P50*100</f>
        <v>-18.86689419795222</v>
      </c>
      <c r="U50" s="314">
        <f>(S50-R50)/R50*100</f>
        <v>4.5541502816452288</v>
      </c>
    </row>
    <row r="51" spans="1:22" ht="15.4" x14ac:dyDescent="0.4">
      <c r="A51" s="2020"/>
      <c r="B51" s="2006" t="s">
        <v>37</v>
      </c>
      <c r="C51" s="2007"/>
      <c r="D51" s="2369"/>
      <c r="E51" s="2025"/>
      <c r="F51" s="313">
        <v>62.84</v>
      </c>
      <c r="G51" s="313">
        <v>40.97</v>
      </c>
      <c r="H51" s="2028"/>
      <c r="I51" s="314">
        <f>(G51-F51)/F51*100</f>
        <v>-34.802673456397201</v>
      </c>
      <c r="M51" s="2020"/>
      <c r="N51" s="2006" t="s">
        <v>37</v>
      </c>
      <c r="O51" s="2007"/>
      <c r="P51" s="2369"/>
      <c r="Q51" s="2025"/>
      <c r="R51" s="313">
        <v>62.84</v>
      </c>
      <c r="S51" s="313">
        <v>40.97</v>
      </c>
      <c r="T51" s="2028"/>
      <c r="U51" s="314">
        <f>(S51-R51)/R51*100</f>
        <v>-34.802673456397201</v>
      </c>
    </row>
    <row r="52" spans="1:22" ht="15.4" x14ac:dyDescent="0.4">
      <c r="A52" s="2020"/>
      <c r="B52" s="2006" t="s">
        <v>38</v>
      </c>
      <c r="C52" s="2007"/>
      <c r="D52" s="2245"/>
      <c r="E52" s="2026"/>
      <c r="F52" s="313">
        <f>SUM(F50:F51)</f>
        <v>251.02</v>
      </c>
      <c r="G52" s="313">
        <f>SUM(G50:G51)</f>
        <v>237.72</v>
      </c>
      <c r="H52" s="2029"/>
      <c r="I52" s="314">
        <f>(G52-F52)/F52*100</f>
        <v>-5.2983825989961</v>
      </c>
      <c r="M52" s="2020"/>
      <c r="N52" s="2006" t="s">
        <v>38</v>
      </c>
      <c r="O52" s="2007"/>
      <c r="P52" s="2245"/>
      <c r="Q52" s="2026"/>
      <c r="R52" s="313">
        <f>SUM(R50:R51)</f>
        <v>251.02</v>
      </c>
      <c r="S52" s="313">
        <f>SUM(S50:S51)</f>
        <v>237.72</v>
      </c>
      <c r="T52" s="2029"/>
      <c r="U52" s="314">
        <f>(S52-R52)/R52*100</f>
        <v>-5.2983825989961</v>
      </c>
    </row>
    <row r="53" spans="1:22" x14ac:dyDescent="0.35">
      <c r="H53" s="41"/>
      <c r="I53" s="41"/>
    </row>
    <row r="54" spans="1:22" x14ac:dyDescent="0.4">
      <c r="E54" s="12">
        <f>E32+E33</f>
        <v>3.14</v>
      </c>
      <c r="F54" s="12">
        <f>F32+F33</f>
        <v>2.5247430999999998</v>
      </c>
      <c r="G54" s="12">
        <f>G32+G33</f>
        <v>2.8351584999999999</v>
      </c>
      <c r="H54" s="314">
        <f>(G54-E54)/E54*100</f>
        <v>-9.708328025477714</v>
      </c>
      <c r="I54" s="314">
        <f>(H54-F54)/F54*100</f>
        <v>-484.52736143640578</v>
      </c>
      <c r="J54" s="314">
        <f>(H54-G54)/G54*100</f>
        <v>-442.42628852946717</v>
      </c>
      <c r="L54" s="172">
        <v>3</v>
      </c>
      <c r="Q54" s="12">
        <f>Q32+Q33</f>
        <v>16.04</v>
      </c>
      <c r="R54" s="12">
        <f>R32+R33</f>
        <v>12.630020999999999</v>
      </c>
      <c r="S54" s="12">
        <f>S32+S33</f>
        <v>16.0085862</v>
      </c>
      <c r="T54" s="314">
        <f>(S54-Q54)/Q54*100</f>
        <v>-0.19584663341645431</v>
      </c>
      <c r="U54" s="314">
        <f>(S54-R54)/R54*100</f>
        <v>26.750273811896282</v>
      </c>
    </row>
    <row r="55" spans="1:22" x14ac:dyDescent="0.35">
      <c r="D55" s="84" t="s">
        <v>753</v>
      </c>
      <c r="E55" s="35" t="s">
        <v>195</v>
      </c>
      <c r="F55" s="5" t="s">
        <v>227</v>
      </c>
      <c r="H55" s="35"/>
      <c r="I55" s="5"/>
      <c r="J55" s="35" t="s">
        <v>713</v>
      </c>
      <c r="K55" s="5" t="s">
        <v>714</v>
      </c>
      <c r="L55" s="35" t="s">
        <v>195</v>
      </c>
      <c r="M55" s="5" t="s">
        <v>227</v>
      </c>
    </row>
    <row r="56" spans="1:22" x14ac:dyDescent="0.35">
      <c r="D56" s="84" t="s">
        <v>754</v>
      </c>
      <c r="O56" s="5" t="s">
        <v>713</v>
      </c>
      <c r="P56" s="5" t="s">
        <v>714</v>
      </c>
    </row>
    <row r="57" spans="1:22" x14ac:dyDescent="0.55000000000000004">
      <c r="D57" s="84" t="s">
        <v>152</v>
      </c>
      <c r="E57" s="35">
        <v>449543</v>
      </c>
      <c r="F57" s="35">
        <v>1362556</v>
      </c>
      <c r="H57" s="755">
        <v>6322328</v>
      </c>
      <c r="I57" s="755">
        <v>11425198</v>
      </c>
      <c r="J57" s="84">
        <v>2774545</v>
      </c>
      <c r="K57" s="84">
        <v>185495</v>
      </c>
      <c r="L57" s="172">
        <v>393848</v>
      </c>
      <c r="M57" s="5">
        <v>1577813.3</v>
      </c>
      <c r="O57" s="5">
        <f>J57+F57+M57</f>
        <v>5714914.2999999998</v>
      </c>
      <c r="P57" s="5">
        <f>K57+E57+L57</f>
        <v>1028886</v>
      </c>
      <c r="Q57" s="5">
        <f>P57/10000000</f>
        <v>0.1028886</v>
      </c>
      <c r="R57" s="5">
        <f>O57/10000000</f>
        <v>0.57149143000000002</v>
      </c>
      <c r="S57" s="5">
        <v>146.25</v>
      </c>
      <c r="T57" s="5">
        <v>158.24</v>
      </c>
    </row>
    <row r="58" spans="1:22" ht="17.25" thickBot="1" x14ac:dyDescent="0.4">
      <c r="D58" s="84" t="s">
        <v>755</v>
      </c>
      <c r="E58" s="35">
        <v>228200</v>
      </c>
      <c r="F58" s="35">
        <v>15183418</v>
      </c>
      <c r="H58" s="910">
        <v>6403782</v>
      </c>
      <c r="I58" s="824">
        <v>8826322</v>
      </c>
      <c r="J58" s="84">
        <v>32889811</v>
      </c>
      <c r="K58" s="84">
        <v>175725</v>
      </c>
      <c r="L58" s="172">
        <v>217071</v>
      </c>
      <c r="M58" s="5">
        <v>19955327</v>
      </c>
      <c r="O58" s="5">
        <f>J58+F58+M58</f>
        <v>68028556</v>
      </c>
      <c r="P58" s="5">
        <f>K58+E58+L58</f>
        <v>620996</v>
      </c>
      <c r="Q58" s="5">
        <f>P58/10000000</f>
        <v>6.2099599999999998E-2</v>
      </c>
      <c r="R58" s="5">
        <f>O58/10000000</f>
        <v>6.8028556</v>
      </c>
      <c r="S58" s="5">
        <v>5.13</v>
      </c>
      <c r="T58" s="5">
        <v>4.09</v>
      </c>
    </row>
    <row r="59" spans="1:22" x14ac:dyDescent="0.55000000000000004">
      <c r="D59" s="84" t="s">
        <v>756</v>
      </c>
      <c r="E59" s="755">
        <v>178411491</v>
      </c>
      <c r="F59" s="755">
        <v>256547988</v>
      </c>
      <c r="H59" s="11">
        <f>SUM(H57:H58)</f>
        <v>12726110</v>
      </c>
      <c r="I59" s="11">
        <f>SUM(I57:I58)</f>
        <v>20251520</v>
      </c>
      <c r="J59" s="755">
        <v>215079474</v>
      </c>
      <c r="K59" s="755">
        <v>195578812</v>
      </c>
      <c r="O59" s="5">
        <f>J59+F59</f>
        <v>471627462</v>
      </c>
      <c r="P59" s="5">
        <f>K59+E59</f>
        <v>373990303</v>
      </c>
      <c r="Q59" s="5">
        <f>P59/10000000</f>
        <v>37.3990303</v>
      </c>
      <c r="R59" s="5">
        <f>O59/10000000</f>
        <v>47.162746200000001</v>
      </c>
      <c r="S59" s="5">
        <f>S57-S58</f>
        <v>141.12</v>
      </c>
      <c r="T59" s="5">
        <f>T57-T58</f>
        <v>154.15</v>
      </c>
      <c r="U59" s="5">
        <f>S58*100000</f>
        <v>513000</v>
      </c>
      <c r="V59" s="5">
        <f>T58*100000</f>
        <v>409000</v>
      </c>
    </row>
    <row r="60" spans="1:22" x14ac:dyDescent="0.35">
      <c r="E60" s="1152">
        <f>SUM(E57:E59)</f>
        <v>179089234</v>
      </c>
      <c r="F60" s="1152">
        <f>SUM(F57:F59)</f>
        <v>273093962</v>
      </c>
      <c r="H60" s="11">
        <f>H59/10000000</f>
        <v>1.2726109999999999</v>
      </c>
      <c r="I60" s="11">
        <f>I59/10000000</f>
        <v>2.0251519999999998</v>
      </c>
      <c r="U60" s="5">
        <f>U59/10000000</f>
        <v>5.1299999999999998E-2</v>
      </c>
      <c r="V60" s="5">
        <f>V59/10000000</f>
        <v>4.0899999999999999E-2</v>
      </c>
    </row>
    <row r="61" spans="1:22" x14ac:dyDescent="0.4">
      <c r="T61" s="331">
        <v>12.24</v>
      </c>
      <c r="U61" s="5">
        <f>T61/12</f>
        <v>1.02</v>
      </c>
      <c r="V61" s="5">
        <f>U61*6</f>
        <v>6.12</v>
      </c>
    </row>
    <row r="62" spans="1:22" x14ac:dyDescent="0.4">
      <c r="D62" s="84" t="s">
        <v>152</v>
      </c>
      <c r="E62" s="35">
        <v>113376</v>
      </c>
      <c r="F62" s="35">
        <v>409502</v>
      </c>
      <c r="H62" s="11">
        <v>91100</v>
      </c>
      <c r="I62" s="82">
        <v>385190</v>
      </c>
      <c r="J62" s="84">
        <v>475377</v>
      </c>
      <c r="K62" s="84">
        <v>43801</v>
      </c>
      <c r="L62" s="172">
        <v>93564</v>
      </c>
      <c r="M62" s="5">
        <v>264916</v>
      </c>
      <c r="O62" s="5">
        <f>J62+F62+L62</f>
        <v>978443</v>
      </c>
      <c r="P62" s="5">
        <f>K62+E62+L62</f>
        <v>250741</v>
      </c>
      <c r="Q62" s="5">
        <f>P62/1000000</f>
        <v>0.25074099999999999</v>
      </c>
      <c r="R62" s="5">
        <f>O62/1000000</f>
        <v>0.97844299999999995</v>
      </c>
      <c r="T62" s="331">
        <v>2.84</v>
      </c>
      <c r="U62" s="5">
        <f>T62/12</f>
        <v>0.23666666666666666</v>
      </c>
      <c r="V62" s="5">
        <f>U62*6</f>
        <v>1.42</v>
      </c>
    </row>
    <row r="63" spans="1:22" x14ac:dyDescent="0.4">
      <c r="D63" s="84" t="s">
        <v>755</v>
      </c>
      <c r="E63" s="35">
        <v>25817</v>
      </c>
      <c r="F63" s="35">
        <v>185773</v>
      </c>
      <c r="I63" s="82">
        <v>91100</v>
      </c>
      <c r="J63" s="84">
        <v>373525</v>
      </c>
      <c r="K63" s="84">
        <v>9887</v>
      </c>
      <c r="L63" s="172">
        <v>16903</v>
      </c>
      <c r="M63" s="5">
        <v>215622</v>
      </c>
      <c r="O63" s="5">
        <f>J63+F63+L63</f>
        <v>576201</v>
      </c>
      <c r="P63" s="5">
        <f>K63+E63+L63</f>
        <v>52607</v>
      </c>
      <c r="Q63" s="5">
        <f>P63/1000000</f>
        <v>5.2607000000000001E-2</v>
      </c>
      <c r="R63" s="5">
        <f>O63/1000000</f>
        <v>0.57620099999999996</v>
      </c>
      <c r="T63" s="331">
        <v>2.4500000000000002</v>
      </c>
      <c r="U63" s="5">
        <f>T63/12</f>
        <v>0.20416666666666669</v>
      </c>
      <c r="V63" s="5">
        <f>U63*6</f>
        <v>1.2250000000000001</v>
      </c>
    </row>
    <row r="64" spans="1:22" x14ac:dyDescent="0.55000000000000004">
      <c r="D64" s="84" t="s">
        <v>756</v>
      </c>
      <c r="E64" s="755">
        <v>314129</v>
      </c>
      <c r="F64" s="755">
        <v>349767</v>
      </c>
      <c r="J64" s="755">
        <v>307487</v>
      </c>
      <c r="K64" s="755">
        <v>334111</v>
      </c>
      <c r="O64" s="5">
        <f>J64+F64</f>
        <v>657254</v>
      </c>
      <c r="P64" s="5">
        <f>K64+E64</f>
        <v>648240</v>
      </c>
      <c r="Q64" s="5">
        <f>P64/1000000</f>
        <v>0.64824000000000004</v>
      </c>
      <c r="R64" s="5">
        <f>O64/1000000</f>
        <v>0.657254</v>
      </c>
    </row>
    <row r="65" spans="5:9" x14ac:dyDescent="0.35">
      <c r="E65" s="1152">
        <f>SUM(E62:E64)</f>
        <v>453322</v>
      </c>
      <c r="F65" s="1152">
        <f>SUM(F62:F64)</f>
        <v>945042</v>
      </c>
    </row>
    <row r="66" spans="5:9" x14ac:dyDescent="0.35">
      <c r="H66" s="11">
        <v>74940</v>
      </c>
      <c r="I66" s="82">
        <v>312780</v>
      </c>
    </row>
    <row r="69" spans="5:9" x14ac:dyDescent="0.35">
      <c r="E69" s="35">
        <v>88.69</v>
      </c>
      <c r="F69" s="84">
        <v>91.89</v>
      </c>
      <c r="H69" s="11">
        <v>85080</v>
      </c>
      <c r="I69" s="82">
        <v>659110</v>
      </c>
    </row>
    <row r="70" spans="5:9" x14ac:dyDescent="0.35">
      <c r="E70" s="35">
        <v>2.99</v>
      </c>
      <c r="F70" s="84">
        <v>2.67</v>
      </c>
      <c r="H70" s="11">
        <f>H69/10000000</f>
        <v>8.5079999999999999E-3</v>
      </c>
      <c r="I70" s="11">
        <f>I69/10000000</f>
        <v>6.5910999999999997E-2</v>
      </c>
    </row>
    <row r="71" spans="5:9" x14ac:dyDescent="0.35">
      <c r="E71" s="35">
        <f>E69-E70</f>
        <v>85.7</v>
      </c>
      <c r="F71" s="35">
        <f>F69-F70</f>
        <v>89.22</v>
      </c>
      <c r="H71" s="12">
        <f>H70+F34</f>
        <v>3.3619999999999997E-2</v>
      </c>
      <c r="I71" s="12">
        <f>I70+G34</f>
        <v>0.29707899999999998</v>
      </c>
    </row>
    <row r="72" spans="5:9" x14ac:dyDescent="0.35">
      <c r="H72" s="11">
        <f>H62+H66+H69</f>
        <v>251120</v>
      </c>
      <c r="I72" s="11">
        <f>I62+I66+I69</f>
        <v>1357080</v>
      </c>
    </row>
    <row r="73" spans="5:9" x14ac:dyDescent="0.35">
      <c r="H73" s="13">
        <f>H72/10000000</f>
        <v>2.5111999999999999E-2</v>
      </c>
      <c r="I73" s="13">
        <f>I72/10000000</f>
        <v>0.135708</v>
      </c>
    </row>
  </sheetData>
  <mergeCells count="116">
    <mergeCell ref="B51:C51"/>
    <mergeCell ref="N51:O51"/>
    <mergeCell ref="B52:C52"/>
    <mergeCell ref="N52:O52"/>
    <mergeCell ref="A49:A52"/>
    <mergeCell ref="B49:I49"/>
    <mergeCell ref="M49:M52"/>
    <mergeCell ref="N49:U49"/>
    <mergeCell ref="B50:C50"/>
    <mergeCell ref="E50:E52"/>
    <mergeCell ref="H50:H52"/>
    <mergeCell ref="N50:O50"/>
    <mergeCell ref="Q50:Q52"/>
    <mergeCell ref="T50:T52"/>
    <mergeCell ref="P50:P52"/>
    <mergeCell ref="D50:D52"/>
    <mergeCell ref="E47:E48"/>
    <mergeCell ref="H47:H48"/>
    <mergeCell ref="N47:N48"/>
    <mergeCell ref="P47:P48"/>
    <mergeCell ref="Q47:Q48"/>
    <mergeCell ref="T47:T48"/>
    <mergeCell ref="B44:C44"/>
    <mergeCell ref="N44:O44"/>
    <mergeCell ref="A45:A48"/>
    <mergeCell ref="B45:I45"/>
    <mergeCell ref="M45:M48"/>
    <mergeCell ref="N45:U45"/>
    <mergeCell ref="B46:C46"/>
    <mergeCell ref="N46:O46"/>
    <mergeCell ref="B47:B48"/>
    <mergeCell ref="D47:D48"/>
    <mergeCell ref="A38:A43"/>
    <mergeCell ref="B38:I38"/>
    <mergeCell ref="M38:M43"/>
    <mergeCell ref="N38:U38"/>
    <mergeCell ref="B39:C39"/>
    <mergeCell ref="N39:O39"/>
    <mergeCell ref="B33:C33"/>
    <mergeCell ref="N33:O33"/>
    <mergeCell ref="B34:C34"/>
    <mergeCell ref="N34:O34"/>
    <mergeCell ref="B35:C35"/>
    <mergeCell ref="N35:O35"/>
    <mergeCell ref="B40:C40"/>
    <mergeCell ref="N40:O40"/>
    <mergeCell ref="B42:C42"/>
    <mergeCell ref="N42:O42"/>
    <mergeCell ref="B43:C43"/>
    <mergeCell ref="N43:O43"/>
    <mergeCell ref="B36:C36"/>
    <mergeCell ref="N36:O36"/>
    <mergeCell ref="B37:C37"/>
    <mergeCell ref="N37:O37"/>
    <mergeCell ref="R28:S28"/>
    <mergeCell ref="T28:U28"/>
    <mergeCell ref="A30:A36"/>
    <mergeCell ref="B30:I30"/>
    <mergeCell ref="M30:M36"/>
    <mergeCell ref="N30:U30"/>
    <mergeCell ref="B31:C31"/>
    <mergeCell ref="N31:O31"/>
    <mergeCell ref="B32:C32"/>
    <mergeCell ref="N32:O32"/>
    <mergeCell ref="B28:C29"/>
    <mergeCell ref="D28:E28"/>
    <mergeCell ref="F28:G28"/>
    <mergeCell ref="H28:I28"/>
    <mergeCell ref="N28:O29"/>
    <mergeCell ref="P28:Q28"/>
    <mergeCell ref="A18:A26"/>
    <mergeCell ref="C18:E18"/>
    <mergeCell ref="F18:G18"/>
    <mergeCell ref="M18:M26"/>
    <mergeCell ref="O18:Q18"/>
    <mergeCell ref="R18:U18"/>
    <mergeCell ref="B16:B17"/>
    <mergeCell ref="D16:D17"/>
    <mergeCell ref="E16:E17"/>
    <mergeCell ref="H16:H17"/>
    <mergeCell ref="N16:N17"/>
    <mergeCell ref="P16:P17"/>
    <mergeCell ref="B12:C12"/>
    <mergeCell ref="N12:O12"/>
    <mergeCell ref="B13:I13"/>
    <mergeCell ref="N13:U13"/>
    <mergeCell ref="A14:A17"/>
    <mergeCell ref="B14:I14"/>
    <mergeCell ref="M14:M17"/>
    <mergeCell ref="N14:U14"/>
    <mergeCell ref="B15:C15"/>
    <mergeCell ref="N15:O15"/>
    <mergeCell ref="Q16:Q17"/>
    <mergeCell ref="T16:T17"/>
    <mergeCell ref="B9:C9"/>
    <mergeCell ref="B10:C10"/>
    <mergeCell ref="A11:I11"/>
    <mergeCell ref="M11:U11"/>
    <mergeCell ref="B6:C6"/>
    <mergeCell ref="B7:C7"/>
    <mergeCell ref="B8:C8"/>
    <mergeCell ref="P3:Q3"/>
    <mergeCell ref="R3:S3"/>
    <mergeCell ref="T3:U3"/>
    <mergeCell ref="D5:E5"/>
    <mergeCell ref="P5:Q5"/>
    <mergeCell ref="A1:I1"/>
    <mergeCell ref="M1:U1"/>
    <mergeCell ref="A2:I2"/>
    <mergeCell ref="M2:U2"/>
    <mergeCell ref="A3:A5"/>
    <mergeCell ref="B3:C5"/>
    <mergeCell ref="D3:E3"/>
    <mergeCell ref="F3:G3"/>
    <mergeCell ref="H3:I3"/>
    <mergeCell ref="M3:M5"/>
  </mergeCells>
  <pageMargins left="0.2" right="0.2" top="0.75" bottom="0.37" header="0.3" footer="0.3"/>
  <pageSetup paperSize="9" scale="30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8D176-1172-47B3-BFCF-2F4486B5BA37}">
  <sheetPr>
    <tabColor rgb="FFC00000"/>
    <pageSetUpPr fitToPage="1"/>
  </sheetPr>
  <dimension ref="A1:AO153"/>
  <sheetViews>
    <sheetView topLeftCell="A12" zoomScale="90" zoomScaleNormal="90" workbookViewId="0">
      <selection activeCell="AJ3" sqref="AJ3:AO10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9.265625" style="11" customWidth="1"/>
    <col min="9" max="9" width="10.1328125" style="82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0.86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0" width="10.265625" style="5" customWidth="1"/>
    <col min="21" max="21" width="10.59765625" style="5" customWidth="1"/>
    <col min="22" max="22" width="9.1328125" style="5"/>
    <col min="23" max="23" width="12.3984375" style="5" bestFit="1" customWidth="1"/>
    <col min="24" max="24" width="13.3984375" style="172" customWidth="1"/>
    <col min="25" max="25" width="11.265625" style="5" hidden="1" customWidth="1"/>
    <col min="26" max="26" width="10.265625" style="5" hidden="1" customWidth="1"/>
    <col min="27" max="27" width="10.59765625" style="5" hidden="1" customWidth="1"/>
    <col min="28" max="28" width="0" style="5" hidden="1" customWidth="1"/>
    <col min="29" max="29" width="37.3984375" style="5" hidden="1" customWidth="1"/>
    <col min="30" max="30" width="16.59765625" style="5" hidden="1" customWidth="1"/>
    <col min="31" max="31" width="16.86328125" style="5" hidden="1" customWidth="1"/>
    <col min="32" max="32" width="17.59765625" style="5" hidden="1" customWidth="1"/>
    <col min="33" max="33" width="16.3984375" style="5" hidden="1" customWidth="1"/>
    <col min="34" max="34" width="15.1328125" style="5" hidden="1" customWidth="1"/>
    <col min="35" max="35" width="9.1328125" style="5"/>
    <col min="36" max="36" width="36.3984375" style="5" bestFit="1" customWidth="1"/>
    <col min="37" max="37" width="10.59765625" style="5" hidden="1" customWidth="1"/>
    <col min="38" max="38" width="13.86328125" style="5" customWidth="1"/>
    <col min="39" max="39" width="13.265625" style="5" customWidth="1"/>
    <col min="40" max="40" width="11.73046875" style="5" hidden="1" customWidth="1"/>
    <col min="41" max="41" width="16.265625" style="5" customWidth="1"/>
    <col min="42" max="16384" width="9.1328125" style="5"/>
  </cols>
  <sheetData>
    <row r="1" spans="1:41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156" t="s">
        <v>961</v>
      </c>
      <c r="N1" s="2156"/>
      <c r="O1" s="2156"/>
      <c r="P1" s="2156"/>
      <c r="Q1" s="2156"/>
      <c r="R1" s="2156"/>
      <c r="S1" s="2156"/>
      <c r="T1" s="2156"/>
      <c r="U1" s="2156"/>
    </row>
    <row r="2" spans="1:41" s="301" customFormat="1" ht="18" thickBot="1" x14ac:dyDescent="0.4">
      <c r="A2" s="2495" t="s">
        <v>982</v>
      </c>
      <c r="B2" s="2496"/>
      <c r="C2" s="2496"/>
      <c r="D2" s="2496"/>
      <c r="E2" s="2496"/>
      <c r="F2" s="2496"/>
      <c r="G2" s="2496"/>
      <c r="H2" s="2496"/>
      <c r="I2" s="2497"/>
      <c r="J2" s="84"/>
      <c r="K2" s="84"/>
      <c r="L2" s="1149"/>
      <c r="M2" s="2346" t="s">
        <v>947</v>
      </c>
      <c r="N2" s="2347"/>
      <c r="O2" s="2347"/>
      <c r="P2" s="2347"/>
      <c r="Q2" s="2347"/>
      <c r="R2" s="2347"/>
      <c r="S2" s="2347"/>
      <c r="T2" s="2347"/>
      <c r="U2" s="2348"/>
      <c r="X2" s="1149"/>
      <c r="AC2" s="2326" t="s">
        <v>781</v>
      </c>
      <c r="AD2" s="2326"/>
      <c r="AE2" s="2326"/>
      <c r="AF2" s="2326"/>
      <c r="AG2" s="2326"/>
      <c r="AH2" s="2326"/>
    </row>
    <row r="3" spans="1:41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  <c r="AJ3" s="2341" t="s">
        <v>987</v>
      </c>
      <c r="AK3" s="2341"/>
      <c r="AL3" s="2341"/>
      <c r="AM3" s="2341"/>
      <c r="AN3" s="2341"/>
      <c r="AO3" s="2341"/>
    </row>
    <row r="4" spans="1:41" s="35" customFormat="1" ht="21.75" customHeight="1" x14ac:dyDescent="0.35">
      <c r="A4" s="2360"/>
      <c r="B4" s="2343"/>
      <c r="C4" s="1516" t="s">
        <v>666</v>
      </c>
      <c r="D4" s="1424" t="s">
        <v>879</v>
      </c>
      <c r="E4" s="1445">
        <f>G4</f>
        <v>45170</v>
      </c>
      <c r="F4" s="422">
        <v>44825</v>
      </c>
      <c r="G4" s="422">
        <v>45170</v>
      </c>
      <c r="H4" s="2335" t="s">
        <v>12</v>
      </c>
      <c r="I4" s="2335" t="s">
        <v>13</v>
      </c>
      <c r="J4" s="323"/>
      <c r="K4" s="323"/>
      <c r="L4" s="1574"/>
      <c r="M4" s="2358"/>
      <c r="N4" s="2343"/>
      <c r="O4" s="1183" t="s">
        <v>666</v>
      </c>
      <c r="P4" s="421" t="s">
        <v>9</v>
      </c>
      <c r="Q4" s="422">
        <f>E4</f>
        <v>45170</v>
      </c>
      <c r="R4" s="422">
        <f>F4</f>
        <v>44825</v>
      </c>
      <c r="S4" s="422">
        <f>G4</f>
        <v>45170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  <c r="AJ4" s="1313" t="s">
        <v>353</v>
      </c>
      <c r="AK4" s="1739" t="s">
        <v>988</v>
      </c>
      <c r="AL4" s="422">
        <v>44825</v>
      </c>
      <c r="AM4" s="422">
        <v>45170</v>
      </c>
      <c r="AN4" s="2331" t="s">
        <v>12</v>
      </c>
      <c r="AO4" s="2331" t="s">
        <v>13</v>
      </c>
    </row>
    <row r="5" spans="1:41" ht="18.75" hidden="1" customHeight="1" x14ac:dyDescent="0.5">
      <c r="A5" s="2361"/>
      <c r="B5" s="2344"/>
      <c r="C5" s="1517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  <c r="AJ5" s="1313"/>
      <c r="AK5" s="1313"/>
      <c r="AL5" s="1313"/>
      <c r="AM5" s="1313"/>
      <c r="AN5" s="2332"/>
      <c r="AO5" s="2332"/>
    </row>
    <row r="6" spans="1:41" ht="30" customHeight="1" x14ac:dyDescent="0.35">
      <c r="A6" s="1229">
        <v>1</v>
      </c>
      <c r="B6" s="1191" t="s">
        <v>290</v>
      </c>
      <c r="C6" s="1518">
        <v>1024.2159494</v>
      </c>
      <c r="D6" s="1425">
        <v>1063.73</v>
      </c>
      <c r="E6" s="1446">
        <f>E15+E16</f>
        <v>89.56</v>
      </c>
      <c r="F6" s="434">
        <f>F15+F16+F17</f>
        <v>86.014447599999997</v>
      </c>
      <c r="G6" s="434">
        <f>G15+G16+G17</f>
        <v>96.079728799999998</v>
      </c>
      <c r="H6" s="1313">
        <f>(G6-E6)/E6*100</f>
        <v>7.2797329164805662</v>
      </c>
      <c r="I6" s="517">
        <f>(G6-F6)/F6*100</f>
        <v>11.70184949254967</v>
      </c>
      <c r="M6" s="1203">
        <v>1</v>
      </c>
      <c r="N6" s="1179" t="s">
        <v>290</v>
      </c>
      <c r="O6" s="1185">
        <v>1024.2159494</v>
      </c>
      <c r="P6" s="1425">
        <v>1063.73</v>
      </c>
      <c r="Q6" s="1446">
        <f>Q15+Q16</f>
        <v>504.97</v>
      </c>
      <c r="R6" s="434">
        <f>R15+R16+R17</f>
        <v>486.57265760000001</v>
      </c>
      <c r="S6" s="434">
        <f>S15+S16+S17</f>
        <v>591.69975910000005</v>
      </c>
      <c r="T6" s="1313">
        <f>(S6-Q6)/Q6*100</f>
        <v>17.17523003346734</v>
      </c>
      <c r="U6" s="1313">
        <f>(S6-R6)/R6*100</f>
        <v>21.605632757610181</v>
      </c>
      <c r="V6" s="12">
        <f>(S6-P6)/P6*100</f>
        <v>-44.37500502007088</v>
      </c>
      <c r="W6" s="11">
        <f>(S6-P6)/P6*100</f>
        <v>-44.37500502007088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  <c r="AJ6" s="1313" t="s">
        <v>855</v>
      </c>
      <c r="AK6" s="1313">
        <f>Q6</f>
        <v>504.97</v>
      </c>
      <c r="AL6" s="1313">
        <f t="shared" ref="AL6:AM7" si="0">R6</f>
        <v>486.57265760000001</v>
      </c>
      <c r="AM6" s="1313">
        <f t="shared" si="0"/>
        <v>591.69975910000005</v>
      </c>
      <c r="AN6" s="1313">
        <f>(AM6-AK6)/AK6*100</f>
        <v>17.17523003346734</v>
      </c>
      <c r="AO6" s="1313">
        <f>(AM6-AL6)/AL6*100</f>
        <v>21.605632757610181</v>
      </c>
    </row>
    <row r="7" spans="1:41" ht="26.25" customHeight="1" x14ac:dyDescent="0.35">
      <c r="A7" s="1230">
        <v>2</v>
      </c>
      <c r="B7" s="1154" t="s">
        <v>291</v>
      </c>
      <c r="C7" s="1518">
        <v>403.10200000000003</v>
      </c>
      <c r="D7" s="1425">
        <v>485.81999999999994</v>
      </c>
      <c r="E7" s="1446">
        <f>'TARGET 23-24'!E13</f>
        <v>46.87</v>
      </c>
      <c r="F7" s="434">
        <f>F20+F21+F22+F23+F24+F25+F26</f>
        <v>38.909999999999997</v>
      </c>
      <c r="G7" s="434">
        <f>G20+G21+G22+G23+G24+G25+G26</f>
        <v>40.17</v>
      </c>
      <c r="H7" s="1313">
        <f>(G7-E7)/E7*100</f>
        <v>-14.294858118199267</v>
      </c>
      <c r="I7" s="517">
        <f>(G7-F7)/F7*100</f>
        <v>3.2382420971472765</v>
      </c>
      <c r="M7" s="1204">
        <v>2</v>
      </c>
      <c r="N7" s="1154" t="s">
        <v>291</v>
      </c>
      <c r="O7" s="1186">
        <v>403.10200000000003</v>
      </c>
      <c r="P7" s="1425">
        <v>485.81999999999994</v>
      </c>
      <c r="Q7" s="1446">
        <f>E7+'AUGUST -23'!Q7</f>
        <v>245.14000000000001</v>
      </c>
      <c r="R7" s="434">
        <f>R20+R21+R22+R23+R24+R25+R26</f>
        <v>203.12130659999997</v>
      </c>
      <c r="S7" s="434">
        <f>S20+S21+S22+S23+S24+S25+S26</f>
        <v>214.08</v>
      </c>
      <c r="T7" s="1313">
        <f>(S7-Q7)/Q7*100</f>
        <v>-12.670310842783717</v>
      </c>
      <c r="U7" s="1313">
        <f>(S7-R7)/R7*100</f>
        <v>5.3951471578413157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  <c r="AJ7" s="1313" t="s">
        <v>856</v>
      </c>
      <c r="AK7" s="1313">
        <f>Q7</f>
        <v>245.14000000000001</v>
      </c>
      <c r="AL7" s="1313">
        <f t="shared" si="0"/>
        <v>203.12130659999997</v>
      </c>
      <c r="AM7" s="1313">
        <f t="shared" si="0"/>
        <v>214.08</v>
      </c>
      <c r="AN7" s="1313">
        <f t="shared" ref="AN7" si="1">(AM7-AK7)/AK7*100</f>
        <v>-12.670310842783717</v>
      </c>
      <c r="AO7" s="1313">
        <f t="shared" ref="AO7" si="2">(AM7-AL7)/AL7*100</f>
        <v>5.3951471578413157</v>
      </c>
    </row>
    <row r="8" spans="1:41" ht="32.25" customHeight="1" x14ac:dyDescent="0.35">
      <c r="A8" s="1231">
        <v>3</v>
      </c>
      <c r="B8" s="1155" t="s">
        <v>292</v>
      </c>
      <c r="C8" s="1518">
        <v>106.68749520000001</v>
      </c>
      <c r="D8" s="1425">
        <v>150.59</v>
      </c>
      <c r="E8" s="1446">
        <f>'TARGET 23-24'!F13</f>
        <v>14.16</v>
      </c>
      <c r="F8" s="1314">
        <f>F31+F32+F33+F35+F36+F37+F38</f>
        <v>8.359192199999999</v>
      </c>
      <c r="G8" s="1314">
        <f>G31+G32+G33+G35+G36+G37+G38</f>
        <v>11.35073</v>
      </c>
      <c r="H8" s="1313">
        <f>(G8-E8)/E8*100</f>
        <v>-19.83947740112994</v>
      </c>
      <c r="I8" s="517">
        <f>(G8-F8)/F8*100</f>
        <v>35.787402998103119</v>
      </c>
      <c r="M8" s="1205">
        <v>3</v>
      </c>
      <c r="N8" s="1155" t="s">
        <v>292</v>
      </c>
      <c r="O8" s="1187">
        <v>106.68749520000001</v>
      </c>
      <c r="P8" s="1425">
        <v>150.59</v>
      </c>
      <c r="Q8" s="1446">
        <f>E8+'AUGUST -23'!Q8</f>
        <v>79.95</v>
      </c>
      <c r="R8" s="1314">
        <f>R31+R32+R33+R35+R36+R37+R38</f>
        <v>55.118325199999994</v>
      </c>
      <c r="S8" s="1314">
        <f>S31+S32+S33+S35+S36+S37+S38</f>
        <v>59.978937156000001</v>
      </c>
      <c r="T8" s="1313">
        <f>(S8-Q8)/Q8*100</f>
        <v>-24.979440705440904</v>
      </c>
      <c r="U8" s="1313">
        <f>(S8-R8)/R8*100</f>
        <v>8.8185044417859189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  <c r="AJ8" s="1313" t="str">
        <f>N31</f>
        <v>Ticket Checking</v>
      </c>
      <c r="AK8" s="1313">
        <f>Q31</f>
        <v>10.85</v>
      </c>
      <c r="AL8" s="1313">
        <f>R31</f>
        <v>12.08</v>
      </c>
      <c r="AM8" s="1313">
        <f>S31</f>
        <v>14.1730976</v>
      </c>
      <c r="AN8" s="1313">
        <f>(AM8-AK8)/AK8*100</f>
        <v>30.62762764976959</v>
      </c>
      <c r="AO8" s="1313">
        <f>(AM8-AL8)/AL8*100</f>
        <v>17.326966887417221</v>
      </c>
    </row>
    <row r="9" spans="1:41" ht="34.5" customHeight="1" x14ac:dyDescent="0.35">
      <c r="A9" s="1230">
        <v>4</v>
      </c>
      <c r="B9" s="1156" t="s">
        <v>293</v>
      </c>
      <c r="C9" s="1518">
        <v>17.701250099999996</v>
      </c>
      <c r="D9" s="1425">
        <f>D40+D41+D42</f>
        <v>19.149999999999999</v>
      </c>
      <c r="E9" s="1425">
        <v>1.595</v>
      </c>
      <c r="F9" s="434">
        <f>F40+F41+F42+F44+F45</f>
        <v>2.9474174999999998</v>
      </c>
      <c r="G9" s="434">
        <f>G40+G41+G42+G44+G45</f>
        <v>1.576794</v>
      </c>
      <c r="H9" s="1313">
        <f>(G9-E9)/E9*100</f>
        <v>-1.1414420062695889</v>
      </c>
      <c r="I9" s="517">
        <f>(G9-F9)/F9*100</f>
        <v>-46.50252297138087</v>
      </c>
      <c r="M9" s="1204">
        <v>4</v>
      </c>
      <c r="N9" s="1156" t="s">
        <v>293</v>
      </c>
      <c r="O9" s="1185">
        <v>17.701250099999996</v>
      </c>
      <c r="P9" s="1425">
        <f>P40+P41+P42</f>
        <v>19.149999999999999</v>
      </c>
      <c r="Q9" s="1425">
        <f>Q40+Q41+Q42</f>
        <v>9.57</v>
      </c>
      <c r="R9" s="434">
        <f>R40+R41+R42+R44+R45</f>
        <v>7.3710133999999989</v>
      </c>
      <c r="S9" s="434">
        <f>S40+S41+S42+S44+S45</f>
        <v>9.6161538000000011</v>
      </c>
      <c r="T9" s="1313">
        <f>(S9-Q9)/Q9*100</f>
        <v>0.48227586206897383</v>
      </c>
      <c r="U9" s="1313">
        <f>(S9-R9)/R9*100</f>
        <v>30.459046513197258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  <c r="AJ9" s="1313" t="s">
        <v>859</v>
      </c>
      <c r="AK9" s="1738">
        <f>Q10</f>
        <v>839.63000000000011</v>
      </c>
      <c r="AL9" s="1738">
        <f>R10</f>
        <v>752.18330279999998</v>
      </c>
      <c r="AM9" s="1738">
        <f>S10</f>
        <v>875.37485005600013</v>
      </c>
      <c r="AN9" s="1738">
        <f>(AM9-AK9)/AK9*100</f>
        <v>4.2572144940033123</v>
      </c>
      <c r="AO9" s="1738">
        <f>(AM9-AL9)/AL9*100</f>
        <v>16.377862523326428</v>
      </c>
    </row>
    <row r="10" spans="1:41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1719.29</v>
      </c>
      <c r="E10" s="1447">
        <f>E6+E7+E8+E9</f>
        <v>152.185</v>
      </c>
      <c r="F10" s="321">
        <f>SUM(F6:F9)</f>
        <v>136.2310573</v>
      </c>
      <c r="G10" s="321">
        <f>SUM(G6:G9)</f>
        <v>149.17725280000002</v>
      </c>
      <c r="H10" s="1162">
        <f>(G10-E10)/E10*100</f>
        <v>-1.9763755954923172</v>
      </c>
      <c r="I10" s="322">
        <f>(G10-F10)/F10*100</f>
        <v>9.5031160710223848</v>
      </c>
      <c r="M10" s="1205">
        <v>5</v>
      </c>
      <c r="N10" s="1157" t="s">
        <v>294</v>
      </c>
      <c r="O10" s="1185">
        <v>1551.7066947000001</v>
      </c>
      <c r="P10" s="321">
        <f t="shared" ref="P10" si="3">P6+P7+P8+P9</f>
        <v>1719.29</v>
      </c>
      <c r="Q10" s="321">
        <f>Q6+Q7+Q8+Q9</f>
        <v>839.63000000000011</v>
      </c>
      <c r="R10" s="321">
        <f>R6+R7+R8+R9</f>
        <v>752.18330279999998</v>
      </c>
      <c r="S10" s="321">
        <f>S6+S7+S8+S9</f>
        <v>875.37485005600013</v>
      </c>
      <c r="T10" s="1162">
        <f>(S10-Q10)/Q10*100</f>
        <v>4.2572144940033123</v>
      </c>
      <c r="U10" s="1162">
        <f>(S10-R10)/R10*100</f>
        <v>16.377862523326428</v>
      </c>
      <c r="V10" s="5">
        <v>973.99</v>
      </c>
      <c r="W10" s="12">
        <f>S10+'OCT-23'!K9</f>
        <v>1090.768893224182</v>
      </c>
      <c r="X10" s="12"/>
      <c r="Y10" s="12">
        <f>SUM(Y6:Y9)</f>
        <v>752.12112639999998</v>
      </c>
      <c r="Z10" s="12">
        <f>S10-Y10</f>
        <v>123.25372365600015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  <c r="AJ10" s="1737" t="s">
        <v>778</v>
      </c>
      <c r="AK10" s="1313">
        <f>Q12</f>
        <v>24.5</v>
      </c>
      <c r="AL10" s="1313">
        <f t="shared" ref="AL10:AM10" si="4">R12</f>
        <v>21.133841000000004</v>
      </c>
      <c r="AM10" s="1313">
        <f t="shared" si="4"/>
        <v>27.798912000000001</v>
      </c>
      <c r="AN10" s="1313">
        <f>(AM10-AK10)/AK10*100</f>
        <v>13.464946938775515</v>
      </c>
      <c r="AO10" s="1313">
        <f>(AM10-AL10)/AL10*100</f>
        <v>31.537433256926633</v>
      </c>
    </row>
    <row r="11" spans="1:41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</row>
    <row r="12" spans="1:41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312">
        <f>E47+E48</f>
        <v>4.8900000000000006</v>
      </c>
      <c r="F12" s="1294">
        <f>F47+F48+F49</f>
        <v>4.2093179999999997</v>
      </c>
      <c r="G12" s="1294">
        <f>G47+G48+G49</f>
        <v>4.6398349999999997</v>
      </c>
      <c r="H12" s="1534">
        <f>(G12-E12)/E12*100</f>
        <v>-5.1158486707566633</v>
      </c>
      <c r="I12" s="308">
        <f>(G12-F12)/F12*100</f>
        <v>10.227713848181583</v>
      </c>
      <c r="L12" s="1476"/>
      <c r="M12" s="1204">
        <v>6.3</v>
      </c>
      <c r="N12" s="1316" t="s">
        <v>814</v>
      </c>
      <c r="O12" s="1185">
        <v>47.027382000000003</v>
      </c>
      <c r="P12" s="332">
        <v>55.06</v>
      </c>
      <c r="Q12" s="307">
        <f>Q47+Q48</f>
        <v>24.5</v>
      </c>
      <c r="R12" s="1294">
        <f>R47+R48+R49</f>
        <v>21.133841000000004</v>
      </c>
      <c r="S12" s="1294">
        <f>S47+S48+S49</f>
        <v>27.798912000000001</v>
      </c>
      <c r="T12" s="1534">
        <f>(S12-Q12)/Q12*100</f>
        <v>13.464946938775515</v>
      </c>
      <c r="U12" s="1161">
        <f>(S12-R12)/R12*100</f>
        <v>31.537433256926633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</row>
    <row r="13" spans="1:41" s="1310" customFormat="1" ht="13.5" customHeight="1" x14ac:dyDescent="0.35">
      <c r="A13" s="1309"/>
      <c r="B13" s="2352" t="s">
        <v>229</v>
      </c>
      <c r="C13" s="2353"/>
      <c r="D13" s="2353"/>
      <c r="E13" s="2353"/>
      <c r="F13" s="2353"/>
      <c r="G13" s="2353"/>
      <c r="H13" s="2353"/>
      <c r="I13" s="2354"/>
      <c r="L13" s="1311"/>
      <c r="M13" s="1309"/>
      <c r="N13" s="2355" t="s">
        <v>229</v>
      </c>
      <c r="O13" s="2356"/>
      <c r="P13" s="2356"/>
      <c r="Q13" s="2356"/>
      <c r="R13" s="2356"/>
      <c r="S13" s="2356"/>
      <c r="T13" s="2356"/>
      <c r="U13" s="2357"/>
      <c r="X13" s="1311"/>
    </row>
    <row r="14" spans="1:41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2368">
        <v>1</v>
      </c>
      <c r="N14" s="2021" t="s">
        <v>278</v>
      </c>
      <c r="O14" s="2022"/>
      <c r="P14" s="2022"/>
      <c r="Q14" s="2022"/>
      <c r="R14" s="2022"/>
      <c r="S14" s="2022"/>
      <c r="T14" s="2022"/>
      <c r="U14" s="2023"/>
    </row>
    <row r="15" spans="1:41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f>'TARGET 23-24'!B13</f>
        <v>1.1100000000000001</v>
      </c>
      <c r="F15" s="315">
        <v>1.0199491999999999</v>
      </c>
      <c r="G15" s="315">
        <f>'ACTUAL- 23-24'!E8/10000000</f>
        <v>1.1621068000000001</v>
      </c>
      <c r="H15" s="316">
        <f>(G15-E15)/E15*100</f>
        <v>4.6943063063063066</v>
      </c>
      <c r="I15" s="314">
        <f>(G15-F15)/F15*100</f>
        <v>13.937713760646142</v>
      </c>
      <c r="J15" s="1128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12.6</v>
      </c>
      <c r="Q15" s="307">
        <f>E15+'AUGUST -23'!Q15</f>
        <v>5.8000000000000007</v>
      </c>
      <c r="R15" s="315">
        <f>F15+'AUGUST -23'!R15</f>
        <v>5.3091787000000004</v>
      </c>
      <c r="S15" s="315">
        <f>G15+'AUGUST -23'!S15</f>
        <v>7.1331023</v>
      </c>
      <c r="T15" s="316">
        <f>(S15-Q15)/Q15*100</f>
        <v>22.984522413793087</v>
      </c>
      <c r="U15" s="314">
        <f>(S15-R15)/R15*100</f>
        <v>34.354157263533047</v>
      </c>
      <c r="V15" s="5">
        <f>S15/153</f>
        <v>4.6621583660130722E-2</v>
      </c>
      <c r="Y15" s="12">
        <f>R16+R17</f>
        <v>481.2634789</v>
      </c>
      <c r="Z15" s="12">
        <f>S16+S17</f>
        <v>584.56665680000003</v>
      </c>
      <c r="AA15" s="5">
        <f>(Z15-Y15)/Y15*100</f>
        <v>21.46499421400414</v>
      </c>
    </row>
    <row r="16" spans="1:41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f>'TARGET 23-24'!C13</f>
        <v>88.45</v>
      </c>
      <c r="F16" s="315">
        <v>11.7188304</v>
      </c>
      <c r="G16" s="315">
        <f>'ACTUAL- 23-24'!F8/10000000</f>
        <v>15.3036523</v>
      </c>
      <c r="H16" s="2154">
        <f>L16</f>
        <v>7.3121786319954678</v>
      </c>
      <c r="I16" s="314">
        <f>(G16-F16)/F16*100</f>
        <v>30.590270339606583</v>
      </c>
      <c r="J16" s="323">
        <f>F16+F17</f>
        <v>84.994498399999998</v>
      </c>
      <c r="K16" s="323">
        <f>G16+G17</f>
        <v>94.917621999999994</v>
      </c>
      <c r="L16" s="1476">
        <f>(K16-E16)/E16*100</f>
        <v>7.3121786319954678</v>
      </c>
      <c r="M16" s="2369"/>
      <c r="N16" s="1281" t="s">
        <v>817</v>
      </c>
      <c r="O16" s="1282">
        <v>126.72018780000001</v>
      </c>
      <c r="P16" s="2379">
        <v>1051.1300000000001</v>
      </c>
      <c r="Q16" s="2065">
        <f>E16+'AUGUST -23'!Q16</f>
        <v>499.17</v>
      </c>
      <c r="R16" s="315">
        <f>F16+'AUGUST -23'!R16</f>
        <v>38.762616000000001</v>
      </c>
      <c r="S16" s="315">
        <f>G16+'AUGUST -23'!S16</f>
        <v>98.397535099999999</v>
      </c>
      <c r="T16" s="2154">
        <f>X16</f>
        <v>17.107730192118918</v>
      </c>
      <c r="U16" s="314">
        <f>(S16-R16)/R16*100</f>
        <v>153.84647697668288</v>
      </c>
      <c r="V16" s="5">
        <f t="shared" ref="V16:V17" si="5">S16/153</f>
        <v>0.64312114444444446</v>
      </c>
      <c r="W16" s="12">
        <f>S16+S17</f>
        <v>584.56665680000003</v>
      </c>
      <c r="X16" s="172">
        <f>(W16-Q16)/Q16*100</f>
        <v>17.107730192118918</v>
      </c>
    </row>
    <row r="17" spans="1:26" ht="15.4" x14ac:dyDescent="0.4">
      <c r="A17" s="2375"/>
      <c r="B17" s="320" t="s">
        <v>931</v>
      </c>
      <c r="C17" s="1519">
        <v>886.03548510000007</v>
      </c>
      <c r="D17" s="2380"/>
      <c r="E17" s="2066"/>
      <c r="F17" s="315">
        <v>73.275667999999996</v>
      </c>
      <c r="G17" s="315">
        <f>'ACTUAL- 23-24'!G8/10000000</f>
        <v>79.613969699999998</v>
      </c>
      <c r="H17" s="2155"/>
      <c r="I17" s="314">
        <f>(G17-F17)/F17*100</f>
        <v>8.6499405232307165</v>
      </c>
      <c r="J17" s="323">
        <f>114680295/10000000</f>
        <v>11.4680295</v>
      </c>
      <c r="L17" s="1476"/>
      <c r="M17" s="2245"/>
      <c r="N17" s="1606" t="s">
        <v>931</v>
      </c>
      <c r="O17" s="1282">
        <v>886.03548510000007</v>
      </c>
      <c r="P17" s="2380"/>
      <c r="Q17" s="2066"/>
      <c r="R17" s="315">
        <f>F17+'AUGUST -23'!R17</f>
        <v>442.50086290000002</v>
      </c>
      <c r="S17" s="315">
        <f>G17+'AUGUST -23'!S17</f>
        <v>486.16912170000001</v>
      </c>
      <c r="T17" s="2155"/>
      <c r="U17" s="314">
        <f>(S17-R17)/R17*100</f>
        <v>9.8685138179874023</v>
      </c>
      <c r="V17" s="5">
        <f t="shared" si="5"/>
        <v>3.1775759588235295</v>
      </c>
    </row>
    <row r="18" spans="1:26" x14ac:dyDescent="0.35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L18" s="1476"/>
      <c r="M18" s="2368">
        <v>2</v>
      </c>
      <c r="N18" s="1155" t="s">
        <v>678</v>
      </c>
      <c r="O18" s="2494" t="s">
        <v>680</v>
      </c>
      <c r="P18" s="2494"/>
      <c r="Q18" s="2494"/>
      <c r="R18" s="2370" t="s">
        <v>684</v>
      </c>
      <c r="S18" s="2371"/>
      <c r="T18" s="2371"/>
      <c r="U18" s="2372"/>
    </row>
    <row r="19" spans="1:26" x14ac:dyDescent="0.35">
      <c r="A19" s="1983"/>
      <c r="B19" s="1531" t="s">
        <v>230</v>
      </c>
      <c r="C19" s="1532">
        <f>F19</f>
        <v>44825</v>
      </c>
      <c r="D19" s="1532">
        <f>G19</f>
        <v>45170</v>
      </c>
      <c r="E19" s="1531" t="s">
        <v>681</v>
      </c>
      <c r="F19" s="1532">
        <f>F4</f>
        <v>44825</v>
      </c>
      <c r="G19" s="1532">
        <f>G4</f>
        <v>45170</v>
      </c>
      <c r="H19" s="1528" t="s">
        <v>682</v>
      </c>
      <c r="I19" s="1530" t="s">
        <v>681</v>
      </c>
      <c r="L19" s="1476"/>
      <c r="M19" s="2369"/>
      <c r="N19" s="1514" t="s">
        <v>230</v>
      </c>
      <c r="O19" s="1527">
        <f>R4</f>
        <v>44825</v>
      </c>
      <c r="P19" s="1527">
        <f>S4</f>
        <v>45170</v>
      </c>
      <c r="Q19" s="1514" t="s">
        <v>681</v>
      </c>
      <c r="R19" s="1527">
        <f>R4</f>
        <v>44825</v>
      </c>
      <c r="S19" s="1527">
        <f>S4</f>
        <v>45170</v>
      </c>
      <c r="T19" s="1528" t="s">
        <v>682</v>
      </c>
      <c r="U19" s="1526" t="s">
        <v>681</v>
      </c>
    </row>
    <row r="20" spans="1:26" ht="18.75" customHeight="1" x14ac:dyDescent="0.4">
      <c r="A20" s="1983"/>
      <c r="B20" s="1055" t="s">
        <v>231</v>
      </c>
      <c r="C20" s="85">
        <v>73085</v>
      </c>
      <c r="D20" s="1409">
        <v>65544</v>
      </c>
      <c r="E20" s="314">
        <f>(D20-C20)/C20*100</f>
        <v>-10.318122733803106</v>
      </c>
      <c r="F20" s="315">
        <v>15.65</v>
      </c>
      <c r="G20" s="315">
        <v>16.559999999999999</v>
      </c>
      <c r="H20" s="1060">
        <f>G20/G7*100</f>
        <v>41.224794622852876</v>
      </c>
      <c r="I20" s="314">
        <f>(G20-F20)/F20*100</f>
        <v>5.814696485622993</v>
      </c>
      <c r="L20" s="1476"/>
      <c r="M20" s="2369"/>
      <c r="N20" s="1055" t="s">
        <v>231</v>
      </c>
      <c r="O20" s="833">
        <f>'AUGUST -23'!O20+'SEP-23'!C20</f>
        <v>597069</v>
      </c>
      <c r="P20" s="833">
        <v>319266</v>
      </c>
      <c r="Q20" s="314">
        <f>(P20-O20)/O20*100</f>
        <v>-46.527788245579657</v>
      </c>
      <c r="R20" s="315">
        <f>'AUGUST -23'!R20+'SEP-23'!F20</f>
        <v>105.433211</v>
      </c>
      <c r="S20" s="315">
        <f>'AUGUST -23'!S20+'SEP-23'!G20</f>
        <v>87.11</v>
      </c>
      <c r="T20" s="1060">
        <f>S20/S7*100</f>
        <v>40.69039611360239</v>
      </c>
      <c r="U20" s="314">
        <f>(S20-R20)/R20*100</f>
        <v>-17.378974638266495</v>
      </c>
    </row>
    <row r="21" spans="1:26" ht="18.75" customHeight="1" x14ac:dyDescent="0.4">
      <c r="A21" s="1983"/>
      <c r="B21" s="1055" t="s">
        <v>232</v>
      </c>
      <c r="C21" s="85">
        <v>98461</v>
      </c>
      <c r="D21" s="1410">
        <v>100803</v>
      </c>
      <c r="E21" s="314">
        <f>(D21-C21)/C21*100</f>
        <v>2.378606758005708</v>
      </c>
      <c r="F21" s="315">
        <v>12.22</v>
      </c>
      <c r="G21" s="315">
        <v>10.7</v>
      </c>
      <c r="H21" s="1060">
        <f>G21/G7*100</f>
        <v>26.636793627084888</v>
      </c>
      <c r="I21" s="314">
        <f>(G21-F21)/F21*100</f>
        <v>-12.438625204582662</v>
      </c>
      <c r="L21" s="1476"/>
      <c r="M21" s="2369"/>
      <c r="N21" s="1055" t="s">
        <v>232</v>
      </c>
      <c r="O21" s="833">
        <f>'AUGUST -23'!O21+'SEP-23'!C21</f>
        <v>507739</v>
      </c>
      <c r="P21" s="833">
        <f>'AUGUST -23'!P21+'SEP-23'!D21</f>
        <v>485176.3</v>
      </c>
      <c r="Q21" s="314">
        <f>(P21-O21)/O21*100</f>
        <v>-4.4437594906044273</v>
      </c>
      <c r="R21" s="315">
        <f>'AUGUST -23'!R21+'SEP-23'!F21</f>
        <v>44.367490199999992</v>
      </c>
      <c r="S21" s="315">
        <f>'AUGUST -23'!S21+'SEP-23'!G21</f>
        <v>51.120000000000005</v>
      </c>
      <c r="T21" s="1060">
        <f>S21/S7*100</f>
        <v>23.878923766816143</v>
      </c>
      <c r="U21" s="314">
        <f>(S21-R21)/R21*100</f>
        <v>15.219499163826972</v>
      </c>
      <c r="W21" s="5">
        <v>2.17</v>
      </c>
      <c r="X21" s="172">
        <v>2.95</v>
      </c>
      <c r="Y21" s="5">
        <f>(X21-W21)/W21*100</f>
        <v>35.944700460829502</v>
      </c>
    </row>
    <row r="22" spans="1:26" ht="18.75" customHeight="1" x14ac:dyDescent="0.4">
      <c r="A22" s="1983"/>
      <c r="B22" s="1055" t="s">
        <v>239</v>
      </c>
      <c r="C22" s="85">
        <v>81152</v>
      </c>
      <c r="D22" s="1410">
        <v>82796</v>
      </c>
      <c r="E22" s="314">
        <f>(D22-C22)/C22*100</f>
        <v>2.0258280757097791</v>
      </c>
      <c r="F22" s="315">
        <v>9.93</v>
      </c>
      <c r="G22" s="315">
        <v>12.03</v>
      </c>
      <c r="H22" s="1060">
        <f>G22/G7*100</f>
        <v>29.947722180731883</v>
      </c>
      <c r="I22" s="314">
        <f>(G22-F22)/F22*100</f>
        <v>21.148036253776432</v>
      </c>
      <c r="J22" s="1486"/>
      <c r="L22" s="1476"/>
      <c r="M22" s="2369"/>
      <c r="N22" s="1055" t="s">
        <v>239</v>
      </c>
      <c r="O22" s="833">
        <f>'AUGUST -23'!O22+'SEP-23'!C22</f>
        <v>401499</v>
      </c>
      <c r="P22" s="833">
        <v>467739.7</v>
      </c>
      <c r="Q22" s="314">
        <f>(P22-O22)/O22*100</f>
        <v>16.49834744295752</v>
      </c>
      <c r="R22" s="315">
        <f>'AUGUST -23'!R22+'SEP-23'!F22</f>
        <v>47.823634599999998</v>
      </c>
      <c r="S22" s="315">
        <f>'AUGUST -23'!S22+'SEP-23'!G22</f>
        <v>70.489999999999995</v>
      </c>
      <c r="T22" s="1060">
        <f>S22/S7*100</f>
        <v>32.926943198804182</v>
      </c>
      <c r="U22" s="314">
        <f>(S22-R22)/R22*100</f>
        <v>47.395739762531555</v>
      </c>
    </row>
    <row r="23" spans="1:26" ht="18.75" customHeight="1" x14ac:dyDescent="0.4">
      <c r="A23" s="1983"/>
      <c r="B23" s="1055" t="s">
        <v>233</v>
      </c>
      <c r="C23" s="85">
        <v>29957</v>
      </c>
      <c r="D23" s="1410">
        <v>25984</v>
      </c>
      <c r="E23" s="314">
        <f>(D23-C23)/C23*100</f>
        <v>-13.262342691190707</v>
      </c>
      <c r="F23" s="315">
        <v>1.01</v>
      </c>
      <c r="G23" s="315">
        <v>0.88</v>
      </c>
      <c r="H23" s="1060">
        <f>G23/G7*100</f>
        <v>2.1906895693303459</v>
      </c>
      <c r="I23" s="314">
        <f>(G23-F23)/F23*100</f>
        <v>-12.871287128712872</v>
      </c>
      <c r="J23" s="1486"/>
      <c r="L23" s="1476"/>
      <c r="M23" s="2369"/>
      <c r="N23" s="1055" t="s">
        <v>233</v>
      </c>
      <c r="O23" s="833">
        <f>'AUGUST -23'!O23+'SEP-23'!C23</f>
        <v>147255</v>
      </c>
      <c r="P23" s="833">
        <f>'AUGUST -23'!P23+'SEP-23'!D23</f>
        <v>143535</v>
      </c>
      <c r="Q23" s="314">
        <f>(P23-O23)/O23*100</f>
        <v>-2.5262300091677701</v>
      </c>
      <c r="R23" s="315">
        <f>'AUGUST -23'!R23+'SEP-23'!F23</f>
        <v>5.1590007999999994</v>
      </c>
      <c r="S23" s="315">
        <f>'AUGUST -23'!S23+'SEP-23'!G23</f>
        <v>5.2</v>
      </c>
      <c r="T23" s="1060">
        <f>S23/S7*100</f>
        <v>2.4289985052316889</v>
      </c>
      <c r="U23" s="314">
        <f>(S23-R23)/R23*100</f>
        <v>0.7947120302830889</v>
      </c>
      <c r="Z23" s="5">
        <f>25.63+0.96</f>
        <v>26.59</v>
      </c>
    </row>
    <row r="24" spans="1:26" ht="18.75" customHeight="1" x14ac:dyDescent="0.4">
      <c r="A24" s="1983"/>
      <c r="B24" s="1055" t="s">
        <v>739</v>
      </c>
      <c r="C24" s="85">
        <v>0</v>
      </c>
      <c r="D24" s="1409">
        <v>0</v>
      </c>
      <c r="E24" s="836">
        <v>0</v>
      </c>
      <c r="F24" s="833">
        <v>0</v>
      </c>
      <c r="G24" s="833">
        <v>0</v>
      </c>
      <c r="H24" s="1651">
        <f>G24/G7*100</f>
        <v>0</v>
      </c>
      <c r="I24" s="836">
        <v>0</v>
      </c>
      <c r="L24" s="1476"/>
      <c r="M24" s="2369"/>
      <c r="N24" s="1055" t="s">
        <v>739</v>
      </c>
      <c r="O24" s="833">
        <f>'AUGUST -23'!O24+'SEP-23'!C24</f>
        <v>2661</v>
      </c>
      <c r="P24" s="833">
        <f>'AUGUST -23'!P24+'SEP-23'!D24</f>
        <v>0</v>
      </c>
      <c r="Q24" s="836">
        <v>0</v>
      </c>
      <c r="R24" s="315">
        <f>'AUGUST -23'!R24+'SEP-23'!F24</f>
        <v>4.1799999999999997E-2</v>
      </c>
      <c r="S24" s="315">
        <f>'AUGUST -23'!S24+'SEP-23'!G24</f>
        <v>0</v>
      </c>
      <c r="T24" s="1060">
        <f>S24/S7*100</f>
        <v>0</v>
      </c>
      <c r="U24" s="314">
        <v>0</v>
      </c>
    </row>
    <row r="25" spans="1:26" ht="18.75" customHeight="1" x14ac:dyDescent="0.4">
      <c r="A25" s="1983"/>
      <c r="B25" s="1055" t="s">
        <v>235</v>
      </c>
      <c r="C25" s="85">
        <v>0</v>
      </c>
      <c r="D25" s="1409">
        <v>0</v>
      </c>
      <c r="E25" s="836">
        <v>0</v>
      </c>
      <c r="F25" s="833">
        <v>0</v>
      </c>
      <c r="G25" s="833">
        <v>0</v>
      </c>
      <c r="H25" s="1651">
        <f>G25/G7*100</f>
        <v>0</v>
      </c>
      <c r="I25" s="836">
        <v>0</v>
      </c>
      <c r="L25" s="1476"/>
      <c r="M25" s="2369"/>
      <c r="N25" s="1055" t="s">
        <v>235</v>
      </c>
      <c r="O25" s="833">
        <f>'AUGUST -23'!O25+'SEP-23'!C25</f>
        <v>0</v>
      </c>
      <c r="P25" s="833">
        <f>'AUGUST -23'!P25+'SEP-23'!D25</f>
        <v>0</v>
      </c>
      <c r="Q25" s="836">
        <v>0</v>
      </c>
      <c r="R25" s="315">
        <f>'AUGUST -23'!R25+'SEP-23'!F25</f>
        <v>0</v>
      </c>
      <c r="S25" s="315">
        <f>'AUGUST -23'!S25+'SEP-23'!G25</f>
        <v>0</v>
      </c>
      <c r="T25" s="1060">
        <f>S25/S7*100</f>
        <v>0</v>
      </c>
      <c r="U25" s="314">
        <v>0</v>
      </c>
    </row>
    <row r="26" spans="1:26" ht="15.75" x14ac:dyDescent="0.4">
      <c r="A26" s="1984"/>
      <c r="B26" s="1056" t="s">
        <v>693</v>
      </c>
      <c r="C26" s="1520">
        <v>1380</v>
      </c>
      <c r="D26" s="1411">
        <v>0</v>
      </c>
      <c r="E26" s="836">
        <v>0</v>
      </c>
      <c r="F26" s="833">
        <v>0.1</v>
      </c>
      <c r="G26" s="833">
        <v>0</v>
      </c>
      <c r="H26" s="1060" t="s">
        <v>221</v>
      </c>
      <c r="I26" s="314" t="s">
        <v>221</v>
      </c>
      <c r="L26" s="1476"/>
      <c r="M26" s="2245"/>
      <c r="N26" s="1056" t="s">
        <v>693</v>
      </c>
      <c r="O26" s="833">
        <v>1380</v>
      </c>
      <c r="P26" s="833">
        <f>'AUGUST -23'!P26+'SEP-23'!D26</f>
        <v>0</v>
      </c>
      <c r="Q26" s="836">
        <v>0</v>
      </c>
      <c r="R26" s="315">
        <f>'AUGUST -23'!R26+'SEP-23'!F26</f>
        <v>0.29617000000000004</v>
      </c>
      <c r="S26" s="315">
        <f>'AUGUST -23'!S26+'SEP-23'!G26</f>
        <v>0.16</v>
      </c>
      <c r="T26" s="1060">
        <f>S26/S7*100</f>
        <v>7.4738415545590436E-2</v>
      </c>
      <c r="U26" s="314">
        <f>(S26-R26)/R26*100</f>
        <v>-45.976972684606821</v>
      </c>
    </row>
    <row r="27" spans="1:26" s="26" customFormat="1" ht="19.5" customHeight="1" x14ac:dyDescent="0.4">
      <c r="A27" s="1216"/>
      <c r="B27" s="1063" t="s">
        <v>683</v>
      </c>
      <c r="C27" s="1513">
        <f>SUM(C20:C26)</f>
        <v>284035</v>
      </c>
      <c r="D27" s="1412">
        <f>SUM(D20:D26)</f>
        <v>275127</v>
      </c>
      <c r="E27" s="394">
        <f>(D27-C27)/C27*100</f>
        <v>-3.136233210695865</v>
      </c>
      <c r="F27" s="1054">
        <f>SUM(F20:F26)</f>
        <v>38.909999999999997</v>
      </c>
      <c r="G27" s="1054">
        <f>G20+G21+G22+G23+G24+G25+G26</f>
        <v>40.17</v>
      </c>
      <c r="H27" s="1066">
        <f>SUM(H20:H26)</f>
        <v>100</v>
      </c>
      <c r="I27" s="394">
        <f>(G27-F27)/F27*100</f>
        <v>3.2382420971472765</v>
      </c>
      <c r="J27" s="762"/>
      <c r="K27" s="762"/>
      <c r="L27" s="1475"/>
      <c r="M27" s="1202"/>
      <c r="N27" s="1063" t="s">
        <v>683</v>
      </c>
      <c r="O27" s="1259">
        <f>SUM(O20:O26)</f>
        <v>1657603</v>
      </c>
      <c r="P27" s="1259">
        <f>SUM(P20:P26)</f>
        <v>1415717</v>
      </c>
      <c r="Q27" s="394">
        <f>(P27-O27)/O27*100</f>
        <v>-14.59251702609129</v>
      </c>
      <c r="R27" s="1054">
        <f>SUM(R20:R26)</f>
        <v>203.12130659999997</v>
      </c>
      <c r="S27" s="1054">
        <f>SUM(S20:S26)</f>
        <v>214.08</v>
      </c>
      <c r="T27" s="1066">
        <f>SUM(T20:T26)</f>
        <v>100</v>
      </c>
      <c r="U27" s="394">
        <f>(S27-R27)/R27*100</f>
        <v>5.3951471578413157</v>
      </c>
      <c r="V27" s="26">
        <f>76.54+0.12</f>
        <v>76.660000000000011</v>
      </c>
      <c r="W27" s="26">
        <f>P27/1000000</f>
        <v>1.4157169999999999</v>
      </c>
      <c r="X27" s="432"/>
    </row>
    <row r="28" spans="1:26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4">
        <v>3</v>
      </c>
      <c r="N30" s="2021" t="s">
        <v>623</v>
      </c>
      <c r="O30" s="2022"/>
      <c r="P30" s="2022"/>
      <c r="Q30" s="2022"/>
      <c r="R30" s="2022"/>
      <c r="S30" s="2022"/>
      <c r="T30" s="2022"/>
      <c r="U30" s="2023"/>
    </row>
    <row r="31" spans="1:26" ht="15.4" x14ac:dyDescent="0.4">
      <c r="A31" s="2382"/>
      <c r="B31" s="378" t="s">
        <v>2</v>
      </c>
      <c r="C31" s="1521">
        <v>24.66</v>
      </c>
      <c r="D31" s="1429">
        <v>22.5</v>
      </c>
      <c r="E31" s="315">
        <f>'TARGET 23-24'!N13</f>
        <v>1.9</v>
      </c>
      <c r="F31" s="136">
        <v>1.94</v>
      </c>
      <c r="G31" s="136">
        <f>'ACTUAL- 23-24'!P8/10000000</f>
        <v>1.9763465</v>
      </c>
      <c r="H31" s="1735">
        <f>(G31-E31)/E31*100</f>
        <v>4.0182368421052681</v>
      </c>
      <c r="I31" s="1735">
        <f>(G31-F31)/F31*100</f>
        <v>1.8735309278350547</v>
      </c>
      <c r="J31" s="84">
        <v>1.52</v>
      </c>
      <c r="K31" s="84">
        <f>11596205/10000000</f>
        <v>1.1596204999999999</v>
      </c>
      <c r="L31" s="1476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f>'TARGET 23-24'!N14</f>
        <v>10.85</v>
      </c>
      <c r="R31" s="315">
        <f>F31+'AUGUST -23'!R31</f>
        <v>12.08</v>
      </c>
      <c r="S31" s="315">
        <f>G31+'AUGUST -23'!S31</f>
        <v>14.1730976</v>
      </c>
      <c r="T31" s="314">
        <f>(S31-Q31)/Q31*100</f>
        <v>30.62762764976959</v>
      </c>
      <c r="U31" s="314">
        <f t="shared" ref="U31:U38" si="6">(S31-R31)/R31*100</f>
        <v>17.326966887417221</v>
      </c>
      <c r="W31" s="5">
        <f>(Q31*10000000)/100000</f>
        <v>1085</v>
      </c>
    </row>
    <row r="32" spans="1:26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15">
        <f>'TARGET 23-24'!K13</f>
        <v>3.69</v>
      </c>
      <c r="F32" s="134">
        <v>2.7555812</v>
      </c>
      <c r="G32" s="134">
        <f>'ACTUAL- 23-24'!Q8/10000000</f>
        <v>2.5351788000000002</v>
      </c>
      <c r="H32" s="314">
        <f>(G32-E32)/E32*100</f>
        <v>-31.29596747967479</v>
      </c>
      <c r="I32" s="314">
        <f>(G32-F32)/F32*100</f>
        <v>-7.9983997568280616</v>
      </c>
      <c r="J32" s="1128">
        <v>2.3697997000000002</v>
      </c>
      <c r="K32" s="84">
        <f>0.58-0.12</f>
        <v>0.45999999999999996</v>
      </c>
      <c r="L32" s="1476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f>E32+'AUGUST -23'!Q32</f>
        <v>20.64</v>
      </c>
      <c r="R32" s="315">
        <f>F32+'AUGUST -23'!R32</f>
        <v>15.4472626</v>
      </c>
      <c r="S32" s="315">
        <f>G32+'AUGUST -23'!S32</f>
        <v>15.187708500000001</v>
      </c>
      <c r="T32" s="314">
        <f>(S32-Q32)/Q32*100</f>
        <v>-26.416140988372089</v>
      </c>
      <c r="U32" s="314">
        <f t="shared" si="6"/>
        <v>-1.6802595173076103</v>
      </c>
      <c r="W32" s="5">
        <f>(Q32*10000000)/100000</f>
        <v>2064</v>
      </c>
    </row>
    <row r="33" spans="1:27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15">
        <f>'TARGET 23-24'!L13</f>
        <v>0.26</v>
      </c>
      <c r="F33" s="134">
        <v>0.08</v>
      </c>
      <c r="G33" s="134">
        <f>'ACTUAL- 23-24'!R8/10000000</f>
        <v>9.0156799999999995E-2</v>
      </c>
      <c r="H33" s="314">
        <f>(G33-E33)/E33*100</f>
        <v>-65.324307692307698</v>
      </c>
      <c r="I33" s="314">
        <f>(G33-F33)/F33*100</f>
        <v>12.695999999999991</v>
      </c>
      <c r="J33" s="1128">
        <v>7.7621999999999997E-2</v>
      </c>
      <c r="L33" s="1476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f>E33+'AUGUST -23'!Q33</f>
        <v>1.8900000000000001</v>
      </c>
      <c r="R33" s="315">
        <f>F33+'AUGUST -23'!R33</f>
        <v>0.57194659999999997</v>
      </c>
      <c r="S33" s="315">
        <f>G33+'AUGUST -23'!S33</f>
        <v>0.607990056</v>
      </c>
      <c r="T33" s="314">
        <f>(S33-Q33)/Q33*100</f>
        <v>-67.831213968253962</v>
      </c>
      <c r="U33" s="314">
        <f t="shared" si="6"/>
        <v>6.3018918199706109</v>
      </c>
      <c r="W33" s="5">
        <f>(Q33*10000000)/100000</f>
        <v>189</v>
      </c>
    </row>
    <row r="34" spans="1:27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3.95</v>
      </c>
      <c r="F34" s="1483">
        <f t="shared" ref="F34:G34" si="7">SUM(F32:F33)</f>
        <v>2.8355812</v>
      </c>
      <c r="G34" s="1483">
        <f t="shared" si="7"/>
        <v>2.6253356000000001</v>
      </c>
      <c r="H34" s="1484">
        <f>(G34-E34)/E34*100</f>
        <v>-33.535807594936713</v>
      </c>
      <c r="I34" s="1484">
        <f>(G34-F34)/F34*100</f>
        <v>-7.414550498500974</v>
      </c>
      <c r="L34" s="1476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22.53</v>
      </c>
      <c r="R34" s="1483">
        <f t="shared" ref="R34:S34" si="8">R33+R32</f>
        <v>16.019209199999999</v>
      </c>
      <c r="S34" s="1483">
        <f t="shared" si="8"/>
        <v>15.795698556000001</v>
      </c>
      <c r="T34" s="1484">
        <f>(S34-Q34)/Q34*100</f>
        <v>-29.890374806924097</v>
      </c>
      <c r="U34" s="1484">
        <f>(S34-R34)/R34*100</f>
        <v>-1.3952664030381565</v>
      </c>
    </row>
    <row r="35" spans="1:27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v>0.23116800000000001</v>
      </c>
      <c r="G35" s="313">
        <f>'ACTUAL- 23-24'!T8/10000000</f>
        <v>0.24491499999999999</v>
      </c>
      <c r="H35" s="517" t="s">
        <v>221</v>
      </c>
      <c r="I35" s="314">
        <f>(G35-F35)/F35*100</f>
        <v>5.9467573366555841</v>
      </c>
      <c r="J35" s="84">
        <v>0.21881</v>
      </c>
      <c r="L35" s="1476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f>F35+'AUGUST -23'!R35</f>
        <v>1.5572519999999999</v>
      </c>
      <c r="S35" s="315">
        <f>G35+'AUGUST -23'!S35</f>
        <v>1.602004</v>
      </c>
      <c r="T35" s="316" t="s">
        <v>221</v>
      </c>
      <c r="U35" s="314">
        <f t="shared" si="6"/>
        <v>2.8737802231109755</v>
      </c>
      <c r="W35" s="5" t="e">
        <f>(Q35*10000000)/100000</f>
        <v>#VALUE!</v>
      </c>
    </row>
    <row r="36" spans="1:27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v>0</v>
      </c>
      <c r="G36" s="313">
        <f>'ACTUAL- 23-24'!S8/10000000</f>
        <v>2.4784544999999998</v>
      </c>
      <c r="H36" s="517" t="s">
        <v>221</v>
      </c>
      <c r="I36" s="314">
        <v>0</v>
      </c>
      <c r="J36" s="84">
        <v>3.63459E-2</v>
      </c>
      <c r="L36" s="1476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f>F36+'AUGUST -23'!R36</f>
        <v>4.5529582999999993</v>
      </c>
      <c r="S36" s="315">
        <f>G36+'AUGUST -23'!S36</f>
        <v>4.3897052999999993</v>
      </c>
      <c r="T36" s="316" t="s">
        <v>221</v>
      </c>
      <c r="U36" s="314">
        <f t="shared" si="6"/>
        <v>-3.5856467211658876</v>
      </c>
    </row>
    <row r="37" spans="1:27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v>3.2844408999999999</v>
      </c>
      <c r="G37" s="313">
        <f>'ACTUAL- 23-24'!O8/10000000</f>
        <v>3.9471948000000001</v>
      </c>
      <c r="H37" s="517" t="s">
        <v>221</v>
      </c>
      <c r="I37" s="314">
        <f>(G37-F37)/F37*100</f>
        <v>20.178591126422774</v>
      </c>
      <c r="J37" s="84">
        <v>3.210709</v>
      </c>
      <c r="K37" s="323">
        <f>(20880+ 10612529)/10000000</f>
        <v>1.0633409</v>
      </c>
      <c r="L37" s="1476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f>F37+'AUGUST -23'!R37</f>
        <v>20.467556899999998</v>
      </c>
      <c r="S37" s="315">
        <f>G37+'AUGUST -23'!S37</f>
        <v>23.529202500000004</v>
      </c>
      <c r="T37" s="316" t="s">
        <v>221</v>
      </c>
      <c r="U37" s="314">
        <f t="shared" si="6"/>
        <v>14.958529808704263</v>
      </c>
    </row>
    <row r="38" spans="1:27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313">
        <v>6.8002099999999996E-2</v>
      </c>
      <c r="G38" s="313">
        <f>'ACTUAL- 23-24'!U8/10000000</f>
        <v>7.8483600000000001E-2</v>
      </c>
      <c r="H38" s="413"/>
      <c r="I38" s="314">
        <v>0</v>
      </c>
      <c r="J38" s="84">
        <v>6.4195500000000003E-2</v>
      </c>
      <c r="L38" s="1476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f>F38+'AUGUST -23'!R38</f>
        <v>0.44134880000000004</v>
      </c>
      <c r="S38" s="315">
        <f>G38+'AUGUST -23'!S38</f>
        <v>0.48922920000000003</v>
      </c>
      <c r="T38" s="413"/>
      <c r="U38" s="314">
        <f t="shared" si="6"/>
        <v>10.848653038141258</v>
      </c>
    </row>
    <row r="39" spans="1:27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J39" s="323">
        <v>9.68218E-2</v>
      </c>
      <c r="L39" s="1476"/>
      <c r="M39" s="1286">
        <v>4</v>
      </c>
      <c r="N39" s="2021" t="s">
        <v>622</v>
      </c>
      <c r="O39" s="2022"/>
      <c r="P39" s="2022"/>
      <c r="Q39" s="2022"/>
      <c r="R39" s="2022"/>
      <c r="S39" s="2022"/>
      <c r="T39" s="2022"/>
      <c r="U39" s="2023"/>
    </row>
    <row r="40" spans="1:27" ht="15.4" x14ac:dyDescent="0.4">
      <c r="A40" s="2387"/>
      <c r="B40" s="378" t="s">
        <v>27</v>
      </c>
      <c r="C40" s="1521">
        <v>12.02</v>
      </c>
      <c r="D40" s="1429">
        <v>13.95</v>
      </c>
      <c r="E40" s="315">
        <v>1.1625000000000001</v>
      </c>
      <c r="F40" s="313">
        <v>1.7060818</v>
      </c>
      <c r="G40" s="313">
        <f>'ACTUAL- 23-24'!O25/10000000</f>
        <v>0.78629590000000005</v>
      </c>
      <c r="H40" s="314">
        <f>(G40-E40)/E40*100</f>
        <v>-32.361643010752687</v>
      </c>
      <c r="I40" s="314">
        <f>(G40-F40)/F40*100</f>
        <v>-53.912180529679176</v>
      </c>
      <c r="K40" s="1128">
        <v>0.5185746</v>
      </c>
      <c r="L40" s="1476"/>
      <c r="M40" s="1286"/>
      <c r="N40" s="378" t="s">
        <v>27</v>
      </c>
      <c r="O40" s="1283">
        <v>12.02</v>
      </c>
      <c r="P40" s="1429">
        <v>13.95</v>
      </c>
      <c r="Q40" s="307">
        <f>'APRIL-2023'!E40+'MAY-2023'!E40+'JUNE-23'!E40+'JULY-23'!E40+'AUGUST -23'!E40+'SEP-23'!E40</f>
        <v>6.9749999999999996</v>
      </c>
      <c r="R40" s="315">
        <f>F40+'AUGUST -23'!R40</f>
        <v>5.0989288000000004</v>
      </c>
      <c r="S40" s="315">
        <f>G40+'AUGUST -23'!S40</f>
        <v>6.3841140999999997</v>
      </c>
      <c r="T40" s="314">
        <f>(S40-Q40)/Q40*100</f>
        <v>-8.471482437275986</v>
      </c>
      <c r="U40" s="314">
        <f>(S40-R40)/R40*100</f>
        <v>25.205005804356382</v>
      </c>
      <c r="W40" s="5">
        <f>(E40*10000000)/100000</f>
        <v>116.25</v>
      </c>
      <c r="X40" s="172">
        <v>141.05000000000001</v>
      </c>
      <c r="Y40" s="5">
        <v>70.17</v>
      </c>
      <c r="Z40" s="11">
        <f t="shared" ref="Z40:Z45" si="9">(X40-W40)/W40*100</f>
        <v>21.333333333333343</v>
      </c>
      <c r="AA40" s="11">
        <f t="shared" ref="AA40:AA45" si="10">(X40-Y40)/Y40*100</f>
        <v>101.01182841670231</v>
      </c>
    </row>
    <row r="41" spans="1:27" ht="15.4" x14ac:dyDescent="0.4">
      <c r="A41" s="2387"/>
      <c r="B41" s="378" t="s">
        <v>28</v>
      </c>
      <c r="C41" s="1521">
        <v>1.94</v>
      </c>
      <c r="D41" s="1429">
        <v>1.95</v>
      </c>
      <c r="E41" s="315">
        <v>0.16250000000000001</v>
      </c>
      <c r="F41" s="313">
        <v>0.3620062</v>
      </c>
      <c r="G41" s="313">
        <f>'ACTUAL- 23-24'!P25/10000000</f>
        <v>0.53544069999999999</v>
      </c>
      <c r="H41" s="314">
        <f>(G41-E41)/E41*100</f>
        <v>229.50196923076925</v>
      </c>
      <c r="I41" s="314">
        <f>(G41-F41)/F41*100</f>
        <v>47.909262327551296</v>
      </c>
      <c r="J41" s="84">
        <f t="shared" ref="J41:J46" si="11">E40*8</f>
        <v>9.3000000000000007</v>
      </c>
      <c r="K41" s="1128">
        <v>1.5909099999999999E-2</v>
      </c>
      <c r="L41" s="1476">
        <v>2.1361249999999998</v>
      </c>
      <c r="M41" s="1286"/>
      <c r="N41" s="378" t="s">
        <v>28</v>
      </c>
      <c r="O41" s="1283">
        <v>1.94</v>
      </c>
      <c r="P41" s="1429">
        <v>1.95</v>
      </c>
      <c r="Q41" s="307">
        <f>'APRIL-2023'!E41+'MAY-2023'!E41+'JUNE-23'!E41+'JULY-23'!E41+'AUGUST -23'!E41+'SEP-23'!E41</f>
        <v>0.97499999999999998</v>
      </c>
      <c r="R41" s="315">
        <f>F41+'AUGUST -23'!R41</f>
        <v>0.56388899999999997</v>
      </c>
      <c r="S41" s="315">
        <f>G41+'AUGUST -23'!S41</f>
        <v>1.428966</v>
      </c>
      <c r="T41" s="314">
        <f t="shared" ref="T41:T42" si="12">(S41-Q41)/Q41*100</f>
        <v>46.560615384615382</v>
      </c>
      <c r="U41" s="314">
        <f>(S41-R41)/R41*100</f>
        <v>153.41263972164737</v>
      </c>
      <c r="W41" s="5">
        <f>(E41*10000000)/100000</f>
        <v>16.25</v>
      </c>
      <c r="X41" s="172">
        <v>19.73</v>
      </c>
      <c r="Y41" s="5">
        <v>3.12</v>
      </c>
      <c r="Z41" s="11">
        <f t="shared" si="9"/>
        <v>21.415384615384617</v>
      </c>
      <c r="AA41" s="11">
        <f t="shared" si="10"/>
        <v>532.3717948717948</v>
      </c>
    </row>
    <row r="42" spans="1:27" ht="15.4" x14ac:dyDescent="0.4">
      <c r="A42" s="2387"/>
      <c r="B42" s="378" t="s">
        <v>224</v>
      </c>
      <c r="C42" s="1521">
        <v>1.96</v>
      </c>
      <c r="D42" s="1429">
        <v>3.25</v>
      </c>
      <c r="E42" s="315">
        <v>0.27</v>
      </c>
      <c r="F42" s="313">
        <v>0.4819407</v>
      </c>
      <c r="G42" s="313">
        <f>'ACTUAL- 23-24'!Q25/10000000</f>
        <v>0.1088359</v>
      </c>
      <c r="H42" s="314">
        <f>(G42-E42)/E42*100</f>
        <v>-59.69040740740742</v>
      </c>
      <c r="I42" s="314">
        <f>(G42-F42)/F42*100</f>
        <v>-77.417159414010897</v>
      </c>
      <c r="J42" s="84">
        <f t="shared" si="11"/>
        <v>1.3</v>
      </c>
      <c r="K42" s="1128">
        <v>7.9338400000000003E-2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7">
        <f>'APRIL-2023'!E42+'MAY-2023'!E42+'JUNE-23'!E42+'JULY-23'!E42+'AUGUST -23'!E42+'SEP-23'!E42</f>
        <v>1.62</v>
      </c>
      <c r="R42" s="315">
        <f>F42+'AUGUST -23'!R42</f>
        <v>0.6835985</v>
      </c>
      <c r="S42" s="315">
        <f>G42+'AUGUST -23'!S42</f>
        <v>0.83070739999999998</v>
      </c>
      <c r="T42" s="314">
        <f t="shared" si="12"/>
        <v>-48.721765432098771</v>
      </c>
      <c r="U42" s="314">
        <f>(S42-R42)/R42*100</f>
        <v>21.519780982550426</v>
      </c>
      <c r="W42" s="11">
        <f>(E42*10000000)/100000</f>
        <v>27</v>
      </c>
      <c r="X42" s="172">
        <v>45.45</v>
      </c>
      <c r="Y42" s="5">
        <v>0</v>
      </c>
      <c r="Z42" s="11">
        <f t="shared" si="9"/>
        <v>68.333333333333343</v>
      </c>
      <c r="AA42" s="11" t="e">
        <f t="shared" si="10"/>
        <v>#DIV/0!</v>
      </c>
    </row>
    <row r="43" spans="1:27" ht="15.4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/>
      <c r="H43" s="314" t="e">
        <f>(G43-E43)/E43*100</f>
        <v>#VALUE!</v>
      </c>
      <c r="I43" s="314" t="e">
        <f>(G43-F43)/F43*100</f>
        <v>#DIV/0!</v>
      </c>
      <c r="J43" s="323">
        <f t="shared" si="11"/>
        <v>2.16</v>
      </c>
      <c r="K43" s="1128">
        <v>0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15">
        <f>F43+'AUGUST -23'!R43</f>
        <v>0</v>
      </c>
      <c r="S43" s="315">
        <f>G43+'AUGUST -23'!S43</f>
        <v>0</v>
      </c>
      <c r="T43" s="314" t="s">
        <v>221</v>
      </c>
      <c r="U43" s="314">
        <v>0</v>
      </c>
      <c r="W43" s="5" t="e">
        <f>(E43*10000000)/100000</f>
        <v>#VALUE!</v>
      </c>
      <c r="Z43" s="11" t="e">
        <f t="shared" si="9"/>
        <v>#VALUE!</v>
      </c>
      <c r="AA43" s="11" t="e">
        <f t="shared" si="10"/>
        <v>#DIV/0!</v>
      </c>
    </row>
    <row r="44" spans="1:27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0.1800002</v>
      </c>
      <c r="G44" s="313">
        <v>0</v>
      </c>
      <c r="H44" s="314"/>
      <c r="I44" s="314" t="s">
        <v>221</v>
      </c>
      <c r="J44" s="84" t="e">
        <f t="shared" si="11"/>
        <v>#VALUE!</v>
      </c>
      <c r="K44" s="1128">
        <v>6.3045000000000002E-3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15">
        <f>F44+'AUGUST -23'!R44</f>
        <v>0.2059047</v>
      </c>
      <c r="S44" s="315">
        <f>G44+'AUGUST -23'!S44</f>
        <v>0.43044450000000001</v>
      </c>
      <c r="T44" s="314" t="s">
        <v>221</v>
      </c>
      <c r="U44" s="314">
        <f>(S44-R44)/R44*100</f>
        <v>109.05035193465716</v>
      </c>
      <c r="X44" s="172">
        <v>0</v>
      </c>
      <c r="Y44" s="5">
        <v>0.06</v>
      </c>
      <c r="Z44" s="11" t="e">
        <f t="shared" si="9"/>
        <v>#DIV/0!</v>
      </c>
      <c r="AA44" s="11">
        <f t="shared" si="10"/>
        <v>-100</v>
      </c>
    </row>
    <row r="45" spans="1:27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0.21738859999999999</v>
      </c>
      <c r="G45" s="313">
        <f>'ACTUAL- 23-24'!S25/10000000</f>
        <v>0.1462215</v>
      </c>
      <c r="H45" s="314"/>
      <c r="I45" s="314" t="s">
        <v>221</v>
      </c>
      <c r="J45" s="84" t="e">
        <f t="shared" si="11"/>
        <v>#VALUE!</v>
      </c>
      <c r="K45" s="1128">
        <v>7.3470099999999997E-2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15">
        <f>F45+'AUGUST -23'!R45</f>
        <v>0.81869239999999999</v>
      </c>
      <c r="S45" s="315">
        <f>G45+'AUGUST -23'!S45</f>
        <v>0.54192180000000001</v>
      </c>
      <c r="T45" s="407" t="s">
        <v>221</v>
      </c>
      <c r="U45" s="314">
        <f>(S45-R45)/R45*100</f>
        <v>-33.806421068523413</v>
      </c>
      <c r="W45" s="595">
        <f>W40+W41+W42+W44</f>
        <v>159.5</v>
      </c>
      <c r="X45" s="172">
        <f>X40+X41+X42+X44</f>
        <v>206.23000000000002</v>
      </c>
      <c r="Y45" s="172">
        <f>Y40+Y41+Y42+Y44</f>
        <v>73.350000000000009</v>
      </c>
      <c r="Z45" s="11">
        <f t="shared" si="9"/>
        <v>29.297805642633239</v>
      </c>
      <c r="AA45" s="11">
        <f t="shared" si="10"/>
        <v>181.15882753919561</v>
      </c>
    </row>
    <row r="46" spans="1:27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11"/>
        <v>#VALUE!</v>
      </c>
      <c r="L46" s="1476">
        <v>0.93056630000000007</v>
      </c>
      <c r="M46" s="2388"/>
      <c r="N46" s="2021" t="s">
        <v>419</v>
      </c>
      <c r="O46" s="2022"/>
      <c r="P46" s="2022"/>
      <c r="Q46" s="2022"/>
      <c r="R46" s="2022"/>
      <c r="S46" s="2022"/>
      <c r="T46" s="2022"/>
      <c r="U46" s="2023"/>
    </row>
    <row r="47" spans="1:27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15">
        <f>'TARGET 23-24'!B40</f>
        <v>2.04</v>
      </c>
      <c r="F47" s="315">
        <v>1.7565010000000001</v>
      </c>
      <c r="G47" s="315">
        <f>'ACTUAL- 23-24'!E25/1000000</f>
        <v>1.8964019999999999</v>
      </c>
      <c r="H47" s="316">
        <f>(G47-E47)/E47*100</f>
        <v>-7.0391176470588288</v>
      </c>
      <c r="I47" s="314">
        <f>(G47-F47)/F47*100</f>
        <v>7.9647549303985485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f>E47+'AUGUST -23'!Q47</f>
        <v>10.030000000000001</v>
      </c>
      <c r="R47" s="315">
        <v>8.6479370000000007</v>
      </c>
      <c r="S47" s="315">
        <f>G47+'AUGUST -23'!S47</f>
        <v>11.011269</v>
      </c>
      <c r="T47" s="316">
        <f>(S47-Q47)/Q47*100</f>
        <v>9.7833399800598109</v>
      </c>
      <c r="U47" s="314">
        <f>(S47-R47)/R47*100</f>
        <v>27.328274940023263</v>
      </c>
      <c r="V47" s="5">
        <f>S47/153</f>
        <v>7.1969078431372555E-2</v>
      </c>
    </row>
    <row r="48" spans="1:27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154">
        <f>'TARGET 23-24'!C40</f>
        <v>2.85</v>
      </c>
      <c r="F48" s="315">
        <v>1.380501</v>
      </c>
      <c r="G48" s="315">
        <f>'ACTUAL- 23-24'!F25/1000000</f>
        <v>1.6618839999999999</v>
      </c>
      <c r="H48" s="2027">
        <f>L48</f>
        <v>-3.7391929824561432</v>
      </c>
      <c r="I48" s="314">
        <f>(G48-F48)/F48*100</f>
        <v>20.382672667386693</v>
      </c>
      <c r="J48" s="84">
        <f>94132</f>
        <v>94132</v>
      </c>
      <c r="K48" s="12">
        <f>G48+G49</f>
        <v>2.743433</v>
      </c>
      <c r="L48" s="172">
        <f>(K48-E48)/E48*100</f>
        <v>-3.7391929824561432</v>
      </c>
      <c r="M48" s="2388"/>
      <c r="N48" s="1280" t="s">
        <v>792</v>
      </c>
      <c r="O48" s="1285">
        <v>15.344440000000001</v>
      </c>
      <c r="P48" s="2067">
        <v>32.97</v>
      </c>
      <c r="Q48" s="2065">
        <f>E48+'AUGUST -23'!Q48</f>
        <v>14.469999999999999</v>
      </c>
      <c r="R48" s="315">
        <v>5.8658580000000002</v>
      </c>
      <c r="S48" s="315">
        <f>G48+'AUGUST -23'!S48</f>
        <v>10.246156000000001</v>
      </c>
      <c r="T48" s="2027">
        <f>X48</f>
        <v>16.016883206634418</v>
      </c>
      <c r="U48" s="314">
        <f>(S48-R48)/R48*100</f>
        <v>74.674463650500925</v>
      </c>
      <c r="V48" s="5">
        <f t="shared" ref="V48:V49" si="13">S48/153</f>
        <v>6.6968339869281052E-2</v>
      </c>
      <c r="W48" s="12">
        <f>S48+S49</f>
        <v>16.787642999999999</v>
      </c>
      <c r="X48" s="172">
        <f>(W48-Q48)/Q48*100</f>
        <v>16.016883206634418</v>
      </c>
    </row>
    <row r="49" spans="1:33" ht="16.5" x14ac:dyDescent="0.55000000000000004">
      <c r="A49" s="2387"/>
      <c r="B49" s="1606" t="s">
        <v>934</v>
      </c>
      <c r="C49" s="1524">
        <v>12.857975999999999</v>
      </c>
      <c r="D49" s="2066"/>
      <c r="E49" s="2155"/>
      <c r="F49" s="315">
        <v>1.072316</v>
      </c>
      <c r="G49" s="315">
        <f>'ACTUAL- 23-24'!G25/1000000</f>
        <v>1.0815490000000001</v>
      </c>
      <c r="H49" s="2029"/>
      <c r="I49" s="314">
        <f>(G49-F49)/F49*100</f>
        <v>0.86103350131864542</v>
      </c>
      <c r="J49" s="84">
        <v>31105</v>
      </c>
      <c r="K49" s="1198"/>
      <c r="L49" s="1477">
        <f>(K48-E48)/E48*100</f>
        <v>-3.7391929824561432</v>
      </c>
      <c r="M49" s="2388"/>
      <c r="N49" s="320" t="s">
        <v>931</v>
      </c>
      <c r="O49" s="1285">
        <v>12.857975999999999</v>
      </c>
      <c r="P49" s="2068"/>
      <c r="Q49" s="2066"/>
      <c r="R49" s="315">
        <v>6.6200460000000003</v>
      </c>
      <c r="S49" s="315">
        <f>G49+'AUGUST -23'!S49</f>
        <v>6.5414869999999992</v>
      </c>
      <c r="T49" s="2029"/>
      <c r="U49" s="314">
        <f>(S49-R49)/R49*100</f>
        <v>-1.1866835970626359</v>
      </c>
      <c r="V49" s="5">
        <f t="shared" si="13"/>
        <v>4.2754816993464048E-2</v>
      </c>
    </row>
    <row r="50" spans="1:33" ht="16.5" customHeight="1" x14ac:dyDescent="0.55000000000000004">
      <c r="A50" s="2387">
        <v>6</v>
      </c>
      <c r="B50" s="2021" t="s">
        <v>962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8">
        <v>6</v>
      </c>
      <c r="N50" s="2021" t="s">
        <v>963</v>
      </c>
      <c r="O50" s="2022"/>
      <c r="P50" s="2022"/>
      <c r="Q50" s="2022"/>
      <c r="R50" s="2022"/>
      <c r="S50" s="2022"/>
      <c r="T50" s="2022"/>
      <c r="U50" s="2023"/>
    </row>
    <row r="51" spans="1:33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196.75</v>
      </c>
      <c r="G51" s="313">
        <v>156.18</v>
      </c>
      <c r="H51" s="2027" t="s">
        <v>221</v>
      </c>
      <c r="I51" s="314">
        <f>(G51-F51)/F51*100</f>
        <v>-20.620076238881826</v>
      </c>
      <c r="K51" s="84">
        <v>1.4243969999999999</v>
      </c>
      <c r="M51" s="2388"/>
      <c r="N51" s="2006" t="s">
        <v>36</v>
      </c>
      <c r="O51" s="2007"/>
      <c r="P51" s="2368">
        <v>0.55000000000000004</v>
      </c>
      <c r="Q51" s="2024" t="s">
        <v>221</v>
      </c>
      <c r="R51" s="313">
        <v>196.75</v>
      </c>
      <c r="S51" s="313">
        <v>156.18</v>
      </c>
      <c r="T51" s="2027"/>
      <c r="U51" s="314">
        <f>(S51-R51)/R51*100</f>
        <v>-20.620076238881826</v>
      </c>
    </row>
    <row r="52" spans="1:33" ht="15.4" x14ac:dyDescent="0.4">
      <c r="A52" s="2387"/>
      <c r="B52" s="378" t="s">
        <v>37</v>
      </c>
      <c r="C52" s="1525"/>
      <c r="D52" s="2369"/>
      <c r="E52" s="2025"/>
      <c r="F52" s="313">
        <v>40.97</v>
      </c>
      <c r="G52" s="313">
        <v>24.9</v>
      </c>
      <c r="H52" s="2028"/>
      <c r="I52" s="314">
        <f>(G52-F52)/F52*100</f>
        <v>-39.223822309006593</v>
      </c>
      <c r="K52" s="84">
        <v>1.1149039999999999</v>
      </c>
      <c r="M52" s="2388"/>
      <c r="N52" s="2006" t="s">
        <v>37</v>
      </c>
      <c r="O52" s="2007"/>
      <c r="P52" s="2369"/>
      <c r="Q52" s="2025"/>
      <c r="R52" s="313">
        <v>40.97</v>
      </c>
      <c r="S52" s="313">
        <v>24.9</v>
      </c>
      <c r="T52" s="2028"/>
      <c r="U52" s="314">
        <f>(S52-R52)/R52*100</f>
        <v>-39.223822309006593</v>
      </c>
    </row>
    <row r="53" spans="1:33" ht="15.4" x14ac:dyDescent="0.4">
      <c r="A53" s="2387"/>
      <c r="B53" s="378" t="s">
        <v>38</v>
      </c>
      <c r="C53" s="1525"/>
      <c r="D53" s="2245"/>
      <c r="E53" s="2026"/>
      <c r="F53" s="313">
        <f>SUM(F51:F52)</f>
        <v>237.72</v>
      </c>
      <c r="G53" s="313">
        <f>SUM(G51:G52)</f>
        <v>181.08</v>
      </c>
      <c r="H53" s="2029"/>
      <c r="I53" s="314">
        <f>(G53-F53)/F53*100</f>
        <v>-23.826350328117108</v>
      </c>
      <c r="K53" s="84">
        <v>1.0979049999999999</v>
      </c>
      <c r="M53" s="2388"/>
      <c r="N53" s="2006" t="s">
        <v>38</v>
      </c>
      <c r="O53" s="2007"/>
      <c r="P53" s="2245"/>
      <c r="Q53" s="2026"/>
      <c r="R53" s="313">
        <f>SUM(R51:R52)</f>
        <v>237.72</v>
      </c>
      <c r="S53" s="313">
        <f>SUM(S51:S52)</f>
        <v>181.08</v>
      </c>
      <c r="T53" s="2029"/>
      <c r="U53" s="314">
        <f>(S53-R53)/R53*100</f>
        <v>-23.826350328117108</v>
      </c>
    </row>
    <row r="54" spans="1:33" ht="15.4" x14ac:dyDescent="0.4">
      <c r="C54" s="315"/>
      <c r="H54" s="41"/>
      <c r="I54" s="41"/>
    </row>
    <row r="55" spans="1:33" ht="15.75" x14ac:dyDescent="0.45">
      <c r="C55" s="315"/>
      <c r="D55" s="229"/>
      <c r="E55" s="229"/>
      <c r="F55" s="229"/>
      <c r="G55" s="12"/>
      <c r="H55" s="314"/>
      <c r="I55" s="314"/>
      <c r="Q55" s="229"/>
      <c r="R55" s="12">
        <f t="shared" ref="R55:S57" si="14">(R47*1000000)/100000</f>
        <v>86.479370000000003</v>
      </c>
      <c r="S55" s="12">
        <f t="shared" si="14"/>
        <v>110.11269</v>
      </c>
      <c r="T55" s="314"/>
      <c r="U55" s="314">
        <f>(S55-R55)/R55*100</f>
        <v>27.328274940023263</v>
      </c>
      <c r="W55" s="12">
        <f>R56+R57</f>
        <v>124.85904000000001</v>
      </c>
      <c r="X55" s="12">
        <f>S56+S57</f>
        <v>167.87643</v>
      </c>
      <c r="Z55" s="314">
        <f>(X55-W55)/W55*100</f>
        <v>34.452763692560815</v>
      </c>
    </row>
    <row r="56" spans="1:33" ht="15.75" x14ac:dyDescent="0.45">
      <c r="C56" s="315"/>
      <c r="H56" s="35"/>
      <c r="I56" s="5"/>
      <c r="J56" s="314">
        <f>210288-1860</f>
        <v>208428</v>
      </c>
      <c r="K56" s="5"/>
      <c r="P56" s="12"/>
      <c r="Q56" s="229"/>
      <c r="R56" s="12">
        <f t="shared" si="14"/>
        <v>58.658580000000001</v>
      </c>
      <c r="S56" s="12">
        <f t="shared" si="14"/>
        <v>102.46156000000001</v>
      </c>
      <c r="U56" s="314">
        <f>(S56-R56)/R56*100</f>
        <v>74.674463650500925</v>
      </c>
    </row>
    <row r="57" spans="1:33" ht="15.75" x14ac:dyDescent="0.45">
      <c r="J57" s="35"/>
      <c r="L57" s="35"/>
      <c r="Q57" s="229"/>
      <c r="R57" s="12">
        <f t="shared" si="14"/>
        <v>66.200460000000007</v>
      </c>
      <c r="S57" s="12">
        <f t="shared" si="14"/>
        <v>65.414869999999993</v>
      </c>
      <c r="U57" s="314">
        <f>(S57-R57)/R57*100</f>
        <v>-1.1866835970626386</v>
      </c>
    </row>
    <row r="58" spans="1:33" x14ac:dyDescent="0.4">
      <c r="D58" s="1407"/>
      <c r="E58" s="1192">
        <v>44826</v>
      </c>
      <c r="F58" s="1192">
        <v>45192</v>
      </c>
      <c r="H58" s="1192">
        <f>E58</f>
        <v>44826</v>
      </c>
      <c r="I58" s="1192">
        <f>F58</f>
        <v>45192</v>
      </c>
      <c r="K58" s="84">
        <v>2.94</v>
      </c>
      <c r="R58" s="12">
        <f>SUM(R55:R57)</f>
        <v>211.33841000000001</v>
      </c>
      <c r="S58" s="12">
        <f>SUM(S55:S57)</f>
        <v>277.98912000000001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33" ht="15.75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S59" s="9" t="s">
        <v>152</v>
      </c>
      <c r="T59" s="1291">
        <f>E58</f>
        <v>44826</v>
      </c>
      <c r="U59" s="1291">
        <f>F58</f>
        <v>45192</v>
      </c>
      <c r="V59" s="26"/>
      <c r="W59" s="1291">
        <v>44958</v>
      </c>
      <c r="X59" s="1291">
        <v>44958</v>
      </c>
      <c r="Y59" s="26"/>
      <c r="Z59" s="1291">
        <f>T59</f>
        <v>44826</v>
      </c>
      <c r="AA59" s="1291">
        <f>X59</f>
        <v>44958</v>
      </c>
      <c r="AC59" s="5">
        <v>57578</v>
      </c>
      <c r="AD59" s="5">
        <v>76550</v>
      </c>
    </row>
    <row r="60" spans="1:33" ht="16.149999999999999" x14ac:dyDescent="0.55000000000000004">
      <c r="D60" s="1407" t="s">
        <v>94</v>
      </c>
      <c r="E60" s="1193">
        <f>H60/10000000</f>
        <v>0.84600010000000003</v>
      </c>
      <c r="F60" s="1193">
        <f>I60/10000000</f>
        <v>0.93734980000000001</v>
      </c>
      <c r="H60" s="598">
        <f>E152</f>
        <v>8460001</v>
      </c>
      <c r="I60" s="598">
        <f>E115</f>
        <v>9373498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33" ht="16.149999999999999" x14ac:dyDescent="0.55000000000000004">
      <c r="D61" s="1407" t="s">
        <v>502</v>
      </c>
      <c r="E61" s="1193">
        <f>H61/10000000</f>
        <v>9.6294906000000005</v>
      </c>
      <c r="F61" s="1193">
        <f t="shared" ref="E61:F62" si="15">I61/10000000</f>
        <v>12.2805278</v>
      </c>
      <c r="H61" s="598">
        <f>G152</f>
        <v>96294906</v>
      </c>
      <c r="I61" s="598">
        <f>G115</f>
        <v>122805278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33" ht="16.899999999999999" thickBot="1" x14ac:dyDescent="0.6">
      <c r="D62" s="1407" t="s">
        <v>767</v>
      </c>
      <c r="E62" s="1193">
        <f t="shared" si="15"/>
        <v>61.117706900000002</v>
      </c>
      <c r="F62" s="1193">
        <f>I62/10000000</f>
        <v>63.489550000000001</v>
      </c>
      <c r="H62" s="1496">
        <f>I152</f>
        <v>611177069</v>
      </c>
      <c r="I62" s="1496">
        <f>I115</f>
        <v>634895500</v>
      </c>
      <c r="J62" s="1320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33" ht="16.5" x14ac:dyDescent="0.55000000000000004">
      <c r="E63" s="428"/>
      <c r="F63" s="428"/>
      <c r="J63" s="1215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33" ht="15.4" x14ac:dyDescent="0.4">
      <c r="E64" s="428"/>
      <c r="F64" s="428"/>
      <c r="I64" s="82">
        <f>J65/1000000</f>
        <v>0.23699999999999999</v>
      </c>
      <c r="K64" s="212"/>
      <c r="L64" s="1217"/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6.149999999999999" x14ac:dyDescent="0.55000000000000004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>
        <f>SUM(T60:T64)</f>
        <v>665125</v>
      </c>
      <c r="U65" s="26">
        <f t="shared" ref="U65:AA65" si="16">SUM(U60:U64)</f>
        <v>3363834</v>
      </c>
      <c r="W65" s="9">
        <f>SUM(W60:W64)</f>
        <v>1174725</v>
      </c>
      <c r="X65" s="9">
        <f t="shared" si="16"/>
        <v>7176648</v>
      </c>
      <c r="Y65" s="26"/>
      <c r="Z65" s="9">
        <f t="shared" si="16"/>
        <v>403700</v>
      </c>
      <c r="AA65" s="9">
        <f t="shared" si="16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6.149999999999999" x14ac:dyDescent="0.55000000000000004">
      <c r="D66" s="1407" t="s">
        <v>94</v>
      </c>
      <c r="E66" s="1193">
        <f>H66/1000000</f>
        <v>1.447203</v>
      </c>
      <c r="F66" s="1193">
        <f>I66/1000000</f>
        <v>1.541534</v>
      </c>
      <c r="H66" s="598">
        <f>D152</f>
        <v>1447203</v>
      </c>
      <c r="I66" s="598">
        <f>D115</f>
        <v>1541534</v>
      </c>
      <c r="J66" s="323">
        <f>H66/100000</f>
        <v>14.47203</v>
      </c>
      <c r="K66" s="323">
        <f t="shared" ref="K66:K68" si="17">I66/100000</f>
        <v>15.41534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6.149999999999999" x14ac:dyDescent="0.55000000000000004">
      <c r="D67" s="1407" t="s">
        <v>502</v>
      </c>
      <c r="E67" s="1193">
        <f t="shared" ref="E67:F68" si="18">H67/1000000</f>
        <v>1.1379490000000001</v>
      </c>
      <c r="F67" s="1193">
        <f t="shared" si="18"/>
        <v>1.346654</v>
      </c>
      <c r="H67" s="598">
        <f>F152</f>
        <v>1137949</v>
      </c>
      <c r="I67" s="598">
        <f>F115</f>
        <v>1346654</v>
      </c>
      <c r="J67" s="323">
        <f>H67/100000</f>
        <v>11.379490000000001</v>
      </c>
      <c r="K67" s="323">
        <f t="shared" si="17"/>
        <v>13.46654</v>
      </c>
      <c r="L67" s="491">
        <f>K66/100000</f>
        <v>1.541534E-4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6.149999999999999" x14ac:dyDescent="0.55000000000000004">
      <c r="D68" s="1407" t="s">
        <v>767</v>
      </c>
      <c r="E68" s="1193">
        <f t="shared" si="18"/>
        <v>0.87407999999999997</v>
      </c>
      <c r="F68" s="1193">
        <f>I68/1000000</f>
        <v>0.87036899999999995</v>
      </c>
      <c r="H68" s="1496">
        <f>H152</f>
        <v>874080</v>
      </c>
      <c r="I68" s="1496">
        <f>H115</f>
        <v>870369</v>
      </c>
      <c r="J68" s="323">
        <f>H68/100000</f>
        <v>8.7408000000000001</v>
      </c>
      <c r="K68" s="323">
        <f t="shared" si="17"/>
        <v>8.7036899999999999</v>
      </c>
      <c r="L68" s="491">
        <f>K67/100000</f>
        <v>1.3466540000000001E-4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J69" s="323"/>
      <c r="K69" s="212"/>
      <c r="L69" s="491">
        <f>K68/100000</f>
        <v>8.7036899999999993E-5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6.149999999999999" x14ac:dyDescent="0.55000000000000004">
      <c r="D71" s="1418" t="s">
        <v>436</v>
      </c>
      <c r="E71" s="134">
        <f>H71</f>
        <v>1.4289285</v>
      </c>
      <c r="F71" s="134">
        <f>I71</f>
        <v>1.3186994999999999</v>
      </c>
      <c r="H71" s="1372">
        <f>J71/10000000</f>
        <v>1.4289285</v>
      </c>
      <c r="I71" s="1372">
        <f>K71/10000000</f>
        <v>1.3186994999999999</v>
      </c>
      <c r="J71">
        <v>14289285</v>
      </c>
      <c r="K71">
        <v>13186995</v>
      </c>
      <c r="L71" s="1217"/>
      <c r="N71" s="755">
        <v>6531262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5">
        <f>66.07-3.11</f>
        <v>62.959999999999994</v>
      </c>
      <c r="D72" s="1418" t="s">
        <v>769</v>
      </c>
      <c r="E72" s="134">
        <f>J79/100</f>
        <v>2.0613000000000001</v>
      </c>
      <c r="F72" s="134">
        <f>K79/100</f>
        <v>1.9274</v>
      </c>
      <c r="H72" s="1263"/>
      <c r="I72" s="1263"/>
      <c r="J72" s="85"/>
      <c r="K72" s="134"/>
      <c r="L72" s="1217"/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5.2199999999999996E-2</v>
      </c>
      <c r="F73" s="283">
        <f>K77/100</f>
        <v>6.54E-2</v>
      </c>
      <c r="H73" s="1263"/>
      <c r="I73" s="1263"/>
      <c r="J73" s="283"/>
      <c r="K73" s="283"/>
      <c r="L73" s="1217"/>
      <c r="U73" s="1239"/>
      <c r="AB73" s="1239"/>
    </row>
    <row r="74" spans="3:30" ht="15.4" x14ac:dyDescent="0.45">
      <c r="D74" s="1418" t="s">
        <v>196</v>
      </c>
      <c r="E74" s="134">
        <f>H74/10000000</f>
        <v>0.19018499999999999</v>
      </c>
      <c r="F74" s="134">
        <f>I74/10000000</f>
        <v>0.199327</v>
      </c>
      <c r="H74" s="1578">
        <f>J152</f>
        <v>1901850</v>
      </c>
      <c r="I74" s="1578">
        <f>J115</f>
        <v>1993270</v>
      </c>
      <c r="J74" s="598"/>
      <c r="K74" s="210">
        <f>J116</f>
        <v>0</v>
      </c>
      <c r="L74" s="1217"/>
      <c r="M74" s="1210"/>
      <c r="N74" s="12"/>
      <c r="X74" s="5"/>
    </row>
    <row r="75" spans="3:30" ht="16.149999999999999" x14ac:dyDescent="0.55000000000000004">
      <c r="D75" s="1418" t="s">
        <v>123</v>
      </c>
      <c r="E75" s="425">
        <f>H75</f>
        <v>0</v>
      </c>
      <c r="F75" s="425">
        <f>I75</f>
        <v>2.8910184000000001</v>
      </c>
      <c r="H75" s="1372">
        <f>J75/10000000</f>
        <v>0</v>
      </c>
      <c r="I75" s="1372">
        <f>K75/10000000</f>
        <v>2.8910184000000001</v>
      </c>
      <c r="J75" s="210">
        <f>L152</f>
        <v>0</v>
      </c>
      <c r="K75" s="1498">
        <f>L115</f>
        <v>28910184</v>
      </c>
    </row>
    <row r="76" spans="3:30" ht="16.149999999999999" x14ac:dyDescent="0.55000000000000004">
      <c r="D76" s="1418" t="s">
        <v>435</v>
      </c>
      <c r="E76" s="134">
        <f>H76/10000000</f>
        <v>2.656828</v>
      </c>
      <c r="F76" s="134">
        <f>I76/10000000</f>
        <v>3.0716307999999999</v>
      </c>
      <c r="H76" s="1578">
        <f>K152</f>
        <v>26568280</v>
      </c>
      <c r="I76" s="1578">
        <f>K115</f>
        <v>30716308</v>
      </c>
      <c r="J76" s="1498">
        <v>32202382</v>
      </c>
      <c r="K76" s="1499">
        <f>K115</f>
        <v>30716308</v>
      </c>
      <c r="N76" s="755"/>
    </row>
    <row r="77" spans="3:30" x14ac:dyDescent="0.4">
      <c r="H77" s="1224"/>
      <c r="I77" s="1225"/>
      <c r="J77" s="85">
        <v>5.22</v>
      </c>
      <c r="K77" s="134">
        <v>6.54</v>
      </c>
    </row>
    <row r="78" spans="3:30" x14ac:dyDescent="0.4">
      <c r="E78" s="428"/>
      <c r="F78" s="428"/>
      <c r="J78" s="85">
        <v>211.35</v>
      </c>
      <c r="K78" s="85">
        <v>199.28</v>
      </c>
      <c r="L78" s="172">
        <f>J77/100</f>
        <v>5.2199999999999996E-2</v>
      </c>
    </row>
    <row r="79" spans="3:30" x14ac:dyDescent="0.4">
      <c r="E79" s="428"/>
      <c r="F79" s="428"/>
      <c r="J79" s="85">
        <f>J78-J77</f>
        <v>206.13</v>
      </c>
      <c r="K79" s="134">
        <f>K78-K77</f>
        <v>192.74</v>
      </c>
    </row>
    <row r="80" spans="3:30" x14ac:dyDescent="0.4">
      <c r="E80" s="428"/>
      <c r="F80" s="428"/>
      <c r="L80" s="172">
        <f>J79/100</f>
        <v>2.0613000000000001</v>
      </c>
    </row>
    <row r="81" spans="3:21" x14ac:dyDescent="0.4">
      <c r="C81" s="9"/>
      <c r="D81" s="235" t="s">
        <v>164</v>
      </c>
      <c r="E81" s="265" t="s">
        <v>710</v>
      </c>
      <c r="F81" s="29" t="s">
        <v>164</v>
      </c>
      <c r="G81" s="265" t="s">
        <v>710</v>
      </c>
      <c r="H81" s="29" t="s">
        <v>164</v>
      </c>
      <c r="I81" s="265" t="s">
        <v>710</v>
      </c>
      <c r="J81" s="29"/>
      <c r="K81" s="29"/>
      <c r="L81" s="1596"/>
    </row>
    <row r="82" spans="3:21" x14ac:dyDescent="0.4">
      <c r="C82" s="9"/>
      <c r="D82" s="235">
        <v>23</v>
      </c>
      <c r="E82" s="29">
        <v>23</v>
      </c>
      <c r="F82" s="29">
        <v>23</v>
      </c>
      <c r="G82" s="29">
        <v>23</v>
      </c>
      <c r="H82" s="29">
        <v>23</v>
      </c>
      <c r="I82" s="29">
        <v>23</v>
      </c>
      <c r="J82" s="29" t="s">
        <v>196</v>
      </c>
      <c r="K82" s="780">
        <v>23</v>
      </c>
      <c r="L82" s="1596"/>
    </row>
    <row r="83" spans="3:21" x14ac:dyDescent="0.4">
      <c r="C83" s="9"/>
      <c r="D83" s="1939" t="s">
        <v>795</v>
      </c>
      <c r="E83" s="1939"/>
      <c r="F83" s="1939" t="s">
        <v>796</v>
      </c>
      <c r="G83" s="1939"/>
      <c r="H83" s="1939" t="s">
        <v>797</v>
      </c>
      <c r="I83" s="1939"/>
      <c r="J83" s="29">
        <v>23</v>
      </c>
      <c r="K83" s="9" t="s">
        <v>882</v>
      </c>
      <c r="L83" s="1596" t="s">
        <v>123</v>
      </c>
    </row>
    <row r="84" spans="3:21" ht="16.149999999999999" x14ac:dyDescent="0.55000000000000004">
      <c r="C84" s="1239">
        <v>45170</v>
      </c>
      <c r="D84" s="1599"/>
      <c r="E84" s="1600"/>
      <c r="F84" s="224"/>
      <c r="G84" s="224"/>
      <c r="H84" s="1601"/>
      <c r="I84" s="1602"/>
      <c r="J84" s="1575"/>
      <c r="K84" s="1602"/>
      <c r="L84" s="1577"/>
      <c r="O84" s="1449">
        <v>62890</v>
      </c>
      <c r="P84" s="476">
        <v>373538</v>
      </c>
      <c r="Q84" s="7">
        <v>48426</v>
      </c>
      <c r="R84" s="7">
        <v>4303143</v>
      </c>
      <c r="S84" s="1453"/>
      <c r="T84" s="828"/>
      <c r="U84" s="85">
        <v>68220</v>
      </c>
    </row>
    <row r="85" spans="3:21" x14ac:dyDescent="0.4">
      <c r="C85" s="1239">
        <v>45171</v>
      </c>
      <c r="D85" s="1451"/>
      <c r="E85" s="476"/>
      <c r="F85" s="7"/>
      <c r="G85" s="7"/>
      <c r="H85" s="224"/>
      <c r="I85" s="1576"/>
      <c r="J85" s="1576"/>
      <c r="K85" s="1575"/>
      <c r="L85" s="1577"/>
      <c r="O85" s="1451">
        <v>69548</v>
      </c>
      <c r="P85" s="476">
        <v>406133</v>
      </c>
      <c r="Q85" s="7">
        <v>51371</v>
      </c>
      <c r="R85" s="7">
        <v>3850288</v>
      </c>
      <c r="S85" s="224"/>
      <c r="T85" s="1576"/>
      <c r="U85" s="1576">
        <v>68040</v>
      </c>
    </row>
    <row r="86" spans="3:21" x14ac:dyDescent="0.4">
      <c r="C86" s="1239">
        <v>45172</v>
      </c>
      <c r="D86" s="1451"/>
      <c r="E86" s="476"/>
      <c r="F86" s="7"/>
      <c r="G86" s="7"/>
      <c r="H86" s="7"/>
      <c r="I86" s="210"/>
      <c r="J86" s="210"/>
      <c r="K86" s="85"/>
      <c r="L86" s="1297"/>
      <c r="O86" s="1451">
        <v>68805</v>
      </c>
      <c r="P86" s="476">
        <v>395004</v>
      </c>
      <c r="Q86" s="7">
        <v>51335</v>
      </c>
      <c r="R86" s="7">
        <v>4085432</v>
      </c>
      <c r="S86" s="7"/>
      <c r="T86" s="210"/>
      <c r="U86" s="210">
        <v>71690</v>
      </c>
    </row>
    <row r="87" spans="3:21" x14ac:dyDescent="0.4">
      <c r="C87" s="1239">
        <v>45173</v>
      </c>
      <c r="D87" s="1451"/>
      <c r="E87" s="476"/>
      <c r="F87" s="7"/>
      <c r="G87" s="7"/>
      <c r="H87" s="7"/>
      <c r="I87" s="210"/>
      <c r="J87" s="210"/>
      <c r="K87" s="85"/>
      <c r="L87" s="1297"/>
      <c r="O87" s="1451">
        <v>60608</v>
      </c>
      <c r="P87" s="476">
        <v>361532</v>
      </c>
      <c r="Q87" s="7">
        <v>49071</v>
      </c>
      <c r="R87" s="7">
        <v>4100485</v>
      </c>
      <c r="S87" s="7"/>
      <c r="T87" s="210"/>
      <c r="U87" s="210">
        <v>63060</v>
      </c>
    </row>
    <row r="88" spans="3:21" x14ac:dyDescent="0.4">
      <c r="C88" s="1239">
        <v>45174</v>
      </c>
      <c r="D88" s="1451"/>
      <c r="E88" s="476"/>
      <c r="F88" s="7"/>
      <c r="G88" s="7"/>
      <c r="H88" s="7"/>
      <c r="I88" s="210"/>
      <c r="J88" s="1604"/>
      <c r="K88" s="85"/>
      <c r="L88" s="1297"/>
      <c r="O88" s="1451">
        <v>56363</v>
      </c>
      <c r="P88" s="476">
        <v>418378</v>
      </c>
      <c r="Q88" s="7">
        <v>51147</v>
      </c>
      <c r="R88" s="7">
        <v>4595376</v>
      </c>
      <c r="S88" s="7"/>
      <c r="T88" s="210"/>
      <c r="U88" s="210">
        <v>77790</v>
      </c>
    </row>
    <row r="89" spans="3:21" ht="16.5" thickBot="1" x14ac:dyDescent="0.6">
      <c r="C89" s="1239">
        <v>45175</v>
      </c>
      <c r="D89" s="1451"/>
      <c r="E89" s="476"/>
      <c r="F89" s="6"/>
      <c r="G89" s="6"/>
      <c r="H89" s="1255"/>
      <c r="I89" s="828"/>
      <c r="J89" s="1604"/>
      <c r="K89" s="755"/>
      <c r="L89" s="1297"/>
      <c r="O89" s="1451">
        <v>58004</v>
      </c>
      <c r="P89" s="476">
        <v>513836</v>
      </c>
      <c r="Q89" s="6">
        <v>48683</v>
      </c>
      <c r="R89" s="6">
        <v>4834875</v>
      </c>
      <c r="S89" s="824"/>
      <c r="T89" s="755"/>
      <c r="U89" s="210">
        <v>94230</v>
      </c>
    </row>
    <row r="90" spans="3:21" x14ac:dyDescent="0.4">
      <c r="C90" s="1239">
        <v>45176</v>
      </c>
      <c r="D90" s="1451"/>
      <c r="E90" s="476"/>
      <c r="F90" s="6"/>
      <c r="G90" s="6"/>
      <c r="H90" s="1461"/>
      <c r="I90" s="1460"/>
      <c r="J90" s="1593"/>
      <c r="K90" s="85"/>
      <c r="L90" s="1594"/>
    </row>
    <row r="91" spans="3:21" x14ac:dyDescent="0.4">
      <c r="C91" s="1239">
        <v>45177</v>
      </c>
      <c r="D91" s="1451"/>
      <c r="E91" s="476"/>
      <c r="F91" s="6"/>
      <c r="G91" s="6"/>
      <c r="H91" s="31"/>
      <c r="I91" s="79"/>
      <c r="J91" s="1593"/>
      <c r="K91" s="85"/>
      <c r="L91" s="1594"/>
    </row>
    <row r="92" spans="3:21" x14ac:dyDescent="0.4">
      <c r="C92" s="1239">
        <v>45178</v>
      </c>
      <c r="D92" s="1451"/>
      <c r="E92" s="476"/>
      <c r="F92" s="6"/>
      <c r="G92" s="6"/>
      <c r="H92" s="31"/>
      <c r="I92" s="79"/>
      <c r="J92" s="1593"/>
      <c r="K92" s="85"/>
      <c r="L92" s="1594"/>
    </row>
    <row r="93" spans="3:21" ht="16.5" thickBot="1" x14ac:dyDescent="0.6">
      <c r="C93" s="1239">
        <v>45179</v>
      </c>
      <c r="D93" s="1451">
        <v>648256</v>
      </c>
      <c r="E93" s="476">
        <v>3947733</v>
      </c>
      <c r="F93" s="6">
        <v>575686</v>
      </c>
      <c r="G93" s="6">
        <v>49585650</v>
      </c>
      <c r="H93" s="755">
        <v>394107</v>
      </c>
      <c r="I93" s="755">
        <v>281684670</v>
      </c>
      <c r="J93" s="1593">
        <v>872200</v>
      </c>
      <c r="K93" s="910">
        <v>12563301</v>
      </c>
      <c r="L93" s="1594">
        <v>7145401</v>
      </c>
      <c r="O93" s="41">
        <f>D93+F93</f>
        <v>1223942</v>
      </c>
      <c r="P93" s="41">
        <f>E93+G93</f>
        <v>53533383</v>
      </c>
      <c r="Q93" s="41">
        <f>H93</f>
        <v>394107</v>
      </c>
      <c r="R93" s="41">
        <f>I93</f>
        <v>281684670</v>
      </c>
    </row>
    <row r="94" spans="3:21" ht="16.149999999999999" x14ac:dyDescent="0.55000000000000004">
      <c r="C94" s="1239">
        <v>45180</v>
      </c>
      <c r="D94" s="1451"/>
      <c r="E94" s="476"/>
      <c r="F94" s="6"/>
      <c r="G94" s="6"/>
      <c r="H94" s="1255"/>
      <c r="I94" s="828"/>
      <c r="J94" s="1593"/>
      <c r="K94" s="828"/>
      <c r="L94" s="1594"/>
      <c r="O94" s="41">
        <f>D103+F103</f>
        <v>1241351</v>
      </c>
      <c r="P94" s="41">
        <f>E103+G103</f>
        <v>57106121</v>
      </c>
      <c r="Q94" s="5">
        <f>H103</f>
        <v>347916</v>
      </c>
      <c r="R94" s="5">
        <f>I103</f>
        <v>258300116</v>
      </c>
    </row>
    <row r="95" spans="3:21" ht="15.75" x14ac:dyDescent="0.4">
      <c r="C95" s="1239">
        <v>45181</v>
      </c>
      <c r="D95" s="1451"/>
      <c r="E95" s="476"/>
      <c r="F95" s="6"/>
      <c r="G95" s="6"/>
      <c r="H95" s="1255"/>
      <c r="I95" s="1453"/>
      <c r="J95" s="1593"/>
      <c r="K95" s="85"/>
      <c r="L95" s="1594"/>
      <c r="O95" s="41">
        <f>D116+F116</f>
        <v>422895</v>
      </c>
      <c r="P95" s="41">
        <f>E116+G116</f>
        <v>21539272</v>
      </c>
      <c r="Q95" s="41">
        <f>H116</f>
        <v>128346</v>
      </c>
      <c r="R95" s="41">
        <f>I116</f>
        <v>94910714</v>
      </c>
    </row>
    <row r="96" spans="3:21" ht="16.149999999999999" x14ac:dyDescent="0.55000000000000004">
      <c r="C96" s="1239">
        <v>45182</v>
      </c>
      <c r="D96" s="1451"/>
      <c r="E96" s="476"/>
      <c r="F96" s="6"/>
      <c r="G96" s="6"/>
      <c r="H96" s="828"/>
      <c r="I96" s="828"/>
      <c r="J96" s="1593"/>
      <c r="K96" s="1255"/>
      <c r="L96" s="1594"/>
    </row>
    <row r="97" spans="3:12" ht="16.149999999999999" x14ac:dyDescent="0.55000000000000004">
      <c r="C97" s="1239">
        <v>45183</v>
      </c>
      <c r="D97" s="1451"/>
      <c r="E97" s="476"/>
      <c r="F97" s="6"/>
      <c r="G97" s="6"/>
      <c r="H97" s="1254"/>
      <c r="I97" s="1254"/>
      <c r="J97" s="1593"/>
      <c r="K97" s="1255"/>
      <c r="L97" s="1594"/>
    </row>
    <row r="98" spans="3:12" x14ac:dyDescent="0.4">
      <c r="C98" s="1239">
        <v>45184</v>
      </c>
      <c r="D98" s="1451"/>
      <c r="E98" s="476"/>
      <c r="F98" s="6"/>
      <c r="G98" s="6"/>
      <c r="H98" s="31"/>
      <c r="I98" s="79"/>
      <c r="J98" s="1593"/>
      <c r="K98" s="85"/>
      <c r="L98" s="1594"/>
    </row>
    <row r="99" spans="3:12" ht="16.149999999999999" x14ac:dyDescent="0.55000000000000004">
      <c r="C99" s="1239">
        <v>45185</v>
      </c>
      <c r="D99" s="1451"/>
      <c r="E99" s="476"/>
      <c r="F99" s="6"/>
      <c r="G99" s="6"/>
      <c r="H99" s="828"/>
      <c r="I99" s="1453"/>
      <c r="J99" s="1593"/>
      <c r="K99" s="85"/>
      <c r="L99" s="1594"/>
    </row>
    <row r="100" spans="3:12" ht="16.149999999999999" thickBot="1" x14ac:dyDescent="0.45">
      <c r="C100" s="1239">
        <v>45186</v>
      </c>
      <c r="D100" s="1451"/>
      <c r="E100" s="476"/>
      <c r="F100" s="6"/>
      <c r="G100" s="6"/>
      <c r="H100" s="824"/>
      <c r="I100" s="910"/>
      <c r="J100" s="1593"/>
      <c r="K100" s="824"/>
      <c r="L100" s="1594">
        <v>8785474</v>
      </c>
    </row>
    <row r="101" spans="3:12" ht="16.149999999999999" x14ac:dyDescent="0.55000000000000004">
      <c r="C101" s="1239">
        <v>45187</v>
      </c>
      <c r="D101" s="1451"/>
      <c r="E101" s="476"/>
      <c r="F101" s="6"/>
      <c r="G101" s="6"/>
      <c r="H101" s="1255"/>
      <c r="I101" s="828"/>
      <c r="J101" s="1593"/>
      <c r="K101" s="828"/>
      <c r="L101" s="1594"/>
    </row>
    <row r="102" spans="3:12" x14ac:dyDescent="0.4">
      <c r="C102" s="1239">
        <v>45188</v>
      </c>
      <c r="D102" s="234"/>
      <c r="E102" s="476"/>
      <c r="F102" s="6"/>
      <c r="G102" s="6"/>
      <c r="H102" s="31"/>
      <c r="I102" s="79"/>
      <c r="J102" s="1593"/>
      <c r="K102" s="85"/>
      <c r="L102" s="1594"/>
    </row>
    <row r="103" spans="3:12" ht="16.149999999999999" x14ac:dyDescent="0.55000000000000004">
      <c r="C103" s="1239">
        <v>45189</v>
      </c>
      <c r="D103" s="1451">
        <v>671737</v>
      </c>
      <c r="E103" s="476">
        <v>3922891</v>
      </c>
      <c r="F103" s="6">
        <v>569614</v>
      </c>
      <c r="G103" s="6">
        <v>53183230</v>
      </c>
      <c r="H103" s="755">
        <v>347916</v>
      </c>
      <c r="I103" s="755">
        <v>258300116</v>
      </c>
      <c r="J103" s="1593">
        <v>801420</v>
      </c>
      <c r="K103" s="755">
        <v>13098657</v>
      </c>
      <c r="L103" s="1594">
        <v>8890474</v>
      </c>
    </row>
    <row r="104" spans="3:12" ht="16.149999999999999" x14ac:dyDescent="0.55000000000000004">
      <c r="C104" s="1239">
        <v>45190</v>
      </c>
      <c r="D104" s="1478">
        <v>67073</v>
      </c>
      <c r="E104" s="1479">
        <v>392765</v>
      </c>
      <c r="F104" s="1603">
        <v>54323</v>
      </c>
      <c r="G104" s="1603">
        <v>5058408</v>
      </c>
      <c r="H104" s="828"/>
      <c r="I104" s="828"/>
      <c r="J104" s="1593">
        <v>77380</v>
      </c>
      <c r="K104" s="1255"/>
      <c r="L104" s="1594">
        <v>4088835</v>
      </c>
    </row>
    <row r="105" spans="3:12" x14ac:dyDescent="0.4">
      <c r="C105" s="1239">
        <v>45191</v>
      </c>
      <c r="D105" s="1451">
        <v>50676</v>
      </c>
      <c r="E105" s="476">
        <v>326661</v>
      </c>
      <c r="F105" s="85">
        <v>45594</v>
      </c>
      <c r="G105" s="85">
        <v>4432038</v>
      </c>
      <c r="H105" s="31"/>
      <c r="I105" s="79"/>
      <c r="J105" s="85">
        <v>61900</v>
      </c>
      <c r="K105" s="85"/>
      <c r="L105" s="1594"/>
    </row>
    <row r="106" spans="3:12" x14ac:dyDescent="0.4">
      <c r="C106" s="1239">
        <v>45192</v>
      </c>
      <c r="D106" s="1451">
        <v>47187</v>
      </c>
      <c r="E106" s="476">
        <v>341578</v>
      </c>
      <c r="F106" s="476">
        <v>45022</v>
      </c>
      <c r="G106" s="85">
        <v>4674828</v>
      </c>
      <c r="H106" s="31"/>
      <c r="I106" s="79"/>
      <c r="J106" s="85">
        <v>83140</v>
      </c>
      <c r="K106" s="85"/>
      <c r="L106" s="1297"/>
    </row>
    <row r="107" spans="3:12" ht="16.5" thickBot="1" x14ac:dyDescent="0.6">
      <c r="C107" s="1239">
        <v>45193</v>
      </c>
      <c r="D107" s="1451">
        <v>56605</v>
      </c>
      <c r="E107" s="476">
        <v>441870</v>
      </c>
      <c r="F107" s="85">
        <v>56415</v>
      </c>
      <c r="G107" s="85">
        <v>5871124</v>
      </c>
      <c r="H107" s="755">
        <v>128346</v>
      </c>
      <c r="I107" s="824">
        <v>94910714</v>
      </c>
      <c r="J107" s="85">
        <v>97230</v>
      </c>
      <c r="K107" s="755">
        <v>5054350</v>
      </c>
      <c r="L107" s="1297"/>
    </row>
    <row r="108" spans="3:12" x14ac:dyDescent="0.4">
      <c r="C108" s="1239">
        <v>45194</v>
      </c>
      <c r="D108" s="1454"/>
      <c r="E108" s="1243"/>
      <c r="F108" s="1243"/>
      <c r="G108" s="1243"/>
      <c r="H108" s="1243"/>
      <c r="I108" s="1243"/>
      <c r="J108" s="85"/>
      <c r="K108" s="1243"/>
      <c r="L108" s="1297"/>
    </row>
    <row r="109" spans="3:12" x14ac:dyDescent="0.4">
      <c r="C109" s="1239">
        <v>45195</v>
      </c>
      <c r="D109" s="1407"/>
      <c r="E109" s="476"/>
      <c r="F109" s="85"/>
      <c r="G109" s="85"/>
      <c r="H109" s="31"/>
      <c r="I109" s="79"/>
      <c r="J109" s="1243"/>
      <c r="K109" s="85"/>
      <c r="L109" s="1297"/>
    </row>
    <row r="110" spans="3:12" ht="16.149999999999999" x14ac:dyDescent="0.55000000000000004">
      <c r="C110" s="1239">
        <v>45196</v>
      </c>
      <c r="D110" s="1407"/>
      <c r="E110" s="476"/>
      <c r="F110" s="85"/>
      <c r="G110" s="85"/>
      <c r="H110" s="755"/>
      <c r="I110" s="755"/>
      <c r="J110" s="85"/>
      <c r="K110" s="755"/>
      <c r="L110" s="1297"/>
    </row>
    <row r="111" spans="3:12" ht="16.5" thickBot="1" x14ac:dyDescent="0.6">
      <c r="C111" s="1239">
        <v>45197</v>
      </c>
      <c r="D111" s="1407"/>
      <c r="E111" s="476"/>
      <c r="F111" s="6"/>
      <c r="G111" s="6"/>
      <c r="H111" s="824"/>
      <c r="I111" s="910"/>
      <c r="J111" s="85"/>
      <c r="K111" s="755"/>
      <c r="L111" s="1297"/>
    </row>
    <row r="112" spans="3:12" x14ac:dyDescent="0.4">
      <c r="C112" s="1239">
        <v>45198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34" ht="16.149999999999999" x14ac:dyDescent="0.55000000000000004">
      <c r="C113" s="1239">
        <v>45199</v>
      </c>
      <c r="D113" s="1407"/>
      <c r="E113" s="476"/>
      <c r="F113" s="6"/>
      <c r="G113" s="6"/>
      <c r="H113" s="755"/>
      <c r="I113" s="755"/>
      <c r="J113" s="85"/>
      <c r="K113" s="755"/>
      <c r="L113" s="1297"/>
    </row>
    <row r="114" spans="1:34" x14ac:dyDescent="0.4">
      <c r="C114" s="1239"/>
      <c r="D114" s="1455"/>
      <c r="E114" s="277"/>
      <c r="F114" s="44"/>
      <c r="G114" s="44"/>
      <c r="H114" s="1456"/>
      <c r="I114" s="278"/>
      <c r="J114" s="85"/>
      <c r="K114" s="1448"/>
      <c r="L114" s="1297"/>
    </row>
    <row r="115" spans="1:34" x14ac:dyDescent="0.4">
      <c r="C115" s="1239">
        <v>45170</v>
      </c>
      <c r="D115" s="1462">
        <f t="shared" ref="D115:L115" si="19">SUM(D84:D114)</f>
        <v>1541534</v>
      </c>
      <c r="E115" s="1462">
        <f t="shared" si="19"/>
        <v>9373498</v>
      </c>
      <c r="F115" s="1462">
        <f t="shared" si="19"/>
        <v>1346654</v>
      </c>
      <c r="G115" s="1462">
        <f t="shared" si="19"/>
        <v>122805278</v>
      </c>
      <c r="H115" s="1462">
        <f t="shared" si="19"/>
        <v>870369</v>
      </c>
      <c r="I115" s="1462">
        <f t="shared" si="19"/>
        <v>634895500</v>
      </c>
      <c r="J115" s="1462">
        <f t="shared" si="19"/>
        <v>1993270</v>
      </c>
      <c r="K115" s="1462">
        <f t="shared" si="19"/>
        <v>30716308</v>
      </c>
      <c r="L115" s="1462">
        <f t="shared" si="19"/>
        <v>28910184</v>
      </c>
      <c r="P115" s="41">
        <f>E115+G115</f>
        <v>132178776</v>
      </c>
    </row>
    <row r="116" spans="1:34" x14ac:dyDescent="0.4">
      <c r="D116" s="1420">
        <f>D104+D105+D106+D107</f>
        <v>221541</v>
      </c>
      <c r="E116" s="1420">
        <f t="shared" ref="E116:I116" si="20">E104+E105+E106+E107</f>
        <v>1502874</v>
      </c>
      <c r="F116" s="1420">
        <f t="shared" si="20"/>
        <v>201354</v>
      </c>
      <c r="G116" s="1420">
        <f>G104+G105+G106+G107</f>
        <v>20036398</v>
      </c>
      <c r="H116" s="1420">
        <f t="shared" si="20"/>
        <v>128346</v>
      </c>
      <c r="I116" s="1420">
        <f t="shared" si="20"/>
        <v>94910714</v>
      </c>
      <c r="J116" s="1462"/>
    </row>
    <row r="117" spans="1:34" x14ac:dyDescent="0.4">
      <c r="L117" s="1297"/>
    </row>
    <row r="118" spans="1:34" s="172" customFormat="1" x14ac:dyDescent="0.4">
      <c r="A118" s="1235"/>
      <c r="B118" s="300"/>
      <c r="C118" s="9"/>
      <c r="D118" s="235" t="s">
        <v>164</v>
      </c>
      <c r="E118" s="265" t="s">
        <v>710</v>
      </c>
      <c r="F118" s="29" t="s">
        <v>164</v>
      </c>
      <c r="G118" s="265" t="s">
        <v>710</v>
      </c>
      <c r="H118" s="29" t="s">
        <v>164</v>
      </c>
      <c r="I118" s="265" t="s">
        <v>710</v>
      </c>
      <c r="J118" s="29" t="s">
        <v>196</v>
      </c>
      <c r="K118" s="1592"/>
      <c r="L118" s="1596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 s="172" customFormat="1" x14ac:dyDescent="0.4">
      <c r="A119" s="1235"/>
      <c r="B119" s="300"/>
      <c r="C119" s="9"/>
      <c r="D119" s="235">
        <v>22</v>
      </c>
      <c r="E119" s="29">
        <v>22</v>
      </c>
      <c r="F119" s="29">
        <v>22</v>
      </c>
      <c r="G119" s="29">
        <v>22</v>
      </c>
      <c r="H119" s="29">
        <v>22</v>
      </c>
      <c r="I119" s="29">
        <v>22</v>
      </c>
      <c r="J119" s="29">
        <v>22</v>
      </c>
      <c r="K119" s="1597">
        <v>22</v>
      </c>
      <c r="L119" s="1596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 s="172" customFormat="1" x14ac:dyDescent="0.4">
      <c r="A120" s="1235"/>
      <c r="B120" s="300"/>
      <c r="C120" s="9"/>
      <c r="D120" s="1939" t="s">
        <v>795</v>
      </c>
      <c r="E120" s="1939"/>
      <c r="F120" s="1939" t="s">
        <v>796</v>
      </c>
      <c r="G120" s="1939"/>
      <c r="H120" s="1939" t="s">
        <v>797</v>
      </c>
      <c r="I120" s="1939"/>
      <c r="J120" s="9" t="s">
        <v>196</v>
      </c>
      <c r="K120" s="1598" t="s">
        <v>435</v>
      </c>
      <c r="L120" s="1596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 s="172" customFormat="1" ht="16.149999999999999" x14ac:dyDescent="0.55000000000000004">
      <c r="A121" s="1235"/>
      <c r="B121" s="300"/>
      <c r="C121" s="1261">
        <v>44805</v>
      </c>
      <c r="D121" s="1449"/>
      <c r="E121" s="476"/>
      <c r="F121" s="6"/>
      <c r="G121" s="6"/>
      <c r="H121" s="755"/>
      <c r="I121" s="755"/>
      <c r="J121" s="85"/>
      <c r="K121" s="1255"/>
      <c r="L121" s="1297"/>
      <c r="M121" s="1209"/>
      <c r="N121" s="5"/>
      <c r="O121" s="1449">
        <v>64100</v>
      </c>
      <c r="P121" s="476">
        <v>352606</v>
      </c>
      <c r="Q121" s="6">
        <v>50287</v>
      </c>
      <c r="R121" s="6">
        <v>3243776</v>
      </c>
      <c r="S121" s="755"/>
      <c r="T121" s="755"/>
      <c r="U121" s="85">
        <v>72390</v>
      </c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 s="172" customFormat="1" x14ac:dyDescent="0.4">
      <c r="A122" s="1235"/>
      <c r="B122" s="300"/>
      <c r="C122" s="1261">
        <v>44806</v>
      </c>
      <c r="D122" s="1451"/>
      <c r="E122" s="476"/>
      <c r="F122" s="6"/>
      <c r="G122" s="6"/>
      <c r="H122" s="31"/>
      <c r="I122" s="79"/>
      <c r="J122" s="85"/>
      <c r="K122" s="85"/>
      <c r="L122" s="1297"/>
      <c r="M122" s="1209"/>
      <c r="N122" s="5"/>
      <c r="O122" s="1451">
        <v>47455</v>
      </c>
      <c r="P122" s="476">
        <v>274841</v>
      </c>
      <c r="Q122" s="6">
        <v>37882</v>
      </c>
      <c r="R122" s="6">
        <v>2992313</v>
      </c>
      <c r="S122" s="31"/>
      <c r="T122" s="79"/>
      <c r="U122" s="85">
        <v>71700</v>
      </c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 s="172" customFormat="1" x14ac:dyDescent="0.4">
      <c r="A123" s="1235"/>
      <c r="B123" s="300"/>
      <c r="C123" s="1261">
        <v>44807</v>
      </c>
      <c r="D123" s="1451"/>
      <c r="E123" s="476"/>
      <c r="F123" s="6"/>
      <c r="G123" s="6"/>
      <c r="H123" s="31"/>
      <c r="I123" s="79"/>
      <c r="J123" s="85"/>
      <c r="K123" s="85"/>
      <c r="L123" s="1297"/>
      <c r="M123" s="1209"/>
      <c r="N123" s="5"/>
      <c r="O123" s="1451">
        <v>51343</v>
      </c>
      <c r="P123" s="476">
        <v>284320</v>
      </c>
      <c r="Q123" s="6">
        <v>35510</v>
      </c>
      <c r="R123" s="6">
        <v>2980113</v>
      </c>
      <c r="S123" s="31"/>
      <c r="T123" s="79"/>
      <c r="U123" s="85">
        <v>70770</v>
      </c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 s="172" customFormat="1" x14ac:dyDescent="0.4">
      <c r="A124" s="1235"/>
      <c r="B124" s="300"/>
      <c r="C124" s="1261">
        <v>44808</v>
      </c>
      <c r="D124" s="1451"/>
      <c r="E124" s="476"/>
      <c r="F124" s="6"/>
      <c r="G124" s="6"/>
      <c r="H124" s="31"/>
      <c r="I124" s="79"/>
      <c r="J124" s="85"/>
      <c r="K124" s="85"/>
      <c r="L124" s="1297"/>
      <c r="M124" s="1209"/>
      <c r="N124" s="5"/>
      <c r="O124" s="1451">
        <v>50716</v>
      </c>
      <c r="P124" s="476">
        <v>287532</v>
      </c>
      <c r="Q124" s="6">
        <v>39138</v>
      </c>
      <c r="R124" s="6">
        <v>2848582</v>
      </c>
      <c r="S124" s="31"/>
      <c r="T124" s="79"/>
      <c r="U124" s="85">
        <v>70340</v>
      </c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 s="172" customFormat="1" x14ac:dyDescent="0.4">
      <c r="A125" s="1235"/>
      <c r="B125" s="300"/>
      <c r="C125" s="1261">
        <v>44809</v>
      </c>
      <c r="D125" s="1451"/>
      <c r="E125" s="476"/>
      <c r="F125" s="6"/>
      <c r="G125" s="6"/>
      <c r="H125" s="31"/>
      <c r="I125" s="79"/>
      <c r="J125" s="85"/>
      <c r="K125" s="85"/>
      <c r="L125" s="1297"/>
      <c r="M125" s="1209"/>
      <c r="N125" s="5"/>
      <c r="O125" s="1451">
        <v>46074</v>
      </c>
      <c r="P125" s="476">
        <v>269365</v>
      </c>
      <c r="Q125" s="6">
        <v>35823</v>
      </c>
      <c r="R125" s="6">
        <v>3069600</v>
      </c>
      <c r="S125" s="31"/>
      <c r="T125" s="79"/>
      <c r="U125" s="85">
        <v>61840</v>
      </c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 s="172" customFormat="1" ht="16.5" thickBot="1" x14ac:dyDescent="0.6">
      <c r="A126" s="1235"/>
      <c r="B126" s="300"/>
      <c r="C126" s="1261">
        <v>44810</v>
      </c>
      <c r="D126" s="1451"/>
      <c r="E126" s="476"/>
      <c r="F126" s="6"/>
      <c r="G126" s="6"/>
      <c r="H126" s="1255"/>
      <c r="I126" s="828"/>
      <c r="J126" s="85"/>
      <c r="K126" s="1255"/>
      <c r="L126" s="1297"/>
      <c r="M126" s="1209"/>
      <c r="N126" s="5"/>
      <c r="O126" s="1451">
        <v>44550</v>
      </c>
      <c r="P126" s="476">
        <v>324802</v>
      </c>
      <c r="Q126" s="6">
        <v>36929</v>
      </c>
      <c r="R126" s="6">
        <v>3450395</v>
      </c>
      <c r="S126" s="824"/>
      <c r="T126" s="755"/>
      <c r="U126" s="85">
        <v>79260</v>
      </c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 s="172" customFormat="1" ht="15.75" x14ac:dyDescent="0.5">
      <c r="A127" s="1235"/>
      <c r="B127" s="300"/>
      <c r="C127" s="1261">
        <v>44811</v>
      </c>
      <c r="D127" s="1451"/>
      <c r="E127" s="476"/>
      <c r="F127" s="6"/>
      <c r="G127" s="6"/>
      <c r="H127" s="7"/>
      <c r="I127" s="1459"/>
      <c r="J127" s="85"/>
      <c r="K127" s="1277"/>
      <c r="L127" s="1594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 s="172" customFormat="1" x14ac:dyDescent="0.4">
      <c r="A128" s="1235"/>
      <c r="B128" s="300"/>
      <c r="C128" s="1261">
        <v>44812</v>
      </c>
      <c r="D128" s="1451"/>
      <c r="E128" s="476"/>
      <c r="F128" s="6"/>
      <c r="G128" s="6"/>
      <c r="H128" s="31"/>
      <c r="I128" s="79"/>
      <c r="J128" s="85"/>
      <c r="K128" s="85"/>
      <c r="L128" s="1594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261">
        <v>44813</v>
      </c>
      <c r="D129" s="1451"/>
      <c r="E129" s="476"/>
      <c r="F129" s="6"/>
      <c r="G129" s="6"/>
      <c r="H129" s="31"/>
      <c r="I129" s="79"/>
      <c r="J129" s="85"/>
      <c r="K129" s="85"/>
      <c r="L129" s="1594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6.149999999999999" x14ac:dyDescent="0.55000000000000004">
      <c r="A130" s="1235"/>
      <c r="B130" s="300"/>
      <c r="C130" s="1261">
        <v>44814</v>
      </c>
      <c r="D130" s="1451">
        <v>588263</v>
      </c>
      <c r="E130" s="476">
        <v>3515066</v>
      </c>
      <c r="F130" s="6">
        <v>464987</v>
      </c>
      <c r="G130" s="6">
        <v>37817156</v>
      </c>
      <c r="H130" s="755">
        <v>349767</v>
      </c>
      <c r="I130" s="755">
        <v>256547988</v>
      </c>
      <c r="J130" s="85">
        <v>771710</v>
      </c>
      <c r="K130" s="755">
        <v>11425198</v>
      </c>
      <c r="L130" s="1297"/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6.149999999999999" x14ac:dyDescent="0.55000000000000004">
      <c r="A131" s="1235"/>
      <c r="B131" s="300"/>
      <c r="C131" s="1261">
        <v>44815</v>
      </c>
      <c r="D131" s="1451"/>
      <c r="E131" s="476"/>
      <c r="F131" s="6"/>
      <c r="G131" s="6"/>
      <c r="H131" s="1255"/>
      <c r="I131" s="1255"/>
      <c r="J131" s="1593"/>
      <c r="K131" s="755"/>
      <c r="L131" s="1297"/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6.149999999999999" x14ac:dyDescent="0.55000000000000004">
      <c r="A132" s="1235"/>
      <c r="B132" s="300"/>
      <c r="C132" s="1261">
        <v>44816</v>
      </c>
      <c r="D132" s="1451"/>
      <c r="E132" s="476"/>
      <c r="F132" s="6"/>
      <c r="G132" s="6"/>
      <c r="H132" s="828"/>
      <c r="I132" s="828"/>
      <c r="J132" s="1593"/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ht="15.75" x14ac:dyDescent="0.4">
      <c r="A133" s="1235"/>
      <c r="B133" s="300"/>
      <c r="C133" s="1261">
        <v>44817</v>
      </c>
      <c r="D133" s="1451"/>
      <c r="E133" s="476"/>
      <c r="F133" s="6"/>
      <c r="G133" s="6"/>
      <c r="H133" s="1255"/>
      <c r="I133" s="1255"/>
      <c r="J133" s="1593"/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6.149999999999999" x14ac:dyDescent="0.55000000000000004">
      <c r="A134" s="1235"/>
      <c r="B134" s="300"/>
      <c r="C134" s="1261">
        <v>44818</v>
      </c>
      <c r="D134" s="1452"/>
      <c r="E134" s="476"/>
      <c r="F134" s="6"/>
      <c r="G134" s="6"/>
      <c r="H134" s="828"/>
      <c r="I134" s="1255"/>
      <c r="J134" s="1593"/>
      <c r="K134" s="1492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x14ac:dyDescent="0.4">
      <c r="A135" s="1235"/>
      <c r="B135" s="300"/>
      <c r="C135" s="1261">
        <v>44819</v>
      </c>
      <c r="D135" s="1452"/>
      <c r="E135" s="476"/>
      <c r="F135" s="6"/>
      <c r="G135" s="6"/>
      <c r="H135" s="31"/>
      <c r="I135" s="79"/>
      <c r="J135" s="1593"/>
      <c r="K135" s="1488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6.149999999999999" x14ac:dyDescent="0.55000000000000004">
      <c r="A136" s="1235"/>
      <c r="B136" s="300"/>
      <c r="C136" s="1261">
        <v>44820</v>
      </c>
      <c r="D136" s="1452"/>
      <c r="E136" s="476"/>
      <c r="F136" s="6"/>
      <c r="G136" s="6"/>
      <c r="H136" s="828"/>
      <c r="I136" s="828"/>
      <c r="J136" s="1593"/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261">
        <v>44821</v>
      </c>
      <c r="D137" s="1452"/>
      <c r="E137" s="476"/>
      <c r="F137" s="6"/>
      <c r="G137" s="6"/>
      <c r="H137" s="31"/>
      <c r="I137" s="79"/>
      <c r="J137" s="85"/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6.149999999999999" x14ac:dyDescent="0.55000000000000004">
      <c r="A138" s="1235"/>
      <c r="B138" s="300"/>
      <c r="C138" s="1261">
        <v>44822</v>
      </c>
      <c r="D138" s="1452"/>
      <c r="E138" s="476"/>
      <c r="F138" s="6"/>
      <c r="G138" s="6"/>
      <c r="H138" s="1255"/>
      <c r="I138" s="828"/>
      <c r="J138" s="85"/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x14ac:dyDescent="0.4">
      <c r="A139" s="1235"/>
      <c r="B139" s="300"/>
      <c r="C139" s="1261">
        <v>44823</v>
      </c>
      <c r="D139" s="1452"/>
      <c r="E139" s="476"/>
      <c r="F139" s="6"/>
      <c r="G139" s="6"/>
      <c r="H139" s="186"/>
      <c r="I139" s="1591"/>
      <c r="J139" s="85"/>
      <c r="K139" s="1488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ht="16.149999999999999" x14ac:dyDescent="0.55000000000000004">
      <c r="A140" s="1235"/>
      <c r="B140" s="300"/>
      <c r="C140" s="1261">
        <v>44824</v>
      </c>
      <c r="D140" s="1451">
        <v>621798</v>
      </c>
      <c r="E140" s="210">
        <v>3540027</v>
      </c>
      <c r="F140" s="7">
        <v>482337</v>
      </c>
      <c r="G140" s="7">
        <v>40961548</v>
      </c>
      <c r="H140" s="755">
        <v>383979</v>
      </c>
      <c r="I140" s="755">
        <v>265135586</v>
      </c>
      <c r="J140" s="210">
        <v>815200</v>
      </c>
      <c r="K140" s="755">
        <v>10959433</v>
      </c>
      <c r="L140" s="1488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6.149999999999999" x14ac:dyDescent="0.55000000000000004">
      <c r="A141" s="1235"/>
      <c r="B141" s="300"/>
      <c r="C141" s="1261">
        <v>44825</v>
      </c>
      <c r="D141" s="1407">
        <v>62080</v>
      </c>
      <c r="E141" s="33">
        <v>322175</v>
      </c>
      <c r="F141" s="6">
        <v>45676</v>
      </c>
      <c r="G141" s="6">
        <v>3900881</v>
      </c>
      <c r="H141" s="1453"/>
      <c r="I141" s="1255"/>
      <c r="J141" s="1593">
        <v>77040</v>
      </c>
      <c r="K141" s="755"/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6.149999999999999" x14ac:dyDescent="0.55000000000000004">
      <c r="A142" s="1235"/>
      <c r="B142" s="300"/>
      <c r="C142" s="1261">
        <v>44826</v>
      </c>
      <c r="D142" s="1407">
        <v>61219</v>
      </c>
      <c r="E142" s="33">
        <v>326619</v>
      </c>
      <c r="F142" s="6">
        <v>43088</v>
      </c>
      <c r="G142" s="6">
        <v>3781227</v>
      </c>
      <c r="H142" s="828"/>
      <c r="I142" s="1255"/>
      <c r="J142" s="1593">
        <v>78010</v>
      </c>
      <c r="K142" s="1494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261">
        <v>44827</v>
      </c>
      <c r="D143" s="1407">
        <v>57238</v>
      </c>
      <c r="E143" s="33">
        <v>314244</v>
      </c>
      <c r="F143" s="6">
        <v>45446</v>
      </c>
      <c r="G143" s="6">
        <v>3962970</v>
      </c>
      <c r="H143" s="31"/>
      <c r="I143" s="79"/>
      <c r="J143" s="1593">
        <v>62660</v>
      </c>
      <c r="K143" s="1488"/>
      <c r="L143" s="1297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ht="16.5" thickBot="1" x14ac:dyDescent="0.6">
      <c r="A144" s="1235"/>
      <c r="B144" s="300"/>
      <c r="C144" s="1261">
        <v>44828</v>
      </c>
      <c r="D144" s="1454">
        <v>56605</v>
      </c>
      <c r="E144" s="1243">
        <v>441870</v>
      </c>
      <c r="F144" s="1246">
        <v>56415</v>
      </c>
      <c r="G144" s="1246">
        <v>5871124</v>
      </c>
      <c r="H144" s="755">
        <v>140334</v>
      </c>
      <c r="I144" s="824">
        <v>89493495</v>
      </c>
      <c r="J144" s="1595">
        <v>97230</v>
      </c>
      <c r="K144" s="755">
        <v>4183649</v>
      </c>
      <c r="L144" s="1297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 s="172" customFormat="1" x14ac:dyDescent="0.4">
      <c r="A145" s="1235"/>
      <c r="B145" s="300"/>
      <c r="C145" s="1261">
        <v>44829</v>
      </c>
      <c r="D145" s="1407"/>
      <c r="E145" s="33"/>
      <c r="F145" s="6"/>
      <c r="G145" s="6"/>
      <c r="H145" s="31"/>
      <c r="I145" s="79"/>
      <c r="J145" s="1593"/>
      <c r="K145" s="1488"/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 x14ac:dyDescent="0.4">
      <c r="C146" s="1261">
        <v>44830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34" x14ac:dyDescent="0.4">
      <c r="C147" s="1261">
        <v>44831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34" x14ac:dyDescent="0.4">
      <c r="C148" s="1261">
        <v>44832</v>
      </c>
      <c r="D148" s="1407"/>
      <c r="E148" s="33"/>
      <c r="F148" s="6"/>
      <c r="G148" s="6"/>
      <c r="H148" s="31"/>
      <c r="I148" s="79"/>
      <c r="J148" s="85"/>
      <c r="K148" s="1488"/>
      <c r="L148" s="1297"/>
    </row>
    <row r="149" spans="1:34" x14ac:dyDescent="0.4">
      <c r="C149" s="1261">
        <v>44833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34" x14ac:dyDescent="0.4">
      <c r="C150" s="1261">
        <v>44834</v>
      </c>
      <c r="D150" s="1407"/>
      <c r="E150" s="33"/>
      <c r="F150" s="6"/>
      <c r="G150" s="6"/>
      <c r="H150" s="31"/>
      <c r="I150" s="79"/>
      <c r="J150" s="85"/>
      <c r="K150" s="1488"/>
    </row>
    <row r="151" spans="1:34" ht="16.149999999999999" x14ac:dyDescent="0.55000000000000004">
      <c r="C151" s="1261">
        <v>44804</v>
      </c>
      <c r="D151" s="1407"/>
      <c r="E151" s="33"/>
      <c r="F151" s="6"/>
      <c r="G151" s="6"/>
      <c r="H151" s="755"/>
      <c r="I151" s="755"/>
      <c r="J151" s="1462"/>
      <c r="K151" s="755"/>
    </row>
    <row r="152" spans="1:34" x14ac:dyDescent="0.4">
      <c r="D152" s="1462">
        <f>SUM(D121:D151)</f>
        <v>1447203</v>
      </c>
      <c r="E152" s="1462">
        <f t="shared" ref="E152:L152" si="21">SUM(E121:E151)</f>
        <v>8460001</v>
      </c>
      <c r="F152" s="1462">
        <f t="shared" si="21"/>
        <v>1137949</v>
      </c>
      <c r="G152" s="1462">
        <f t="shared" si="21"/>
        <v>96294906</v>
      </c>
      <c r="H152" s="1462">
        <f>SUM(H121:H151)</f>
        <v>874080</v>
      </c>
      <c r="I152" s="1462">
        <f t="shared" si="21"/>
        <v>611177069</v>
      </c>
      <c r="J152" s="1462">
        <f t="shared" si="21"/>
        <v>1901850</v>
      </c>
      <c r="K152" s="1462">
        <f>SUM(K121:K151)</f>
        <v>26568280</v>
      </c>
      <c r="L152" s="1462">
        <f t="shared" si="21"/>
        <v>0</v>
      </c>
    </row>
    <row r="153" spans="1:34" x14ac:dyDescent="0.4">
      <c r="D153" s="1420">
        <f>D141+D142+D143+D144</f>
        <v>237142</v>
      </c>
      <c r="E153" s="1420">
        <f t="shared" ref="E153:I153" si="22">E141+E142+E143+E144</f>
        <v>1404908</v>
      </c>
      <c r="F153" s="1420">
        <f t="shared" si="22"/>
        <v>190625</v>
      </c>
      <c r="G153" s="1420">
        <f t="shared" si="22"/>
        <v>17516202</v>
      </c>
      <c r="H153" s="1420">
        <f t="shared" si="22"/>
        <v>140334</v>
      </c>
      <c r="I153" s="1420">
        <f t="shared" si="22"/>
        <v>89493495</v>
      </c>
      <c r="L153" s="172">
        <f>L152/10000000</f>
        <v>0</v>
      </c>
    </row>
  </sheetData>
  <mergeCells count="89">
    <mergeCell ref="D83:E83"/>
    <mergeCell ref="F83:G83"/>
    <mergeCell ref="H83:I83"/>
    <mergeCell ref="D120:E120"/>
    <mergeCell ref="F120:G120"/>
    <mergeCell ref="H120:I120"/>
    <mergeCell ref="A50:A53"/>
    <mergeCell ref="B50:I50"/>
    <mergeCell ref="M50:M53"/>
    <mergeCell ref="N50:U50"/>
    <mergeCell ref="D51:D53"/>
    <mergeCell ref="E51:E53"/>
    <mergeCell ref="H51:H53"/>
    <mergeCell ref="N51:O51"/>
    <mergeCell ref="P51:P53"/>
    <mergeCell ref="Q51:Q53"/>
    <mergeCell ref="T51:T53"/>
    <mergeCell ref="N52:O52"/>
    <mergeCell ref="N53:O53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P48:P49"/>
    <mergeCell ref="Q48:Q49"/>
    <mergeCell ref="T48:T49"/>
    <mergeCell ref="R28:S28"/>
    <mergeCell ref="T28:U28"/>
    <mergeCell ref="A30:A37"/>
    <mergeCell ref="B30:I30"/>
    <mergeCell ref="M30:M38"/>
    <mergeCell ref="N30:U30"/>
    <mergeCell ref="B28:C29"/>
    <mergeCell ref="D28:E28"/>
    <mergeCell ref="F28:G28"/>
    <mergeCell ref="H28:I28"/>
    <mergeCell ref="N28:O29"/>
    <mergeCell ref="P28:Q28"/>
    <mergeCell ref="M18:M26"/>
    <mergeCell ref="O18:Q18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R18:U18"/>
    <mergeCell ref="A18:A26"/>
    <mergeCell ref="C18:E18"/>
    <mergeCell ref="F18:I18"/>
    <mergeCell ref="B13:I13"/>
    <mergeCell ref="N13:U13"/>
    <mergeCell ref="P5:Q5"/>
    <mergeCell ref="M3:M5"/>
    <mergeCell ref="N3:N5"/>
    <mergeCell ref="P3:Q3"/>
    <mergeCell ref="R3:S3"/>
    <mergeCell ref="T4:T5"/>
    <mergeCell ref="U4:U5"/>
    <mergeCell ref="D5:E5"/>
    <mergeCell ref="T3:U3"/>
    <mergeCell ref="A11:I11"/>
    <mergeCell ref="M11:U11"/>
    <mergeCell ref="AN4:AN5"/>
    <mergeCell ref="AO4:AO5"/>
    <mergeCell ref="AJ3:AO3"/>
    <mergeCell ref="AC3:AH3"/>
    <mergeCell ref="A1:I1"/>
    <mergeCell ref="M1:U1"/>
    <mergeCell ref="A2:I2"/>
    <mergeCell ref="M2:U2"/>
    <mergeCell ref="AC2:AH2"/>
    <mergeCell ref="A3:A5"/>
    <mergeCell ref="B3:B5"/>
    <mergeCell ref="D3:E3"/>
    <mergeCell ref="F3:G3"/>
    <mergeCell ref="H3:I3"/>
    <mergeCell ref="H4:H5"/>
    <mergeCell ref="I4:I5"/>
  </mergeCells>
  <pageMargins left="0.2" right="0.2" top="0.75" bottom="0.25" header="0.3" footer="0.27"/>
  <pageSetup paperSize="9" scale="24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0"/>
    <pageSetUpPr fitToPage="1"/>
  </sheetPr>
  <dimension ref="A1:Z82"/>
  <sheetViews>
    <sheetView topLeftCell="B1" zoomScale="90" zoomScaleNormal="90" workbookViewId="0">
      <selection activeCell="O16" sqref="O16"/>
    </sheetView>
  </sheetViews>
  <sheetFormatPr defaultColWidth="9.1328125" defaultRowHeight="16.899999999999999" x14ac:dyDescent="0.4"/>
  <cols>
    <col min="1" max="1" width="6.86328125" style="376" customWidth="1"/>
    <col min="2" max="2" width="37.3984375" style="300" customWidth="1"/>
    <col min="3" max="3" width="12" style="5" bestFit="1" customWidth="1"/>
    <col min="4" max="4" width="11.398437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86328125" style="11" customWidth="1"/>
    <col min="9" max="9" width="13.3984375" style="82" bestFit="1" customWidth="1"/>
    <col min="10" max="10" width="12.265625" style="84" bestFit="1" customWidth="1"/>
    <col min="11" max="11" width="12.1328125" style="84" bestFit="1" customWidth="1"/>
    <col min="12" max="12" width="9.1328125" style="172"/>
    <col min="13" max="13" width="4.59765625" style="1209" customWidth="1"/>
    <col min="14" max="14" width="37.265625" style="5" customWidth="1"/>
    <col min="15" max="15" width="12.1328125" style="5" customWidth="1"/>
    <col min="16" max="16" width="11.3984375" style="5" bestFit="1" customWidth="1"/>
    <col min="17" max="17" width="11.265625" style="5" bestFit="1" customWidth="1"/>
    <col min="18" max="19" width="14" style="5" customWidth="1"/>
    <col min="20" max="21" width="11.1328125" style="5" customWidth="1"/>
    <col min="22" max="23" width="9.1328125" style="5"/>
    <col min="24" max="24" width="9.1328125" style="172"/>
    <col min="25" max="16384" width="9.1328125" style="5"/>
  </cols>
  <sheetData>
    <row r="1" spans="1:26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  <c r="M1" s="2345" t="s">
        <v>5</v>
      </c>
      <c r="N1" s="2345"/>
      <c r="O1" s="2345"/>
      <c r="P1" s="2345"/>
      <c r="Q1" s="2345"/>
      <c r="R1" s="2345"/>
      <c r="S1" s="2345"/>
      <c r="T1" s="2345"/>
      <c r="U1" s="2345"/>
    </row>
    <row r="2" spans="1:26" s="301" customFormat="1" ht="17.25" thickBot="1" x14ac:dyDescent="0.4">
      <c r="A2" s="2346" t="s">
        <v>765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771</v>
      </c>
      <c r="N2" s="2093"/>
      <c r="O2" s="2446"/>
      <c r="P2" s="2093"/>
      <c r="Q2" s="2093"/>
      <c r="R2" s="2093"/>
      <c r="S2" s="2093"/>
      <c r="T2" s="2093"/>
      <c r="U2" s="2094"/>
      <c r="X2" s="1149"/>
    </row>
    <row r="3" spans="1:26" ht="17.25" thickTop="1" x14ac:dyDescent="0.5">
      <c r="A3" s="2484" t="s">
        <v>144</v>
      </c>
      <c r="B3" s="2244" t="s">
        <v>7</v>
      </c>
      <c r="C3" s="1190" t="s">
        <v>763</v>
      </c>
      <c r="D3" s="2447" t="s">
        <v>8</v>
      </c>
      <c r="E3" s="2448"/>
      <c r="F3" s="2447" t="s">
        <v>10</v>
      </c>
      <c r="G3" s="2448"/>
      <c r="H3" s="2490" t="s">
        <v>11</v>
      </c>
      <c r="I3" s="2491"/>
      <c r="M3" s="2358" t="s">
        <v>757</v>
      </c>
      <c r="N3" s="1158" t="s">
        <v>7</v>
      </c>
      <c r="O3" s="1190" t="s">
        <v>763</v>
      </c>
      <c r="P3" s="2107" t="s">
        <v>8</v>
      </c>
      <c r="Q3" s="2108"/>
      <c r="R3" s="2107" t="s">
        <v>10</v>
      </c>
      <c r="S3" s="2108"/>
      <c r="T3" s="2109" t="s">
        <v>11</v>
      </c>
      <c r="U3" s="2110"/>
    </row>
    <row r="4" spans="1:26" s="35" customFormat="1" ht="33.75" x14ac:dyDescent="0.35">
      <c r="A4" s="2484"/>
      <c r="B4" s="2369"/>
      <c r="C4" s="1183" t="s">
        <v>764</v>
      </c>
      <c r="D4" s="1064" t="s">
        <v>9</v>
      </c>
      <c r="E4" s="422">
        <f>G4</f>
        <v>44855</v>
      </c>
      <c r="F4" s="422">
        <v>44490</v>
      </c>
      <c r="G4" s="422">
        <v>44855</v>
      </c>
      <c r="H4" s="1061" t="s">
        <v>12</v>
      </c>
      <c r="I4" s="1061" t="s">
        <v>13</v>
      </c>
      <c r="J4" s="84"/>
      <c r="K4" s="84"/>
      <c r="L4" s="1150"/>
      <c r="M4" s="2358"/>
      <c r="N4" s="1180"/>
      <c r="O4" s="1183" t="s">
        <v>764</v>
      </c>
      <c r="P4" s="421" t="s">
        <v>9</v>
      </c>
      <c r="Q4" s="422">
        <f>E4</f>
        <v>44855</v>
      </c>
      <c r="R4" s="422">
        <f>F4</f>
        <v>44490</v>
      </c>
      <c r="S4" s="422">
        <f>G4</f>
        <v>44855</v>
      </c>
      <c r="T4" s="1061" t="s">
        <v>12</v>
      </c>
      <c r="U4" s="1061" t="s">
        <v>13</v>
      </c>
      <c r="X4" s="1150"/>
    </row>
    <row r="5" spans="1:26" ht="20.25" hidden="1" customHeight="1" x14ac:dyDescent="0.5">
      <c r="A5" s="2485"/>
      <c r="B5" s="1159"/>
      <c r="C5" s="1184"/>
      <c r="D5" s="2157" t="s">
        <v>249</v>
      </c>
      <c r="E5" s="2158"/>
      <c r="F5" s="1134" t="s">
        <v>249</v>
      </c>
      <c r="G5" s="1134" t="s">
        <v>438</v>
      </c>
      <c r="H5" s="1062"/>
      <c r="I5" s="1062"/>
      <c r="M5" s="2359"/>
      <c r="N5" s="1159"/>
      <c r="O5" s="1184"/>
      <c r="P5" s="2157" t="s">
        <v>249</v>
      </c>
      <c r="Q5" s="2158"/>
      <c r="R5" s="602" t="s">
        <v>249</v>
      </c>
      <c r="S5" s="602" t="s">
        <v>438</v>
      </c>
      <c r="T5" s="1062"/>
      <c r="U5" s="1062"/>
    </row>
    <row r="6" spans="1:26" ht="30" customHeight="1" x14ac:dyDescent="0.35">
      <c r="A6" s="1135">
        <v>1</v>
      </c>
      <c r="B6" s="1191" t="s">
        <v>290</v>
      </c>
      <c r="C6" s="1185">
        <v>615.09889696200003</v>
      </c>
      <c r="D6" s="304">
        <v>908.2</v>
      </c>
      <c r="E6" s="636">
        <f>E15+E16</f>
        <v>69.39</v>
      </c>
      <c r="F6" s="305">
        <f>F15+F16+F17</f>
        <v>65.845079099999992</v>
      </c>
      <c r="G6" s="305">
        <f>G15+G16+G17</f>
        <v>79.793140199999996</v>
      </c>
      <c r="H6" s="306">
        <f>(G6-E6)/E6*100</f>
        <v>14.99227583225248</v>
      </c>
      <c r="I6" s="306">
        <f>(G6-F6)/F6*100</f>
        <v>21.183148825467818</v>
      </c>
      <c r="M6" s="1203">
        <v>1</v>
      </c>
      <c r="N6" s="1179" t="s">
        <v>290</v>
      </c>
      <c r="O6" s="1185">
        <v>615.09889696200003</v>
      </c>
      <c r="P6" s="304">
        <v>908.2</v>
      </c>
      <c r="Q6" s="305">
        <f>Q15+Q16</f>
        <v>552.39</v>
      </c>
      <c r="R6" s="305">
        <f>'APRIL-22'!F6+'MAY-22'!F6+'JUNE-22'!F6+'JULY 22'!F6+'AUG-22'!F6+'SEP-2022'!F6+'OCT-2022'!F6</f>
        <v>300.143673283</v>
      </c>
      <c r="S6" s="305">
        <f>'APRIL-22'!G6+'MAY-22'!G6+'JUNE-22'!G6+'JULY 22'!G6+'AUG-22'!G6+'SEP-2022'!G6+'OCT-2022'!G6</f>
        <v>566.36328359999993</v>
      </c>
      <c r="T6" s="1160">
        <f>(S6-Q6)/Q6*100</f>
        <v>2.5296047357844902</v>
      </c>
      <c r="U6" s="1160">
        <f>(S6-R6)/R6*100</f>
        <v>88.697391954014734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</row>
    <row r="7" spans="1:26" ht="26.25" customHeight="1" x14ac:dyDescent="0.35">
      <c r="A7" s="1136">
        <v>2</v>
      </c>
      <c r="B7" s="1154" t="s">
        <v>291</v>
      </c>
      <c r="C7" s="1186">
        <v>275.33999999999997</v>
      </c>
      <c r="D7" s="307">
        <v>322.42</v>
      </c>
      <c r="E7" s="1129">
        <f>'target FY 22-23'!N45</f>
        <v>38.979999999999997</v>
      </c>
      <c r="F7" s="307">
        <v>33.42</v>
      </c>
      <c r="G7" s="307">
        <v>30.02</v>
      </c>
      <c r="H7" s="308">
        <f>(G7-E7)/E7*100</f>
        <v>-22.98614674191893</v>
      </c>
      <c r="I7" s="308">
        <f>(G7-F7)/F7*100</f>
        <v>-10.173548773189713</v>
      </c>
      <c r="M7" s="1204">
        <v>2</v>
      </c>
      <c r="N7" s="1154" t="s">
        <v>291</v>
      </c>
      <c r="O7" s="1186">
        <v>275.33999999999997</v>
      </c>
      <c r="P7" s="307">
        <v>322.42</v>
      </c>
      <c r="Q7" s="307">
        <v>186.19</v>
      </c>
      <c r="R7" s="307">
        <f>R20+R21+R22+R23+R24+R25+R26</f>
        <v>159.07</v>
      </c>
      <c r="S7" s="305">
        <f>'APRIL-22'!G7+'MAY-22'!G7+'JUNE-22'!G7+'JULY 22'!G7+'AUG-22'!G7+'SEP-2022'!G7+'OCT-2022'!G7</f>
        <v>233.13230660000002</v>
      </c>
      <c r="T7" s="1161">
        <f>(S7-Q7)/Q7*100</f>
        <v>25.212045007787758</v>
      </c>
      <c r="U7" s="1161">
        <f>(S7-R7)/R7*100</f>
        <v>46.559569120513004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</row>
    <row r="8" spans="1:26" ht="32.25" customHeight="1" x14ac:dyDescent="0.35">
      <c r="A8" s="1137">
        <v>3</v>
      </c>
      <c r="B8" s="1155" t="s">
        <v>292</v>
      </c>
      <c r="C8" s="1187">
        <v>71.674099700000014</v>
      </c>
      <c r="D8" s="364">
        <v>96.78</v>
      </c>
      <c r="E8" s="636">
        <f>'target FY 22-23'!O45</f>
        <v>9.07</v>
      </c>
      <c r="F8" s="364">
        <f>F31+F32+F33+F34+F35+F36+F37</f>
        <v>7.4653604999999992</v>
      </c>
      <c r="G8" s="364">
        <f>G31+G32+G33+G34+G35+G36+G37</f>
        <v>9.5666883000000009</v>
      </c>
      <c r="H8" s="306">
        <f>(G8-E8)/E8*100</f>
        <v>5.4761664829107017</v>
      </c>
      <c r="I8" s="306">
        <f>(G8-F8)/F8*100</f>
        <v>28.147706999548138</v>
      </c>
      <c r="M8" s="1205">
        <v>3</v>
      </c>
      <c r="N8" s="1155" t="s">
        <v>292</v>
      </c>
      <c r="O8" s="1187">
        <v>71.674099700000014</v>
      </c>
      <c r="P8" s="364">
        <v>96.78</v>
      </c>
      <c r="Q8" s="364">
        <f>'target FY 22-23'!AC39</f>
        <v>100.28096774193548</v>
      </c>
      <c r="R8" s="364">
        <f>R31+R32+R33+R34+R35+R36+R37</f>
        <v>35.410327299999999</v>
      </c>
      <c r="S8" s="305">
        <f>S31+S32+S33+S34+S35+S36+S37</f>
        <v>64.631274500000004</v>
      </c>
      <c r="T8" s="1160">
        <f>(S8-Q8)/Q8*100</f>
        <v>-35.549809744234743</v>
      </c>
      <c r="U8" s="1160">
        <f>(S8-R8)/R8*100</f>
        <v>82.520974608444263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</row>
    <row r="9" spans="1:26" ht="34.5" customHeight="1" x14ac:dyDescent="0.35">
      <c r="A9" s="1136">
        <v>4</v>
      </c>
      <c r="B9" s="1156" t="s">
        <v>293</v>
      </c>
      <c r="C9" s="1185">
        <v>5.1459812999999999</v>
      </c>
      <c r="D9" s="307">
        <f>D39+D40+D41</f>
        <v>17.53</v>
      </c>
      <c r="E9" s="1129">
        <f>E39+E40+E41</f>
        <v>1.4601666666666666</v>
      </c>
      <c r="F9" s="307">
        <f>F39+F40+F41+F42+F43+F44</f>
        <v>0.57615190000000005</v>
      </c>
      <c r="G9" s="307">
        <f>G39+G40+G41+G42+G43+G44</f>
        <v>0.99142969999999997</v>
      </c>
      <c r="H9" s="306">
        <f>(G9-E9)/E9*100</f>
        <v>-32.101607122474604</v>
      </c>
      <c r="I9" s="308">
        <f>(G9-F9)/F9*100</f>
        <v>72.077832252223743</v>
      </c>
      <c r="M9" s="1204">
        <v>4</v>
      </c>
      <c r="N9" s="1156" t="s">
        <v>293</v>
      </c>
      <c r="O9" s="1185">
        <v>5.1459812999999999</v>
      </c>
      <c r="P9" s="307">
        <f>P39+P40+P41</f>
        <v>17.53</v>
      </c>
      <c r="Q9" s="307">
        <f>Q39+Q40+Q41</f>
        <v>10.221166666666665</v>
      </c>
      <c r="R9" s="305">
        <f>R39+R40+R41+R42+R43+R44</f>
        <v>3.3760322</v>
      </c>
      <c r="S9" s="305">
        <f>S39+S40+S41+S42+S43+S44</f>
        <v>8.3412942000000001</v>
      </c>
      <c r="T9" s="1160">
        <f>(S9-Q9)/Q9*100</f>
        <v>-18.391955908490537</v>
      </c>
      <c r="U9" s="1161">
        <f>(S9-R9)/R9*100</f>
        <v>147.07389343028186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</row>
    <row r="10" spans="1:26" ht="28.5" customHeight="1" x14ac:dyDescent="0.35">
      <c r="A10" s="1137">
        <v>5</v>
      </c>
      <c r="B10" s="1157" t="s">
        <v>294</v>
      </c>
      <c r="C10" s="1188">
        <f>SUM(C6:C9)</f>
        <v>967.25897796200002</v>
      </c>
      <c r="D10" s="321">
        <f>SUM(D6:D9)</f>
        <v>1344.93</v>
      </c>
      <c r="E10" s="321">
        <f>SUM(E6:E9)</f>
        <v>118.90016666666666</v>
      </c>
      <c r="F10" s="321">
        <f>SUM(F6:F9)</f>
        <v>107.3065915</v>
      </c>
      <c r="G10" s="321">
        <f>SUM(G6:G9)</f>
        <v>120.37125819999999</v>
      </c>
      <c r="H10" s="322">
        <f>(G10-E10)/E10*100</f>
        <v>1.2372493450387554</v>
      </c>
      <c r="I10" s="322">
        <f>(G10-F10)/F10*100</f>
        <v>12.175083112205638</v>
      </c>
      <c r="M10" s="1205">
        <v>5</v>
      </c>
      <c r="N10" s="1157" t="s">
        <v>294</v>
      </c>
      <c r="O10" s="1188">
        <f>SUM(O6:O9)</f>
        <v>967.25897796200002</v>
      </c>
      <c r="P10" s="321">
        <f>SUM(P6:P9)</f>
        <v>1344.93</v>
      </c>
      <c r="Q10" s="321">
        <f>SUM(Q6:Q9)</f>
        <v>849.08213440860209</v>
      </c>
      <c r="R10" s="321">
        <f>SUM(R6:R9)</f>
        <v>498.00003278299999</v>
      </c>
      <c r="S10" s="321">
        <f>SUM(S6:S9)</f>
        <v>872.46815889999993</v>
      </c>
      <c r="T10" s="1162">
        <f>(S10-Q10)/Q10*100</f>
        <v>2.754271176331669</v>
      </c>
      <c r="U10" s="1162">
        <f>(S10-R10)/R10*100</f>
        <v>75.194397884743069</v>
      </c>
      <c r="X10" s="12">
        <f>SUM(X6:X9)</f>
        <v>389.94179218299996</v>
      </c>
      <c r="Y10" s="12">
        <f>SUM(Y6:Y9)</f>
        <v>752.12112639999998</v>
      </c>
      <c r="Z10" s="12">
        <f>S10-Y10</f>
        <v>120.34703249999995</v>
      </c>
    </row>
    <row r="11" spans="1:26" ht="6.75" customHeight="1" thickBot="1" x14ac:dyDescent="0.4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</row>
    <row r="12" spans="1:26" ht="27" customHeight="1" thickBot="1" x14ac:dyDescent="0.4">
      <c r="A12" s="1138">
        <v>6.3</v>
      </c>
      <c r="B12" s="1237" t="s">
        <v>250</v>
      </c>
      <c r="C12" s="1238">
        <v>16.61</v>
      </c>
      <c r="D12" s="1041">
        <f>D46+D47</f>
        <v>80.319999999999993</v>
      </c>
      <c r="E12" s="1042">
        <f>E46+E47</f>
        <v>6.3800000000000008</v>
      </c>
      <c r="F12" s="1043">
        <f>F46+F47+F48</f>
        <v>1.511447</v>
      </c>
      <c r="G12" s="1043">
        <f>G46+G47+G48</f>
        <v>4.1556479999999993</v>
      </c>
      <c r="H12" s="1044">
        <f>(G12-E12)/E12*100</f>
        <v>-34.864451410658326</v>
      </c>
      <c r="I12" s="1045">
        <f>(G12-F12)/F12*100</f>
        <v>174.94500303351685</v>
      </c>
      <c r="M12" s="1206">
        <v>6.3</v>
      </c>
      <c r="N12" s="2324" t="s">
        <v>250</v>
      </c>
      <c r="O12" s="2325"/>
      <c r="P12" s="1041">
        <f>P46+P47</f>
        <v>80.319999999999993</v>
      </c>
      <c r="Q12" s="1042">
        <f>Q46+Q47</f>
        <v>48.04</v>
      </c>
      <c r="R12" s="1043">
        <f>R46+R47+R48</f>
        <v>6.6374050000000002</v>
      </c>
      <c r="S12" s="1043">
        <f>S46+S47+S48</f>
        <v>24.555437999999999</v>
      </c>
      <c r="T12" s="1163">
        <f>(S12-Q12)/Q12*100</f>
        <v>-48.885432972522899</v>
      </c>
      <c r="U12" s="1164">
        <f>(S12-R12)/R12*100</f>
        <v>269.9553967250755</v>
      </c>
    </row>
    <row r="13" spans="1:26" ht="17.649999999999999" x14ac:dyDescent="0.35">
      <c r="A13" s="1139"/>
      <c r="B13" s="2467" t="s">
        <v>229</v>
      </c>
      <c r="C13" s="2468"/>
      <c r="D13" s="2468"/>
      <c r="E13" s="2468"/>
      <c r="F13" s="2468"/>
      <c r="G13" s="2468"/>
      <c r="H13" s="2468"/>
      <c r="I13" s="2469"/>
      <c r="M13" s="1207"/>
      <c r="N13" s="2058" t="s">
        <v>229</v>
      </c>
      <c r="O13" s="2059"/>
      <c r="P13" s="2059"/>
      <c r="Q13" s="2059"/>
      <c r="R13" s="2059"/>
      <c r="S13" s="2059"/>
      <c r="T13" s="2059"/>
      <c r="U13" s="2060"/>
    </row>
    <row r="14" spans="1:26" ht="15" x14ac:dyDescent="0.35">
      <c r="A14" s="2470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26" ht="15.4" x14ac:dyDescent="0.4">
      <c r="A15" s="2471"/>
      <c r="B15" s="2473" t="s">
        <v>16</v>
      </c>
      <c r="C15" s="2474"/>
      <c r="D15" s="1140">
        <f>'target FY 22-23'!K56</f>
        <v>21.180000000000003</v>
      </c>
      <c r="E15" s="307">
        <v>1.7</v>
      </c>
      <c r="F15" s="315">
        <v>0.12636130000000001</v>
      </c>
      <c r="G15" s="315">
        <f>'actual fig'!L10/10000000</f>
        <v>1.0036879000000001</v>
      </c>
      <c r="H15" s="316">
        <f>(G15-E15)/E15*100</f>
        <v>-40.959535294117636</v>
      </c>
      <c r="I15" s="314">
        <f>(G15-F15)/F15*100</f>
        <v>694.30007446900277</v>
      </c>
      <c r="J15" s="1128">
        <f>373857/10000000</f>
        <v>3.7385700000000001E-2</v>
      </c>
      <c r="M15" s="2369"/>
      <c r="N15" s="2006" t="s">
        <v>16</v>
      </c>
      <c r="O15" s="2007"/>
      <c r="P15" s="333">
        <f>D15</f>
        <v>21.180000000000003</v>
      </c>
      <c r="Q15" s="307">
        <f>E15+'SEP-2022'!Q15</f>
        <v>13.159999999999998</v>
      </c>
      <c r="R15" s="315">
        <f>'SEP-2022'!R15+'OCT-2022'!F15</f>
        <v>0.511761935</v>
      </c>
      <c r="S15" s="315">
        <f>'SEP-2022'!S15+'OCT-2022'!G15</f>
        <v>6.3120446000000001</v>
      </c>
      <c r="T15" s="316">
        <f>(S15-Q15)/Q15*100</f>
        <v>-52.036135258358648</v>
      </c>
      <c r="U15" s="314">
        <f>(S15-R15)/R15*100</f>
        <v>1133.3947033399427</v>
      </c>
    </row>
    <row r="16" spans="1:26" ht="15.4" x14ac:dyDescent="0.4">
      <c r="A16" s="2471"/>
      <c r="B16" s="2422" t="s">
        <v>15</v>
      </c>
      <c r="C16" s="1141" t="s">
        <v>166</v>
      </c>
      <c r="D16" s="2475">
        <f>'target FY 22-23'!L56</f>
        <v>887.02</v>
      </c>
      <c r="E16" s="2065">
        <v>67.69</v>
      </c>
      <c r="F16" s="315">
        <v>5.9355999999999999E-2</v>
      </c>
      <c r="G16" s="315">
        <f>'actual fig'!M10/10000000</f>
        <v>15.3600645</v>
      </c>
      <c r="H16" s="2154">
        <f>L16</f>
        <v>16.397477175358247</v>
      </c>
      <c r="I16" s="314">
        <f>(G16-F16)/F16*100</f>
        <v>25777.863232023727</v>
      </c>
      <c r="J16" s="12">
        <f>F16+F17</f>
        <v>65.718717799999993</v>
      </c>
      <c r="K16" s="12">
        <f>G16+G17</f>
        <v>78.789452299999994</v>
      </c>
      <c r="L16" s="172">
        <f>(K16-E16)/E16*100</f>
        <v>16.397477175358247</v>
      </c>
      <c r="M16" s="2369"/>
      <c r="N16" s="2071" t="s">
        <v>15</v>
      </c>
      <c r="O16" s="1189" t="s">
        <v>166</v>
      </c>
      <c r="P16" s="2166">
        <f>D16</f>
        <v>887.02</v>
      </c>
      <c r="Q16" s="2065">
        <f>'SEP-2022'!Q16:Q17+'OCT-2022'!E16:E17</f>
        <v>539.23</v>
      </c>
      <c r="R16" s="315">
        <f>'SEP-2022'!R16+'OCT-2022'!F16</f>
        <v>0.33673204800000001</v>
      </c>
      <c r="S16" s="315">
        <f>'SEP-2022'!S16+'OCT-2022'!G16</f>
        <v>54.122680500000001</v>
      </c>
      <c r="T16" s="2154">
        <f>X16</f>
        <v>3.8612909148229866</v>
      </c>
      <c r="U16" s="314">
        <f>(S16-R16)/R16*100</f>
        <v>15972.922319529265</v>
      </c>
      <c r="W16" s="12">
        <f>S16+S17</f>
        <v>560.05123900000001</v>
      </c>
      <c r="X16" s="172">
        <f>(W16-Q16)/Q16*100</f>
        <v>3.8612909148229866</v>
      </c>
    </row>
    <row r="17" spans="1:24" ht="15.4" x14ac:dyDescent="0.4">
      <c r="A17" s="2472"/>
      <c r="B17" s="2422"/>
      <c r="C17" s="1141" t="s">
        <v>228</v>
      </c>
      <c r="D17" s="2476"/>
      <c r="E17" s="2066"/>
      <c r="F17" s="315">
        <v>65.659361799999999</v>
      </c>
      <c r="G17" s="315">
        <f>'actual fig'!N10/10000000</f>
        <v>63.429387800000001</v>
      </c>
      <c r="H17" s="2155"/>
      <c r="I17" s="314">
        <f>(G17-F17)/F17*100</f>
        <v>-3.3962772997894088</v>
      </c>
      <c r="J17" s="323">
        <f>114680295/10000000</f>
        <v>11.4680295</v>
      </c>
      <c r="M17" s="2245"/>
      <c r="N17" s="2071"/>
      <c r="O17" s="1189" t="s">
        <v>228</v>
      </c>
      <c r="P17" s="2064"/>
      <c r="Q17" s="2066"/>
      <c r="R17" s="315">
        <f>'SEP-2022'!R17+'OCT-2022'!F17</f>
        <v>299.29517929999997</v>
      </c>
      <c r="S17" s="315">
        <f>'SEP-2022'!S17+'OCT-2022'!G17</f>
        <v>505.92855850000001</v>
      </c>
      <c r="T17" s="2155"/>
      <c r="U17" s="314">
        <f>(S17-R17)/R17*100</f>
        <v>69.039995793878148</v>
      </c>
    </row>
    <row r="18" spans="1:24" ht="21.75" customHeight="1" x14ac:dyDescent="0.35">
      <c r="A18" s="2003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  <c r="M18" s="2368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4" ht="31.5" customHeight="1" x14ac:dyDescent="0.35">
      <c r="A19" s="2004"/>
      <c r="B19" s="1069" t="s">
        <v>230</v>
      </c>
      <c r="C19" s="1098">
        <f>F4</f>
        <v>44490</v>
      </c>
      <c r="D19" s="1098">
        <f>G4</f>
        <v>44855</v>
      </c>
      <c r="E19" s="1069" t="s">
        <v>681</v>
      </c>
      <c r="F19" s="1098">
        <f>F4</f>
        <v>44490</v>
      </c>
      <c r="G19" s="1098">
        <f>G4</f>
        <v>44855</v>
      </c>
      <c r="H19" s="1071" t="s">
        <v>682</v>
      </c>
      <c r="I19" s="1072" t="s">
        <v>681</v>
      </c>
      <c r="M19" s="2369"/>
      <c r="N19" s="1069" t="s">
        <v>230</v>
      </c>
      <c r="O19" s="1098">
        <f>R4</f>
        <v>44490</v>
      </c>
      <c r="P19" s="1098">
        <f>S4</f>
        <v>44855</v>
      </c>
      <c r="Q19" s="1069" t="s">
        <v>681</v>
      </c>
      <c r="R19" s="1098">
        <f>R4</f>
        <v>44490</v>
      </c>
      <c r="S19" s="1098">
        <f>S4</f>
        <v>44855</v>
      </c>
      <c r="T19" s="1071" t="s">
        <v>682</v>
      </c>
      <c r="U19" s="1072" t="s">
        <v>681</v>
      </c>
    </row>
    <row r="20" spans="1:24" ht="18.75" customHeight="1" x14ac:dyDescent="0.4">
      <c r="A20" s="2004"/>
      <c r="B20" s="1055" t="s">
        <v>231</v>
      </c>
      <c r="C20" s="85">
        <v>113110</v>
      </c>
      <c r="D20" s="303">
        <v>51891</v>
      </c>
      <c r="E20" s="314">
        <f>(D20-C20)/C20*100</f>
        <v>-54.123419679957564</v>
      </c>
      <c r="F20" s="315">
        <v>25.97</v>
      </c>
      <c r="G20" s="315">
        <v>14.79</v>
      </c>
      <c r="H20" s="1060">
        <f>G20/G7*100</f>
        <v>49.267155229846765</v>
      </c>
      <c r="I20" s="314">
        <f>(G20-F20)/F20*100</f>
        <v>-43.049672699268385</v>
      </c>
      <c r="M20" s="2369"/>
      <c r="N20" s="1055" t="s">
        <v>231</v>
      </c>
      <c r="O20" s="833">
        <v>671425</v>
      </c>
      <c r="P20" s="833">
        <v>648960</v>
      </c>
      <c r="Q20" s="314">
        <f>(P20-O20)/O20*100</f>
        <v>-3.3458688610045799</v>
      </c>
      <c r="R20" s="315">
        <v>128.12</v>
      </c>
      <c r="S20" s="315">
        <v>120.22</v>
      </c>
      <c r="T20" s="1060">
        <f>S20/S7*100</f>
        <v>51.567284583285634</v>
      </c>
      <c r="U20" s="314">
        <f>(S20-R20)/R20*100</f>
        <v>-6.1660942866063104</v>
      </c>
    </row>
    <row r="21" spans="1:24" ht="18.75" customHeight="1" x14ac:dyDescent="0.4">
      <c r="A21" s="2004"/>
      <c r="B21" s="1055" t="s">
        <v>232</v>
      </c>
      <c r="C21" s="303">
        <v>15317</v>
      </c>
      <c r="D21" s="303">
        <v>44333</v>
      </c>
      <c r="E21" s="314">
        <f>(D21-C21)/C21*100</f>
        <v>189.43657374159432</v>
      </c>
      <c r="F21" s="315">
        <v>1.28</v>
      </c>
      <c r="G21" s="315">
        <v>4.12</v>
      </c>
      <c r="H21" s="1060">
        <f>G21/G7*100</f>
        <v>13.724183877415058</v>
      </c>
      <c r="I21" s="314">
        <f>(G21-F21)/F21*100</f>
        <v>221.875</v>
      </c>
      <c r="M21" s="2369"/>
      <c r="N21" s="1055" t="s">
        <v>232</v>
      </c>
      <c r="O21" s="833">
        <v>64437</v>
      </c>
      <c r="P21" s="833">
        <v>552073</v>
      </c>
      <c r="Q21" s="314">
        <f>(P21-O21)/O21*100</f>
        <v>756.76397101044438</v>
      </c>
      <c r="R21" s="315">
        <v>5.31</v>
      </c>
      <c r="S21" s="315">
        <v>48.49</v>
      </c>
      <c r="T21" s="1060">
        <f>S21/S7*100</f>
        <v>20.7993481071662</v>
      </c>
      <c r="U21" s="314">
        <f>(S21-R21)/R21*100</f>
        <v>813.18267419962331</v>
      </c>
    </row>
    <row r="22" spans="1:24" ht="18.75" customHeight="1" x14ac:dyDescent="0.4">
      <c r="A22" s="2004"/>
      <c r="B22" s="1055" t="s">
        <v>239</v>
      </c>
      <c r="C22" s="303">
        <v>48254</v>
      </c>
      <c r="D22" s="303">
        <v>78212</v>
      </c>
      <c r="E22" s="314">
        <f>(D22-C22)/C22*100</f>
        <v>62.083972313176105</v>
      </c>
      <c r="F22" s="315">
        <v>5.32</v>
      </c>
      <c r="G22" s="315">
        <v>10.41</v>
      </c>
      <c r="H22" s="1060">
        <f>G22/G7*100</f>
        <v>34.676882078614256</v>
      </c>
      <c r="I22" s="314">
        <f>(G22-F22)/F22*100</f>
        <v>95.676691729323309</v>
      </c>
      <c r="M22" s="2369"/>
      <c r="N22" s="1055" t="s">
        <v>239</v>
      </c>
      <c r="O22" s="833">
        <v>173145</v>
      </c>
      <c r="P22" s="833">
        <v>479711</v>
      </c>
      <c r="Q22" s="314">
        <f>(P22-O22)/O22*100</f>
        <v>177.05737965289208</v>
      </c>
      <c r="R22" s="315">
        <v>19.41</v>
      </c>
      <c r="S22" s="315">
        <v>58.24</v>
      </c>
      <c r="T22" s="1060">
        <f>S22/S7*100</f>
        <v>24.981522659545462</v>
      </c>
      <c r="U22" s="314">
        <f>(S22-R22)/R22*100</f>
        <v>200.0515198351365</v>
      </c>
    </row>
    <row r="23" spans="1:24" ht="18.75" customHeight="1" x14ac:dyDescent="0.4">
      <c r="A23" s="2004"/>
      <c r="B23" s="1055" t="s">
        <v>233</v>
      </c>
      <c r="C23" s="303">
        <v>26350</v>
      </c>
      <c r="D23" s="303">
        <v>18786</v>
      </c>
      <c r="E23" s="314">
        <f>(D23-C23)/C23*100</f>
        <v>-28.705882352941174</v>
      </c>
      <c r="F23" s="315">
        <v>0.85</v>
      </c>
      <c r="G23" s="315">
        <v>0.61</v>
      </c>
      <c r="H23" s="1060">
        <f>G23/G7*100</f>
        <v>2.0319786808794138</v>
      </c>
      <c r="I23" s="314">
        <f>(G23-F23)/F23*100</f>
        <v>-28.235294117647058</v>
      </c>
      <c r="M23" s="2369"/>
      <c r="N23" s="1055" t="s">
        <v>233</v>
      </c>
      <c r="O23" s="833">
        <v>180789</v>
      </c>
      <c r="P23" s="833">
        <v>166041</v>
      </c>
      <c r="Q23" s="314">
        <f>(P23-O23)/O23*100</f>
        <v>-8.1575759587143022</v>
      </c>
      <c r="R23" s="315">
        <v>5.92</v>
      </c>
      <c r="S23" s="315">
        <v>5.77</v>
      </c>
      <c r="T23" s="1060">
        <f>S23/S7*100</f>
        <v>2.4749894530490608</v>
      </c>
      <c r="U23" s="314">
        <f>(S23-R23)/R23*100</f>
        <v>-2.53378378378379</v>
      </c>
    </row>
    <row r="24" spans="1:24" ht="18.75" customHeight="1" x14ac:dyDescent="0.4">
      <c r="A24" s="2004"/>
      <c r="B24" s="1055" t="s">
        <v>739</v>
      </c>
      <c r="C24" s="303">
        <v>0</v>
      </c>
      <c r="D24" s="303">
        <v>0</v>
      </c>
      <c r="E24" s="836">
        <v>0</v>
      </c>
      <c r="F24" s="316">
        <v>0</v>
      </c>
      <c r="G24" s="315">
        <v>0</v>
      </c>
      <c r="H24" s="1060">
        <f>G24/G7*100</f>
        <v>0</v>
      </c>
      <c r="I24" s="314">
        <v>0</v>
      </c>
      <c r="M24" s="2369"/>
      <c r="N24" s="1055" t="s">
        <v>739</v>
      </c>
      <c r="O24" s="833">
        <v>0</v>
      </c>
      <c r="P24" s="833">
        <v>2661</v>
      </c>
      <c r="Q24" s="836">
        <v>0</v>
      </c>
      <c r="R24" s="315">
        <v>0</v>
      </c>
      <c r="S24" s="315">
        <v>4.1000000000000002E-2</v>
      </c>
      <c r="T24" s="1060">
        <f>S24/S7*100</f>
        <v>1.758658016897946E-2</v>
      </c>
      <c r="U24" s="314">
        <v>0</v>
      </c>
    </row>
    <row r="25" spans="1:24" ht="18.75" customHeight="1" x14ac:dyDescent="0.4">
      <c r="A25" s="2004"/>
      <c r="B25" s="1055" t="s">
        <v>235</v>
      </c>
      <c r="C25" s="303">
        <v>0</v>
      </c>
      <c r="D25" s="303">
        <v>1368</v>
      </c>
      <c r="E25" s="836">
        <v>0</v>
      </c>
      <c r="F25" s="316">
        <v>0</v>
      </c>
      <c r="G25" s="404">
        <v>4.3999999999999997E-2</v>
      </c>
      <c r="H25" s="1060">
        <f>G25/G7*100</f>
        <v>0.14656895403064624</v>
      </c>
      <c r="I25" s="314">
        <v>0</v>
      </c>
      <c r="M25" s="2369"/>
      <c r="N25" s="1055" t="s">
        <v>235</v>
      </c>
      <c r="O25" s="833">
        <v>0</v>
      </c>
      <c r="P25" s="833">
        <v>2748</v>
      </c>
      <c r="Q25" s="836">
        <v>0</v>
      </c>
      <c r="R25" s="315">
        <v>0.04</v>
      </c>
      <c r="S25" s="315">
        <v>0.11310000000000001</v>
      </c>
      <c r="T25" s="1060">
        <f>S25/S7*100</f>
        <v>4.8513224807599439E-2</v>
      </c>
      <c r="U25" s="314">
        <v>0</v>
      </c>
    </row>
    <row r="26" spans="1:24" ht="27" customHeight="1" x14ac:dyDescent="0.4">
      <c r="A26" s="2005"/>
      <c r="B26" s="1056" t="s">
        <v>693</v>
      </c>
      <c r="C26" s="1059">
        <v>0</v>
      </c>
      <c r="D26" s="1059">
        <v>0</v>
      </c>
      <c r="E26" s="836">
        <v>0</v>
      </c>
      <c r="F26" s="316">
        <v>0</v>
      </c>
      <c r="G26" s="404">
        <v>4.8399999999999999E-2</v>
      </c>
      <c r="H26" s="1060">
        <f>G26/G7*100</f>
        <v>0.16122584943371088</v>
      </c>
      <c r="I26" s="314" t="e">
        <f>(G26-F26)/F26*100</f>
        <v>#DIV/0!</v>
      </c>
      <c r="M26" s="2245"/>
      <c r="N26" s="1056" t="s">
        <v>693</v>
      </c>
      <c r="O26" s="833">
        <f>121+1329+1377</f>
        <v>2827</v>
      </c>
      <c r="P26" s="833">
        <v>0</v>
      </c>
      <c r="Q26" s="836">
        <v>0</v>
      </c>
      <c r="R26" s="315">
        <f>0.05+0.2+0.02</f>
        <v>0.27</v>
      </c>
      <c r="S26" s="315">
        <v>0.27</v>
      </c>
      <c r="T26" s="1060">
        <f>S26/S7*100</f>
        <v>0.11581406452742572</v>
      </c>
      <c r="U26" s="314">
        <f>(S26-R26)/R26*100</f>
        <v>0</v>
      </c>
    </row>
    <row r="27" spans="1:24" s="26" customFormat="1" ht="19.5" customHeight="1" x14ac:dyDescent="0.4">
      <c r="A27" s="1053"/>
      <c r="B27" s="1063" t="s">
        <v>683</v>
      </c>
      <c r="C27" s="1063">
        <f>SUM(C20:C26)</f>
        <v>203031</v>
      </c>
      <c r="D27" s="1063">
        <f>SUM(D20:D26)</f>
        <v>194590</v>
      </c>
      <c r="E27" s="394">
        <f>(D27-C27)/C27*100</f>
        <v>-4.1574931906950168</v>
      </c>
      <c r="F27" s="1054">
        <f>SUM(F20:F26)</f>
        <v>33.42</v>
      </c>
      <c r="G27" s="1054">
        <f>G20+G21+G22+G23+G24+G25+G26</f>
        <v>30.022400000000001</v>
      </c>
      <c r="H27" s="1066">
        <f>SUM(H20:H26)</f>
        <v>100.00799467021984</v>
      </c>
      <c r="I27" s="394">
        <f>(G27-F27)/F27*100</f>
        <v>-10.166367444643926</v>
      </c>
      <c r="J27" s="762"/>
      <c r="K27" s="762"/>
      <c r="L27" s="432"/>
      <c r="M27" s="1202"/>
      <c r="N27" s="1063" t="s">
        <v>683</v>
      </c>
      <c r="O27" s="1063">
        <f>SUM(O20:O26)</f>
        <v>1092623</v>
      </c>
      <c r="P27" s="1063">
        <f>SUM(P20:P26)</f>
        <v>1852194</v>
      </c>
      <c r="Q27" s="394">
        <f>(P27-O27)/O27*100</f>
        <v>69.51812290241007</v>
      </c>
      <c r="R27" s="1054">
        <f>SUM(R20:R26)</f>
        <v>159.07</v>
      </c>
      <c r="S27" s="1054">
        <f>SUM(S20:S26)</f>
        <v>233.14410000000004</v>
      </c>
      <c r="T27" s="1066">
        <f>SUM(T20:T26)</f>
        <v>100.00505867255036</v>
      </c>
      <c r="U27" s="394">
        <f>(S27-R27)/R27*100</f>
        <v>46.56698308920604</v>
      </c>
      <c r="X27" s="432"/>
    </row>
    <row r="28" spans="1:24" ht="15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4" ht="24" hidden="1" customHeight="1" x14ac:dyDescent="0.35">
      <c r="A29" s="1064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4" ht="15" x14ac:dyDescent="0.35">
      <c r="A30" s="2014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2384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4" ht="15.4" x14ac:dyDescent="0.4">
      <c r="A31" s="2015"/>
      <c r="B31" s="2006" t="s">
        <v>2</v>
      </c>
      <c r="C31" s="2007"/>
      <c r="D31" s="331">
        <v>12.05</v>
      </c>
      <c r="E31" s="315">
        <v>1</v>
      </c>
      <c r="F31" s="313">
        <v>0.97747280000000003</v>
      </c>
      <c r="G31" s="313">
        <v>2.63</v>
      </c>
      <c r="H31" s="314">
        <f>(G31-E31)/E31*100</f>
        <v>163</v>
      </c>
      <c r="I31" s="314">
        <f t="shared" ref="I31:I37" si="0">(G31-F31)/F31*100</f>
        <v>169.06119536011639</v>
      </c>
      <c r="J31" s="84">
        <f>2661720/10000000</f>
        <v>0.26617200000000002</v>
      </c>
      <c r="K31" s="84">
        <f>11596205/10000000</f>
        <v>1.1596204999999999</v>
      </c>
      <c r="M31" s="2385"/>
      <c r="N31" s="2006" t="s">
        <v>2</v>
      </c>
      <c r="O31" s="2007"/>
      <c r="P31" s="331">
        <v>12.05</v>
      </c>
      <c r="Q31" s="315">
        <f>'SEP-2022'!Q31+'OCT-2022'!E31</f>
        <v>6.85</v>
      </c>
      <c r="R31" s="315">
        <f>'SEP-2022'!R31+'OCT-2022'!F31</f>
        <v>3.0940484000000001</v>
      </c>
      <c r="S31" s="315">
        <v>14.67</v>
      </c>
      <c r="T31" s="314">
        <f>(S31-Q31)/Q31*100</f>
        <v>114.16058394160584</v>
      </c>
      <c r="U31" s="314">
        <f t="shared" ref="U31:U37" si="1">(S31-R31)/R31*100</f>
        <v>374.13608655895621</v>
      </c>
    </row>
    <row r="32" spans="1:24" ht="15.4" x14ac:dyDescent="0.4">
      <c r="A32" s="2015"/>
      <c r="B32" s="2006" t="s">
        <v>23</v>
      </c>
      <c r="C32" s="2007"/>
      <c r="D32" s="331">
        <v>27.75</v>
      </c>
      <c r="E32" s="315">
        <v>2.65</v>
      </c>
      <c r="F32" s="313">
        <v>2.4485470999999999</v>
      </c>
      <c r="G32" s="313">
        <f>'actual fig'!V10/10000000</f>
        <v>2.3469666999999999</v>
      </c>
      <c r="H32" s="314">
        <f>(G32-E32)/E32*100</f>
        <v>-11.435218867924531</v>
      </c>
      <c r="I32" s="314">
        <f t="shared" si="0"/>
        <v>-4.1485989793702567</v>
      </c>
      <c r="J32" s="1128">
        <f>0.42-0.02</f>
        <v>0.39999999999999997</v>
      </c>
      <c r="K32" s="84">
        <f>0.58-0.12</f>
        <v>0.45999999999999996</v>
      </c>
      <c r="M32" s="2385"/>
      <c r="N32" s="2006" t="s">
        <v>23</v>
      </c>
      <c r="O32" s="2007"/>
      <c r="P32" s="331">
        <v>27.75</v>
      </c>
      <c r="Q32" s="315">
        <f>'SEP-2022'!Q32+'OCT-2022'!E32</f>
        <v>15.69</v>
      </c>
      <c r="R32" s="315">
        <f>'SEP-2022'!R32+'OCT-2022'!F32</f>
        <v>14.4931479</v>
      </c>
      <c r="S32" s="315">
        <f>'SEP-2022'!S32+'OCT-2022'!G32</f>
        <v>17.784029</v>
      </c>
      <c r="T32" s="314">
        <f>(S32-Q32)/Q32*100</f>
        <v>13.346265137029961</v>
      </c>
      <c r="U32" s="314">
        <f t="shared" si="1"/>
        <v>22.706461858434494</v>
      </c>
    </row>
    <row r="33" spans="1:24" ht="15.4" x14ac:dyDescent="0.4">
      <c r="A33" s="2015"/>
      <c r="B33" s="2006" t="s">
        <v>1</v>
      </c>
      <c r="C33" s="2007"/>
      <c r="D33" s="331">
        <v>5.77</v>
      </c>
      <c r="E33" s="315">
        <v>0.56999999999999995</v>
      </c>
      <c r="F33" s="313">
        <v>0.1109642</v>
      </c>
      <c r="G33" s="313">
        <f>'actual fig'!W10/10000000</f>
        <v>7.2628999999999999E-2</v>
      </c>
      <c r="H33" s="314">
        <f>(G33-E33)/E33*100</f>
        <v>-87.25807017543859</v>
      </c>
      <c r="I33" s="314">
        <f t="shared" si="0"/>
        <v>-34.547358517431746</v>
      </c>
      <c r="M33" s="2385"/>
      <c r="N33" s="2006" t="s">
        <v>1</v>
      </c>
      <c r="O33" s="2007"/>
      <c r="P33" s="331">
        <v>5.77</v>
      </c>
      <c r="Q33" s="315">
        <f>'SEP-2022'!Q33+'OCT-2022'!E33</f>
        <v>3.57</v>
      </c>
      <c r="R33" s="315">
        <f>'SEP-2022'!R33+'OCT-2022'!F33</f>
        <v>0.69638440000000001</v>
      </c>
      <c r="S33" s="315">
        <f>'SEP-2022'!S33+'OCT-2022'!G33</f>
        <v>0.64415289999999992</v>
      </c>
      <c r="T33" s="314">
        <f>(S33-Q33)/Q33*100</f>
        <v>-81.956501400560228</v>
      </c>
      <c r="U33" s="314">
        <f t="shared" si="1"/>
        <v>-7.5003834089333559</v>
      </c>
    </row>
    <row r="34" spans="1:24" ht="15.4" x14ac:dyDescent="0.4">
      <c r="A34" s="2015"/>
      <c r="B34" s="2006" t="s">
        <v>24</v>
      </c>
      <c r="C34" s="2007"/>
      <c r="D34" s="603" t="s">
        <v>221</v>
      </c>
      <c r="E34" s="315"/>
      <c r="F34" s="313">
        <v>2.9988000000000001E-2</v>
      </c>
      <c r="G34" s="313">
        <f>'actual fig'!Y10/10000000</f>
        <v>0.36619699999999999</v>
      </c>
      <c r="H34" s="316" t="s">
        <v>221</v>
      </c>
      <c r="I34" s="314">
        <f t="shared" si="0"/>
        <v>1121.1451247165533</v>
      </c>
      <c r="J34" s="84">
        <f>62410/10000000</f>
        <v>6.241E-3</v>
      </c>
      <c r="M34" s="2385"/>
      <c r="N34" s="2006" t="s">
        <v>24</v>
      </c>
      <c r="O34" s="2007"/>
      <c r="P34" s="603" t="s">
        <v>221</v>
      </c>
      <c r="Q34" s="315"/>
      <c r="R34" s="315">
        <f>'SEP-2022'!R34+'OCT-2022'!F34</f>
        <v>0.14499499999999999</v>
      </c>
      <c r="S34" s="315">
        <f>'SEP-2022'!S34+'OCT-2022'!G34</f>
        <v>1.9234489999999997</v>
      </c>
      <c r="T34" s="316" t="s">
        <v>221</v>
      </c>
      <c r="U34" s="314">
        <f t="shared" si="1"/>
        <v>1226.5622952515603</v>
      </c>
    </row>
    <row r="35" spans="1:24" ht="15.4" x14ac:dyDescent="0.4">
      <c r="A35" s="2015"/>
      <c r="B35" s="2017" t="s">
        <v>25</v>
      </c>
      <c r="C35" s="2030"/>
      <c r="D35" s="603" t="s">
        <v>221</v>
      </c>
      <c r="E35" s="315"/>
      <c r="F35" s="313">
        <v>1.1021133999999999</v>
      </c>
      <c r="G35" s="313">
        <f>'actual fig'!X10/10000000</f>
        <v>5.3535399999999997E-2</v>
      </c>
      <c r="H35" s="316" t="s">
        <v>221</v>
      </c>
      <c r="I35" s="314">
        <f t="shared" si="0"/>
        <v>-95.142478078934531</v>
      </c>
      <c r="M35" s="2385"/>
      <c r="N35" s="2017" t="s">
        <v>25</v>
      </c>
      <c r="O35" s="2030"/>
      <c r="P35" s="603" t="s">
        <v>221</v>
      </c>
      <c r="Q35" s="315"/>
      <c r="R35" s="315">
        <f>'SEP-2022'!R35+'OCT-2022'!F35</f>
        <v>1.8012378</v>
      </c>
      <c r="S35" s="315">
        <f>'SEP-2022'!S35+'OCT-2022'!G35</f>
        <v>4.6064936999999997</v>
      </c>
      <c r="T35" s="316" t="s">
        <v>221</v>
      </c>
      <c r="U35" s="314">
        <f t="shared" si="1"/>
        <v>155.74045248217641</v>
      </c>
    </row>
    <row r="36" spans="1:24" ht="17.25" x14ac:dyDescent="0.6">
      <c r="A36" s="2016"/>
      <c r="B36" s="2017" t="s">
        <v>241</v>
      </c>
      <c r="C36" s="2030"/>
      <c r="D36" s="540" t="s">
        <v>221</v>
      </c>
      <c r="E36" s="316"/>
      <c r="F36" s="313">
        <v>2.755064</v>
      </c>
      <c r="G36" s="1181">
        <f>'actual fig'!T10/10000000</f>
        <v>4.0486316000000002</v>
      </c>
      <c r="H36" s="316" t="s">
        <v>221</v>
      </c>
      <c r="I36" s="314">
        <f t="shared" si="0"/>
        <v>46.952361179268443</v>
      </c>
      <c r="J36" s="323">
        <f>(3613355)/10000000</f>
        <v>0.36133549999999998</v>
      </c>
      <c r="K36" s="323">
        <f>(20880+ 10612529)/10000000</f>
        <v>1.0633409</v>
      </c>
      <c r="M36" s="2386"/>
      <c r="N36" s="2017" t="s">
        <v>241</v>
      </c>
      <c r="O36" s="2030"/>
      <c r="P36" s="540" t="s">
        <v>221</v>
      </c>
      <c r="Q36" s="316"/>
      <c r="R36" s="315">
        <f>'SEP-2022'!R36+'OCT-2022'!F36</f>
        <v>14.8732702</v>
      </c>
      <c r="S36" s="315">
        <f>'SEP-2022'!S36+'OCT-2022'!G36</f>
        <v>24.5130725</v>
      </c>
      <c r="T36" s="316" t="s">
        <v>221</v>
      </c>
      <c r="U36" s="314">
        <f t="shared" si="1"/>
        <v>64.812930649239462</v>
      </c>
    </row>
    <row r="37" spans="1:24" x14ac:dyDescent="0.4">
      <c r="A37" s="403"/>
      <c r="B37" s="2006" t="s">
        <v>260</v>
      </c>
      <c r="C37" s="2019"/>
      <c r="D37" s="540" t="s">
        <v>221</v>
      </c>
      <c r="E37" s="316"/>
      <c r="F37" s="313">
        <v>4.1210999999999998E-2</v>
      </c>
      <c r="G37" s="313">
        <f>'actual fig'!Z10/10000000</f>
        <v>4.8728599999999997E-2</v>
      </c>
      <c r="H37" s="413"/>
      <c r="I37" s="314">
        <f t="shared" si="0"/>
        <v>18.241731576520831</v>
      </c>
      <c r="M37" s="1208"/>
      <c r="N37" s="2006" t="s">
        <v>260</v>
      </c>
      <c r="O37" s="2019"/>
      <c r="P37" s="540" t="s">
        <v>221</v>
      </c>
      <c r="Q37" s="316"/>
      <c r="R37" s="315">
        <f>'SEP-2022'!R37+'OCT-2022'!F37</f>
        <v>0.30724359999999995</v>
      </c>
      <c r="S37" s="315">
        <f>'SEP-2022'!S37+'OCT-2022'!G37</f>
        <v>0.49007740000000005</v>
      </c>
      <c r="T37" s="413"/>
      <c r="U37" s="314">
        <f t="shared" si="1"/>
        <v>59.507765173953217</v>
      </c>
    </row>
    <row r="38" spans="1:24" ht="15" x14ac:dyDescent="0.35">
      <c r="A38" s="2020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  <c r="M38" s="2388">
        <v>4</v>
      </c>
      <c r="N38" s="2309" t="s">
        <v>622</v>
      </c>
      <c r="O38" s="2310"/>
      <c r="P38" s="2310"/>
      <c r="Q38" s="2310"/>
      <c r="R38" s="2310"/>
      <c r="S38" s="2310"/>
      <c r="T38" s="2310"/>
      <c r="U38" s="2311"/>
    </row>
    <row r="39" spans="1:24" ht="15.4" x14ac:dyDescent="0.4">
      <c r="A39" s="2020"/>
      <c r="B39" s="2006" t="s">
        <v>27</v>
      </c>
      <c r="C39" s="2007"/>
      <c r="D39" s="331">
        <v>12.24</v>
      </c>
      <c r="E39" s="315">
        <v>1.02</v>
      </c>
      <c r="F39" s="313">
        <v>0.5309104</v>
      </c>
      <c r="G39" s="313">
        <f>'actual fig'!T26/10000000</f>
        <v>0.70853259999999996</v>
      </c>
      <c r="H39" s="314">
        <f>(G39-E39)/E39*100</f>
        <v>-30.536019607843141</v>
      </c>
      <c r="I39" s="314">
        <f>(G39-F39)/F39*100</f>
        <v>33.456153806744027</v>
      </c>
      <c r="L39" s="172">
        <v>2.1361249999999998</v>
      </c>
      <c r="M39" s="2388"/>
      <c r="N39" s="2006" t="s">
        <v>27</v>
      </c>
      <c r="O39" s="2007"/>
      <c r="P39" s="331">
        <v>12.24</v>
      </c>
      <c r="Q39" s="315">
        <f>'APRIL-22'!E39+'MAY-22'!E39+'JUNE-22'!E39+'JULY 22'!E39+'AUG-22'!E39+'SEP-2022'!E39+E39</f>
        <v>7.1399999999999988</v>
      </c>
      <c r="R39" s="315">
        <v>2.1361249999999998</v>
      </c>
      <c r="S39" s="315">
        <f>'SEP-2022'!S39+'OCT-2022'!G39</f>
        <v>5.8074614000000002</v>
      </c>
      <c r="T39" s="314">
        <f>(S39-Q39)/Q39*100</f>
        <v>-18.663005602240879</v>
      </c>
      <c r="U39" s="314">
        <f>(S39-R39)/R39*100</f>
        <v>171.86898706770438</v>
      </c>
      <c r="W39" s="5">
        <f>P39/12</f>
        <v>1.02</v>
      </c>
      <c r="X39" s="172">
        <f>W39*4</f>
        <v>4.08</v>
      </c>
    </row>
    <row r="40" spans="1:24" ht="15.4" x14ac:dyDescent="0.4">
      <c r="A40" s="2020"/>
      <c r="B40" s="2006" t="s">
        <v>28</v>
      </c>
      <c r="C40" s="2007"/>
      <c r="D40" s="333">
        <v>2.84</v>
      </c>
      <c r="E40" s="315">
        <v>0.23599999999999999</v>
      </c>
      <c r="F40" s="314">
        <v>0</v>
      </c>
      <c r="G40" s="381">
        <f>'actual fig'!U26/10000000</f>
        <v>8.3276799999999998E-2</v>
      </c>
      <c r="H40" s="314">
        <f>(G40-E40)/E40*100</f>
        <v>-64.713220338983064</v>
      </c>
      <c r="I40" s="314">
        <v>0</v>
      </c>
      <c r="L40" s="172">
        <v>0.11442669999999999</v>
      </c>
      <c r="M40" s="2388"/>
      <c r="N40" s="2006" t="s">
        <v>28</v>
      </c>
      <c r="O40" s="2007"/>
      <c r="P40" s="333">
        <v>2.84</v>
      </c>
      <c r="Q40" s="315">
        <f>'APRIL-22'!E40+'MAY-22'!E40+'JUNE-22'!E40+'JULY 22'!E40+'AUG-22'!E40+'SEP-2022'!E40+E40</f>
        <v>1.6519999999999999</v>
      </c>
      <c r="R40" s="315">
        <v>0.11442669999999999</v>
      </c>
      <c r="S40" s="315">
        <f>'SEP-2022'!S40+'OCT-2022'!G40</f>
        <v>0.63528300000000004</v>
      </c>
      <c r="T40" s="314">
        <f>(S40-Q40)/Q40*100</f>
        <v>-61.544612590799034</v>
      </c>
      <c r="U40" s="314">
        <f>(S40-R40)/R40*100</f>
        <v>455.18773153468561</v>
      </c>
      <c r="W40" s="5">
        <f>P40/12</f>
        <v>0.23666666666666666</v>
      </c>
      <c r="X40" s="172">
        <f>W40*4</f>
        <v>0.94666666666666666</v>
      </c>
    </row>
    <row r="41" spans="1:24" ht="15.4" x14ac:dyDescent="0.4">
      <c r="A41" s="2020"/>
      <c r="B41" s="378" t="s">
        <v>224</v>
      </c>
      <c r="C41" s="379"/>
      <c r="D41" s="331">
        <v>2.4500000000000002</v>
      </c>
      <c r="E41" s="323">
        <v>0.20416666666666669</v>
      </c>
      <c r="F41" s="314">
        <v>0</v>
      </c>
      <c r="G41" s="313">
        <f>'actual fig'!V26/10000000</f>
        <v>0.1203597</v>
      </c>
      <c r="H41" s="314">
        <f>(G41-E41)/E41*100</f>
        <v>-41.048310204081638</v>
      </c>
      <c r="I41" s="314">
        <v>0</v>
      </c>
      <c r="L41" s="172">
        <v>0.1548958</v>
      </c>
      <c r="M41" s="2388"/>
      <c r="N41" s="378" t="s">
        <v>224</v>
      </c>
      <c r="O41" s="379"/>
      <c r="P41" s="331">
        <v>2.4500000000000002</v>
      </c>
      <c r="Q41" s="315">
        <f>'APRIL-22'!E41+'MAY-22'!E41+'JUNE-22'!E41+'JULY 22'!E41+'AUG-22'!E41+'SEP-2022'!E41+E41</f>
        <v>1.4291666666666667</v>
      </c>
      <c r="R41" s="315">
        <v>0.1548958</v>
      </c>
      <c r="S41" s="315">
        <f>'SEP-2022'!S41+'OCT-2022'!G41</f>
        <v>0.80230039999999991</v>
      </c>
      <c r="T41" s="314">
        <f>(S41-Q41)/Q41*100</f>
        <v>-43.862362682215746</v>
      </c>
      <c r="U41" s="314">
        <f>(S41-R41)/R41*100</f>
        <v>417.96136499504814</v>
      </c>
      <c r="W41" s="5">
        <f>P41/12</f>
        <v>0.20416666666666669</v>
      </c>
      <c r="X41" s="172">
        <f>W41*4</f>
        <v>0.81666666666666676</v>
      </c>
    </row>
    <row r="42" spans="1:24" ht="15.4" x14ac:dyDescent="0.4">
      <c r="A42" s="2020"/>
      <c r="B42" s="2006" t="s">
        <v>64</v>
      </c>
      <c r="C42" s="2007"/>
      <c r="D42" s="540" t="s">
        <v>221</v>
      </c>
      <c r="E42" s="315"/>
      <c r="F42" s="314">
        <v>0</v>
      </c>
      <c r="G42" s="313">
        <v>0</v>
      </c>
      <c r="H42" s="314" t="s">
        <v>221</v>
      </c>
      <c r="I42" s="314">
        <v>0</v>
      </c>
      <c r="L42" s="172">
        <v>0</v>
      </c>
      <c r="M42" s="2388"/>
      <c r="N42" s="2006" t="s">
        <v>64</v>
      </c>
      <c r="O42" s="2007"/>
      <c r="P42" s="540" t="s">
        <v>221</v>
      </c>
      <c r="Q42" s="315"/>
      <c r="R42" s="315">
        <v>0</v>
      </c>
      <c r="S42" s="315">
        <f>'SEP-2022'!S42+'OCT-2022'!G42</f>
        <v>0</v>
      </c>
      <c r="T42" s="314" t="s">
        <v>221</v>
      </c>
      <c r="U42" s="314">
        <v>0</v>
      </c>
    </row>
    <row r="43" spans="1:24" ht="15.4" x14ac:dyDescent="0.4">
      <c r="A43" s="2020"/>
      <c r="B43" s="2006" t="s">
        <v>4</v>
      </c>
      <c r="C43" s="2007"/>
      <c r="D43" s="540" t="s">
        <v>221</v>
      </c>
      <c r="E43" s="315"/>
      <c r="F43" s="314">
        <v>0</v>
      </c>
      <c r="G43" s="313">
        <v>0</v>
      </c>
      <c r="H43" s="314" t="s">
        <v>221</v>
      </c>
      <c r="I43" s="314">
        <v>0</v>
      </c>
      <c r="L43" s="172">
        <v>4.0018400000000003E-2</v>
      </c>
      <c r="M43" s="2388"/>
      <c r="N43" s="2006" t="s">
        <v>4</v>
      </c>
      <c r="O43" s="2007"/>
      <c r="P43" s="540" t="s">
        <v>221</v>
      </c>
      <c r="Q43" s="315"/>
      <c r="R43" s="315">
        <v>4.0018400000000003E-2</v>
      </c>
      <c r="S43" s="315">
        <f>'SEP-2022'!S43+'OCT-2022'!G43</f>
        <v>0.19960020000000001</v>
      </c>
      <c r="T43" s="314" t="s">
        <v>221</v>
      </c>
      <c r="U43" s="314">
        <f>(S43-R43)/R43*100</f>
        <v>398.77106530995741</v>
      </c>
    </row>
    <row r="44" spans="1:24" x14ac:dyDescent="0.4">
      <c r="A44" s="373"/>
      <c r="B44" s="2006" t="s">
        <v>259</v>
      </c>
      <c r="C44" s="2019"/>
      <c r="D44" s="540" t="s">
        <v>221</v>
      </c>
      <c r="E44" s="315"/>
      <c r="F44" s="1039">
        <v>4.5241499999999997E-2</v>
      </c>
      <c r="G44" s="313">
        <f>'actual fig'!X26/10000000</f>
        <v>7.92606E-2</v>
      </c>
      <c r="H44" s="407" t="s">
        <v>221</v>
      </c>
      <c r="I44" s="314">
        <f>(G44-F44)/F44*100</f>
        <v>75.194456417227556</v>
      </c>
      <c r="L44" s="172">
        <v>0.93056630000000007</v>
      </c>
      <c r="M44" s="1204"/>
      <c r="N44" s="2006" t="s">
        <v>259</v>
      </c>
      <c r="O44" s="2019"/>
      <c r="P44" s="540" t="s">
        <v>221</v>
      </c>
      <c r="Q44" s="315"/>
      <c r="R44" s="315">
        <v>0.93056630000000007</v>
      </c>
      <c r="S44" s="315">
        <f>'SEP-2022'!S44+'OCT-2022'!G44</f>
        <v>0.89664919999999992</v>
      </c>
      <c r="T44" s="407" t="s">
        <v>221</v>
      </c>
      <c r="U44" s="314">
        <f>(S44-R44)/R44*100</f>
        <v>-3.6447806029511427</v>
      </c>
    </row>
    <row r="45" spans="1:24" ht="15" x14ac:dyDescent="0.35">
      <c r="A45" s="2020"/>
      <c r="B45" s="2309" t="s">
        <v>419</v>
      </c>
      <c r="C45" s="2310"/>
      <c r="D45" s="2310"/>
      <c r="E45" s="2310"/>
      <c r="F45" s="2310"/>
      <c r="G45" s="2310"/>
      <c r="H45" s="2310"/>
      <c r="I45" s="2311"/>
      <c r="M45" s="2388"/>
      <c r="N45" s="2309" t="s">
        <v>419</v>
      </c>
      <c r="O45" s="2310"/>
      <c r="P45" s="2310"/>
      <c r="Q45" s="2310"/>
      <c r="R45" s="2310"/>
      <c r="S45" s="2310"/>
      <c r="T45" s="2310"/>
      <c r="U45" s="2311"/>
    </row>
    <row r="46" spans="1:24" ht="15.4" x14ac:dyDescent="0.4">
      <c r="A46" s="2020"/>
      <c r="B46" s="2006" t="s">
        <v>16</v>
      </c>
      <c r="C46" s="2007"/>
      <c r="D46" s="331">
        <v>37.090000000000003</v>
      </c>
      <c r="E46" s="315">
        <v>2.91</v>
      </c>
      <c r="F46" s="315">
        <v>0.31974999999999998</v>
      </c>
      <c r="G46" s="315">
        <f>'actual fig'!L26/1000000</f>
        <v>1.610768</v>
      </c>
      <c r="H46" s="316">
        <f>(G46-E46)/E46*100</f>
        <v>-44.647147766323023</v>
      </c>
      <c r="I46" s="314">
        <f>(G46-F46)/F46*100</f>
        <v>403.75856137607508</v>
      </c>
      <c r="J46" s="84">
        <f>94132</f>
        <v>94132</v>
      </c>
      <c r="L46" s="172">
        <f>K46/100000</f>
        <v>0</v>
      </c>
      <c r="M46" s="2388"/>
      <c r="N46" s="2006" t="s">
        <v>16</v>
      </c>
      <c r="O46" s="2007"/>
      <c r="P46" s="331">
        <v>37.090000000000003</v>
      </c>
      <c r="Q46" s="315">
        <v>22.26</v>
      </c>
      <c r="R46" s="315">
        <f>'SEP-2022'!R46+'OCT-2022'!F46</f>
        <v>1.254696</v>
      </c>
      <c r="S46" s="1212">
        <v>9.8070170000000001</v>
      </c>
      <c r="T46" s="316">
        <f>(S46-Q46)/Q46*100</f>
        <v>-55.943319856244386</v>
      </c>
      <c r="U46" s="314">
        <f>(S46-R46)/R46*100</f>
        <v>681.62495138264558</v>
      </c>
    </row>
    <row r="47" spans="1:24" ht="15.4" x14ac:dyDescent="0.4">
      <c r="A47" s="2020"/>
      <c r="B47" s="2069" t="s">
        <v>15</v>
      </c>
      <c r="C47" s="320" t="s">
        <v>166</v>
      </c>
      <c r="D47" s="2067">
        <v>43.23</v>
      </c>
      <c r="E47" s="2154">
        <v>3.47</v>
      </c>
      <c r="F47" s="315">
        <v>5.4133000000000001E-2</v>
      </c>
      <c r="G47" s="315">
        <f>'actual fig'!M26/1000000</f>
        <v>1.604759</v>
      </c>
      <c r="H47" s="2027">
        <f>L47</f>
        <v>-26.660518731988475</v>
      </c>
      <c r="I47" s="314">
        <f>(G47-F47)/F47*100</f>
        <v>2864.474534941718</v>
      </c>
      <c r="J47" s="84">
        <v>31105</v>
      </c>
      <c r="K47" s="323">
        <f>G47+G48</f>
        <v>2.54488</v>
      </c>
      <c r="L47" s="1151">
        <f>(K47-E47)/E47*100</f>
        <v>-26.660518731988475</v>
      </c>
      <c r="M47" s="2388"/>
      <c r="N47" s="2069" t="s">
        <v>15</v>
      </c>
      <c r="O47" s="320" t="s">
        <v>166</v>
      </c>
      <c r="P47" s="2067">
        <v>43.23</v>
      </c>
      <c r="Q47" s="2154">
        <v>25.779999999999998</v>
      </c>
      <c r="R47" s="315">
        <f>'SEP-2022'!R47+'OCT-2022'!F47</f>
        <v>0.32931399999999994</v>
      </c>
      <c r="S47" s="1212">
        <v>7.1882539999999997</v>
      </c>
      <c r="T47" s="2027">
        <f>X47</f>
        <v>-42.791229635376254</v>
      </c>
      <c r="U47" s="314">
        <f>(S47-R47)/R47*100</f>
        <v>2082.7963584906806</v>
      </c>
      <c r="W47" s="12">
        <f>S47+S48</f>
        <v>14.748421</v>
      </c>
      <c r="X47" s="172">
        <f>(W47-Q47)/Q47*100</f>
        <v>-42.791229635376254</v>
      </c>
    </row>
    <row r="48" spans="1:24" ht="16.5" x14ac:dyDescent="0.55000000000000004">
      <c r="A48" s="2020"/>
      <c r="B48" s="2070"/>
      <c r="C48" s="320" t="s">
        <v>228</v>
      </c>
      <c r="D48" s="2068"/>
      <c r="E48" s="2155"/>
      <c r="F48" s="315">
        <v>1.137564</v>
      </c>
      <c r="G48" s="315">
        <f>'actual fig'!N26/1000000</f>
        <v>0.94012099999999998</v>
      </c>
      <c r="H48" s="2029"/>
      <c r="I48" s="314">
        <f>(G48-F48)/F48*100</f>
        <v>-17.356649823658277</v>
      </c>
      <c r="J48" s="755">
        <v>205039</v>
      </c>
      <c r="K48" s="755"/>
      <c r="M48" s="2388"/>
      <c r="N48" s="2070"/>
      <c r="O48" s="320" t="s">
        <v>228</v>
      </c>
      <c r="P48" s="2068"/>
      <c r="Q48" s="2155"/>
      <c r="R48" s="315">
        <f>'SEP-2022'!R48+'OCT-2022'!F48</f>
        <v>5.0533950000000001</v>
      </c>
      <c r="S48" s="1212">
        <v>7.5601669999999999</v>
      </c>
      <c r="T48" s="2029"/>
      <c r="U48" s="314">
        <f>(S48-R48)/R48*100</f>
        <v>49.605700721989862</v>
      </c>
    </row>
    <row r="49" spans="1:21" ht="15.75" customHeight="1" x14ac:dyDescent="0.35">
      <c r="A49" s="2020">
        <v>6</v>
      </c>
      <c r="B49" s="2309" t="s">
        <v>772</v>
      </c>
      <c r="C49" s="2310"/>
      <c r="D49" s="2310"/>
      <c r="E49" s="2310"/>
      <c r="F49" s="2310"/>
      <c r="G49" s="2310"/>
      <c r="H49" s="2310"/>
      <c r="I49" s="2311"/>
      <c r="M49" s="2388">
        <v>6</v>
      </c>
      <c r="N49" s="2309" t="s">
        <v>772</v>
      </c>
      <c r="O49" s="2310"/>
      <c r="P49" s="2310"/>
      <c r="Q49" s="2310"/>
      <c r="R49" s="2310"/>
      <c r="S49" s="2310"/>
      <c r="T49" s="2310"/>
      <c r="U49" s="2311"/>
    </row>
    <row r="50" spans="1:21" ht="15.4" x14ac:dyDescent="0.4">
      <c r="A50" s="2020"/>
      <c r="B50" s="2006" t="s">
        <v>36</v>
      </c>
      <c r="C50" s="2007"/>
      <c r="D50" s="2368">
        <v>293</v>
      </c>
      <c r="E50" s="2024" t="s">
        <v>221</v>
      </c>
      <c r="F50" s="313">
        <v>184.87</v>
      </c>
      <c r="G50" s="313">
        <v>210.96</v>
      </c>
      <c r="H50" s="2027">
        <f>(G52-D50)/D50*100</f>
        <v>-16.204778156996582</v>
      </c>
      <c r="I50" s="314">
        <f>(G50-F50)/F50*100</f>
        <v>14.112619678693136</v>
      </c>
      <c r="M50" s="2388"/>
      <c r="N50" s="2006" t="s">
        <v>36</v>
      </c>
      <c r="O50" s="2007"/>
      <c r="P50" s="2368">
        <v>293</v>
      </c>
      <c r="Q50" s="2024"/>
      <c r="R50" s="313">
        <v>184.87</v>
      </c>
      <c r="S50" s="313">
        <v>210.96</v>
      </c>
      <c r="T50" s="2027">
        <f>(S52-P50)/P50*100</f>
        <v>-16.204778156996582</v>
      </c>
      <c r="U50" s="314">
        <f>(S50-R50)/R50*100</f>
        <v>14.112619678693136</v>
      </c>
    </row>
    <row r="51" spans="1:21" ht="15.4" x14ac:dyDescent="0.4">
      <c r="A51" s="2020"/>
      <c r="B51" s="2006" t="s">
        <v>37</v>
      </c>
      <c r="C51" s="2007"/>
      <c r="D51" s="2369"/>
      <c r="E51" s="2025"/>
      <c r="F51" s="313">
        <v>66.040000000000006</v>
      </c>
      <c r="G51" s="313">
        <v>34.56</v>
      </c>
      <c r="H51" s="2028"/>
      <c r="I51" s="314">
        <f>(G51-F51)/F51*100</f>
        <v>-47.66807995154452</v>
      </c>
      <c r="M51" s="2388"/>
      <c r="N51" s="2006" t="s">
        <v>37</v>
      </c>
      <c r="O51" s="2007"/>
      <c r="P51" s="2369"/>
      <c r="Q51" s="2025"/>
      <c r="R51" s="313">
        <v>66.040000000000006</v>
      </c>
      <c r="S51" s="313">
        <v>34.56</v>
      </c>
      <c r="T51" s="2028"/>
      <c r="U51" s="314">
        <f>(S51-R51)/R51*100</f>
        <v>-47.66807995154452</v>
      </c>
    </row>
    <row r="52" spans="1:21" ht="15.4" x14ac:dyDescent="0.4">
      <c r="A52" s="2020"/>
      <c r="B52" s="2006" t="s">
        <v>38</v>
      </c>
      <c r="C52" s="2007"/>
      <c r="D52" s="2245"/>
      <c r="E52" s="2026"/>
      <c r="F52" s="313">
        <f>SUM(F50:F51)</f>
        <v>250.91000000000003</v>
      </c>
      <c r="G52" s="313">
        <f>SUM(G50:G51)</f>
        <v>245.52</v>
      </c>
      <c r="H52" s="2029"/>
      <c r="I52" s="314">
        <f>(G52-F52)/F52*100</f>
        <v>-2.1481806225339817</v>
      </c>
      <c r="M52" s="2388"/>
      <c r="N52" s="2006" t="s">
        <v>38</v>
      </c>
      <c r="O52" s="2007"/>
      <c r="P52" s="2245"/>
      <c r="Q52" s="2026"/>
      <c r="R52" s="313">
        <f>SUM(R50:R51)</f>
        <v>250.91000000000003</v>
      </c>
      <c r="S52" s="313">
        <f>SUM(S50:S51)</f>
        <v>245.52</v>
      </c>
      <c r="T52" s="2029"/>
      <c r="U52" s="314">
        <f>(S52-R52)/R52*100</f>
        <v>-2.1481806225339817</v>
      </c>
    </row>
    <row r="53" spans="1:21" x14ac:dyDescent="0.4">
      <c r="H53" s="41"/>
      <c r="I53" s="41"/>
    </row>
    <row r="54" spans="1:21" x14ac:dyDescent="0.4">
      <c r="E54" s="12"/>
      <c r="F54" s="12"/>
      <c r="G54" s="12"/>
      <c r="H54" s="314"/>
      <c r="I54" s="314"/>
      <c r="J54" s="314"/>
      <c r="Q54" s="12"/>
      <c r="R54" s="12"/>
      <c r="S54" s="12"/>
      <c r="T54" s="314"/>
      <c r="U54" s="314"/>
    </row>
    <row r="55" spans="1:21" x14ac:dyDescent="0.4">
      <c r="H55" s="35"/>
      <c r="I55" s="5"/>
      <c r="J55" s="35"/>
      <c r="K55" s="5"/>
      <c r="L55" s="35"/>
      <c r="P55" s="12">
        <v>9.8070170000000001</v>
      </c>
      <c r="Q55" s="12">
        <v>7.1882539999999997</v>
      </c>
      <c r="R55" s="12">
        <v>7.5601669999999999</v>
      </c>
    </row>
    <row r="57" spans="1:21" x14ac:dyDescent="0.55000000000000004">
      <c r="D57" s="85"/>
      <c r="E57" s="1192">
        <v>44855</v>
      </c>
      <c r="F57" s="1192">
        <v>44856</v>
      </c>
      <c r="H57" s="755"/>
      <c r="I57" s="755"/>
      <c r="T57" s="5">
        <v>224.64</v>
      </c>
      <c r="U57" s="5">
        <v>242.54</v>
      </c>
    </row>
    <row r="58" spans="1:21" ht="17.25" thickBot="1" x14ac:dyDescent="0.45">
      <c r="D58" s="1195" t="s">
        <v>766</v>
      </c>
      <c r="E58" s="33"/>
      <c r="F58" s="33"/>
      <c r="H58" s="910"/>
      <c r="I58" s="824"/>
      <c r="T58" s="5">
        <v>10.210000000000001</v>
      </c>
      <c r="U58" s="5">
        <v>9.8000000000000007</v>
      </c>
    </row>
    <row r="59" spans="1:21" x14ac:dyDescent="0.55000000000000004">
      <c r="D59" s="85" t="s">
        <v>94</v>
      </c>
      <c r="E59" s="1193">
        <v>8.66344E-2</v>
      </c>
      <c r="F59" s="1193">
        <v>0.65351599999999999</v>
      </c>
      <c r="H59" s="13"/>
      <c r="I59" s="11">
        <f>1611533/10000000</f>
        <v>0.1611533</v>
      </c>
      <c r="J59" s="1199">
        <f>E59+H59</f>
        <v>8.66344E-2</v>
      </c>
      <c r="K59" s="1199">
        <f>F59+I59</f>
        <v>0.81466930000000004</v>
      </c>
      <c r="T59" s="5">
        <f>T57-T58</f>
        <v>214.42999999999998</v>
      </c>
      <c r="U59" s="5">
        <f>U57-U58</f>
        <v>232.73999999999998</v>
      </c>
    </row>
    <row r="60" spans="1:21" x14ac:dyDescent="0.55000000000000004">
      <c r="D60" s="85" t="s">
        <v>502</v>
      </c>
      <c r="E60" s="265">
        <v>3.7557999999999994E-2</v>
      </c>
      <c r="F60" s="265">
        <v>10.1410108</v>
      </c>
      <c r="H60" s="13"/>
      <c r="I60" s="11">
        <f>42189049/10000000</f>
        <v>4.2189049000000001</v>
      </c>
      <c r="J60" s="1199">
        <f>E60+H60</f>
        <v>3.7557999999999994E-2</v>
      </c>
      <c r="K60" s="1199">
        <f>F60+I60</f>
        <v>14.3599157</v>
      </c>
      <c r="O60" s="5">
        <v>2975884</v>
      </c>
      <c r="P60" s="5">
        <v>1947743</v>
      </c>
      <c r="Q60" s="5">
        <v>1611533</v>
      </c>
      <c r="R60" s="5">
        <f>SUM(O60:Q60)</f>
        <v>6535160</v>
      </c>
    </row>
    <row r="61" spans="1:21" ht="17.25" thickBot="1" x14ac:dyDescent="0.6">
      <c r="D61" s="85" t="s">
        <v>767</v>
      </c>
      <c r="E61" s="264">
        <v>59.934270300000001</v>
      </c>
      <c r="F61" s="134">
        <v>45.12</v>
      </c>
      <c r="H61" s="1199"/>
      <c r="I61" s="1196">
        <f>451219618/10000000</f>
        <v>45.121961800000001</v>
      </c>
      <c r="J61" s="1199">
        <f>E61+H61</f>
        <v>59.934270300000001</v>
      </c>
      <c r="K61" s="1199"/>
      <c r="O61" s="5">
        <v>34468402</v>
      </c>
      <c r="P61" s="5">
        <v>24752657</v>
      </c>
      <c r="Q61" s="5">
        <v>42189049</v>
      </c>
      <c r="R61" s="5">
        <f>SUM(O61:Q61)</f>
        <v>101410108</v>
      </c>
      <c r="T61" s="331"/>
    </row>
    <row r="62" spans="1:21" x14ac:dyDescent="0.4">
      <c r="E62" s="428"/>
      <c r="F62" s="428"/>
      <c r="T62" s="331"/>
    </row>
    <row r="63" spans="1:21" x14ac:dyDescent="0.4">
      <c r="E63" s="428"/>
      <c r="F63" s="428"/>
      <c r="T63" s="331"/>
    </row>
    <row r="64" spans="1:21" x14ac:dyDescent="0.55000000000000004">
      <c r="D64" s="1195" t="s">
        <v>768</v>
      </c>
      <c r="E64" s="1193"/>
      <c r="F64" s="1193"/>
      <c r="J64" s="755"/>
      <c r="K64" s="755"/>
    </row>
    <row r="65" spans="4:18" x14ac:dyDescent="0.55000000000000004">
      <c r="D65" s="85" t="s">
        <v>94</v>
      </c>
      <c r="E65" s="265">
        <v>0.21964400000000001</v>
      </c>
      <c r="F65" s="265">
        <v>1.0374650000000001</v>
      </c>
      <c r="H65" s="323">
        <f>88934/1000000</f>
        <v>8.8933999999999999E-2</v>
      </c>
      <c r="I65" s="323">
        <f>215084/1000000</f>
        <v>0.215084</v>
      </c>
      <c r="J65" s="1199">
        <f>E65+H65</f>
        <v>0.30857800000000002</v>
      </c>
      <c r="K65" s="1199">
        <f>F65+I65</f>
        <v>1.2525490000000001</v>
      </c>
    </row>
    <row r="66" spans="4:18" x14ac:dyDescent="0.55000000000000004">
      <c r="D66" s="85" t="s">
        <v>502</v>
      </c>
      <c r="E66" s="264">
        <v>3.6838999999999997E-2</v>
      </c>
      <c r="F66" s="134">
        <v>1.0228699999999999</v>
      </c>
      <c r="H66" s="323">
        <f>11025/1000000</f>
        <v>1.1025E-2</v>
      </c>
      <c r="I66" s="323">
        <f>333280/1000000</f>
        <v>0.33328000000000002</v>
      </c>
      <c r="J66" s="1199">
        <f>E66+H66</f>
        <v>4.7863999999999997E-2</v>
      </c>
      <c r="K66" s="1199">
        <f>F66+I66</f>
        <v>1.35615</v>
      </c>
      <c r="O66" s="5">
        <v>489638</v>
      </c>
      <c r="P66" s="5">
        <v>332743</v>
      </c>
      <c r="Q66" s="5">
        <v>215084</v>
      </c>
      <c r="R66" s="5">
        <f>SUM(O66:Q66)</f>
        <v>1037465</v>
      </c>
    </row>
    <row r="67" spans="4:18" ht="17.25" thickBot="1" x14ac:dyDescent="0.6">
      <c r="D67" s="85" t="s">
        <v>767</v>
      </c>
      <c r="E67" s="264">
        <v>0.97608099999999998</v>
      </c>
      <c r="F67" s="134">
        <v>0.69</v>
      </c>
      <c r="H67" s="1200">
        <f>584494/1000000</f>
        <v>0.58449399999999996</v>
      </c>
      <c r="I67" s="1197">
        <f>686419/1000000</f>
        <v>0.686419</v>
      </c>
      <c r="J67" s="1199">
        <f>E67+H67</f>
        <v>1.560575</v>
      </c>
      <c r="K67" s="1199"/>
      <c r="O67" s="5">
        <v>420228</v>
      </c>
      <c r="P67" s="5">
        <v>269362</v>
      </c>
      <c r="Q67" s="5">
        <v>333280</v>
      </c>
      <c r="R67" s="5">
        <f>SUM(O67:Q67)</f>
        <v>1022870</v>
      </c>
    </row>
    <row r="68" spans="4:18" x14ac:dyDescent="0.4">
      <c r="E68" s="428"/>
      <c r="F68" s="323"/>
    </row>
    <row r="69" spans="4:18" x14ac:dyDescent="0.4">
      <c r="E69" s="428"/>
      <c r="F69" s="323"/>
    </row>
    <row r="70" spans="4:18" x14ac:dyDescent="0.4">
      <c r="D70" s="1195" t="s">
        <v>436</v>
      </c>
      <c r="E70" s="323">
        <f>4121170/10000000</f>
        <v>0.41211700000000001</v>
      </c>
      <c r="F70" s="323">
        <f>10629755/10000000</f>
        <v>1.0629755000000001</v>
      </c>
      <c r="I70" s="11"/>
      <c r="J70" s="323">
        <f>4121170/10000000</f>
        <v>0.41211700000000001</v>
      </c>
      <c r="K70" s="323">
        <f>10629755/10000000</f>
        <v>1.0629755000000001</v>
      </c>
    </row>
    <row r="71" spans="4:18" x14ac:dyDescent="0.4">
      <c r="D71" s="1195" t="s">
        <v>769</v>
      </c>
      <c r="E71" s="264">
        <v>0.82423400000000002</v>
      </c>
      <c r="F71" s="264">
        <v>2.1259510000000001</v>
      </c>
      <c r="G71" s="5">
        <v>127.51</v>
      </c>
      <c r="H71" s="12">
        <v>206</v>
      </c>
      <c r="I71" s="12"/>
    </row>
    <row r="72" spans="4:18" x14ac:dyDescent="0.4">
      <c r="D72" s="1195" t="s">
        <v>125</v>
      </c>
      <c r="E72" s="264">
        <v>1.21</v>
      </c>
      <c r="F72" s="134">
        <v>1.26</v>
      </c>
      <c r="G72" s="5">
        <v>6.2</v>
      </c>
      <c r="H72" s="11">
        <v>8.82</v>
      </c>
      <c r="I72" s="11"/>
    </row>
    <row r="73" spans="4:18" x14ac:dyDescent="0.4">
      <c r="D73" s="1195" t="s">
        <v>196</v>
      </c>
      <c r="E73" s="264">
        <v>1.9207000000000002E-2</v>
      </c>
      <c r="F73" s="134">
        <v>0.72881899999999999</v>
      </c>
      <c r="G73" s="5">
        <f>G71-G72</f>
        <v>121.31</v>
      </c>
      <c r="H73" s="12">
        <f>H71-H72</f>
        <v>197.18</v>
      </c>
      <c r="I73" s="13"/>
      <c r="J73" s="1128">
        <f>98400/10000000</f>
        <v>9.8399999999999998E-3</v>
      </c>
      <c r="K73" s="1128">
        <f>447590/10000000</f>
        <v>4.4759E-2</v>
      </c>
      <c r="L73" s="172">
        <f>979360/10000000</f>
        <v>9.7935999999999995E-2</v>
      </c>
      <c r="M73" s="1210"/>
      <c r="N73" s="12">
        <f>L73+F73</f>
        <v>0.82675500000000002</v>
      </c>
    </row>
    <row r="74" spans="4:18" x14ac:dyDescent="0.4">
      <c r="D74" s="1195" t="s">
        <v>123</v>
      </c>
      <c r="E74" s="264">
        <v>0</v>
      </c>
      <c r="F74" s="134">
        <v>2.67364E-2</v>
      </c>
      <c r="J74" s="84">
        <v>0</v>
      </c>
      <c r="K74" s="84">
        <f>93960/10000000</f>
        <v>9.3959999999999998E-3</v>
      </c>
    </row>
    <row r="75" spans="4:18" x14ac:dyDescent="0.55000000000000004">
      <c r="D75" s="1195" t="s">
        <v>435</v>
      </c>
      <c r="E75" s="264">
        <v>1.9869507</v>
      </c>
      <c r="F75" s="1194">
        <v>2.7257743999999997</v>
      </c>
      <c r="J75" s="755">
        <f>11996365/10000000</f>
        <v>1.1996365</v>
      </c>
      <c r="K75" s="1198">
        <v>1.72</v>
      </c>
      <c r="N75" s="755"/>
    </row>
    <row r="77" spans="4:18" x14ac:dyDescent="0.4">
      <c r="E77" s="428">
        <f t="shared" ref="E77:F82" si="2">E70+J70</f>
        <v>0.82423400000000002</v>
      </c>
      <c r="F77" s="428">
        <f t="shared" si="2"/>
        <v>2.1259510000000001</v>
      </c>
    </row>
    <row r="78" spans="4:18" x14ac:dyDescent="0.4">
      <c r="E78" s="428">
        <f t="shared" si="2"/>
        <v>0.82423400000000002</v>
      </c>
      <c r="F78" s="428">
        <f t="shared" si="2"/>
        <v>2.1259510000000001</v>
      </c>
    </row>
    <row r="79" spans="4:18" x14ac:dyDescent="0.4">
      <c r="E79" s="428">
        <f t="shared" si="2"/>
        <v>1.21</v>
      </c>
      <c r="F79" s="428">
        <f t="shared" si="2"/>
        <v>1.26</v>
      </c>
    </row>
    <row r="80" spans="4:18" x14ac:dyDescent="0.4">
      <c r="E80" s="428">
        <f t="shared" si="2"/>
        <v>2.9047000000000003E-2</v>
      </c>
      <c r="F80" s="428">
        <f t="shared" si="2"/>
        <v>0.77357799999999999</v>
      </c>
    </row>
    <row r="81" spans="5:6" x14ac:dyDescent="0.4">
      <c r="E81" s="428">
        <f t="shared" si="2"/>
        <v>0</v>
      </c>
      <c r="F81" s="428">
        <f t="shared" si="2"/>
        <v>3.6132400000000002E-2</v>
      </c>
    </row>
    <row r="82" spans="5:6" x14ac:dyDescent="0.4">
      <c r="E82" s="428">
        <f t="shared" si="2"/>
        <v>3.1865872</v>
      </c>
      <c r="F82" s="428">
        <f t="shared" si="2"/>
        <v>4.4457743999999995</v>
      </c>
    </row>
  </sheetData>
  <mergeCells count="110">
    <mergeCell ref="Q50:Q52"/>
    <mergeCell ref="T50:T52"/>
    <mergeCell ref="B51:C51"/>
    <mergeCell ref="N51:O51"/>
    <mergeCell ref="B52:C52"/>
    <mergeCell ref="N52:O52"/>
    <mergeCell ref="A49:A52"/>
    <mergeCell ref="B49:I49"/>
    <mergeCell ref="M49:M52"/>
    <mergeCell ref="N49:U49"/>
    <mergeCell ref="B50:C50"/>
    <mergeCell ref="D50:D52"/>
    <mergeCell ref="E50:E52"/>
    <mergeCell ref="H50:H52"/>
    <mergeCell ref="N50:O50"/>
    <mergeCell ref="P50:P52"/>
    <mergeCell ref="E47:E48"/>
    <mergeCell ref="H47:H48"/>
    <mergeCell ref="N47:N48"/>
    <mergeCell ref="P47:P48"/>
    <mergeCell ref="Q47:Q48"/>
    <mergeCell ref="T47:T48"/>
    <mergeCell ref="B44:C44"/>
    <mergeCell ref="N44:O44"/>
    <mergeCell ref="A45:A48"/>
    <mergeCell ref="B45:I45"/>
    <mergeCell ref="M45:M48"/>
    <mergeCell ref="N45:U45"/>
    <mergeCell ref="B46:C46"/>
    <mergeCell ref="N46:O46"/>
    <mergeCell ref="B47:B48"/>
    <mergeCell ref="D47:D48"/>
    <mergeCell ref="A38:A43"/>
    <mergeCell ref="B38:I38"/>
    <mergeCell ref="M38:M43"/>
    <mergeCell ref="N38:U38"/>
    <mergeCell ref="B39:C39"/>
    <mergeCell ref="N39:O39"/>
    <mergeCell ref="B33:C33"/>
    <mergeCell ref="N33:O33"/>
    <mergeCell ref="B34:C34"/>
    <mergeCell ref="N34:O34"/>
    <mergeCell ref="B35:C35"/>
    <mergeCell ref="N35:O35"/>
    <mergeCell ref="B40:C40"/>
    <mergeCell ref="N40:O40"/>
    <mergeCell ref="B42:C42"/>
    <mergeCell ref="N42:O42"/>
    <mergeCell ref="B43:C43"/>
    <mergeCell ref="N43:O43"/>
    <mergeCell ref="B36:C36"/>
    <mergeCell ref="N36:O36"/>
    <mergeCell ref="B37:C37"/>
    <mergeCell ref="N37:O37"/>
    <mergeCell ref="R28:S28"/>
    <mergeCell ref="T28:U28"/>
    <mergeCell ref="A30:A36"/>
    <mergeCell ref="B30:I30"/>
    <mergeCell ref="M30:M36"/>
    <mergeCell ref="N30:U30"/>
    <mergeCell ref="B31:C31"/>
    <mergeCell ref="N31:O31"/>
    <mergeCell ref="B32:C32"/>
    <mergeCell ref="N32:O32"/>
    <mergeCell ref="B28:C29"/>
    <mergeCell ref="D28:E28"/>
    <mergeCell ref="F28:G28"/>
    <mergeCell ref="H28:I28"/>
    <mergeCell ref="N28:O29"/>
    <mergeCell ref="P28:Q28"/>
    <mergeCell ref="A18:A26"/>
    <mergeCell ref="C18:E18"/>
    <mergeCell ref="F18:G18"/>
    <mergeCell ref="M18:M26"/>
    <mergeCell ref="O18:Q18"/>
    <mergeCell ref="R18:U18"/>
    <mergeCell ref="B16:B17"/>
    <mergeCell ref="D16:D17"/>
    <mergeCell ref="E16:E17"/>
    <mergeCell ref="H16:H17"/>
    <mergeCell ref="N16:N17"/>
    <mergeCell ref="P16:P17"/>
    <mergeCell ref="N12:O12"/>
    <mergeCell ref="B13:I13"/>
    <mergeCell ref="N13:U13"/>
    <mergeCell ref="A14:A17"/>
    <mergeCell ref="B14:I14"/>
    <mergeCell ref="M14:M17"/>
    <mergeCell ref="N14:U14"/>
    <mergeCell ref="B15:C15"/>
    <mergeCell ref="N15:O15"/>
    <mergeCell ref="Q16:Q17"/>
    <mergeCell ref="T16:T17"/>
    <mergeCell ref="A11:I11"/>
    <mergeCell ref="M11:U11"/>
    <mergeCell ref="P3:Q3"/>
    <mergeCell ref="R3:S3"/>
    <mergeCell ref="T3:U3"/>
    <mergeCell ref="D5:E5"/>
    <mergeCell ref="P5:Q5"/>
    <mergeCell ref="B3:B4"/>
    <mergeCell ref="A1:I1"/>
    <mergeCell ref="M1:U1"/>
    <mergeCell ref="A2:I2"/>
    <mergeCell ref="M2:U2"/>
    <mergeCell ref="A3:A5"/>
    <mergeCell ref="D3:E3"/>
    <mergeCell ref="F3:G3"/>
    <mergeCell ref="H3:I3"/>
    <mergeCell ref="M3:M5"/>
  </mergeCells>
  <pageMargins left="0.2" right="0.2" top="0.28000000000000003" bottom="0.31" header="0.3" footer="0.3"/>
  <pageSetup paperSize="9" scale="2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473C3-0E9D-489B-BE05-4FC91C2D3E09}">
  <sheetPr>
    <pageSetUpPr fitToPage="1"/>
  </sheetPr>
  <dimension ref="A1:AH153"/>
  <sheetViews>
    <sheetView topLeftCell="A7" zoomScale="90" zoomScaleNormal="90" workbookViewId="0">
      <selection activeCell="K9" sqref="K9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0.86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0" width="10.265625" style="5" customWidth="1"/>
    <col min="21" max="21" width="10.59765625" style="5" customWidth="1"/>
    <col min="22" max="22" width="9.1328125" style="5"/>
    <col min="23" max="23" width="12.3984375" style="5" bestFit="1" customWidth="1"/>
    <col min="24" max="24" width="13.3984375" style="172" customWidth="1"/>
    <col min="25" max="25" width="11.265625" style="5" bestFit="1" customWidth="1"/>
    <col min="26" max="26" width="10.265625" style="5" bestFit="1" customWidth="1"/>
    <col min="27" max="27" width="10.59765625" style="5" bestFit="1" customWidth="1"/>
    <col min="28" max="28" width="9.1328125" style="5"/>
    <col min="29" max="29" width="37.3984375" style="5" customWidth="1"/>
    <col min="30" max="30" width="16.59765625" style="5" customWidth="1"/>
    <col min="31" max="31" width="16.86328125" style="5" customWidth="1"/>
    <col min="32" max="32" width="17.59765625" style="5" customWidth="1"/>
    <col min="33" max="33" width="16.3984375" style="5" bestFit="1" customWidth="1"/>
    <col min="34" max="34" width="15.1328125" style="5" customWidth="1"/>
    <col min="35" max="16384" width="9.1328125" style="5"/>
  </cols>
  <sheetData>
    <row r="1" spans="1:34" ht="21.75" customHeight="1" x14ac:dyDescent="0.35">
      <c r="A1" s="2156" t="s">
        <v>998</v>
      </c>
      <c r="B1" s="2156"/>
      <c r="C1" s="2156"/>
      <c r="D1" s="2156"/>
      <c r="E1" s="2156"/>
      <c r="F1" s="2156"/>
      <c r="G1" s="2156"/>
      <c r="H1" s="2156"/>
      <c r="I1" s="2156"/>
      <c r="M1" s="2156" t="s">
        <v>997</v>
      </c>
      <c r="N1" s="2156"/>
      <c r="O1" s="2156"/>
      <c r="P1" s="2156"/>
      <c r="Q1" s="2156"/>
      <c r="R1" s="2156"/>
      <c r="S1" s="2156"/>
      <c r="T1" s="2156"/>
      <c r="U1" s="2156"/>
    </row>
    <row r="2" spans="1:34" s="301" customFormat="1" ht="20.25" customHeight="1" thickBot="1" x14ac:dyDescent="0.4">
      <c r="A2" s="2346" t="s">
        <v>986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994</v>
      </c>
      <c r="N2" s="2093"/>
      <c r="O2" s="2093"/>
      <c r="P2" s="2093"/>
      <c r="Q2" s="2093"/>
      <c r="R2" s="2093"/>
      <c r="S2" s="2093"/>
      <c r="T2" s="2093"/>
      <c r="U2" s="2094"/>
      <c r="X2" s="1149"/>
      <c r="AC2" s="2326" t="s">
        <v>781</v>
      </c>
      <c r="AD2" s="2326"/>
      <c r="AE2" s="2326"/>
      <c r="AF2" s="2326"/>
      <c r="AG2" s="2326"/>
      <c r="AH2" s="2326"/>
    </row>
    <row r="3" spans="1:34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</row>
    <row r="4" spans="1:34" s="35" customFormat="1" ht="21.75" customHeight="1" x14ac:dyDescent="0.35">
      <c r="A4" s="2360"/>
      <c r="B4" s="2343"/>
      <c r="C4" s="1516" t="s">
        <v>666</v>
      </c>
      <c r="D4" s="1424" t="s">
        <v>879</v>
      </c>
      <c r="E4" s="1445">
        <f>G4</f>
        <v>45200</v>
      </c>
      <c r="F4" s="422">
        <v>44855</v>
      </c>
      <c r="G4" s="422">
        <v>45200</v>
      </c>
      <c r="H4" s="2335" t="s">
        <v>12</v>
      </c>
      <c r="I4" s="2335" t="s">
        <v>13</v>
      </c>
      <c r="J4" s="323"/>
      <c r="K4" s="323"/>
      <c r="L4" s="1574"/>
      <c r="M4" s="2358"/>
      <c r="N4" s="2343"/>
      <c r="O4" s="1183" t="s">
        <v>666</v>
      </c>
      <c r="P4" s="421" t="s">
        <v>9</v>
      </c>
      <c r="Q4" s="422">
        <f>E4</f>
        <v>45200</v>
      </c>
      <c r="R4" s="422">
        <f>F4</f>
        <v>44855</v>
      </c>
      <c r="S4" s="422">
        <f>G4</f>
        <v>45200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</row>
    <row r="5" spans="1:34" ht="18.75" hidden="1" customHeight="1" x14ac:dyDescent="0.5">
      <c r="A5" s="2361"/>
      <c r="B5" s="2344"/>
      <c r="C5" s="1517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</row>
    <row r="6" spans="1:34" ht="30" customHeight="1" x14ac:dyDescent="0.35">
      <c r="A6" s="1229">
        <v>1</v>
      </c>
      <c r="B6" s="1191" t="s">
        <v>290</v>
      </c>
      <c r="C6" s="1518">
        <v>1024.2159494</v>
      </c>
      <c r="D6" s="1425">
        <v>1063.73</v>
      </c>
      <c r="E6" s="1446">
        <v>82.04</v>
      </c>
      <c r="F6" s="434">
        <f>F15+F16+F17</f>
        <v>79.793140199999996</v>
      </c>
      <c r="G6" s="434">
        <f>G15+G16+G17</f>
        <v>99.525059200000001</v>
      </c>
      <c r="H6" s="1313">
        <f>(G6-E6)/E6*100</f>
        <v>21.312846416382243</v>
      </c>
      <c r="I6" s="517">
        <f>(G6-F6)/F6*100</f>
        <v>24.728841289542338</v>
      </c>
      <c r="M6" s="1203">
        <v>1</v>
      </c>
      <c r="N6" s="1179" t="s">
        <v>290</v>
      </c>
      <c r="O6" s="1185">
        <v>1024.2159494</v>
      </c>
      <c r="P6" s="1425">
        <v>1063.73</v>
      </c>
      <c r="Q6" s="1446">
        <v>587.01</v>
      </c>
      <c r="R6" s="434">
        <f>R15+R16+R17</f>
        <v>566.3657978</v>
      </c>
      <c r="S6" s="434">
        <f>S15+S16+S17</f>
        <v>691.22481829999992</v>
      </c>
      <c r="T6" s="1313">
        <f>(S6-Q6)/Q6*100</f>
        <v>17.753499650772547</v>
      </c>
      <c r="U6" s="1313">
        <f>(S6-R6)/R6*100</f>
        <v>22.045649822959689</v>
      </c>
      <c r="V6" s="12">
        <f>(S6-P6)/P6*100</f>
        <v>-35.018771840598653</v>
      </c>
      <c r="W6" s="11">
        <f>(S6-P6)/P6*100</f>
        <v>-35.018771840598653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</row>
    <row r="7" spans="1:34" ht="26.25" customHeight="1" x14ac:dyDescent="0.35">
      <c r="A7" s="1230">
        <v>2</v>
      </c>
      <c r="B7" s="1154" t="s">
        <v>291</v>
      </c>
      <c r="C7" s="1518">
        <v>403.10200000000003</v>
      </c>
      <c r="D7" s="1425">
        <v>485.81999999999994</v>
      </c>
      <c r="E7" s="1446">
        <v>35.86</v>
      </c>
      <c r="F7" s="434">
        <f>F20+F21+F22+F23+F24+F25+F26</f>
        <v>30.022400000000001</v>
      </c>
      <c r="G7" s="434">
        <f>G20+G21+G22+G23+G24+G25+G26</f>
        <v>42.377000000000002</v>
      </c>
      <c r="H7" s="1313">
        <f>(G7-E7)/E7*100</f>
        <v>18.173452314556616</v>
      </c>
      <c r="I7" s="517">
        <f>(G7-F7)/F7*100</f>
        <v>41.15127371562567</v>
      </c>
      <c r="M7" s="1204">
        <v>2</v>
      </c>
      <c r="N7" s="1154" t="s">
        <v>291</v>
      </c>
      <c r="O7" s="1186">
        <v>403.10200000000003</v>
      </c>
      <c r="P7" s="1425">
        <v>485.81999999999994</v>
      </c>
      <c r="Q7" s="1446">
        <v>281</v>
      </c>
      <c r="R7" s="434">
        <f>R20+R21+R22+R23+R24+R25+R26</f>
        <v>233.14370659999997</v>
      </c>
      <c r="S7" s="434">
        <f>S20+S21+S22+S23+S24+S25+S26</f>
        <v>256.45699999999999</v>
      </c>
      <c r="T7" s="1313">
        <f>(S7-Q7)/Q7*100</f>
        <v>-8.7341637010676187</v>
      </c>
      <c r="U7" s="1313">
        <f>(S7-R7)/R7*100</f>
        <v>9.999537941634502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</row>
    <row r="8" spans="1:34" ht="32.25" customHeight="1" x14ac:dyDescent="0.35">
      <c r="A8" s="1231">
        <v>3</v>
      </c>
      <c r="B8" s="1155" t="s">
        <v>292</v>
      </c>
      <c r="C8" s="1518">
        <v>106.68749520000001</v>
      </c>
      <c r="D8" s="1425">
        <v>150.59</v>
      </c>
      <c r="E8" s="1446">
        <v>14.23</v>
      </c>
      <c r="F8" s="1314">
        <f>F31+F32+F33+F35+F36+F37+F38</f>
        <v>9.5666883000000009</v>
      </c>
      <c r="G8" s="1314">
        <f>G31+G32+G33+G35+G36+G37+G38</f>
        <v>9.8864497</v>
      </c>
      <c r="H8" s="1313">
        <f>(G8-E8)/E8*100</f>
        <v>-30.523895291637388</v>
      </c>
      <c r="I8" s="517">
        <f>(G8-F8)/F8*100</f>
        <v>3.3424461001828507</v>
      </c>
      <c r="K8" s="84">
        <f>0.5+0.15+0.2</f>
        <v>0.85000000000000009</v>
      </c>
      <c r="M8" s="1205">
        <v>3</v>
      </c>
      <c r="N8" s="1155" t="s">
        <v>292</v>
      </c>
      <c r="O8" s="1187">
        <v>106.68749520000001</v>
      </c>
      <c r="P8" s="1425">
        <v>150.59</v>
      </c>
      <c r="Q8" s="1446">
        <v>94.179999999999993</v>
      </c>
      <c r="R8" s="1314">
        <f>R31+R32+R33+R35+R36+R37+R38</f>
        <v>64.631274500000004</v>
      </c>
      <c r="S8" s="1314">
        <f>S31+S32+S33+S35+S36+S37+S38</f>
        <v>69.865386856000015</v>
      </c>
      <c r="T8" s="1313">
        <f>(S8-Q8)/Q8*100</f>
        <v>-25.817172588659993</v>
      </c>
      <c r="U8" s="1313">
        <f>(S8-R8)/R8*100</f>
        <v>8.0984204574211383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</row>
    <row r="9" spans="1:34" ht="34.5" customHeight="1" x14ac:dyDescent="0.35">
      <c r="A9" s="1230">
        <v>4</v>
      </c>
      <c r="B9" s="1156" t="s">
        <v>293</v>
      </c>
      <c r="C9" s="1518">
        <v>17.701250099999996</v>
      </c>
      <c r="D9" s="1425">
        <f>D40+D41+D42</f>
        <v>19.149999999999999</v>
      </c>
      <c r="E9" s="1425">
        <v>1.595</v>
      </c>
      <c r="F9" s="434">
        <f>F40+F41+F42+F44+F45</f>
        <v>0.99142969999999997</v>
      </c>
      <c r="G9" s="434">
        <f>G40+G41+G42+G44+G45</f>
        <v>1.0717797999999998</v>
      </c>
      <c r="H9" s="1313">
        <f>(G9-E9)/E9*100</f>
        <v>-32.803774294670859</v>
      </c>
      <c r="I9" s="517">
        <f>(G9-F9)/F9*100</f>
        <v>8.1044677196981159</v>
      </c>
      <c r="K9" s="84">
        <f>K10*31</f>
        <v>215.39404316818181</v>
      </c>
      <c r="M9" s="1204">
        <v>4</v>
      </c>
      <c r="N9" s="1156" t="s">
        <v>293</v>
      </c>
      <c r="O9" s="1185">
        <v>17.701250099999996</v>
      </c>
      <c r="P9" s="1425">
        <f>P40+P41+P42</f>
        <v>19.149999999999999</v>
      </c>
      <c r="Q9" s="1425">
        <v>11.164999999999999</v>
      </c>
      <c r="R9" s="434">
        <f>R40+R41+R42+R44+R45</f>
        <v>8.3412942000000001</v>
      </c>
      <c r="S9" s="434">
        <f>S40+S41+S42+S44+S45</f>
        <v>10.686815600000001</v>
      </c>
      <c r="T9" s="1313">
        <f>(S9-Q9)/Q9*100</f>
        <v>-4.2828875951634409</v>
      </c>
      <c r="U9" s="1313">
        <f>(S9-R9)/R9*100</f>
        <v>28.119394230214311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</row>
    <row r="10" spans="1:34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1719.29</v>
      </c>
      <c r="E10" s="1447">
        <f>E6+E7+E8+E9</f>
        <v>133.72499999999999</v>
      </c>
      <c r="F10" s="321">
        <f>SUM(F6:F9)</f>
        <v>120.37365819999999</v>
      </c>
      <c r="G10" s="321">
        <f>SUM(G6:G9)</f>
        <v>152.86028870000001</v>
      </c>
      <c r="H10" s="1162">
        <f>(G10-E10)/E10*100</f>
        <v>14.309432566834937</v>
      </c>
      <c r="I10" s="322">
        <f>(G10-F10)/F10*100</f>
        <v>26.988155868806203</v>
      </c>
      <c r="K10" s="84">
        <f>G10/22</f>
        <v>6.9481949409090911</v>
      </c>
      <c r="M10" s="1205">
        <v>5</v>
      </c>
      <c r="N10" s="1157" t="s">
        <v>294</v>
      </c>
      <c r="O10" s="1185">
        <v>1551.7066947000001</v>
      </c>
      <c r="P10" s="321">
        <f t="shared" ref="P10" si="0">P6+P7+P8+P9</f>
        <v>1719.29</v>
      </c>
      <c r="Q10" s="321">
        <f>Q6+Q7+Q8+Q9</f>
        <v>973.3549999999999</v>
      </c>
      <c r="R10" s="321">
        <f>R6+R7+R8+R9</f>
        <v>872.48207309999998</v>
      </c>
      <c r="S10" s="321">
        <f>S6+S7+S8+S9</f>
        <v>1028.2340207559998</v>
      </c>
      <c r="T10" s="1162">
        <f>(S10-Q10)/Q10*100</f>
        <v>5.6381300508036576</v>
      </c>
      <c r="U10" s="1162">
        <f>(S10-R10)/R10*100</f>
        <v>17.851592881742597</v>
      </c>
      <c r="X10" s="12">
        <f>SUM(X6:X9)</f>
        <v>389.94179218299996</v>
      </c>
      <c r="Y10" s="12">
        <f>SUM(Y6:Y9)</f>
        <v>752.12112639999998</v>
      </c>
      <c r="Z10" s="12">
        <f>S10-Y10</f>
        <v>276.11289435599986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</row>
    <row r="11" spans="1:34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</row>
    <row r="12" spans="1:34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312">
        <f>E47+E48</f>
        <v>4.83</v>
      </c>
      <c r="F12" s="1294">
        <f>F47+F48+F49</f>
        <v>4.1556479999999993</v>
      </c>
      <c r="G12" s="1294">
        <f>G47+G48+G49</f>
        <v>4.7090610000000002</v>
      </c>
      <c r="H12" s="1534">
        <f>(G12-E12)/E12*100</f>
        <v>-2.5039130434782586</v>
      </c>
      <c r="I12" s="308">
        <f>(G12-F12)/F12*100</f>
        <v>13.317128880983203</v>
      </c>
      <c r="L12" s="1476"/>
      <c r="M12" s="1204">
        <v>6.3</v>
      </c>
      <c r="N12" s="1316" t="s">
        <v>814</v>
      </c>
      <c r="O12" s="1185">
        <v>47.027382000000003</v>
      </c>
      <c r="P12" s="332">
        <v>55.06</v>
      </c>
      <c r="Q12" s="307">
        <f>Q47+Q48</f>
        <v>29.33</v>
      </c>
      <c r="R12" s="1294">
        <f>R47+R48+R49</f>
        <v>25.289489000000003</v>
      </c>
      <c r="S12" s="1294">
        <f>S47+S48+S49</f>
        <v>32.507973</v>
      </c>
      <c r="T12" s="1534">
        <f>(S12-Q12)/Q12*100</f>
        <v>10.835230139788617</v>
      </c>
      <c r="U12" s="1161">
        <f>(S12-R12)/R12*100</f>
        <v>28.543415804091556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</row>
    <row r="13" spans="1:34" s="1310" customFormat="1" ht="13.5" customHeight="1" x14ac:dyDescent="0.35">
      <c r="A13" s="1309"/>
      <c r="B13" s="2352" t="s">
        <v>229</v>
      </c>
      <c r="C13" s="2353"/>
      <c r="D13" s="2353"/>
      <c r="E13" s="2353"/>
      <c r="F13" s="2353"/>
      <c r="G13" s="2353"/>
      <c r="H13" s="2353"/>
      <c r="I13" s="2354"/>
      <c r="L13" s="1311"/>
      <c r="M13" s="1309"/>
      <c r="N13" s="2355" t="s">
        <v>229</v>
      </c>
      <c r="O13" s="2356"/>
      <c r="P13" s="2356"/>
      <c r="Q13" s="2356"/>
      <c r="R13" s="2356"/>
      <c r="S13" s="2356"/>
      <c r="T13" s="2356"/>
      <c r="U13" s="2357"/>
      <c r="X13" s="1311"/>
    </row>
    <row r="14" spans="1:34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2368">
        <v>1</v>
      </c>
      <c r="N14" s="2021" t="s">
        <v>278</v>
      </c>
      <c r="O14" s="2022"/>
      <c r="P14" s="2022"/>
      <c r="Q14" s="2022"/>
      <c r="R14" s="2022"/>
      <c r="S14" s="2022"/>
      <c r="T14" s="2022"/>
      <c r="U14" s="2023"/>
    </row>
    <row r="15" spans="1:34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v>1.0900000000000001</v>
      </c>
      <c r="F15" s="315">
        <v>1.0036879000000001</v>
      </c>
      <c r="G15" s="315">
        <v>1.1250362</v>
      </c>
      <c r="H15" s="316">
        <f>(G15-E15)/E15*100</f>
        <v>3.2143302752293539</v>
      </c>
      <c r="I15" s="314">
        <f>(G15-F15)/F15*100</f>
        <v>12.090242395071213</v>
      </c>
      <c r="J15" s="1128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12.6</v>
      </c>
      <c r="Q15" s="307">
        <v>6.8900000000000006</v>
      </c>
      <c r="R15" s="315">
        <v>6.3128666000000004</v>
      </c>
      <c r="S15" s="315">
        <v>8.2581384999999994</v>
      </c>
      <c r="T15" s="316">
        <f>(S15-Q15)/Q15*100</f>
        <v>19.856872278664714</v>
      </c>
      <c r="U15" s="314">
        <f>(S15-R15)/R15*100</f>
        <v>30.814398961004478</v>
      </c>
      <c r="V15" s="5">
        <f>S15/153</f>
        <v>5.397476143790849E-2</v>
      </c>
      <c r="Y15" s="12">
        <f>R16+R17</f>
        <v>560.05293119999999</v>
      </c>
      <c r="Z15" s="12">
        <f>S16+S17</f>
        <v>682.96667979999995</v>
      </c>
      <c r="AA15" s="5">
        <f>(Z15-Y15)/Y15*100</f>
        <v>21.946809266159583</v>
      </c>
    </row>
    <row r="16" spans="1:34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v>80.95</v>
      </c>
      <c r="F16" s="315">
        <v>15.3600645</v>
      </c>
      <c r="G16" s="315">
        <v>15.608152799999999</v>
      </c>
      <c r="H16" s="2154">
        <f>L16</f>
        <v>21.556544780728846</v>
      </c>
      <c r="I16" s="314">
        <f>(G16-F16)/F16*100</f>
        <v>1.6151514207508644</v>
      </c>
      <c r="J16" s="323">
        <f>F16+F17</f>
        <v>78.789452299999994</v>
      </c>
      <c r="K16" s="323">
        <f>G16+G17</f>
        <v>98.400023000000004</v>
      </c>
      <c r="L16" s="1476">
        <f>(K16-E16)/E16*100</f>
        <v>21.556544780728846</v>
      </c>
      <c r="M16" s="2369"/>
      <c r="N16" s="1281" t="s">
        <v>817</v>
      </c>
      <c r="O16" s="1282">
        <v>126.72018780000001</v>
      </c>
      <c r="P16" s="2379">
        <v>1051.1300000000001</v>
      </c>
      <c r="Q16" s="2065">
        <v>580.12</v>
      </c>
      <c r="R16" s="315">
        <v>54.122680500000001</v>
      </c>
      <c r="S16" s="315">
        <v>114.0056879</v>
      </c>
      <c r="T16" s="2154">
        <f>X16</f>
        <v>17.728518203130378</v>
      </c>
      <c r="U16" s="314">
        <f>(S16-R16)/R16*100</f>
        <v>110.6430924092904</v>
      </c>
      <c r="V16" s="12">
        <f>R16+R17</f>
        <v>560.05293119999999</v>
      </c>
      <c r="W16" s="12">
        <f>S16+S17</f>
        <v>682.96667979999995</v>
      </c>
      <c r="X16" s="1151">
        <f>(W16-Q16)/Q16*100</f>
        <v>17.728518203130378</v>
      </c>
    </row>
    <row r="17" spans="1:26" ht="15.75" x14ac:dyDescent="0.45">
      <c r="A17" s="2375"/>
      <c r="B17" s="320" t="s">
        <v>931</v>
      </c>
      <c r="C17" s="1519">
        <v>886.03548510000007</v>
      </c>
      <c r="D17" s="2380"/>
      <c r="E17" s="2066"/>
      <c r="F17" s="315">
        <v>63.429387800000001</v>
      </c>
      <c r="G17" s="315">
        <v>82.791870200000005</v>
      </c>
      <c r="H17" s="2155"/>
      <c r="I17" s="314">
        <f>(G17-F17)/F17*100</f>
        <v>30.526043324037893</v>
      </c>
      <c r="J17" s="323"/>
      <c r="L17" s="1477">
        <f>(K16-J16)/J16*100</f>
        <v>24.889842647122972</v>
      </c>
      <c r="M17" s="2245"/>
      <c r="N17" s="1606" t="s">
        <v>931</v>
      </c>
      <c r="O17" s="1282">
        <v>886.03548510000007</v>
      </c>
      <c r="P17" s="2380"/>
      <c r="Q17" s="2066"/>
      <c r="R17" s="315">
        <v>505.93025069999999</v>
      </c>
      <c r="S17" s="315">
        <v>568.96099189999995</v>
      </c>
      <c r="T17" s="2155"/>
      <c r="U17" s="314">
        <f>(S17-R17)/R17*100</f>
        <v>12.45838554085099</v>
      </c>
      <c r="V17" s="84"/>
      <c r="W17" s="1198"/>
      <c r="X17" s="1477">
        <f>(W16-V16)/V16*100</f>
        <v>21.946809266159583</v>
      </c>
    </row>
    <row r="18" spans="1:26" ht="15.4" x14ac:dyDescent="0.4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J18" s="323">
        <f>F16+F15</f>
        <v>16.363752399999999</v>
      </c>
      <c r="K18" s="323">
        <f>G16+G15</f>
        <v>16.733188999999999</v>
      </c>
      <c r="L18" s="314">
        <f>(K18-J18)/J18*100</f>
        <v>2.2576521018492079</v>
      </c>
      <c r="M18" s="2368">
        <v>2</v>
      </c>
      <c r="N18" s="1155" t="s">
        <v>678</v>
      </c>
      <c r="O18" s="2494" t="s">
        <v>680</v>
      </c>
      <c r="P18" s="2494"/>
      <c r="Q18" s="2494"/>
      <c r="R18" s="2370" t="s">
        <v>684</v>
      </c>
      <c r="S18" s="2371"/>
      <c r="T18" s="2371"/>
      <c r="U18" s="2372"/>
      <c r="V18" s="323">
        <f>R16+R15</f>
        <v>60.435547100000001</v>
      </c>
      <c r="W18" s="323">
        <f>S16+S15</f>
        <v>122.2638264</v>
      </c>
      <c r="X18" s="314">
        <f>(W18-V18)/V18*100</f>
        <v>102.3044917549857</v>
      </c>
    </row>
    <row r="19" spans="1:26" x14ac:dyDescent="0.35">
      <c r="A19" s="1983"/>
      <c r="B19" s="1531" t="s">
        <v>230</v>
      </c>
      <c r="C19" s="1532">
        <f>F19</f>
        <v>44855</v>
      </c>
      <c r="D19" s="1532">
        <f>G19</f>
        <v>45200</v>
      </c>
      <c r="E19" s="1531" t="s">
        <v>681</v>
      </c>
      <c r="F19" s="1532">
        <f>F4</f>
        <v>44855</v>
      </c>
      <c r="G19" s="1532">
        <f>G4</f>
        <v>45200</v>
      </c>
      <c r="H19" s="1528" t="s">
        <v>682</v>
      </c>
      <c r="I19" s="1530" t="s">
        <v>681</v>
      </c>
      <c r="L19" s="1476"/>
      <c r="M19" s="2369"/>
      <c r="N19" s="1514" t="s">
        <v>230</v>
      </c>
      <c r="O19" s="1527">
        <f>R4</f>
        <v>44855</v>
      </c>
      <c r="P19" s="1527">
        <f>S4</f>
        <v>45200</v>
      </c>
      <c r="Q19" s="1514" t="s">
        <v>681</v>
      </c>
      <c r="R19" s="1527">
        <f>R4</f>
        <v>44855</v>
      </c>
      <c r="S19" s="1527">
        <f>S4</f>
        <v>45200</v>
      </c>
      <c r="T19" s="1528" t="s">
        <v>682</v>
      </c>
      <c r="U19" s="1526" t="s">
        <v>681</v>
      </c>
    </row>
    <row r="20" spans="1:26" ht="18.75" customHeight="1" x14ac:dyDescent="0.4">
      <c r="A20" s="1983"/>
      <c r="B20" s="1055" t="s">
        <v>231</v>
      </c>
      <c r="C20" s="85">
        <v>51891</v>
      </c>
      <c r="D20" s="1409">
        <v>65467</v>
      </c>
      <c r="E20" s="314">
        <f>(D20-C20)/C20*100</f>
        <v>26.162533001869303</v>
      </c>
      <c r="F20" s="315">
        <v>14.79</v>
      </c>
      <c r="G20" s="315">
        <v>19.04</v>
      </c>
      <c r="H20" s="1060">
        <f>G20/G7*100</f>
        <v>44.930032800811759</v>
      </c>
      <c r="I20" s="314">
        <f>(G20-F20)/F20*100</f>
        <v>28.735632183908049</v>
      </c>
      <c r="L20" s="1476"/>
      <c r="M20" s="2369"/>
      <c r="N20" s="1055" t="s">
        <v>231</v>
      </c>
      <c r="O20" s="833">
        <f>C20+'SEP-23'!O20</f>
        <v>648960</v>
      </c>
      <c r="P20" s="833">
        <v>384733</v>
      </c>
      <c r="Q20" s="314">
        <f>(P20-O20)/O20*100</f>
        <v>-40.715452416173569</v>
      </c>
      <c r="R20" s="315">
        <f>F20+'SEP-23'!R20</f>
        <v>120.22321099999999</v>
      </c>
      <c r="S20" s="315">
        <f>G20+'SEP-23'!S20</f>
        <v>106.15</v>
      </c>
      <c r="T20" s="1060">
        <f>S20/S7*100</f>
        <v>41.390954429007593</v>
      </c>
      <c r="U20" s="314">
        <f>(S20-R20)/R20*100</f>
        <v>-11.705901782975991</v>
      </c>
    </row>
    <row r="21" spans="1:26" ht="18.75" customHeight="1" x14ac:dyDescent="0.4">
      <c r="A21" s="1983"/>
      <c r="B21" s="1055" t="s">
        <v>232</v>
      </c>
      <c r="C21" s="85">
        <v>44333</v>
      </c>
      <c r="D21" s="1410">
        <v>94000</v>
      </c>
      <c r="E21" s="314">
        <f>(D21-C21)/C21*100</f>
        <v>112.03166941104821</v>
      </c>
      <c r="F21" s="315">
        <v>4.12</v>
      </c>
      <c r="G21" s="315">
        <v>10.43</v>
      </c>
      <c r="H21" s="1060">
        <f>G21/G7*100</f>
        <v>24.612407673974086</v>
      </c>
      <c r="I21" s="314">
        <f>(G21-F21)/F21*100</f>
        <v>153.15533980582524</v>
      </c>
      <c r="L21" s="1476"/>
      <c r="M21" s="2369"/>
      <c r="N21" s="1055" t="s">
        <v>232</v>
      </c>
      <c r="O21" s="833">
        <f>C21+'SEP-23'!O21</f>
        <v>552072</v>
      </c>
      <c r="P21" s="833">
        <v>579176</v>
      </c>
      <c r="Q21" s="314">
        <f>(P21-O21)/O21*100</f>
        <v>4.9095045573765743</v>
      </c>
      <c r="R21" s="315">
        <f>F21+'SEP-23'!R21</f>
        <v>48.487490199999989</v>
      </c>
      <c r="S21" s="315">
        <f>G21+'SEP-23'!S21</f>
        <v>61.550000000000004</v>
      </c>
      <c r="T21" s="1060">
        <f>S21/S7*100</f>
        <v>24.000124777253109</v>
      </c>
      <c r="U21" s="314">
        <f>(S21-R21)/R21*100</f>
        <v>26.939958628751665</v>
      </c>
      <c r="W21" s="5">
        <v>2.17</v>
      </c>
      <c r="X21" s="172">
        <v>2.95</v>
      </c>
      <c r="Y21" s="5">
        <f>(X21-W21)/W21*100</f>
        <v>35.944700460829502</v>
      </c>
    </row>
    <row r="22" spans="1:26" ht="18.75" customHeight="1" x14ac:dyDescent="0.4">
      <c r="A22" s="1983"/>
      <c r="B22" s="1055" t="s">
        <v>239</v>
      </c>
      <c r="C22" s="85">
        <v>78212</v>
      </c>
      <c r="D22" s="1410">
        <v>78809</v>
      </c>
      <c r="E22" s="314">
        <f>(D22-C22)/C22*100</f>
        <v>0.76330997800848976</v>
      </c>
      <c r="F22" s="315">
        <v>10.41</v>
      </c>
      <c r="G22" s="315">
        <v>11.28</v>
      </c>
      <c r="H22" s="1060">
        <f>G22/G7*100</f>
        <v>26.61821270972461</v>
      </c>
      <c r="I22" s="314">
        <f>(G22-F22)/F22*100</f>
        <v>8.3573487031700218</v>
      </c>
      <c r="J22" s="1486"/>
      <c r="L22" s="1476"/>
      <c r="M22" s="2369"/>
      <c r="N22" s="1055" t="s">
        <v>239</v>
      </c>
      <c r="O22" s="833">
        <f>C22+'SEP-23'!O22</f>
        <v>479711</v>
      </c>
      <c r="P22" s="833">
        <v>546550</v>
      </c>
      <c r="Q22" s="314">
        <f>(P22-O22)/O22*100</f>
        <v>13.933180602487749</v>
      </c>
      <c r="R22" s="315">
        <f>F22+'SEP-23'!R22</f>
        <v>58.233634600000002</v>
      </c>
      <c r="S22" s="315">
        <f>G22+'SEP-23'!S22</f>
        <v>81.77</v>
      </c>
      <c r="T22" s="1060">
        <f>S22/S7*100</f>
        <v>31.884487457936416</v>
      </c>
      <c r="U22" s="314">
        <f>(S22-R22)/R22*100</f>
        <v>40.417132747541046</v>
      </c>
    </row>
    <row r="23" spans="1:26" ht="18.75" customHeight="1" x14ac:dyDescent="0.4">
      <c r="A23" s="1983"/>
      <c r="B23" s="1055" t="s">
        <v>233</v>
      </c>
      <c r="C23" s="85">
        <v>18786</v>
      </c>
      <c r="D23" s="1410">
        <v>31655</v>
      </c>
      <c r="E23" s="314">
        <f>(D23-C23)/C23*100</f>
        <v>68.503140636644304</v>
      </c>
      <c r="F23" s="315">
        <v>0.61</v>
      </c>
      <c r="G23" s="315">
        <v>1.33</v>
      </c>
      <c r="H23" s="1060">
        <f>G23/G7*100</f>
        <v>3.1384949382919984</v>
      </c>
      <c r="I23" s="314">
        <f>(G23-F23)/F23*100</f>
        <v>118.03278688524593</v>
      </c>
      <c r="J23" s="1486"/>
      <c r="L23" s="1476"/>
      <c r="M23" s="2369"/>
      <c r="N23" s="1055" t="s">
        <v>233</v>
      </c>
      <c r="O23" s="833">
        <f>C23+'SEP-23'!O23</f>
        <v>166041</v>
      </c>
      <c r="P23" s="833">
        <v>175190</v>
      </c>
      <c r="Q23" s="314">
        <f>(P23-O23)/O23*100</f>
        <v>5.510084858559031</v>
      </c>
      <c r="R23" s="315">
        <f>F23+'SEP-23'!R23</f>
        <v>5.7690007999999997</v>
      </c>
      <c r="S23" s="315">
        <f>G23+'SEP-23'!S23</f>
        <v>6.53</v>
      </c>
      <c r="T23" s="1060">
        <f>S23/S7*100</f>
        <v>2.5462358212097937</v>
      </c>
      <c r="U23" s="314">
        <f>(S23-R23)/R23*100</f>
        <v>13.19117861796796</v>
      </c>
      <c r="Z23" s="5">
        <f>25.63+0.96</f>
        <v>26.59</v>
      </c>
    </row>
    <row r="24" spans="1:26" ht="18.75" customHeight="1" x14ac:dyDescent="0.4">
      <c r="A24" s="1983"/>
      <c r="B24" s="1055" t="s">
        <v>739</v>
      </c>
      <c r="C24" s="85">
        <v>0</v>
      </c>
      <c r="D24" s="1409">
        <v>0</v>
      </c>
      <c r="E24" s="836">
        <v>0</v>
      </c>
      <c r="F24" s="833">
        <v>0</v>
      </c>
      <c r="G24" s="833">
        <v>0.03</v>
      </c>
      <c r="H24" s="1651">
        <f>G24/G7*100</f>
        <v>7.0793118908842059E-2</v>
      </c>
      <c r="I24" s="836">
        <v>0</v>
      </c>
      <c r="L24" s="1476"/>
      <c r="M24" s="2369"/>
      <c r="N24" s="1055" t="s">
        <v>739</v>
      </c>
      <c r="O24" s="833">
        <f>C24+'SEP-23'!O24</f>
        <v>2661</v>
      </c>
      <c r="P24" s="833">
        <f>D24+'SEP-23'!P24</f>
        <v>0</v>
      </c>
      <c r="Q24" s="836">
        <v>0</v>
      </c>
      <c r="R24" s="315">
        <f>F24+'SEP-23'!R24</f>
        <v>4.1799999999999997E-2</v>
      </c>
      <c r="S24" s="315">
        <f>G24+'SEP-23'!S24</f>
        <v>0.03</v>
      </c>
      <c r="T24" s="1060">
        <f>S24/S7*100</f>
        <v>1.1697867478758622E-2</v>
      </c>
      <c r="U24" s="314">
        <v>0</v>
      </c>
    </row>
    <row r="25" spans="1:26" ht="18.75" customHeight="1" x14ac:dyDescent="0.4">
      <c r="A25" s="1983"/>
      <c r="B25" s="1055" t="s">
        <v>235</v>
      </c>
      <c r="C25" s="85">
        <v>1368</v>
      </c>
      <c r="D25" s="1409">
        <v>0</v>
      </c>
      <c r="E25" s="836">
        <v>0</v>
      </c>
      <c r="F25" s="833">
        <v>4.3999999999999997E-2</v>
      </c>
      <c r="G25" s="833">
        <v>0</v>
      </c>
      <c r="H25" s="1651">
        <f>G25/G7*100</f>
        <v>0</v>
      </c>
      <c r="I25" s="836">
        <v>0</v>
      </c>
      <c r="L25" s="1476"/>
      <c r="M25" s="2369"/>
      <c r="N25" s="1055" t="s">
        <v>235</v>
      </c>
      <c r="O25" s="833">
        <f>C25+'SEP-23'!O25</f>
        <v>1368</v>
      </c>
      <c r="P25" s="833">
        <f>D25+'SEP-23'!P25</f>
        <v>0</v>
      </c>
      <c r="Q25" s="836">
        <v>0</v>
      </c>
      <c r="R25" s="315">
        <f>F25+'SEP-23'!R25</f>
        <v>4.3999999999999997E-2</v>
      </c>
      <c r="S25" s="315">
        <f>G25+'SEP-23'!S25</f>
        <v>0</v>
      </c>
      <c r="T25" s="1060">
        <f>S25/S7*100</f>
        <v>0</v>
      </c>
      <c r="U25" s="314">
        <v>0</v>
      </c>
    </row>
    <row r="26" spans="1:26" ht="15.75" x14ac:dyDescent="0.4">
      <c r="A26" s="1984"/>
      <c r="B26" s="1056" t="s">
        <v>693</v>
      </c>
      <c r="C26" s="1520">
        <v>0</v>
      </c>
      <c r="D26" s="1411">
        <f>2356+762</f>
        <v>3118</v>
      </c>
      <c r="E26" s="836">
        <v>0</v>
      </c>
      <c r="F26" s="833">
        <v>4.8399999999999999E-2</v>
      </c>
      <c r="G26" s="315">
        <f>0.23+0.037</f>
        <v>0.26700000000000002</v>
      </c>
      <c r="H26" s="1060" t="s">
        <v>221</v>
      </c>
      <c r="I26" s="314" t="s">
        <v>221</v>
      </c>
      <c r="L26" s="1476"/>
      <c r="M26" s="2245"/>
      <c r="N26" s="1056" t="s">
        <v>693</v>
      </c>
      <c r="O26" s="833">
        <f>C26+'SEP-23'!O26</f>
        <v>1380</v>
      </c>
      <c r="P26" s="833">
        <f>762+2356</f>
        <v>3118</v>
      </c>
      <c r="Q26" s="836">
        <v>0</v>
      </c>
      <c r="R26" s="315">
        <f>F26+'SEP-23'!R26</f>
        <v>0.34457000000000004</v>
      </c>
      <c r="S26" s="315">
        <f>G26+'SEP-23'!S26</f>
        <v>0.42700000000000005</v>
      </c>
      <c r="T26" s="1060">
        <f>S26/S7*100</f>
        <v>0.16649964711433107</v>
      </c>
      <c r="U26" s="314">
        <f>(S26-R26)/R26*100</f>
        <v>23.922570159909451</v>
      </c>
    </row>
    <row r="27" spans="1:26" s="26" customFormat="1" ht="19.5" customHeight="1" x14ac:dyDescent="0.4">
      <c r="A27" s="1216"/>
      <c r="B27" s="1063" t="s">
        <v>683</v>
      </c>
      <c r="C27" s="1513">
        <f>SUM(C20:C26)</f>
        <v>194590</v>
      </c>
      <c r="D27" s="1412">
        <f>SUM(D20:D26)</f>
        <v>273049</v>
      </c>
      <c r="E27" s="394">
        <f>(D27-C27)/C27*100</f>
        <v>40.32016033711907</v>
      </c>
      <c r="F27" s="1054">
        <f>SUM(F20:F26)</f>
        <v>30.022400000000001</v>
      </c>
      <c r="G27" s="1054">
        <f>G20+G21+G22+G23+G24+G25+G26</f>
        <v>42.377000000000002</v>
      </c>
      <c r="H27" s="1066">
        <f>SUM(H20:H26)</f>
        <v>99.369941241711302</v>
      </c>
      <c r="I27" s="394">
        <f>(G27-F27)/F27*100</f>
        <v>41.15127371562567</v>
      </c>
      <c r="J27" s="762"/>
      <c r="K27" s="762"/>
      <c r="L27" s="1475"/>
      <c r="M27" s="1202"/>
      <c r="N27" s="1063" t="s">
        <v>683</v>
      </c>
      <c r="O27" s="1259">
        <f>SUM(O20:O26)</f>
        <v>1852193</v>
      </c>
      <c r="P27" s="1259">
        <f>SUM(P20:P26)</f>
        <v>1688767</v>
      </c>
      <c r="Q27" s="394">
        <f>(P27-O27)/O27*100</f>
        <v>-8.8233785572021919</v>
      </c>
      <c r="R27" s="1054">
        <f>SUM(R20:R26)</f>
        <v>233.14370659999997</v>
      </c>
      <c r="S27" s="1054">
        <f>SUM(S20:S26)</f>
        <v>256.45699999999999</v>
      </c>
      <c r="T27" s="1066">
        <f>SUM(T20:T26)</f>
        <v>100</v>
      </c>
      <c r="U27" s="394">
        <f>(S27-R27)/R27*100</f>
        <v>9.999537941634502</v>
      </c>
      <c r="V27" s="26">
        <f>76.54+0.12</f>
        <v>76.660000000000011</v>
      </c>
      <c r="W27" s="26">
        <f>P27/1000000</f>
        <v>1.6887669999999999</v>
      </c>
      <c r="X27" s="432"/>
    </row>
    <row r="28" spans="1:26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4">
        <v>3</v>
      </c>
      <c r="N30" s="2021" t="s">
        <v>623</v>
      </c>
      <c r="O30" s="2022"/>
      <c r="P30" s="2022"/>
      <c r="Q30" s="2022"/>
      <c r="R30" s="2022"/>
      <c r="S30" s="2022"/>
      <c r="T30" s="2022"/>
      <c r="U30" s="2023"/>
    </row>
    <row r="31" spans="1:26" ht="15.4" x14ac:dyDescent="0.4">
      <c r="A31" s="2382"/>
      <c r="B31" s="378" t="s">
        <v>2</v>
      </c>
      <c r="C31" s="1521">
        <v>24.66</v>
      </c>
      <c r="D31" s="1429">
        <v>22.5</v>
      </c>
      <c r="E31" s="315">
        <v>2.2000000000000002</v>
      </c>
      <c r="F31" s="134">
        <v>2.63</v>
      </c>
      <c r="G31" s="134">
        <v>2.6593659999999999</v>
      </c>
      <c r="H31" s="314">
        <f>(G31-E31)/E31*100</f>
        <v>20.880272727272715</v>
      </c>
      <c r="I31" s="314">
        <f>(G31-F31)/F31*100</f>
        <v>1.116577946768061</v>
      </c>
      <c r="J31" s="84">
        <v>1.52</v>
      </c>
      <c r="K31" s="1128">
        <f>11596205/10000000</f>
        <v>1.1596204999999999</v>
      </c>
      <c r="L31" s="1749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v>13.05</v>
      </c>
      <c r="R31" s="315">
        <v>14.67</v>
      </c>
      <c r="S31" s="315">
        <v>16.832463600000001</v>
      </c>
      <c r="T31" s="314">
        <f>(S31-Q31)/Q31*100</f>
        <v>28.984395402298844</v>
      </c>
      <c r="U31" s="314">
        <f t="shared" ref="U31:U38" si="1">(S31-R31)/R31*100</f>
        <v>14.740719836400823</v>
      </c>
      <c r="W31" s="5">
        <f>(Q31*10000000)/100000</f>
        <v>1305</v>
      </c>
    </row>
    <row r="32" spans="1:26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15">
        <v>3.14</v>
      </c>
      <c r="F32" s="134">
        <v>2.3469666999999999</v>
      </c>
      <c r="G32" s="134">
        <v>2.52</v>
      </c>
      <c r="H32" s="314">
        <f>(G32-E32)/E32*100</f>
        <v>-19.745222929936311</v>
      </c>
      <c r="I32" s="314">
        <f>(G32-F32)/F32*100</f>
        <v>7.3726354958508864</v>
      </c>
      <c r="J32" s="1128">
        <v>2.3697997000000002</v>
      </c>
      <c r="K32" s="84">
        <f>0.58-0.12</f>
        <v>0.45999999999999996</v>
      </c>
      <c r="L32" s="1749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v>23.78</v>
      </c>
      <c r="R32" s="315">
        <v>17.784029</v>
      </c>
      <c r="S32" s="315">
        <v>17.707708500000003</v>
      </c>
      <c r="T32" s="314">
        <f>(S32-Q32)/Q32*100</f>
        <v>-25.535288057190908</v>
      </c>
      <c r="U32" s="314">
        <f t="shared" si="1"/>
        <v>-0.42915190927768843</v>
      </c>
      <c r="W32" s="5">
        <f>(Q32*10000000)/100000</f>
        <v>2378</v>
      </c>
    </row>
    <row r="33" spans="1:27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15">
        <v>0.23</v>
      </c>
      <c r="F33" s="134">
        <v>7.2628999999999999E-2</v>
      </c>
      <c r="G33" s="134">
        <v>0.104</v>
      </c>
      <c r="H33" s="314">
        <f>(G33-E33)/E33*100</f>
        <v>-54.782608695652172</v>
      </c>
      <c r="I33" s="314">
        <f>(G33-F33)/F33*100</f>
        <v>43.193490203637666</v>
      </c>
      <c r="J33" s="1128">
        <v>7.7621999999999997E-2</v>
      </c>
      <c r="L33" s="1749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v>2.12</v>
      </c>
      <c r="R33" s="315">
        <v>0.64415289999999992</v>
      </c>
      <c r="S33" s="315">
        <v>0.71199005599999998</v>
      </c>
      <c r="T33" s="314">
        <f>(S33-Q33)/Q33*100</f>
        <v>-66.415563396226418</v>
      </c>
      <c r="U33" s="314">
        <f t="shared" si="1"/>
        <v>10.531219528779591</v>
      </c>
      <c r="W33" s="5">
        <f>(Q33*10000000)/100000</f>
        <v>212</v>
      </c>
    </row>
    <row r="34" spans="1:27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3.37</v>
      </c>
      <c r="F34" s="1483">
        <v>2.4195956999999999</v>
      </c>
      <c r="G34" s="1483">
        <v>2.6240000000000001</v>
      </c>
      <c r="H34" s="1484">
        <f>(G34-E34)/E34*100</f>
        <v>-22.136498516320476</v>
      </c>
      <c r="I34" s="1484">
        <f>(G34-F34)/F34*100</f>
        <v>8.4478700305179171</v>
      </c>
      <c r="L34" s="1749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25.900000000000002</v>
      </c>
      <c r="R34" s="1483">
        <v>18.428181899999998</v>
      </c>
      <c r="S34" s="1483">
        <v>18.419698556000004</v>
      </c>
      <c r="T34" s="1484">
        <f>(S34-Q34)/Q34*100</f>
        <v>-28.88147275675675</v>
      </c>
      <c r="U34" s="1795">
        <f>(S34-R34)/R34*100</f>
        <v>-4.6034622655828736E-2</v>
      </c>
    </row>
    <row r="35" spans="1:27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v>0.36619699999999999</v>
      </c>
      <c r="G35" s="313">
        <v>0.26215500000000003</v>
      </c>
      <c r="H35" s="517" t="s">
        <v>221</v>
      </c>
      <c r="I35" s="314">
        <f>(G35-F35)/F35*100</f>
        <v>-28.411483436510942</v>
      </c>
      <c r="J35" s="84">
        <v>0.21881</v>
      </c>
      <c r="L35" s="1749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v>1.9234489999999997</v>
      </c>
      <c r="S35" s="315">
        <v>1.8641589999999999</v>
      </c>
      <c r="T35" s="316" t="s">
        <v>221</v>
      </c>
      <c r="U35" s="314">
        <f t="shared" si="1"/>
        <v>-3.0824836010728567</v>
      </c>
      <c r="W35" s="5" t="e">
        <f>(Q35*10000000)/100000</f>
        <v>#VALUE!</v>
      </c>
    </row>
    <row r="36" spans="1:27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v>5.3535399999999997E-2</v>
      </c>
      <c r="G36" s="313">
        <v>7.3787800000000001E-2</v>
      </c>
      <c r="H36" s="517" t="s">
        <v>221</v>
      </c>
      <c r="I36" s="314">
        <v>0</v>
      </c>
      <c r="J36" s="84">
        <v>3.63459E-2</v>
      </c>
      <c r="L36" s="1749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v>4.6064936999999997</v>
      </c>
      <c r="S36" s="315">
        <v>4.4634930999999991</v>
      </c>
      <c r="T36" s="316" t="s">
        <v>221</v>
      </c>
      <c r="U36" s="314">
        <f t="shared" si="1"/>
        <v>-3.104326399057066</v>
      </c>
    </row>
    <row r="37" spans="1:27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v>4.0486316000000002</v>
      </c>
      <c r="G37" s="313">
        <v>4.1278838999999996</v>
      </c>
      <c r="H37" s="517" t="s">
        <v>221</v>
      </c>
      <c r="I37" s="314">
        <f>(G37-F37)/F37*100</f>
        <v>1.9575083097212249</v>
      </c>
      <c r="J37" s="84">
        <v>3.210709</v>
      </c>
      <c r="K37" s="323">
        <f>(20880+ 10612529)/10000000</f>
        <v>1.0633409</v>
      </c>
      <c r="L37" s="1749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v>24.5130725</v>
      </c>
      <c r="S37" s="315">
        <v>27.657086400000004</v>
      </c>
      <c r="T37" s="316" t="s">
        <v>221</v>
      </c>
      <c r="U37" s="314">
        <f t="shared" si="1"/>
        <v>12.825866280124634</v>
      </c>
    </row>
    <row r="38" spans="1:27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313">
        <v>4.8728599999999997E-2</v>
      </c>
      <c r="G38" s="313">
        <v>0.13925699999999999</v>
      </c>
      <c r="H38" s="413"/>
      <c r="I38" s="314">
        <v>0</v>
      </c>
      <c r="J38" s="84">
        <v>6.4195500000000003E-2</v>
      </c>
      <c r="L38" s="1749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v>0.49007740000000005</v>
      </c>
      <c r="S38" s="315">
        <v>0.62848619999999999</v>
      </c>
      <c r="T38" s="413"/>
      <c r="U38" s="314">
        <f t="shared" si="1"/>
        <v>28.242232757519513</v>
      </c>
    </row>
    <row r="39" spans="1:27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J39" s="323">
        <v>9.68218E-2</v>
      </c>
      <c r="L39" s="1749"/>
      <c r="M39" s="1286">
        <v>4</v>
      </c>
      <c r="N39" s="2021" t="s">
        <v>622</v>
      </c>
      <c r="O39" s="2022"/>
      <c r="P39" s="2022"/>
      <c r="Q39" s="2022"/>
      <c r="R39" s="2022"/>
      <c r="S39" s="2022"/>
      <c r="T39" s="2022"/>
      <c r="U39" s="2023"/>
    </row>
    <row r="40" spans="1:27" ht="15.4" x14ac:dyDescent="0.4">
      <c r="A40" s="2387"/>
      <c r="B40" s="378" t="s">
        <v>27</v>
      </c>
      <c r="C40" s="1521">
        <v>12.02</v>
      </c>
      <c r="D40" s="1429">
        <v>13.95</v>
      </c>
      <c r="E40" s="315">
        <v>1.1625000000000001</v>
      </c>
      <c r="F40" s="313">
        <v>0.70853259999999996</v>
      </c>
      <c r="G40" s="313">
        <v>0.50067609999999996</v>
      </c>
      <c r="H40" s="314">
        <f>(G40-E40)/E40*100</f>
        <v>-56.931088172043019</v>
      </c>
      <c r="I40" s="314">
        <f>(G40-F40)/F40*100</f>
        <v>-29.336194269677922</v>
      </c>
      <c r="K40" s="1128">
        <v>0.5185746</v>
      </c>
      <c r="L40" s="1476"/>
      <c r="M40" s="1286"/>
      <c r="N40" s="378" t="s">
        <v>27</v>
      </c>
      <c r="O40" s="1283">
        <v>12.02</v>
      </c>
      <c r="P40" s="1429">
        <v>13.95</v>
      </c>
      <c r="Q40" s="307">
        <v>8.1374999999999993</v>
      </c>
      <c r="R40" s="315">
        <v>5.8074614000000002</v>
      </c>
      <c r="S40" s="315">
        <v>6.88</v>
      </c>
      <c r="T40" s="314">
        <f>(S40-Q40)/Q40*100</f>
        <v>-15.453149001536094</v>
      </c>
      <c r="U40" s="314">
        <f>(S40-R40)/R40*100</f>
        <v>18.46828633247566</v>
      </c>
      <c r="W40" s="12">
        <v>6.8847902000000003</v>
      </c>
      <c r="X40" s="491">
        <v>1.5093639999999999</v>
      </c>
      <c r="Y40" s="12">
        <v>0.98931259999999999</v>
      </c>
      <c r="Z40" s="12">
        <v>0.63322219999999996</v>
      </c>
      <c r="AA40" s="12">
        <v>0.67428080000000001</v>
      </c>
    </row>
    <row r="41" spans="1:27" ht="15.4" x14ac:dyDescent="0.4">
      <c r="A41" s="2387"/>
      <c r="B41" s="378" t="s">
        <v>28</v>
      </c>
      <c r="C41" s="1521">
        <v>1.94</v>
      </c>
      <c r="D41" s="1429">
        <v>1.95</v>
      </c>
      <c r="E41" s="315">
        <v>0.16250000000000001</v>
      </c>
      <c r="F41" s="313">
        <v>8.3276799999999998E-2</v>
      </c>
      <c r="G41" s="313">
        <v>7.7361799999999994E-2</v>
      </c>
      <c r="H41" s="314">
        <f>(G41-E41)/E41*100</f>
        <v>-52.392738461538471</v>
      </c>
      <c r="I41" s="314">
        <f>(G41-F41)/F41*100</f>
        <v>-7.1028185521057523</v>
      </c>
      <c r="J41" s="84">
        <f t="shared" ref="J41:J46" si="2">E40*8</f>
        <v>9.3000000000000007</v>
      </c>
      <c r="K41" s="1128">
        <v>1.5909099999999999E-2</v>
      </c>
      <c r="L41" s="1476">
        <v>2.1361249999999998</v>
      </c>
      <c r="M41" s="1286"/>
      <c r="N41" s="378" t="s">
        <v>28</v>
      </c>
      <c r="O41" s="1283">
        <v>1.94</v>
      </c>
      <c r="P41" s="1429">
        <v>1.95</v>
      </c>
      <c r="Q41" s="307">
        <v>1.1375</v>
      </c>
      <c r="R41" s="315">
        <v>0.63528300000000004</v>
      </c>
      <c r="S41" s="315">
        <v>1.51</v>
      </c>
      <c r="T41" s="314">
        <f t="shared" ref="T41:T42" si="3">(S41-Q41)/Q41*100</f>
        <v>32.747252747252752</v>
      </c>
      <c r="U41" s="314">
        <f>(S41-R41)/R41*100</f>
        <v>137.68934474871827</v>
      </c>
      <c r="W41" s="5">
        <f>(E41*10000000)/100000</f>
        <v>16.25</v>
      </c>
      <c r="X41" s="172">
        <v>19.73</v>
      </c>
      <c r="Y41" s="5">
        <v>3.12</v>
      </c>
      <c r="Z41" s="11">
        <f t="shared" ref="Z41:Z45" si="4">(X41-W41)/W41*100</f>
        <v>21.415384615384617</v>
      </c>
      <c r="AA41" s="11">
        <f t="shared" ref="AA41:AA45" si="5">(X41-Y41)/Y41*100</f>
        <v>532.3717948717948</v>
      </c>
    </row>
    <row r="42" spans="1:27" ht="15.4" x14ac:dyDescent="0.4">
      <c r="A42" s="2387"/>
      <c r="B42" s="378" t="s">
        <v>224</v>
      </c>
      <c r="C42" s="1521">
        <v>1.96</v>
      </c>
      <c r="D42" s="1429">
        <v>3.25</v>
      </c>
      <c r="E42" s="315">
        <v>0.27</v>
      </c>
      <c r="F42" s="313">
        <v>0.1203597</v>
      </c>
      <c r="G42" s="313">
        <v>0.1586052</v>
      </c>
      <c r="H42" s="314">
        <f>(G42-E42)/E42*100</f>
        <v>-41.257333333333335</v>
      </c>
      <c r="I42" s="314">
        <f>(G42-F42)/F42*100</f>
        <v>31.7760014356965</v>
      </c>
      <c r="J42" s="84">
        <f t="shared" si="2"/>
        <v>1.3</v>
      </c>
      <c r="K42" s="1128">
        <v>7.9338400000000003E-2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7">
        <v>1.8900000000000001</v>
      </c>
      <c r="R42" s="315">
        <v>0.80230039999999991</v>
      </c>
      <c r="S42" s="315">
        <v>0.98931259999999999</v>
      </c>
      <c r="T42" s="314">
        <f t="shared" si="3"/>
        <v>-47.655417989417991</v>
      </c>
      <c r="U42" s="314">
        <f>(S42-R42)/R42*100</f>
        <v>23.30949853695699</v>
      </c>
      <c r="W42" s="11">
        <f>(E42*10000000)/100000</f>
        <v>27</v>
      </c>
      <c r="X42" s="172">
        <v>45.45</v>
      </c>
      <c r="Y42" s="5">
        <v>0</v>
      </c>
      <c r="Z42" s="11">
        <f t="shared" si="4"/>
        <v>68.333333333333343</v>
      </c>
      <c r="AA42" s="11" t="e">
        <f t="shared" si="5"/>
        <v>#DIV/0!</v>
      </c>
    </row>
    <row r="43" spans="1:27" ht="15.4" hidden="1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/>
      <c r="H43" s="314" t="e">
        <f>(G43-E43)/E43*100</f>
        <v>#VALUE!</v>
      </c>
      <c r="I43" s="314" t="e">
        <f>(G43-F43)/F43*100</f>
        <v>#DIV/0!</v>
      </c>
      <c r="J43" s="323">
        <f t="shared" si="2"/>
        <v>2.16</v>
      </c>
      <c r="K43" s="1128">
        <v>0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15">
        <v>0</v>
      </c>
      <c r="S43" s="315">
        <v>0</v>
      </c>
      <c r="T43" s="314" t="s">
        <v>221</v>
      </c>
      <c r="U43" s="314">
        <v>0</v>
      </c>
      <c r="W43" s="5" t="e">
        <f>(E43*10000000)/100000</f>
        <v>#VALUE!</v>
      </c>
      <c r="Z43" s="11" t="e">
        <f t="shared" si="4"/>
        <v>#VALUE!</v>
      </c>
      <c r="AA43" s="11" t="e">
        <f t="shared" si="5"/>
        <v>#DIV/0!</v>
      </c>
    </row>
    <row r="44" spans="1:27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0</v>
      </c>
      <c r="G44" s="313">
        <v>0.20277770000000001</v>
      </c>
      <c r="H44" s="314"/>
      <c r="I44" s="314" t="s">
        <v>221</v>
      </c>
      <c r="J44" s="84" t="e">
        <f t="shared" si="2"/>
        <v>#VALUE!</v>
      </c>
      <c r="K44" s="1128">
        <v>6.3045000000000002E-3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15">
        <v>0.19960020000000001</v>
      </c>
      <c r="S44" s="315">
        <v>0.63322220000000007</v>
      </c>
      <c r="T44" s="314" t="s">
        <v>221</v>
      </c>
      <c r="U44" s="314">
        <f>(S44-R44)/R44*100</f>
        <v>217.24527330132938</v>
      </c>
      <c r="X44" s="172">
        <v>0</v>
      </c>
      <c r="Y44" s="5">
        <v>0.06</v>
      </c>
      <c r="Z44" s="11" t="e">
        <f t="shared" si="4"/>
        <v>#DIV/0!</v>
      </c>
      <c r="AA44" s="11">
        <f t="shared" si="5"/>
        <v>-100</v>
      </c>
    </row>
    <row r="45" spans="1:27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7.92606E-2</v>
      </c>
      <c r="G45" s="313">
        <v>0.132359</v>
      </c>
      <c r="H45" s="314"/>
      <c r="I45" s="314" t="s">
        <v>221</v>
      </c>
      <c r="J45" s="84" t="e">
        <f t="shared" si="2"/>
        <v>#VALUE!</v>
      </c>
      <c r="K45" s="1128">
        <v>7.3470099999999997E-2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15">
        <v>0.89664919999999992</v>
      </c>
      <c r="S45" s="315">
        <v>0.67428080000000001</v>
      </c>
      <c r="T45" s="407" t="s">
        <v>221</v>
      </c>
      <c r="U45" s="314">
        <f>(S45-R45)/R45*100</f>
        <v>-24.799932905756222</v>
      </c>
      <c r="W45" s="595">
        <f>W40+W41+W42+W44</f>
        <v>50.134790199999998</v>
      </c>
      <c r="X45" s="172">
        <f>X40+X41+X42+X44</f>
        <v>66.689364000000012</v>
      </c>
      <c r="Y45" s="172">
        <f>Y40+Y41+Y42+Y44</f>
        <v>4.1693125999999996</v>
      </c>
      <c r="Z45" s="11">
        <f t="shared" si="4"/>
        <v>33.020131796622174</v>
      </c>
      <c r="AA45" s="11">
        <f t="shared" si="5"/>
        <v>1499.528996698401</v>
      </c>
    </row>
    <row r="46" spans="1:27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2"/>
        <v>#VALUE!</v>
      </c>
      <c r="L46" s="1476">
        <v>0.93056630000000007</v>
      </c>
      <c r="M46" s="2388"/>
      <c r="N46" s="2021" t="s">
        <v>419</v>
      </c>
      <c r="O46" s="2022"/>
      <c r="P46" s="2022"/>
      <c r="Q46" s="2022"/>
      <c r="R46" s="2022"/>
      <c r="S46" s="2022"/>
      <c r="T46" s="2022"/>
      <c r="U46" s="2023"/>
    </row>
    <row r="47" spans="1:27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15">
        <v>1.86</v>
      </c>
      <c r="F47" s="315">
        <v>1.610768</v>
      </c>
      <c r="G47" s="315">
        <v>1.892029</v>
      </c>
      <c r="H47" s="316">
        <f>(G47-E47)/E47*100</f>
        <v>1.7219892473118206</v>
      </c>
      <c r="I47" s="314">
        <f>(G47-F47)/F47*100</f>
        <v>17.461297964697582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v>11.89</v>
      </c>
      <c r="R47" s="315">
        <v>10.258705000000001</v>
      </c>
      <c r="S47" s="315">
        <v>12.903297999999999</v>
      </c>
      <c r="T47" s="316">
        <f>(S47-Q47)/Q47*100</f>
        <v>8.5222708158115967</v>
      </c>
      <c r="U47" s="314">
        <f>(S47-R47)/R47*100</f>
        <v>25.779014017851164</v>
      </c>
      <c r="V47" s="5">
        <f>S47/153</f>
        <v>8.4335281045751637E-2</v>
      </c>
    </row>
    <row r="48" spans="1:27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154">
        <v>2.97</v>
      </c>
      <c r="F48" s="315">
        <v>1.604759</v>
      </c>
      <c r="G48" s="315">
        <v>1.6305350000000001</v>
      </c>
      <c r="H48" s="2027">
        <f>L48</f>
        <v>-5.1504377104377097</v>
      </c>
      <c r="I48" s="314">
        <f>(G48-F48)/F48*100</f>
        <v>1.6062224919754318</v>
      </c>
      <c r="J48" s="12">
        <f>F48+F49</f>
        <v>2.54488</v>
      </c>
      <c r="K48" s="12">
        <f>G48+G49</f>
        <v>2.8170320000000002</v>
      </c>
      <c r="L48" s="1151">
        <f>(K48-E48)/E48*100</f>
        <v>-5.1504377104377097</v>
      </c>
      <c r="M48" s="2388"/>
      <c r="N48" s="1280" t="s">
        <v>792</v>
      </c>
      <c r="O48" s="1285">
        <v>15.344440000000001</v>
      </c>
      <c r="P48" s="2067">
        <v>32.97</v>
      </c>
      <c r="Q48" s="2065">
        <v>17.439999999999998</v>
      </c>
      <c r="R48" s="315">
        <v>7.4706170000000007</v>
      </c>
      <c r="S48" s="315">
        <v>11.876691000000001</v>
      </c>
      <c r="T48" s="2027">
        <f>X48</f>
        <v>12.412127293577999</v>
      </c>
      <c r="U48" s="314">
        <f>(S48-R48)/R48*100</f>
        <v>58.978716215809214</v>
      </c>
      <c r="V48" s="12">
        <f>R48+R49</f>
        <v>15.030784000000001</v>
      </c>
      <c r="W48" s="12">
        <f>S48+S49</f>
        <v>19.604675</v>
      </c>
      <c r="X48" s="1151">
        <f>(W48-Q48)/Q48*100</f>
        <v>12.412127293577999</v>
      </c>
    </row>
    <row r="49" spans="1:33" ht="16.5" x14ac:dyDescent="0.55000000000000004">
      <c r="A49" s="2387"/>
      <c r="B49" s="1606" t="s">
        <v>934</v>
      </c>
      <c r="C49" s="1524">
        <v>12.857975999999999</v>
      </c>
      <c r="D49" s="2066"/>
      <c r="E49" s="2155"/>
      <c r="F49" s="315">
        <v>0.94012099999999998</v>
      </c>
      <c r="G49" s="315">
        <v>1.1864969999999999</v>
      </c>
      <c r="H49" s="2029"/>
      <c r="I49" s="314">
        <f>(G49-F49)/F49*100</f>
        <v>26.206839332383801</v>
      </c>
      <c r="J49" s="84">
        <v>31105</v>
      </c>
      <c r="K49" s="1198"/>
      <c r="L49" s="1477">
        <f>(K48-J48)/J48*100</f>
        <v>10.694099525321436</v>
      </c>
      <c r="M49" s="2388"/>
      <c r="N49" s="320" t="s">
        <v>931</v>
      </c>
      <c r="O49" s="1285">
        <v>12.857975999999999</v>
      </c>
      <c r="P49" s="2068"/>
      <c r="Q49" s="2066"/>
      <c r="R49" s="315">
        <v>7.5601669999999999</v>
      </c>
      <c r="S49" s="315">
        <v>7.7279839999999993</v>
      </c>
      <c r="T49" s="2029"/>
      <c r="U49" s="314">
        <f>(S49-R49)/R49*100</f>
        <v>2.2197525530851294</v>
      </c>
      <c r="V49" s="84"/>
      <c r="W49" s="1198"/>
      <c r="X49" s="1477">
        <f>(W48-V48)/V48*100</f>
        <v>30.430155872108866</v>
      </c>
    </row>
    <row r="50" spans="1:33" ht="16.5" customHeight="1" x14ac:dyDescent="0.55000000000000004">
      <c r="A50" s="2387">
        <v>6</v>
      </c>
      <c r="B50" s="2021" t="s">
        <v>993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8">
        <v>6</v>
      </c>
      <c r="N50" s="2021" t="s">
        <v>993</v>
      </c>
      <c r="O50" s="2022"/>
      <c r="P50" s="2022"/>
      <c r="Q50" s="2022"/>
      <c r="R50" s="2022"/>
      <c r="S50" s="2022"/>
      <c r="T50" s="2022"/>
      <c r="U50" s="2023"/>
      <c r="V50" s="323">
        <f>R48+R47</f>
        <v>17.729322000000003</v>
      </c>
      <c r="W50" s="323">
        <f>S48+S47</f>
        <v>24.779989</v>
      </c>
      <c r="X50" s="314">
        <f>(W50-V50)/V50*100</f>
        <v>39.768396106743367</v>
      </c>
    </row>
    <row r="51" spans="1:33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210.96</v>
      </c>
      <c r="G51" s="313">
        <v>264.89999999999998</v>
      </c>
      <c r="H51" s="2027" t="s">
        <v>221</v>
      </c>
      <c r="I51" s="314">
        <f>(G51-F51)/F51*100</f>
        <v>25.568828213879392</v>
      </c>
      <c r="K51" s="84">
        <v>1.4243969999999999</v>
      </c>
      <c r="M51" s="2388"/>
      <c r="N51" s="2006" t="s">
        <v>36</v>
      </c>
      <c r="O51" s="2007"/>
      <c r="P51" s="2368">
        <v>0.55000000000000004</v>
      </c>
      <c r="Q51" s="2024" t="s">
        <v>221</v>
      </c>
      <c r="R51" s="313">
        <v>210.96</v>
      </c>
      <c r="S51" s="313">
        <v>264.89999999999998</v>
      </c>
      <c r="T51" s="2027"/>
      <c r="U51" s="314">
        <f>(S51-R51)/R51*100</f>
        <v>25.568828213879392</v>
      </c>
    </row>
    <row r="52" spans="1:33" ht="15.4" x14ac:dyDescent="0.4">
      <c r="A52" s="2387"/>
      <c r="B52" s="378" t="s">
        <v>37</v>
      </c>
      <c r="C52" s="1525"/>
      <c r="D52" s="2369"/>
      <c r="E52" s="2025"/>
      <c r="F52" s="313">
        <v>34.56</v>
      </c>
      <c r="G52" s="313">
        <v>24.93</v>
      </c>
      <c r="H52" s="2028"/>
      <c r="I52" s="314">
        <f>(G52-F52)/F52*100</f>
        <v>-27.864583333333336</v>
      </c>
      <c r="K52" s="84">
        <v>1.1149039999999999</v>
      </c>
      <c r="M52" s="2388"/>
      <c r="N52" s="2006" t="s">
        <v>37</v>
      </c>
      <c r="O52" s="2007"/>
      <c r="P52" s="2369"/>
      <c r="Q52" s="2025"/>
      <c r="R52" s="313">
        <v>34.56</v>
      </c>
      <c r="S52" s="313">
        <v>24.93</v>
      </c>
      <c r="T52" s="2028"/>
      <c r="U52" s="314">
        <f>(S52-R52)/R52*100</f>
        <v>-27.864583333333336</v>
      </c>
    </row>
    <row r="53" spans="1:33" ht="15.4" x14ac:dyDescent="0.4">
      <c r="A53" s="2387"/>
      <c r="B53" s="378" t="s">
        <v>38</v>
      </c>
      <c r="C53" s="1525"/>
      <c r="D53" s="2245"/>
      <c r="E53" s="2026"/>
      <c r="F53" s="313">
        <v>245.52</v>
      </c>
      <c r="G53" s="313">
        <f>SUM(G51:G52)</f>
        <v>289.83</v>
      </c>
      <c r="H53" s="2029"/>
      <c r="I53" s="314">
        <f>(G53-F53)/F53*100</f>
        <v>18.047409579667633</v>
      </c>
      <c r="K53" s="84">
        <v>1.0979049999999999</v>
      </c>
      <c r="M53" s="2388"/>
      <c r="N53" s="2006" t="s">
        <v>38</v>
      </c>
      <c r="O53" s="2007"/>
      <c r="P53" s="2245"/>
      <c r="Q53" s="2026"/>
      <c r="R53" s="313">
        <v>245.52</v>
      </c>
      <c r="S53" s="313">
        <f>SUM(S51:S52)</f>
        <v>289.83</v>
      </c>
      <c r="T53" s="2029"/>
      <c r="U53" s="314">
        <f>(S53-R53)/R53*100</f>
        <v>18.047409579667633</v>
      </c>
    </row>
    <row r="54" spans="1:33" x14ac:dyDescent="0.4">
      <c r="B54" s="1748"/>
      <c r="C54" s="1740" t="s">
        <v>195</v>
      </c>
      <c r="D54" s="1740" t="s">
        <v>227</v>
      </c>
      <c r="E54" s="1741" t="s">
        <v>494</v>
      </c>
      <c r="F54" s="1740"/>
      <c r="G54" s="1740" t="s">
        <v>195</v>
      </c>
      <c r="H54" s="1740" t="s">
        <v>227</v>
      </c>
      <c r="I54" s="1741" t="s">
        <v>494</v>
      </c>
      <c r="N54" s="1740"/>
      <c r="O54" s="1740" t="s">
        <v>195</v>
      </c>
      <c r="P54" s="1740" t="s">
        <v>227</v>
      </c>
      <c r="Q54" s="1741" t="s">
        <v>494</v>
      </c>
      <c r="R54" s="1740"/>
      <c r="S54" s="1740" t="s">
        <v>195</v>
      </c>
      <c r="T54" s="1740" t="s">
        <v>227</v>
      </c>
      <c r="U54" s="1741" t="s">
        <v>494</v>
      </c>
    </row>
    <row r="55" spans="1:33" ht="15.75" x14ac:dyDescent="0.45">
      <c r="B55" s="1742" t="s">
        <v>989</v>
      </c>
      <c r="C55" s="1743">
        <f>F15+F16</f>
        <v>16.363752399999999</v>
      </c>
      <c r="D55" s="1743">
        <f>G15+G16</f>
        <v>16.733188999999999</v>
      </c>
      <c r="E55" s="1744">
        <f>(D55-C55)/C55*100</f>
        <v>2.2576521018492079</v>
      </c>
      <c r="F55" s="1745" t="s">
        <v>991</v>
      </c>
      <c r="G55" s="1745">
        <f>F48+F47</f>
        <v>3.2155269999999998</v>
      </c>
      <c r="H55" s="1745">
        <f>G48+G47</f>
        <v>3.522564</v>
      </c>
      <c r="I55" s="1744">
        <f>(H55-G55)/G55*100</f>
        <v>9.5485747748347389</v>
      </c>
      <c r="N55" s="1742" t="s">
        <v>989</v>
      </c>
      <c r="O55" s="1743">
        <f>R15+R16</f>
        <v>60.435547100000001</v>
      </c>
      <c r="P55" s="1743">
        <f>S15+S16</f>
        <v>122.2638264</v>
      </c>
      <c r="Q55" s="1744">
        <f>(P55-O55)/O55*100</f>
        <v>102.3044917549857</v>
      </c>
      <c r="R55" s="1745" t="s">
        <v>991</v>
      </c>
      <c r="S55" s="1745">
        <f>R48+R47</f>
        <v>17.729322000000003</v>
      </c>
      <c r="T55" s="1745">
        <f>S48+S47</f>
        <v>24.779989</v>
      </c>
      <c r="U55" s="1744">
        <f>(T55-S55)/S55*100</f>
        <v>39.768396106743367</v>
      </c>
      <c r="W55" s="12" t="e">
        <f>R56+R57</f>
        <v>#VALUE!</v>
      </c>
      <c r="X55" s="12">
        <f>S56+S57</f>
        <v>15.030784000000001</v>
      </c>
      <c r="Z55" s="314" t="e">
        <f>(X55-W55)/W55*100</f>
        <v>#VALUE!</v>
      </c>
    </row>
    <row r="56" spans="1:33" ht="15.75" x14ac:dyDescent="0.45">
      <c r="B56" s="1742" t="s">
        <v>990</v>
      </c>
      <c r="C56" s="1743">
        <f>F16+F17</f>
        <v>78.789452299999994</v>
      </c>
      <c r="D56" s="1743">
        <f>G16+G17</f>
        <v>98.400023000000004</v>
      </c>
      <c r="E56" s="1744">
        <f>(D56-C56)/C56*100</f>
        <v>24.889842647122972</v>
      </c>
      <c r="F56" s="1746" t="s">
        <v>992</v>
      </c>
      <c r="G56" s="1747">
        <f>F48+F49</f>
        <v>2.54488</v>
      </c>
      <c r="H56" s="1747">
        <f>G48+G49</f>
        <v>2.8170320000000002</v>
      </c>
      <c r="I56" s="1744">
        <f>(H56-G56)/G56*100</f>
        <v>10.694099525321436</v>
      </c>
      <c r="J56" s="314"/>
      <c r="K56" s="5"/>
      <c r="N56" s="1742" t="s">
        <v>990</v>
      </c>
      <c r="O56" s="1743">
        <f>R16+R17</f>
        <v>560.05293119999999</v>
      </c>
      <c r="P56" s="1743">
        <f>S16+S17</f>
        <v>682.96667979999995</v>
      </c>
      <c r="Q56" s="1744">
        <f>(P56-O56)/O56*100</f>
        <v>21.946809266159583</v>
      </c>
      <c r="R56" s="1746" t="s">
        <v>992</v>
      </c>
      <c r="S56" s="1747">
        <f>R48+R49</f>
        <v>15.030784000000001</v>
      </c>
      <c r="T56" s="1747">
        <f>S48+S49</f>
        <v>19.604675</v>
      </c>
      <c r="U56" s="1744">
        <f>(T56-S56)/S56*100</f>
        <v>30.430155872108866</v>
      </c>
    </row>
    <row r="57" spans="1:33" ht="15.75" x14ac:dyDescent="0.45">
      <c r="J57" s="35"/>
      <c r="L57" s="35"/>
      <c r="Q57" s="229"/>
      <c r="R57" s="12"/>
      <c r="S57" s="12"/>
      <c r="U57" s="314"/>
    </row>
    <row r="58" spans="1:33" x14ac:dyDescent="0.4">
      <c r="D58" s="1407"/>
      <c r="E58" s="1192">
        <v>44826</v>
      </c>
      <c r="F58" s="1192">
        <v>45192</v>
      </c>
      <c r="H58" s="1192">
        <f>E58</f>
        <v>44826</v>
      </c>
      <c r="I58" s="1192">
        <f>F58</f>
        <v>45192</v>
      </c>
      <c r="K58" s="84">
        <v>2.94</v>
      </c>
      <c r="R58" s="12">
        <f>SUM(R55:R57)</f>
        <v>0</v>
      </c>
      <c r="S58" s="12">
        <f>SUM(S55:S57)</f>
        <v>32.760106000000007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33" ht="15.75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S59" s="9" t="s">
        <v>152</v>
      </c>
      <c r="T59" s="1291">
        <f>E58</f>
        <v>44826</v>
      </c>
      <c r="U59" s="1291">
        <f>F58</f>
        <v>45192</v>
      </c>
      <c r="V59" s="26"/>
      <c r="W59" s="1291">
        <v>44958</v>
      </c>
      <c r="X59" s="1291">
        <v>44958</v>
      </c>
      <c r="Y59" s="26"/>
      <c r="Z59" s="1291">
        <f>T59</f>
        <v>44826</v>
      </c>
      <c r="AA59" s="1291">
        <f>X59</f>
        <v>44958</v>
      </c>
      <c r="AC59" s="5">
        <v>57578</v>
      </c>
      <c r="AD59" s="5">
        <v>76550</v>
      </c>
    </row>
    <row r="60" spans="1:33" ht="16.149999999999999" x14ac:dyDescent="0.55000000000000004">
      <c r="D60" s="1407" t="s">
        <v>94</v>
      </c>
      <c r="E60" s="1193">
        <f>H60/10000000</f>
        <v>0.65505480000000005</v>
      </c>
      <c r="F60" s="1193">
        <f>I60/10000000</f>
        <v>0.79680859999999998</v>
      </c>
      <c r="H60" s="598">
        <f>E152</f>
        <v>6550548</v>
      </c>
      <c r="I60" s="598">
        <f>E115</f>
        <v>7968086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33" ht="16.149999999999999" x14ac:dyDescent="0.55000000000000004">
      <c r="D61" s="1407" t="s">
        <v>502</v>
      </c>
      <c r="E61" s="1193">
        <f>H61/10000000</f>
        <v>8.4405444999999997</v>
      </c>
      <c r="F61" s="1193">
        <f t="shared" ref="E61:F62" si="6">I61/10000000</f>
        <v>10.949078800000001</v>
      </c>
      <c r="H61" s="598">
        <f>G152</f>
        <v>84405445</v>
      </c>
      <c r="I61" s="598">
        <f>G115</f>
        <v>109490788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33" ht="16.899999999999999" thickBot="1" x14ac:dyDescent="0.6">
      <c r="D62" s="1407" t="s">
        <v>767</v>
      </c>
      <c r="E62" s="1193">
        <f t="shared" si="6"/>
        <v>40.871152799999997</v>
      </c>
      <c r="F62" s="1193">
        <f>I62/10000000</f>
        <v>77.2671043</v>
      </c>
      <c r="H62" s="1496">
        <f>I152</f>
        <v>408711528</v>
      </c>
      <c r="I62" s="1496">
        <f>I115</f>
        <v>772671043</v>
      </c>
      <c r="J62" s="1320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33" ht="16.5" x14ac:dyDescent="0.55000000000000004">
      <c r="E63" s="428"/>
      <c r="F63" s="428"/>
      <c r="J63" s="1215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33" ht="15.4" x14ac:dyDescent="0.4">
      <c r="E64" s="428"/>
      <c r="F64" s="428"/>
      <c r="I64" s="82">
        <f>J65/1000000</f>
        <v>0.23699999999999999</v>
      </c>
      <c r="K64" s="212"/>
      <c r="L64" s="1217"/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6.149999999999999" x14ac:dyDescent="0.55000000000000004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>
        <f>SUM(T60:T64)</f>
        <v>665125</v>
      </c>
      <c r="U65" s="26">
        <f t="shared" ref="U65:AA65" si="7">SUM(U60:U64)</f>
        <v>3363834</v>
      </c>
      <c r="W65" s="9">
        <f>SUM(W60:W64)</f>
        <v>1174725</v>
      </c>
      <c r="X65" s="9">
        <f t="shared" si="7"/>
        <v>7176648</v>
      </c>
      <c r="Y65" s="26"/>
      <c r="Z65" s="9">
        <f t="shared" si="7"/>
        <v>403700</v>
      </c>
      <c r="AA65" s="9">
        <f t="shared" si="7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6.149999999999999" x14ac:dyDescent="0.55000000000000004">
      <c r="D66" s="1407" t="s">
        <v>94</v>
      </c>
      <c r="E66" s="1193">
        <f>H66/1000000</f>
        <v>1.1046149999999999</v>
      </c>
      <c r="F66" s="1193">
        <f>I66/1000000</f>
        <v>1.30287</v>
      </c>
      <c r="H66" s="598">
        <f>D152</f>
        <v>1104615</v>
      </c>
      <c r="I66" s="598">
        <f>D115</f>
        <v>1302870</v>
      </c>
      <c r="J66" s="323">
        <f>H66/100000</f>
        <v>11.046150000000001</v>
      </c>
      <c r="K66" s="323">
        <f t="shared" ref="K66:K68" si="8">I66/100000</f>
        <v>13.028700000000001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6.149999999999999" x14ac:dyDescent="0.55000000000000004">
      <c r="D67" s="1407" t="s">
        <v>502</v>
      </c>
      <c r="E67" s="1193">
        <f t="shared" ref="E67:F68" si="9">H67/1000000</f>
        <v>0.93657699999999999</v>
      </c>
      <c r="F67" s="1193">
        <f t="shared" si="9"/>
        <v>1.1471720000000001</v>
      </c>
      <c r="H67" s="598">
        <f>F152</f>
        <v>936577</v>
      </c>
      <c r="I67" s="598">
        <f>F115</f>
        <v>1147172</v>
      </c>
      <c r="J67" s="323">
        <f>H67/100000</f>
        <v>9.3657699999999995</v>
      </c>
      <c r="K67" s="323">
        <f t="shared" si="8"/>
        <v>11.471719999999999</v>
      </c>
      <c r="L67" s="491">
        <f>K66/100000</f>
        <v>1.3028700000000001E-4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6.149999999999999" x14ac:dyDescent="0.55000000000000004">
      <c r="D68" s="1407" t="s">
        <v>767</v>
      </c>
      <c r="E68" s="1193">
        <f t="shared" si="9"/>
        <v>0.62953599999999998</v>
      </c>
      <c r="F68" s="1193">
        <f>I68/1000000</f>
        <v>1.1057520000000001</v>
      </c>
      <c r="H68" s="1496">
        <f>H152</f>
        <v>629536</v>
      </c>
      <c r="I68" s="1496">
        <f>H115</f>
        <v>1105752</v>
      </c>
      <c r="J68" s="323">
        <f>H68/100000</f>
        <v>6.2953599999999996</v>
      </c>
      <c r="K68" s="323">
        <f t="shared" si="8"/>
        <v>11.05752</v>
      </c>
      <c r="L68" s="491">
        <f>K67/100000</f>
        <v>1.1471719999999999E-4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J69" s="323"/>
      <c r="K69" s="212"/>
      <c r="L69" s="491">
        <f>K68/100000</f>
        <v>1.105752E-4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6.149999999999999" x14ac:dyDescent="0.55000000000000004">
      <c r="D71" s="1418" t="s">
        <v>436</v>
      </c>
      <c r="E71" s="134">
        <f>H71</f>
        <v>1.7590185</v>
      </c>
      <c r="F71" s="134">
        <f>I71</f>
        <v>1.9006745</v>
      </c>
      <c r="H71" s="1372">
        <f>J71/10000000</f>
        <v>1.7590185</v>
      </c>
      <c r="I71" s="1372">
        <f>K71/10000000</f>
        <v>1.9006745</v>
      </c>
      <c r="J71">
        <v>17590185</v>
      </c>
      <c r="K71">
        <v>19006745</v>
      </c>
      <c r="L71" s="1217"/>
      <c r="N71" s="755">
        <v>6531262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5">
        <f>66.07-3.11</f>
        <v>62.959999999999994</v>
      </c>
      <c r="D72" s="1418" t="s">
        <v>769</v>
      </c>
      <c r="E72" s="134">
        <f>J79/100</f>
        <v>2.1867999999999999</v>
      </c>
      <c r="F72" s="134">
        <f>K79/100</f>
        <v>2.1768000000000001</v>
      </c>
      <c r="H72" s="1263"/>
      <c r="I72" s="1263"/>
      <c r="J72" s="85"/>
      <c r="K72" s="134"/>
      <c r="L72" s="1217"/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9.3800000000000008E-2</v>
      </c>
      <c r="F73" s="283">
        <f>K77/100</f>
        <v>9.6799999999999997E-2</v>
      </c>
      <c r="H73" s="1263"/>
      <c r="I73" s="1263"/>
      <c r="J73" s="283"/>
      <c r="K73" s="283"/>
      <c r="L73" s="1217"/>
      <c r="U73" s="1239"/>
      <c r="AB73" s="1239"/>
    </row>
    <row r="74" spans="3:30" ht="15.4" x14ac:dyDescent="0.45">
      <c r="D74" s="1418" t="s">
        <v>196</v>
      </c>
      <c r="E74" s="134">
        <f>H74/10000000</f>
        <v>0.15341099999999999</v>
      </c>
      <c r="F74" s="134">
        <f>I74/10000000</f>
        <v>0.187389</v>
      </c>
      <c r="H74" s="1578">
        <f>J152</f>
        <v>1534110</v>
      </c>
      <c r="I74" s="1578">
        <f>J115</f>
        <v>1873890</v>
      </c>
      <c r="J74" s="598"/>
      <c r="K74" s="210">
        <f>J116</f>
        <v>0</v>
      </c>
      <c r="L74" s="1217"/>
      <c r="M74" s="1210"/>
      <c r="N74" s="12"/>
      <c r="O74" s="1132">
        <v>0.41666666666666669</v>
      </c>
      <c r="P74" s="1132">
        <v>0.61805555555555558</v>
      </c>
      <c r="Q74" s="1132">
        <f>P74-O74</f>
        <v>0.2013888888888889</v>
      </c>
      <c r="X74" s="5"/>
    </row>
    <row r="75" spans="3:30" ht="16.149999999999999" x14ac:dyDescent="0.55000000000000004">
      <c r="D75" s="1418" t="s">
        <v>123</v>
      </c>
      <c r="E75" s="425">
        <f>H75</f>
        <v>5.3535399999999997E-2</v>
      </c>
      <c r="F75" s="425">
        <f>I75</f>
        <v>7.3787800000000001E-2</v>
      </c>
      <c r="H75" s="1372">
        <f>J75/10000000</f>
        <v>5.3535399999999997E-2</v>
      </c>
      <c r="I75" s="1372">
        <f>K75/10000000</f>
        <v>7.3787800000000001E-2</v>
      </c>
      <c r="J75" s="210">
        <f>L152</f>
        <v>535354</v>
      </c>
      <c r="K75" s="1498">
        <f>L115</f>
        <v>737878</v>
      </c>
    </row>
    <row r="76" spans="3:30" ht="16.149999999999999" x14ac:dyDescent="0.55000000000000004">
      <c r="D76" s="1418" t="s">
        <v>435</v>
      </c>
      <c r="E76" s="134">
        <f>H76/10000000</f>
        <v>2.4540573999999999</v>
      </c>
      <c r="F76" s="134">
        <f>I76/10000000</f>
        <v>3.8040506000000001</v>
      </c>
      <c r="H76" s="1578">
        <f>K152</f>
        <v>24540574</v>
      </c>
      <c r="I76" s="1578">
        <f>K115</f>
        <v>38040506</v>
      </c>
      <c r="J76" s="1498"/>
      <c r="K76" s="1499"/>
      <c r="N76" s="755"/>
    </row>
    <row r="77" spans="3:30" x14ac:dyDescent="0.4">
      <c r="H77" s="1224"/>
      <c r="I77" s="1225"/>
      <c r="J77" s="85">
        <v>9.3800000000000008</v>
      </c>
      <c r="K77" s="134">
        <v>9.68</v>
      </c>
    </row>
    <row r="78" spans="3:30" x14ac:dyDescent="0.4">
      <c r="E78" s="428"/>
      <c r="F78" s="428"/>
      <c r="J78" s="85">
        <v>228.06</v>
      </c>
      <c r="K78" s="85">
        <v>227.36</v>
      </c>
      <c r="L78" s="172">
        <f>J77/100</f>
        <v>9.3800000000000008E-2</v>
      </c>
    </row>
    <row r="79" spans="3:30" x14ac:dyDescent="0.4">
      <c r="E79" s="428"/>
      <c r="F79" s="428"/>
      <c r="J79" s="85">
        <f>J78-J77</f>
        <v>218.68</v>
      </c>
      <c r="K79" s="134">
        <f>K78-K77</f>
        <v>217.68</v>
      </c>
    </row>
    <row r="80" spans="3:30" x14ac:dyDescent="0.4">
      <c r="E80" s="428"/>
      <c r="F80" s="428"/>
      <c r="L80" s="172">
        <f>J79/100</f>
        <v>2.1867999999999999</v>
      </c>
    </row>
    <row r="81" spans="3:21" x14ac:dyDescent="0.4">
      <c r="C81" s="9"/>
      <c r="D81" s="235" t="s">
        <v>164</v>
      </c>
      <c r="E81" s="265" t="s">
        <v>710</v>
      </c>
      <c r="F81" s="29" t="s">
        <v>164</v>
      </c>
      <c r="G81" s="265" t="s">
        <v>710</v>
      </c>
      <c r="H81" s="29" t="s">
        <v>164</v>
      </c>
      <c r="I81" s="265" t="s">
        <v>710</v>
      </c>
      <c r="J81" s="29"/>
      <c r="K81" s="29"/>
      <c r="L81" s="1596"/>
    </row>
    <row r="82" spans="3:21" x14ac:dyDescent="0.4">
      <c r="C82" s="9"/>
      <c r="D82" s="235">
        <v>23</v>
      </c>
      <c r="E82" s="29">
        <v>23</v>
      </c>
      <c r="F82" s="29">
        <v>23</v>
      </c>
      <c r="G82" s="29">
        <v>23</v>
      </c>
      <c r="H82" s="29">
        <v>23</v>
      </c>
      <c r="I82" s="29">
        <v>23</v>
      </c>
      <c r="J82" s="29" t="s">
        <v>196</v>
      </c>
      <c r="K82" s="780">
        <v>23</v>
      </c>
      <c r="L82" s="1596"/>
    </row>
    <row r="83" spans="3:21" x14ac:dyDescent="0.4">
      <c r="C83" s="9"/>
      <c r="D83" s="1939" t="s">
        <v>795</v>
      </c>
      <c r="E83" s="1939"/>
      <c r="F83" s="1939" t="s">
        <v>796</v>
      </c>
      <c r="G83" s="1939"/>
      <c r="H83" s="1939" t="s">
        <v>797</v>
      </c>
      <c r="I83" s="1939"/>
      <c r="J83" s="29">
        <v>23</v>
      </c>
      <c r="K83" s="9" t="s">
        <v>882</v>
      </c>
      <c r="L83" s="1596" t="s">
        <v>123</v>
      </c>
      <c r="O83" s="5" t="s">
        <v>195</v>
      </c>
      <c r="P83" s="5" t="s">
        <v>227</v>
      </c>
    </row>
    <row r="84" spans="3:21" ht="16.149999999999999" x14ac:dyDescent="0.55000000000000004">
      <c r="C84" s="1239">
        <v>45200</v>
      </c>
      <c r="D84" s="1599"/>
      <c r="E84" s="1600"/>
      <c r="F84" s="224"/>
      <c r="G84" s="224"/>
      <c r="H84" s="1601"/>
      <c r="I84" s="1602"/>
      <c r="J84" s="1575"/>
      <c r="K84" s="1602"/>
      <c r="L84" s="1577"/>
      <c r="N84" s="378" t="s">
        <v>27</v>
      </c>
      <c r="O84" s="1449"/>
      <c r="P84" s="476">
        <v>905484</v>
      </c>
      <c r="Q84" s="27">
        <f>P84/10000000</f>
        <v>9.0548400000000001E-2</v>
      </c>
      <c r="R84" s="7"/>
      <c r="S84" s="1453"/>
      <c r="T84" s="828"/>
      <c r="U84" s="85"/>
    </row>
    <row r="85" spans="3:21" x14ac:dyDescent="0.4">
      <c r="C85" s="1239">
        <v>45201</v>
      </c>
      <c r="D85" s="1451"/>
      <c r="E85" s="476"/>
      <c r="F85" s="7"/>
      <c r="G85" s="7"/>
      <c r="H85" s="224"/>
      <c r="I85" s="1576"/>
      <c r="J85" s="1576"/>
      <c r="K85" s="1575"/>
      <c r="L85" s="1577"/>
      <c r="N85" s="378" t="s">
        <v>28</v>
      </c>
      <c r="O85" s="1451"/>
      <c r="P85" s="476">
        <v>358386</v>
      </c>
      <c r="Q85" s="27">
        <f t="shared" ref="Q85:Q86" si="10">P85/10000000</f>
        <v>3.5838599999999998E-2</v>
      </c>
      <c r="R85" s="7"/>
      <c r="S85" s="224"/>
      <c r="T85" s="1576"/>
      <c r="U85" s="1576"/>
    </row>
    <row r="86" spans="3:21" x14ac:dyDescent="0.4">
      <c r="C86" s="1239">
        <v>45202</v>
      </c>
      <c r="D86" s="1451"/>
      <c r="E86" s="476"/>
      <c r="F86" s="7"/>
      <c r="G86" s="7"/>
      <c r="H86" s="7"/>
      <c r="I86" s="210"/>
      <c r="J86" s="210"/>
      <c r="K86" s="85"/>
      <c r="L86" s="1297"/>
      <c r="N86" s="378" t="s">
        <v>224</v>
      </c>
      <c r="O86" s="1451"/>
      <c r="P86" s="476">
        <v>1459000</v>
      </c>
      <c r="Q86" s="27">
        <f t="shared" si="10"/>
        <v>0.1459</v>
      </c>
      <c r="R86" s="7"/>
      <c r="S86" s="7"/>
      <c r="T86" s="210"/>
      <c r="U86" s="210"/>
    </row>
    <row r="87" spans="3:21" x14ac:dyDescent="0.4">
      <c r="C87" s="1239">
        <v>45203</v>
      </c>
      <c r="D87" s="1451"/>
      <c r="E87" s="476"/>
      <c r="F87" s="7"/>
      <c r="G87" s="7"/>
      <c r="H87" s="7"/>
      <c r="I87" s="210"/>
      <c r="J87" s="210"/>
      <c r="K87" s="85"/>
      <c r="L87" s="1297"/>
      <c r="N87" s="378" t="s">
        <v>30</v>
      </c>
      <c r="O87" s="1451"/>
      <c r="P87" s="476"/>
      <c r="Q87" s="7"/>
      <c r="R87" s="7"/>
      <c r="S87" s="7"/>
      <c r="T87" s="210"/>
      <c r="U87" s="210"/>
    </row>
    <row r="88" spans="3:21" x14ac:dyDescent="0.4">
      <c r="C88" s="1239">
        <v>45204</v>
      </c>
      <c r="D88" s="1451"/>
      <c r="E88" s="476"/>
      <c r="F88" s="7"/>
      <c r="G88" s="7"/>
      <c r="H88" s="7"/>
      <c r="I88" s="210"/>
      <c r="J88" s="1604"/>
      <c r="K88" s="85"/>
      <c r="L88" s="1297"/>
      <c r="N88" s="378" t="s">
        <v>4</v>
      </c>
      <c r="O88" s="1451"/>
      <c r="P88" s="476"/>
      <c r="Q88" s="7"/>
      <c r="R88" s="7"/>
      <c r="S88" s="7"/>
      <c r="T88" s="210"/>
      <c r="U88" s="210"/>
    </row>
    <row r="89" spans="3:21" ht="16.5" thickBot="1" x14ac:dyDescent="0.6">
      <c r="C89" s="1239">
        <v>45205</v>
      </c>
      <c r="D89" s="1451"/>
      <c r="E89" s="476"/>
      <c r="F89" s="6"/>
      <c r="G89" s="6"/>
      <c r="H89" s="1255"/>
      <c r="I89" s="828"/>
      <c r="J89" s="1604"/>
      <c r="K89" s="755"/>
      <c r="L89" s="1297"/>
      <c r="O89" s="1451"/>
      <c r="P89" s="476"/>
      <c r="Q89" s="6"/>
      <c r="R89" s="6"/>
      <c r="S89" s="824"/>
      <c r="T89" s="755"/>
      <c r="U89" s="210"/>
    </row>
    <row r="90" spans="3:21" x14ac:dyDescent="0.4">
      <c r="C90" s="1239">
        <v>45206</v>
      </c>
      <c r="D90" s="1451"/>
      <c r="E90" s="476"/>
      <c r="F90" s="6"/>
      <c r="G90" s="6"/>
      <c r="H90" s="1461"/>
      <c r="I90" s="1460"/>
      <c r="J90" s="1593"/>
      <c r="K90" s="85"/>
      <c r="L90" s="1594"/>
    </row>
    <row r="91" spans="3:21" x14ac:dyDescent="0.4">
      <c r="C91" s="1239">
        <v>45207</v>
      </c>
      <c r="D91" s="1451"/>
      <c r="E91" s="476"/>
      <c r="F91" s="6"/>
      <c r="G91" s="6"/>
      <c r="H91" s="31"/>
      <c r="I91" s="79"/>
      <c r="J91" s="1593"/>
      <c r="K91" s="85"/>
      <c r="L91" s="1594"/>
    </row>
    <row r="92" spans="3:21" x14ac:dyDescent="0.4">
      <c r="C92" s="1239">
        <v>45208</v>
      </c>
      <c r="D92" s="1451"/>
      <c r="E92" s="476"/>
      <c r="F92" s="6"/>
      <c r="G92" s="6"/>
      <c r="H92" s="31"/>
      <c r="I92" s="79"/>
      <c r="J92" s="1593"/>
      <c r="K92" s="85"/>
      <c r="L92" s="1594"/>
    </row>
    <row r="93" spans="3:21" ht="16.149999999999999" x14ac:dyDescent="0.55000000000000004">
      <c r="C93" s="1239">
        <v>45209</v>
      </c>
      <c r="D93" s="1451">
        <v>543966</v>
      </c>
      <c r="E93" s="476">
        <v>3253537</v>
      </c>
      <c r="F93" s="6">
        <v>453703</v>
      </c>
      <c r="G93" s="6">
        <v>41089554</v>
      </c>
      <c r="H93" s="755">
        <v>331534</v>
      </c>
      <c r="I93" s="755">
        <v>236202110</v>
      </c>
      <c r="J93" s="1593">
        <v>711990</v>
      </c>
      <c r="K93" s="84">
        <v>10037458</v>
      </c>
      <c r="L93" s="1594">
        <v>173490</v>
      </c>
      <c r="O93" s="41"/>
      <c r="P93" s="41"/>
      <c r="Q93" s="41"/>
      <c r="R93" s="41"/>
    </row>
    <row r="94" spans="3:21" ht="16.5" thickBot="1" x14ac:dyDescent="0.6">
      <c r="C94" s="1239">
        <v>45210</v>
      </c>
      <c r="D94" s="1451"/>
      <c r="E94" s="476"/>
      <c r="F94" s="6"/>
      <c r="G94" s="6"/>
      <c r="H94" s="1255"/>
      <c r="I94" s="828"/>
      <c r="J94" s="1593"/>
      <c r="K94" s="910"/>
      <c r="L94" s="1594"/>
      <c r="O94" s="41">
        <f>D103+F103</f>
        <v>568029</v>
      </c>
      <c r="P94" s="41">
        <f>E103+G103</f>
        <v>29557755</v>
      </c>
      <c r="Q94" s="5">
        <f>H103</f>
        <v>380695</v>
      </c>
      <c r="R94" s="5">
        <f>I103</f>
        <v>270525570</v>
      </c>
    </row>
    <row r="95" spans="3:21" ht="15.75" x14ac:dyDescent="0.4">
      <c r="C95" s="1239">
        <v>45211</v>
      </c>
      <c r="D95" s="1451"/>
      <c r="E95" s="476"/>
      <c r="F95" s="6"/>
      <c r="G95" s="6"/>
      <c r="H95" s="1255"/>
      <c r="I95" s="1453"/>
      <c r="J95" s="1593"/>
      <c r="K95" s="85"/>
      <c r="L95" s="1594"/>
      <c r="O95" s="41">
        <f>D116+F116</f>
        <v>0</v>
      </c>
      <c r="P95" s="41">
        <f>E116+G116</f>
        <v>0</v>
      </c>
      <c r="Q95" s="41">
        <f>H116</f>
        <v>1105752</v>
      </c>
      <c r="R95" s="41">
        <f>I116</f>
        <v>772671043</v>
      </c>
    </row>
    <row r="96" spans="3:21" ht="16.149999999999999" x14ac:dyDescent="0.55000000000000004">
      <c r="C96" s="1239">
        <v>45212</v>
      </c>
      <c r="D96" s="1451"/>
      <c r="E96" s="476"/>
      <c r="F96" s="6"/>
      <c r="G96" s="6"/>
      <c r="H96" s="828"/>
      <c r="I96" s="828"/>
      <c r="J96" s="1593"/>
      <c r="K96" s="1255"/>
      <c r="L96" s="1594"/>
    </row>
    <row r="97" spans="3:12" ht="16.149999999999999" x14ac:dyDescent="0.55000000000000004">
      <c r="C97" s="1239">
        <v>45213</v>
      </c>
      <c r="D97" s="1451"/>
      <c r="E97" s="476"/>
      <c r="F97" s="6"/>
      <c r="G97" s="6"/>
      <c r="H97" s="1254"/>
      <c r="I97" s="1254"/>
      <c r="J97" s="1593"/>
      <c r="K97" s="1255"/>
      <c r="L97" s="1594"/>
    </row>
    <row r="98" spans="3:12" ht="16.5" thickBot="1" x14ac:dyDescent="0.6">
      <c r="C98" s="1239">
        <v>45214</v>
      </c>
      <c r="D98" s="1451"/>
      <c r="E98" s="476"/>
      <c r="F98" s="6"/>
      <c r="G98" s="6"/>
      <c r="H98" s="755"/>
      <c r="I98" s="755"/>
      <c r="J98" s="1593"/>
      <c r="K98" s="824"/>
      <c r="L98" s="1594">
        <v>217408</v>
      </c>
    </row>
    <row r="99" spans="3:12" ht="16.149999999999999" x14ac:dyDescent="0.55000000000000004">
      <c r="C99" s="1239">
        <v>45215</v>
      </c>
      <c r="D99" s="1451"/>
      <c r="E99" s="476"/>
      <c r="F99" s="6"/>
      <c r="G99" s="6"/>
      <c r="H99" s="828"/>
      <c r="I99" s="1453"/>
      <c r="J99" s="1593"/>
      <c r="K99" s="85"/>
      <c r="L99" s="1594"/>
    </row>
    <row r="100" spans="3:12" ht="16.149999999999999" thickBot="1" x14ac:dyDescent="0.45">
      <c r="C100" s="1239">
        <v>45216</v>
      </c>
      <c r="D100" s="1451"/>
      <c r="E100" s="476"/>
      <c r="F100" s="6"/>
      <c r="G100" s="6"/>
      <c r="H100" s="824"/>
      <c r="I100" s="910"/>
      <c r="J100" s="1593"/>
      <c r="K100" s="824"/>
      <c r="L100" s="1594"/>
    </row>
    <row r="101" spans="3:12" ht="16.149999999999999" x14ac:dyDescent="0.55000000000000004">
      <c r="C101" s="1239">
        <v>45217</v>
      </c>
      <c r="D101" s="1451"/>
      <c r="E101" s="476"/>
      <c r="F101" s="6"/>
      <c r="G101" s="6"/>
      <c r="H101" s="1255"/>
      <c r="I101" s="828"/>
      <c r="J101" s="1593"/>
      <c r="K101" s="828"/>
      <c r="L101" s="1594"/>
    </row>
    <row r="102" spans="3:12" x14ac:dyDescent="0.4">
      <c r="C102" s="1239">
        <v>45218</v>
      </c>
      <c r="D102" s="234"/>
      <c r="E102" s="476"/>
      <c r="F102" s="6"/>
      <c r="G102" s="6"/>
      <c r="H102" s="31"/>
      <c r="I102" s="79"/>
      <c r="J102" s="1593"/>
      <c r="K102" s="85"/>
      <c r="L102" s="1594"/>
    </row>
    <row r="103" spans="3:12" ht="16.5" thickBot="1" x14ac:dyDescent="0.6">
      <c r="C103" s="1239">
        <v>45219</v>
      </c>
      <c r="D103" s="1451">
        <v>304561</v>
      </c>
      <c r="E103" s="210">
        <v>1776826</v>
      </c>
      <c r="F103" s="7">
        <v>263468</v>
      </c>
      <c r="G103" s="7">
        <v>27780929</v>
      </c>
      <c r="H103" s="824">
        <v>380695</v>
      </c>
      <c r="I103" s="755">
        <v>270525570</v>
      </c>
      <c r="J103" s="1593">
        <v>423970</v>
      </c>
      <c r="K103" s="755">
        <v>13503897</v>
      </c>
      <c r="L103" s="1594"/>
    </row>
    <row r="104" spans="3:12" ht="16.5" thickBot="1" x14ac:dyDescent="0.6">
      <c r="C104" s="1239">
        <v>45220</v>
      </c>
      <c r="D104" s="1478"/>
      <c r="E104" s="1479"/>
      <c r="F104" s="1603"/>
      <c r="G104" s="1603"/>
      <c r="H104" s="755"/>
      <c r="I104" s="755"/>
      <c r="J104" s="1593"/>
      <c r="K104" s="824"/>
      <c r="L104" s="1594"/>
    </row>
    <row r="105" spans="3:12" ht="16.5" thickBot="1" x14ac:dyDescent="0.6">
      <c r="C105" s="1239">
        <v>45221</v>
      </c>
      <c r="D105" s="1451"/>
      <c r="E105" s="476"/>
      <c r="F105" s="85"/>
      <c r="G105" s="85"/>
      <c r="H105" s="755"/>
      <c r="I105" s="824"/>
      <c r="J105" s="85"/>
      <c r="K105" s="755"/>
      <c r="L105" s="1594"/>
    </row>
    <row r="106" spans="3:12" x14ac:dyDescent="0.4">
      <c r="C106" s="1239">
        <v>45222</v>
      </c>
      <c r="D106" s="1451"/>
      <c r="E106" s="476"/>
      <c r="F106" s="476"/>
      <c r="G106" s="85"/>
      <c r="H106" s="31"/>
      <c r="I106" s="79"/>
      <c r="J106" s="85"/>
      <c r="K106" s="85"/>
      <c r="L106" s="1297"/>
    </row>
    <row r="107" spans="3:12" ht="16.5" thickBot="1" x14ac:dyDescent="0.6">
      <c r="C107" s="1239">
        <v>45223</v>
      </c>
      <c r="D107" s="1451"/>
      <c r="E107" s="476"/>
      <c r="F107" s="85"/>
      <c r="G107" s="85"/>
      <c r="H107" s="755"/>
      <c r="I107" s="824"/>
      <c r="J107" s="85"/>
      <c r="K107" s="755"/>
      <c r="L107" s="1297"/>
    </row>
    <row r="108" spans="3:12" x14ac:dyDescent="0.4">
      <c r="C108" s="1239">
        <v>45224</v>
      </c>
      <c r="D108" s="1454"/>
      <c r="E108" s="1243"/>
      <c r="F108" s="1243"/>
      <c r="G108" s="1243"/>
      <c r="H108" s="1243"/>
      <c r="I108" s="1243"/>
      <c r="J108" s="85"/>
      <c r="K108" s="1243"/>
      <c r="L108" s="1297"/>
    </row>
    <row r="109" spans="3:12" x14ac:dyDescent="0.4">
      <c r="C109" s="1239">
        <v>45225</v>
      </c>
      <c r="D109" s="1407"/>
      <c r="E109" s="476"/>
      <c r="F109" s="85"/>
      <c r="G109" s="85"/>
      <c r="H109" s="31"/>
      <c r="I109" s="79"/>
      <c r="J109" s="1243"/>
      <c r="K109" s="85"/>
      <c r="L109" s="1297"/>
    </row>
    <row r="110" spans="3:12" ht="16.149999999999999" x14ac:dyDescent="0.55000000000000004">
      <c r="C110" s="1239">
        <v>45226</v>
      </c>
      <c r="D110" s="1407"/>
      <c r="E110" s="476"/>
      <c r="F110" s="85"/>
      <c r="G110" s="85"/>
      <c r="H110" s="755"/>
      <c r="I110" s="755"/>
      <c r="J110" s="85"/>
      <c r="K110" s="755"/>
      <c r="L110" s="1297"/>
    </row>
    <row r="111" spans="3:12" ht="16.5" thickBot="1" x14ac:dyDescent="0.6">
      <c r="C111" s="1239">
        <v>45227</v>
      </c>
      <c r="D111" s="1407"/>
      <c r="E111" s="476"/>
      <c r="F111" s="6"/>
      <c r="G111" s="6"/>
      <c r="H111" s="824"/>
      <c r="I111" s="910"/>
      <c r="J111" s="85"/>
      <c r="K111" s="755"/>
      <c r="L111" s="1297"/>
    </row>
    <row r="112" spans="3:12" x14ac:dyDescent="0.4">
      <c r="C112" s="1239">
        <v>45228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34" ht="16.149999999999999" thickBot="1" x14ac:dyDescent="0.45">
      <c r="C113" s="1239">
        <v>45229</v>
      </c>
      <c r="D113" s="1407">
        <v>454343</v>
      </c>
      <c r="E113" s="476">
        <v>2937723</v>
      </c>
      <c r="F113" s="6">
        <v>430001</v>
      </c>
      <c r="G113" s="6">
        <v>40620305</v>
      </c>
      <c r="H113" s="824">
        <v>308437</v>
      </c>
      <c r="I113" s="824">
        <v>209020501</v>
      </c>
      <c r="J113" s="85">
        <v>737930</v>
      </c>
      <c r="K113" s="824">
        <v>11919201</v>
      </c>
      <c r="L113" s="1297">
        <v>346980</v>
      </c>
    </row>
    <row r="114" spans="1:34" x14ac:dyDescent="0.4">
      <c r="C114" s="1239">
        <v>45230</v>
      </c>
      <c r="D114" s="1455"/>
      <c r="E114" s="277"/>
      <c r="F114" s="44"/>
      <c r="G114" s="44"/>
      <c r="H114" s="1456"/>
      <c r="I114" s="278"/>
      <c r="J114" s="85"/>
      <c r="K114" s="1448"/>
      <c r="L114" s="1297"/>
    </row>
    <row r="115" spans="1:34" ht="16.149999999999999" x14ac:dyDescent="0.55000000000000004">
      <c r="C115" s="1239" t="s">
        <v>548</v>
      </c>
      <c r="D115" s="1462">
        <f t="shared" ref="D115" si="11">SUM(D84:D114)</f>
        <v>1302870</v>
      </c>
      <c r="E115" s="1462">
        <f>SUM(E84:E114)</f>
        <v>7968086</v>
      </c>
      <c r="F115" s="1462">
        <f>SUM(F84:F114)</f>
        <v>1147172</v>
      </c>
      <c r="G115" s="1462">
        <f>SUM(G84:G114)</f>
        <v>109490788</v>
      </c>
      <c r="H115" s="1462">
        <v>1105752</v>
      </c>
      <c r="I115" s="1462">
        <v>772671043</v>
      </c>
      <c r="J115" s="1462">
        <f>SUM(J84:J114)</f>
        <v>1873890</v>
      </c>
      <c r="K115" s="755">
        <v>38040506</v>
      </c>
      <c r="L115" s="1462">
        <f>SUM(L84:L114)</f>
        <v>737878</v>
      </c>
      <c r="P115" s="41">
        <f>E115+G115</f>
        <v>117458874</v>
      </c>
    </row>
    <row r="116" spans="1:34" ht="16.149999999999999" x14ac:dyDescent="0.55000000000000004">
      <c r="D116" s="1420">
        <f>D104+D105+D106+D107</f>
        <v>0</v>
      </c>
      <c r="E116" s="1420">
        <f t="shared" ref="E116:F116" si="12">E104+E105+E106+E107</f>
        <v>0</v>
      </c>
      <c r="F116" s="1420">
        <f t="shared" si="12"/>
        <v>0</v>
      </c>
      <c r="G116" s="1420">
        <f>G104+G105+G106+G107</f>
        <v>0</v>
      </c>
      <c r="H116" s="755">
        <v>1105752</v>
      </c>
      <c r="I116" s="755">
        <v>772671043</v>
      </c>
      <c r="J116" s="1462"/>
      <c r="K116" s="755">
        <v>38040506</v>
      </c>
    </row>
    <row r="117" spans="1:34" x14ac:dyDescent="0.4">
      <c r="L117" s="1297"/>
    </row>
    <row r="118" spans="1:34" s="172" customFormat="1" x14ac:dyDescent="0.4">
      <c r="A118" s="1235"/>
      <c r="B118" s="300"/>
      <c r="C118" s="9"/>
      <c r="D118" s="235" t="s">
        <v>164</v>
      </c>
      <c r="E118" s="265" t="s">
        <v>710</v>
      </c>
      <c r="F118" s="29" t="s">
        <v>164</v>
      </c>
      <c r="G118" s="265" t="s">
        <v>710</v>
      </c>
      <c r="H118" s="29" t="s">
        <v>164</v>
      </c>
      <c r="I118" s="265" t="s">
        <v>710</v>
      </c>
      <c r="J118" s="29" t="s">
        <v>196</v>
      </c>
      <c r="K118" s="1592"/>
      <c r="L118" s="1596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 s="172" customFormat="1" x14ac:dyDescent="0.4">
      <c r="A119" s="1235"/>
      <c r="B119" s="300"/>
      <c r="C119" s="9"/>
      <c r="D119" s="235">
        <v>22</v>
      </c>
      <c r="E119" s="29">
        <v>22</v>
      </c>
      <c r="F119" s="29">
        <v>22</v>
      </c>
      <c r="G119" s="29">
        <v>22</v>
      </c>
      <c r="H119" s="29">
        <v>22</v>
      </c>
      <c r="I119" s="29">
        <v>22</v>
      </c>
      <c r="J119" s="29">
        <v>22</v>
      </c>
      <c r="K119" s="1597">
        <v>22</v>
      </c>
      <c r="L119" s="1596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 s="172" customFormat="1" x14ac:dyDescent="0.4">
      <c r="A120" s="1235"/>
      <c r="B120" s="300"/>
      <c r="C120" s="9"/>
      <c r="D120" s="1939" t="s">
        <v>795</v>
      </c>
      <c r="E120" s="1939"/>
      <c r="F120" s="1939" t="s">
        <v>796</v>
      </c>
      <c r="G120" s="1939"/>
      <c r="H120" s="1939" t="s">
        <v>797</v>
      </c>
      <c r="I120" s="1939"/>
      <c r="J120" s="9" t="s">
        <v>196</v>
      </c>
      <c r="K120" s="1598" t="s">
        <v>435</v>
      </c>
      <c r="L120" s="1596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 s="172" customFormat="1" ht="16.149999999999999" x14ac:dyDescent="0.55000000000000004">
      <c r="A121" s="1235"/>
      <c r="B121" s="300"/>
      <c r="C121" s="1261">
        <v>44835</v>
      </c>
      <c r="D121" s="1449"/>
      <c r="E121" s="476"/>
      <c r="F121" s="6"/>
      <c r="G121" s="6"/>
      <c r="H121" s="755"/>
      <c r="I121" s="755"/>
      <c r="J121" s="85"/>
      <c r="K121" s="1255"/>
      <c r="L121" s="1297"/>
      <c r="M121" s="1209"/>
      <c r="N121" s="5"/>
      <c r="O121" s="1449">
        <v>64100</v>
      </c>
      <c r="P121" s="476">
        <v>352606</v>
      </c>
      <c r="Q121" s="6">
        <v>50287</v>
      </c>
      <c r="R121" s="6">
        <v>3243776</v>
      </c>
      <c r="S121" s="755"/>
      <c r="T121" s="755"/>
      <c r="U121" s="85">
        <v>72390</v>
      </c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 s="172" customFormat="1" x14ac:dyDescent="0.4">
      <c r="A122" s="1235"/>
      <c r="B122" s="300"/>
      <c r="C122" s="1261">
        <v>44836</v>
      </c>
      <c r="D122" s="1451"/>
      <c r="E122" s="476"/>
      <c r="F122" s="6"/>
      <c r="G122" s="6"/>
      <c r="H122" s="31"/>
      <c r="I122" s="79"/>
      <c r="J122" s="85"/>
      <c r="K122" s="85"/>
      <c r="L122" s="1297"/>
      <c r="M122" s="1209"/>
      <c r="N122" s="5"/>
      <c r="O122" s="1451">
        <v>47455</v>
      </c>
      <c r="P122" s="476">
        <v>274841</v>
      </c>
      <c r="Q122" s="6">
        <v>37882</v>
      </c>
      <c r="R122" s="6">
        <v>2992313</v>
      </c>
      <c r="S122" s="31"/>
      <c r="T122" s="79"/>
      <c r="U122" s="85">
        <v>71700</v>
      </c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 s="172" customFormat="1" x14ac:dyDescent="0.4">
      <c r="A123" s="1235"/>
      <c r="B123" s="300"/>
      <c r="C123" s="1261">
        <v>44837</v>
      </c>
      <c r="D123" s="1451"/>
      <c r="E123" s="476"/>
      <c r="F123" s="6"/>
      <c r="G123" s="6"/>
      <c r="H123" s="31"/>
      <c r="I123" s="79"/>
      <c r="J123" s="85"/>
      <c r="K123" s="85"/>
      <c r="L123" s="1297"/>
      <c r="M123" s="1209"/>
      <c r="N123" s="5"/>
      <c r="O123" s="1451">
        <v>51343</v>
      </c>
      <c r="P123" s="476">
        <v>284320</v>
      </c>
      <c r="Q123" s="6">
        <v>35510</v>
      </c>
      <c r="R123" s="6">
        <v>2980113</v>
      </c>
      <c r="S123" s="31"/>
      <c r="T123" s="79"/>
      <c r="U123" s="85">
        <v>70770</v>
      </c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 s="172" customFormat="1" x14ac:dyDescent="0.4">
      <c r="A124" s="1235"/>
      <c r="B124" s="300"/>
      <c r="C124" s="1261">
        <v>44838</v>
      </c>
      <c r="D124" s="1451"/>
      <c r="E124" s="476"/>
      <c r="F124" s="6"/>
      <c r="G124" s="6"/>
      <c r="H124" s="31"/>
      <c r="I124" s="79"/>
      <c r="J124" s="85"/>
      <c r="K124" s="85"/>
      <c r="L124" s="1297"/>
      <c r="M124" s="1209"/>
      <c r="N124" s="5"/>
      <c r="O124" s="1451">
        <v>50716</v>
      </c>
      <c r="P124" s="476">
        <v>287532</v>
      </c>
      <c r="Q124" s="6">
        <v>39138</v>
      </c>
      <c r="R124" s="6">
        <v>2848582</v>
      </c>
      <c r="S124" s="31"/>
      <c r="T124" s="79"/>
      <c r="U124" s="85">
        <v>70340</v>
      </c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 s="172" customFormat="1" x14ac:dyDescent="0.4">
      <c r="A125" s="1235"/>
      <c r="B125" s="300"/>
      <c r="C125" s="1261">
        <v>44839</v>
      </c>
      <c r="D125" s="1451"/>
      <c r="E125" s="476"/>
      <c r="F125" s="6"/>
      <c r="G125" s="6"/>
      <c r="H125" s="31"/>
      <c r="I125" s="79"/>
      <c r="J125" s="85"/>
      <c r="K125" s="85"/>
      <c r="L125" s="1297"/>
      <c r="M125" s="1209"/>
      <c r="N125" s="5"/>
      <c r="O125" s="1451">
        <v>46074</v>
      </c>
      <c r="P125" s="476">
        <v>269365</v>
      </c>
      <c r="Q125" s="6">
        <v>35823</v>
      </c>
      <c r="R125" s="6">
        <v>3069600</v>
      </c>
      <c r="S125" s="31"/>
      <c r="T125" s="79"/>
      <c r="U125" s="85">
        <v>61840</v>
      </c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 s="172" customFormat="1" ht="16.5" thickBot="1" x14ac:dyDescent="0.6">
      <c r="A126" s="1235"/>
      <c r="B126" s="300"/>
      <c r="C126" s="1261">
        <v>44840</v>
      </c>
      <c r="D126" s="1451"/>
      <c r="E126" s="476"/>
      <c r="F126" s="6"/>
      <c r="G126" s="6"/>
      <c r="H126" s="1255"/>
      <c r="I126" s="828"/>
      <c r="J126" s="85"/>
      <c r="K126" s="1255"/>
      <c r="L126" s="1297"/>
      <c r="M126" s="1209"/>
      <c r="N126" s="5"/>
      <c r="O126" s="1451">
        <v>44550</v>
      </c>
      <c r="P126" s="476">
        <v>324802</v>
      </c>
      <c r="Q126" s="6">
        <v>36929</v>
      </c>
      <c r="R126" s="6">
        <v>3450395</v>
      </c>
      <c r="S126" s="824"/>
      <c r="T126" s="755"/>
      <c r="U126" s="85">
        <v>79260</v>
      </c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 s="172" customFormat="1" ht="15.75" x14ac:dyDescent="0.5">
      <c r="A127" s="1235"/>
      <c r="B127" s="300"/>
      <c r="C127" s="1261">
        <v>44841</v>
      </c>
      <c r="D127" s="1451"/>
      <c r="E127" s="476"/>
      <c r="F127" s="6"/>
      <c r="G127" s="6"/>
      <c r="H127" s="7"/>
      <c r="I127" s="1459"/>
      <c r="J127" s="85"/>
      <c r="K127" s="1277"/>
      <c r="L127" s="1594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 s="172" customFormat="1" x14ac:dyDescent="0.4">
      <c r="A128" s="1235"/>
      <c r="B128" s="300"/>
      <c r="C128" s="1261">
        <v>44842</v>
      </c>
      <c r="D128" s="1451"/>
      <c r="E128" s="476"/>
      <c r="F128" s="6"/>
      <c r="G128" s="6"/>
      <c r="H128" s="31"/>
      <c r="I128" s="79"/>
      <c r="J128" s="85"/>
      <c r="K128" s="85"/>
      <c r="L128" s="1594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261">
        <v>44843</v>
      </c>
      <c r="D129" s="1451"/>
      <c r="E129" s="476"/>
      <c r="F129" s="6"/>
      <c r="G129" s="6"/>
      <c r="H129" s="31"/>
      <c r="I129" s="79"/>
      <c r="J129" s="85"/>
      <c r="K129" s="85"/>
      <c r="L129" s="1594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6.5" thickBot="1" x14ac:dyDescent="0.6">
      <c r="A130" s="1235"/>
      <c r="B130" s="300"/>
      <c r="C130" s="1261">
        <v>44844</v>
      </c>
      <c r="D130" s="1451">
        <v>559968</v>
      </c>
      <c r="E130" s="476">
        <v>3352210</v>
      </c>
      <c r="F130" s="6">
        <v>474627</v>
      </c>
      <c r="G130" s="6">
        <v>38483826</v>
      </c>
      <c r="H130" s="755">
        <v>334441</v>
      </c>
      <c r="I130" s="824">
        <v>206221002</v>
      </c>
      <c r="J130" s="85">
        <v>759370</v>
      </c>
      <c r="K130" s="755">
        <v>11280831</v>
      </c>
      <c r="L130" s="1297">
        <v>173404</v>
      </c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6.149999999999999" x14ac:dyDescent="0.55000000000000004">
      <c r="A131" s="1235"/>
      <c r="B131" s="300"/>
      <c r="C131" s="1261">
        <v>44845</v>
      </c>
      <c r="D131" s="1451"/>
      <c r="E131" s="476"/>
      <c r="F131" s="6"/>
      <c r="G131" s="6"/>
      <c r="H131" s="1255"/>
      <c r="I131" s="1255"/>
      <c r="J131" s="1593"/>
      <c r="K131" s="755"/>
      <c r="L131" s="1297"/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6.149999999999999" x14ac:dyDescent="0.55000000000000004">
      <c r="A132" s="1235"/>
      <c r="B132" s="300"/>
      <c r="C132" s="1261">
        <v>44846</v>
      </c>
      <c r="D132" s="1451"/>
      <c r="E132" s="476"/>
      <c r="F132" s="6"/>
      <c r="G132" s="6"/>
      <c r="H132" s="828"/>
      <c r="I132" s="828"/>
      <c r="J132" s="1593"/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ht="15.75" x14ac:dyDescent="0.4">
      <c r="A133" s="1235"/>
      <c r="B133" s="300"/>
      <c r="C133" s="1261">
        <v>44847</v>
      </c>
      <c r="D133" s="1451"/>
      <c r="E133" s="476"/>
      <c r="F133" s="6"/>
      <c r="G133" s="6"/>
      <c r="H133" s="1255"/>
      <c r="I133" s="1255"/>
      <c r="J133" s="1593"/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6.149999999999999" x14ac:dyDescent="0.55000000000000004">
      <c r="A134" s="1235"/>
      <c r="B134" s="300"/>
      <c r="C134" s="1261">
        <v>44848</v>
      </c>
      <c r="D134" s="1452"/>
      <c r="E134" s="476"/>
      <c r="F134" s="6"/>
      <c r="G134" s="6"/>
      <c r="H134" s="828"/>
      <c r="I134" s="1255"/>
      <c r="J134" s="1593"/>
      <c r="K134" s="1492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ht="16.5" thickBot="1" x14ac:dyDescent="0.6">
      <c r="A135" s="1235"/>
      <c r="B135" s="300"/>
      <c r="C135" s="1261">
        <v>44849</v>
      </c>
      <c r="D135" s="1452"/>
      <c r="E135" s="476"/>
      <c r="F135" s="6"/>
      <c r="G135" s="6"/>
      <c r="H135" s="824"/>
      <c r="I135" s="755"/>
      <c r="J135" s="1593"/>
      <c r="K135" s="755"/>
      <c r="L135" s="1297">
        <v>361950</v>
      </c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6.149999999999999" x14ac:dyDescent="0.55000000000000004">
      <c r="A136" s="1235"/>
      <c r="B136" s="300"/>
      <c r="C136" s="1261">
        <v>44850</v>
      </c>
      <c r="D136" s="1452"/>
      <c r="E136" s="476"/>
      <c r="F136" s="6"/>
      <c r="G136" s="6"/>
      <c r="H136" s="828"/>
      <c r="I136" s="828"/>
      <c r="J136" s="1593"/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261">
        <v>44851</v>
      </c>
      <c r="D137" s="1452"/>
      <c r="E137" s="476"/>
      <c r="F137" s="6"/>
      <c r="G137" s="6"/>
      <c r="H137" s="31"/>
      <c r="I137" s="79"/>
      <c r="J137" s="85"/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6.149999999999999" x14ac:dyDescent="0.55000000000000004">
      <c r="A138" s="1235"/>
      <c r="B138" s="300"/>
      <c r="C138" s="1261">
        <v>44852</v>
      </c>
      <c r="D138" s="1452"/>
      <c r="E138" s="476"/>
      <c r="F138" s="6"/>
      <c r="G138" s="6"/>
      <c r="H138" s="1255"/>
      <c r="I138" s="828"/>
      <c r="J138" s="85"/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x14ac:dyDescent="0.4">
      <c r="A139" s="1235"/>
      <c r="B139" s="300"/>
      <c r="C139" s="1261">
        <v>44853</v>
      </c>
      <c r="D139" s="1452"/>
      <c r="E139" s="476"/>
      <c r="F139" s="6"/>
      <c r="G139" s="6"/>
      <c r="H139" s="186"/>
      <c r="I139" s="1591"/>
      <c r="J139" s="85"/>
      <c r="K139" s="1488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ht="16.5" thickBot="1" x14ac:dyDescent="0.6">
      <c r="A140" s="1235"/>
      <c r="B140" s="300"/>
      <c r="C140" s="1261">
        <v>44854</v>
      </c>
      <c r="D140" s="1451">
        <v>544647</v>
      </c>
      <c r="E140" s="210">
        <v>3198338</v>
      </c>
      <c r="F140" s="7">
        <v>461950</v>
      </c>
      <c r="G140" s="7">
        <v>45921619</v>
      </c>
      <c r="H140" s="755">
        <v>295095</v>
      </c>
      <c r="I140" s="755">
        <v>202490526</v>
      </c>
      <c r="J140" s="210">
        <v>774740</v>
      </c>
      <c r="K140" s="910">
        <v>13259743</v>
      </c>
      <c r="L140" s="1488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6.149999999999999" x14ac:dyDescent="0.55000000000000004">
      <c r="A141" s="1235"/>
      <c r="B141" s="300"/>
      <c r="C141" s="1261">
        <v>44855</v>
      </c>
      <c r="D141" s="1451"/>
      <c r="E141" s="210"/>
      <c r="F141" s="7"/>
      <c r="G141" s="7"/>
      <c r="H141" s="755"/>
      <c r="I141" s="755"/>
      <c r="J141" s="1593"/>
      <c r="K141" s="755"/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6.149999999999999" x14ac:dyDescent="0.55000000000000004">
      <c r="A142" s="1235"/>
      <c r="B142" s="300"/>
      <c r="C142" s="1261">
        <v>44856</v>
      </c>
      <c r="D142" s="1407"/>
      <c r="E142" s="33"/>
      <c r="F142" s="6"/>
      <c r="G142" s="6"/>
      <c r="H142" s="755"/>
      <c r="I142" s="755"/>
      <c r="J142" s="1593"/>
      <c r="K142" s="755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261">
        <v>44857</v>
      </c>
      <c r="D143" s="1407"/>
      <c r="E143" s="33"/>
      <c r="F143" s="6"/>
      <c r="G143" s="6"/>
      <c r="H143" s="31"/>
      <c r="I143" s="79"/>
      <c r="J143" s="1593"/>
      <c r="K143" s="1488"/>
      <c r="L143" s="1297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ht="16.5" thickBot="1" x14ac:dyDescent="0.6">
      <c r="A144" s="1235"/>
      <c r="B144" s="300"/>
      <c r="C144" s="1261">
        <v>44858</v>
      </c>
      <c r="D144" s="1454"/>
      <c r="E144" s="1243"/>
      <c r="F144" s="1246"/>
      <c r="G144" s="1246"/>
      <c r="H144" s="755"/>
      <c r="I144" s="824"/>
      <c r="J144" s="1595"/>
      <c r="K144" s="755"/>
      <c r="L144" s="1297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 s="172" customFormat="1" x14ac:dyDescent="0.4">
      <c r="A145" s="1235"/>
      <c r="B145" s="300"/>
      <c r="C145" s="1261">
        <v>44859</v>
      </c>
      <c r="D145" s="1407"/>
      <c r="E145" s="33"/>
      <c r="F145" s="6"/>
      <c r="G145" s="6"/>
      <c r="H145" s="31"/>
      <c r="I145" s="79"/>
      <c r="J145" s="1593"/>
      <c r="K145" s="1488"/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 x14ac:dyDescent="0.4">
      <c r="C146" s="1261">
        <v>44860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34" x14ac:dyDescent="0.4">
      <c r="C147" s="1261">
        <v>44861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34" x14ac:dyDescent="0.4">
      <c r="C148" s="1261">
        <v>44862</v>
      </c>
      <c r="D148" s="1407"/>
      <c r="E148" s="33"/>
      <c r="F148" s="6"/>
      <c r="G148" s="6"/>
      <c r="H148" s="31"/>
      <c r="I148" s="79"/>
      <c r="J148" s="85"/>
      <c r="K148" s="1488"/>
      <c r="L148" s="1297"/>
    </row>
    <row r="149" spans="1:34" x14ac:dyDescent="0.4">
      <c r="C149" s="1261">
        <v>44863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34" x14ac:dyDescent="0.4">
      <c r="C150" s="1261">
        <v>44864</v>
      </c>
      <c r="D150" s="1407"/>
      <c r="E150" s="33"/>
      <c r="F150" s="6"/>
      <c r="G150" s="6"/>
      <c r="H150" s="31"/>
      <c r="I150" s="79"/>
      <c r="J150" s="85"/>
      <c r="K150" s="1488"/>
    </row>
    <row r="151" spans="1:34" ht="16.149999999999999" x14ac:dyDescent="0.55000000000000004">
      <c r="C151" s="1261">
        <v>44865</v>
      </c>
      <c r="D151" s="1407"/>
      <c r="E151" s="33"/>
      <c r="F151" s="6"/>
      <c r="G151" s="6"/>
      <c r="H151" s="755"/>
      <c r="I151" s="755"/>
      <c r="J151" s="1462"/>
      <c r="K151" s="755"/>
    </row>
    <row r="152" spans="1:34" x14ac:dyDescent="0.4">
      <c r="D152" s="1462">
        <f>SUM(D121:D151)</f>
        <v>1104615</v>
      </c>
      <c r="E152" s="1462">
        <f>SUM(E121:E151)</f>
        <v>6550548</v>
      </c>
      <c r="F152" s="1462">
        <f>SUM(F121:F151)</f>
        <v>936577</v>
      </c>
      <c r="G152" s="1462">
        <f t="shared" ref="G152:L152" si="13">SUM(G121:G151)</f>
        <v>84405445</v>
      </c>
      <c r="H152" s="1462">
        <f>SUM(H121:H151)</f>
        <v>629536</v>
      </c>
      <c r="I152" s="1462">
        <f>SUM(I121:I151)</f>
        <v>408711528</v>
      </c>
      <c r="J152" s="1462">
        <f t="shared" si="13"/>
        <v>1534110</v>
      </c>
      <c r="K152" s="1462">
        <f>SUM(K121:K151)</f>
        <v>24540574</v>
      </c>
      <c r="L152" s="1462">
        <f t="shared" si="13"/>
        <v>535354</v>
      </c>
    </row>
    <row r="153" spans="1:34" ht="16.149999999999999" thickBot="1" x14ac:dyDescent="0.45">
      <c r="D153" s="1420"/>
      <c r="E153" s="1420"/>
      <c r="F153" s="1420"/>
      <c r="G153" s="1420"/>
      <c r="H153" s="824">
        <v>940121</v>
      </c>
      <c r="I153" s="824">
        <v>634293878</v>
      </c>
      <c r="K153" s="824">
        <v>40326026</v>
      </c>
    </row>
  </sheetData>
  <mergeCells count="86">
    <mergeCell ref="D83:E83"/>
    <mergeCell ref="F83:G83"/>
    <mergeCell ref="H83:I83"/>
    <mergeCell ref="D120:E120"/>
    <mergeCell ref="F120:G120"/>
    <mergeCell ref="H120:I120"/>
    <mergeCell ref="A50:A53"/>
    <mergeCell ref="B50:I50"/>
    <mergeCell ref="M50:M53"/>
    <mergeCell ref="N50:U50"/>
    <mergeCell ref="D51:D53"/>
    <mergeCell ref="E51:E53"/>
    <mergeCell ref="H51:H53"/>
    <mergeCell ref="N51:O51"/>
    <mergeCell ref="P51:P53"/>
    <mergeCell ref="Q51:Q53"/>
    <mergeCell ref="T51:T53"/>
    <mergeCell ref="N52:O52"/>
    <mergeCell ref="N53:O53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P48:P49"/>
    <mergeCell ref="Q48:Q49"/>
    <mergeCell ref="T48:T49"/>
    <mergeCell ref="R28:S28"/>
    <mergeCell ref="T28:U28"/>
    <mergeCell ref="A30:A37"/>
    <mergeCell ref="B30:I30"/>
    <mergeCell ref="M30:M38"/>
    <mergeCell ref="N30:U30"/>
    <mergeCell ref="B28:C29"/>
    <mergeCell ref="D28:E28"/>
    <mergeCell ref="F28:G28"/>
    <mergeCell ref="H28:I28"/>
    <mergeCell ref="N28:O29"/>
    <mergeCell ref="P28:Q28"/>
    <mergeCell ref="M18:M26"/>
    <mergeCell ref="O18:Q18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R18:U18"/>
    <mergeCell ref="A18:A26"/>
    <mergeCell ref="C18:E18"/>
    <mergeCell ref="F18:I18"/>
    <mergeCell ref="T3:U3"/>
    <mergeCell ref="A11:I11"/>
    <mergeCell ref="M11:U11"/>
    <mergeCell ref="B13:I13"/>
    <mergeCell ref="N13:U13"/>
    <mergeCell ref="P5:Q5"/>
    <mergeCell ref="M3:M5"/>
    <mergeCell ref="N3:N5"/>
    <mergeCell ref="P3:Q3"/>
    <mergeCell ref="R3:S3"/>
    <mergeCell ref="AC3:AH3"/>
    <mergeCell ref="A1:I1"/>
    <mergeCell ref="M1:U1"/>
    <mergeCell ref="A2:I2"/>
    <mergeCell ref="M2:U2"/>
    <mergeCell ref="AC2:AH2"/>
    <mergeCell ref="A3:A5"/>
    <mergeCell ref="B3:B5"/>
    <mergeCell ref="D3:E3"/>
    <mergeCell ref="F3:G3"/>
    <mergeCell ref="H3:I3"/>
    <mergeCell ref="H4:H5"/>
    <mergeCell ref="I4:I5"/>
    <mergeCell ref="T4:T5"/>
    <mergeCell ref="U4:U5"/>
    <mergeCell ref="D5:E5"/>
  </mergeCells>
  <pageMargins left="0.2" right="0.2" top="0.32" bottom="0.24" header="0.3" footer="0.3"/>
  <pageSetup paperSize="9" scale="20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E45DF-3BA7-4CB2-978D-DE9375F9668F}">
  <sheetPr>
    <tabColor theme="0"/>
  </sheetPr>
  <dimension ref="A1:AH153"/>
  <sheetViews>
    <sheetView workbookViewId="0">
      <selection activeCell="Q7" sqref="Q7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0.86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0" width="10.265625" style="5" customWidth="1"/>
    <col min="21" max="21" width="10.59765625" style="5" customWidth="1"/>
    <col min="22" max="22" width="9.1328125" style="5"/>
    <col min="23" max="23" width="12.3984375" style="5" bestFit="1" customWidth="1"/>
    <col min="24" max="24" width="13.3984375" style="172" customWidth="1"/>
    <col min="25" max="25" width="11.265625" style="5" bestFit="1" customWidth="1"/>
    <col min="26" max="26" width="10.265625" style="5" bestFit="1" customWidth="1"/>
    <col min="27" max="27" width="10.59765625" style="5" bestFit="1" customWidth="1"/>
    <col min="28" max="28" width="9.1328125" style="5"/>
    <col min="29" max="29" width="37.3984375" style="5" customWidth="1"/>
    <col min="30" max="30" width="16.59765625" style="5" customWidth="1"/>
    <col min="31" max="31" width="16.86328125" style="5" customWidth="1"/>
    <col min="32" max="32" width="17.59765625" style="5" customWidth="1"/>
    <col min="33" max="33" width="16.3984375" style="5" bestFit="1" customWidth="1"/>
    <col min="34" max="34" width="15.1328125" style="5" customWidth="1"/>
    <col min="35" max="16384" width="9.1328125" style="5"/>
  </cols>
  <sheetData>
    <row r="1" spans="1:34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327" t="s">
        <v>950</v>
      </c>
      <c r="N1" s="2327"/>
      <c r="O1" s="2327"/>
      <c r="P1" s="2327"/>
      <c r="Q1" s="2327"/>
      <c r="R1" s="2327"/>
      <c r="S1" s="2327"/>
      <c r="T1" s="2327"/>
      <c r="U1" s="2327"/>
    </row>
    <row r="2" spans="1:34" s="301" customFormat="1" ht="18" thickBot="1" x14ac:dyDescent="0.4">
      <c r="A2" s="2346" t="s">
        <v>949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524" t="s">
        <v>947</v>
      </c>
      <c r="N2" s="2525"/>
      <c r="O2" s="2525"/>
      <c r="P2" s="2525"/>
      <c r="Q2" s="2525"/>
      <c r="R2" s="2525"/>
      <c r="S2" s="2525"/>
      <c r="T2" s="2525"/>
      <c r="U2" s="2526"/>
      <c r="X2" s="1149"/>
      <c r="AC2" s="2326" t="s">
        <v>781</v>
      </c>
      <c r="AD2" s="2326"/>
      <c r="AE2" s="2326"/>
      <c r="AF2" s="2326"/>
      <c r="AG2" s="2326"/>
      <c r="AH2" s="2326"/>
    </row>
    <row r="3" spans="1:34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519" t="s">
        <v>757</v>
      </c>
      <c r="N3" s="2521" t="s">
        <v>353</v>
      </c>
      <c r="O3" s="1190" t="s">
        <v>10</v>
      </c>
      <c r="P3" s="2522" t="s">
        <v>8</v>
      </c>
      <c r="Q3" s="2523"/>
      <c r="R3" s="2522" t="s">
        <v>10</v>
      </c>
      <c r="S3" s="2523"/>
      <c r="T3" s="2514" t="s">
        <v>813</v>
      </c>
      <c r="U3" s="2515"/>
      <c r="AC3" s="2341" t="s">
        <v>854</v>
      </c>
      <c r="AD3" s="2341"/>
      <c r="AE3" s="2341"/>
      <c r="AF3" s="2341"/>
      <c r="AG3" s="2341"/>
      <c r="AH3" s="2341"/>
    </row>
    <row r="4" spans="1:34" s="35" customFormat="1" ht="21.75" customHeight="1" x14ac:dyDescent="0.35">
      <c r="A4" s="2360"/>
      <c r="B4" s="2343"/>
      <c r="C4" s="1516" t="s">
        <v>666</v>
      </c>
      <c r="D4" s="1424" t="s">
        <v>879</v>
      </c>
      <c r="E4" s="1445">
        <f>G4</f>
        <v>45170</v>
      </c>
      <c r="F4" s="422">
        <v>44825</v>
      </c>
      <c r="G4" s="422">
        <v>45170</v>
      </c>
      <c r="H4" s="2335" t="s">
        <v>12</v>
      </c>
      <c r="I4" s="2335" t="s">
        <v>13</v>
      </c>
      <c r="J4" s="323"/>
      <c r="K4" s="323"/>
      <c r="L4" s="1574"/>
      <c r="M4" s="2519"/>
      <c r="N4" s="1983"/>
      <c r="O4" s="1516" t="s">
        <v>666</v>
      </c>
      <c r="P4" s="272" t="s">
        <v>9</v>
      </c>
      <c r="Q4" s="1057">
        <f>E4</f>
        <v>45170</v>
      </c>
      <c r="R4" s="1057">
        <f>F4</f>
        <v>44825</v>
      </c>
      <c r="S4" s="1057">
        <f>G4</f>
        <v>45170</v>
      </c>
      <c r="T4" s="1980" t="s">
        <v>12</v>
      </c>
      <c r="U4" s="1980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</row>
    <row r="5" spans="1:34" ht="18.75" hidden="1" customHeight="1" x14ac:dyDescent="0.5">
      <c r="A5" s="2361"/>
      <c r="B5" s="2344"/>
      <c r="C5" s="1517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M5" s="2520"/>
      <c r="N5" s="1984"/>
      <c r="O5" s="1517"/>
      <c r="P5" s="1970" t="s">
        <v>249</v>
      </c>
      <c r="Q5" s="1972"/>
      <c r="R5" s="29" t="s">
        <v>249</v>
      </c>
      <c r="S5" s="29" t="s">
        <v>438</v>
      </c>
      <c r="T5" s="1981"/>
      <c r="U5" s="1981"/>
      <c r="AC5" s="6"/>
      <c r="AD5" s="6"/>
      <c r="AE5" s="1363"/>
      <c r="AF5" s="1366"/>
      <c r="AG5" s="602" t="s">
        <v>249</v>
      </c>
      <c r="AH5" s="602" t="s">
        <v>438</v>
      </c>
    </row>
    <row r="6" spans="1:34" ht="30" customHeight="1" x14ac:dyDescent="0.35">
      <c r="A6" s="1229">
        <v>1</v>
      </c>
      <c r="B6" s="1191" t="s">
        <v>290</v>
      </c>
      <c r="C6" s="1518">
        <v>1024.2159494</v>
      </c>
      <c r="D6" s="1425">
        <v>1063.73</v>
      </c>
      <c r="E6" s="1446">
        <f>E15+E16</f>
        <v>9.8738709677419347</v>
      </c>
      <c r="F6" s="434">
        <f>F15+F16+F17</f>
        <v>72.613707000000005</v>
      </c>
      <c r="G6" s="434">
        <f>G15+G16+G17</f>
        <v>75.076899800000007</v>
      </c>
      <c r="H6" s="1313">
        <f>(G6-E6)/E6*100</f>
        <v>660.35933673102693</v>
      </c>
      <c r="I6" s="517">
        <f>(G6-F6)/F6*100</f>
        <v>3.3921870976784056</v>
      </c>
      <c r="M6" s="1657">
        <v>1</v>
      </c>
      <c r="N6" s="1658" t="s">
        <v>290</v>
      </c>
      <c r="O6" s="1518">
        <v>1024.2159494</v>
      </c>
      <c r="P6" s="1659">
        <v>1063.73</v>
      </c>
      <c r="Q6" s="1660">
        <f>Q15+Q16</f>
        <v>425.28387096774196</v>
      </c>
      <c r="R6" s="1661">
        <f>R15+R16+R17</f>
        <v>473.17191700000006</v>
      </c>
      <c r="S6" s="1661">
        <f>S15+S16+S17</f>
        <v>570.69693010000003</v>
      </c>
      <c r="T6" s="1662">
        <f>(S6-Q6)/Q6*100</f>
        <v>34.191999522899316</v>
      </c>
      <c r="U6" s="1662">
        <f>(S6-R6)/R6*100</f>
        <v>20.610904746487723</v>
      </c>
      <c r="V6" s="12">
        <f>(S6-P6)/P6*100</f>
        <v>-46.349456149586828</v>
      </c>
      <c r="W6" s="11">
        <f>(S6-P6)/P6*100</f>
        <v>-46.349456149586828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</row>
    <row r="7" spans="1:34" ht="26.25" customHeight="1" x14ac:dyDescent="0.35">
      <c r="A7" s="1230">
        <v>2</v>
      </c>
      <c r="B7" s="1154" t="s">
        <v>291</v>
      </c>
      <c r="C7" s="1518">
        <v>403.10200000000003</v>
      </c>
      <c r="D7" s="1425">
        <v>485.81999999999994</v>
      </c>
      <c r="E7" s="1446">
        <f>'TARGET 23-24'!T5</f>
        <v>3.5119354838709675</v>
      </c>
      <c r="F7" s="434">
        <f>F20+F21+F22+F23+F24+F25+F26</f>
        <v>27.84</v>
      </c>
      <c r="G7" s="434">
        <f>G20+G21+G22+G23+G24+G25+G26</f>
        <v>28.93</v>
      </c>
      <c r="H7" s="1313">
        <f>(G7-E7)/E7*100</f>
        <v>723.76228529438777</v>
      </c>
      <c r="I7" s="517">
        <f>(G7-F7)/F7*100</f>
        <v>3.9152298850574709</v>
      </c>
      <c r="M7" s="780">
        <v>2</v>
      </c>
      <c r="N7" s="1663" t="s">
        <v>291</v>
      </c>
      <c r="O7" s="1664">
        <v>403.10200000000003</v>
      </c>
      <c r="P7" s="1659">
        <v>485.81999999999994</v>
      </c>
      <c r="Q7" s="1660">
        <f>E7+'AUGUST -23'!Q7</f>
        <v>201.78193548387097</v>
      </c>
      <c r="R7" s="1661">
        <f>R20+R21+R22+R23+R24+R25+R26</f>
        <v>203.12130659999997</v>
      </c>
      <c r="S7" s="1661">
        <f>S20+S21+S22+S23+S24+S25+S26</f>
        <v>214.08</v>
      </c>
      <c r="T7" s="1662">
        <f>(S7-Q7)/Q7*100</f>
        <v>6.0947301782185885</v>
      </c>
      <c r="U7" s="1662">
        <f>(S7-R7)/R7*100</f>
        <v>5.3951471578413157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</row>
    <row r="8" spans="1:34" ht="32.25" customHeight="1" x14ac:dyDescent="0.35">
      <c r="A8" s="1231">
        <v>3</v>
      </c>
      <c r="B8" s="1155" t="s">
        <v>292</v>
      </c>
      <c r="C8" s="1518">
        <v>106.68749520000001</v>
      </c>
      <c r="D8" s="1425">
        <v>150.59</v>
      </c>
      <c r="E8" s="1446">
        <f>'TARGET 23-24'!U5</f>
        <v>0.93967741935483873</v>
      </c>
      <c r="F8" s="1314">
        <f>F31+F32+F33+F35+F36+F37+F38</f>
        <v>6.3894415000000002</v>
      </c>
      <c r="G8" s="1314">
        <f>G31+G32+G33+G35+G36+G37+G38</f>
        <v>9.4734756999999998</v>
      </c>
      <c r="H8" s="1313">
        <f>(G8-E8)/E8*100</f>
        <v>908.16253587366975</v>
      </c>
      <c r="I8" s="517">
        <f>(G8-F8)/F8*100</f>
        <v>48.267664709035984</v>
      </c>
      <c r="M8" s="1665">
        <v>3</v>
      </c>
      <c r="N8" s="1666" t="s">
        <v>292</v>
      </c>
      <c r="O8" s="1667">
        <v>106.68749520000001</v>
      </c>
      <c r="P8" s="1659">
        <v>150.59</v>
      </c>
      <c r="Q8" s="1660">
        <f>E8+'AUGUST -23'!Q8</f>
        <v>66.729677419354843</v>
      </c>
      <c r="R8" s="1668">
        <f>R31+R32+R33+R35+R36+R37+R38</f>
        <v>53.148574499999995</v>
      </c>
      <c r="S8" s="1668">
        <f>S31+S32+S33+S35+S36+S37+S38</f>
        <v>58.101682855999996</v>
      </c>
      <c r="T8" s="1662">
        <f>(S8-Q8)/Q8*100</f>
        <v>-12.929771125871364</v>
      </c>
      <c r="U8" s="1662">
        <f>(S8-R8)/R8*100</f>
        <v>9.3193625654061556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</row>
    <row r="9" spans="1:34" ht="34.5" customHeight="1" x14ac:dyDescent="0.35">
      <c r="A9" s="1230">
        <v>4</v>
      </c>
      <c r="B9" s="1156" t="s">
        <v>293</v>
      </c>
      <c r="C9" s="1518">
        <v>17.701250099999996</v>
      </c>
      <c r="D9" s="1425">
        <f>D40+D41+D42</f>
        <v>19.149999999999999</v>
      </c>
      <c r="E9" s="1425">
        <v>1.595</v>
      </c>
      <c r="F9" s="434">
        <f>F40+F41+F42+F44+F45</f>
        <v>1.2659050999999999</v>
      </c>
      <c r="G9" s="434">
        <f>G40+G41+G42+G44+G45</f>
        <v>1.8576106000000001</v>
      </c>
      <c r="H9" s="1313">
        <f>(G9-E9)/E9*100</f>
        <v>16.464614420062702</v>
      </c>
      <c r="I9" s="517">
        <f>(G9-F9)/F9*100</f>
        <v>46.741694934320137</v>
      </c>
      <c r="M9" s="780">
        <v>4</v>
      </c>
      <c r="N9" s="1669" t="s">
        <v>293</v>
      </c>
      <c r="O9" s="1518">
        <v>17.701250099999996</v>
      </c>
      <c r="P9" s="1659">
        <f>P40+P41+P42</f>
        <v>19.149999999999999</v>
      </c>
      <c r="Q9" s="1659">
        <f>Q40+Q41+Q42</f>
        <v>7.9749999999999996</v>
      </c>
      <c r="R9" s="1661">
        <f>R40+R41+R42+R44+R45</f>
        <v>4.4235959000000005</v>
      </c>
      <c r="S9" s="1661">
        <f>S40+S41+S42+S44+S45</f>
        <v>8.0393597999999997</v>
      </c>
      <c r="T9" s="1662">
        <f>(S9-Q9)/Q9*100</f>
        <v>0.80701943573667811</v>
      </c>
      <c r="U9" s="1662">
        <f>(S9-R9)/R9*100</f>
        <v>81.7381149123499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</row>
    <row r="10" spans="1:34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1719.29</v>
      </c>
      <c r="E10" s="1447">
        <f>E6+E7+E8+E9</f>
        <v>15.920483870967741</v>
      </c>
      <c r="F10" s="321">
        <f>SUM(F6:F9)</f>
        <v>108.10905360000001</v>
      </c>
      <c r="G10" s="321">
        <f>SUM(G6:G9)</f>
        <v>115.33798610000001</v>
      </c>
      <c r="H10" s="1162">
        <f>(G10-E10)/E10*100</f>
        <v>624.46281805748333</v>
      </c>
      <c r="I10" s="322">
        <f>(G10-F10)/F10*100</f>
        <v>6.6867040819234393</v>
      </c>
      <c r="M10" s="1665">
        <v>5</v>
      </c>
      <c r="N10" s="1658" t="s">
        <v>294</v>
      </c>
      <c r="O10" s="1518">
        <v>1551.7066947000001</v>
      </c>
      <c r="P10" s="1670">
        <f t="shared" ref="P10" si="0">P6+P7+P8+P9</f>
        <v>1719.29</v>
      </c>
      <c r="Q10" s="1670">
        <f>Q6+Q7+Q8+Q9</f>
        <v>701.77048387096784</v>
      </c>
      <c r="R10" s="1670">
        <f>R6+R7+R8+R9</f>
        <v>733.86539400000004</v>
      </c>
      <c r="S10" s="1670">
        <f>S6+S7+S8+S9</f>
        <v>850.91797275600015</v>
      </c>
      <c r="T10" s="1671">
        <f>(S10-Q10)/Q10*100</f>
        <v>21.253029631901072</v>
      </c>
      <c r="U10" s="1671">
        <f>(S10-R10)/R10*100</f>
        <v>15.950142861757577</v>
      </c>
      <c r="X10" s="12">
        <f>SUM(X6:X9)</f>
        <v>389.94179218299996</v>
      </c>
      <c r="Y10" s="12">
        <f>SUM(Y6:Y9)</f>
        <v>752.12112639999998</v>
      </c>
      <c r="Z10" s="12">
        <f>S10-Y10</f>
        <v>98.796846356000174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</row>
    <row r="11" spans="1:34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</row>
    <row r="12" spans="1:34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312">
        <f>E47+E48</f>
        <v>0.49645161290322581</v>
      </c>
      <c r="F12" s="1294">
        <f>F47+F48+F49</f>
        <v>3.4592320000000001</v>
      </c>
      <c r="G12" s="1294">
        <f>G47+G48+G49</f>
        <v>3.7585569999999997</v>
      </c>
      <c r="H12" s="1534">
        <f>(G12-E12)/E12*100</f>
        <v>657.0842560103963</v>
      </c>
      <c r="I12" s="308">
        <f>(G12-F12)/F12*100</f>
        <v>8.6529322115428986</v>
      </c>
      <c r="L12" s="1476"/>
      <c r="M12" s="780">
        <v>6.3</v>
      </c>
      <c r="N12" s="1293" t="s">
        <v>778</v>
      </c>
      <c r="O12" s="1518">
        <v>47.027382000000003</v>
      </c>
      <c r="P12" s="272">
        <v>55.06</v>
      </c>
      <c r="Q12" s="265">
        <f>Q47+Q48</f>
        <v>20.106451612903225</v>
      </c>
      <c r="R12" s="1672">
        <f>R47+R48+R49</f>
        <v>20.236933999999998</v>
      </c>
      <c r="S12" s="1672">
        <f>S47+S48+S49</f>
        <v>26.917634</v>
      </c>
      <c r="T12" s="1662">
        <f>(S12-Q12)/Q12*100</f>
        <v>33.875606289106372</v>
      </c>
      <c r="U12" s="1673">
        <f>(S12-R12)/R12*100</f>
        <v>33.012411860413252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</row>
    <row r="13" spans="1:34" s="1310" customFormat="1" ht="13.5" customHeight="1" x14ac:dyDescent="0.35">
      <c r="A13" s="1309"/>
      <c r="B13" s="2352" t="s">
        <v>229</v>
      </c>
      <c r="C13" s="2353"/>
      <c r="D13" s="2353"/>
      <c r="E13" s="2353"/>
      <c r="F13" s="2353"/>
      <c r="G13" s="2353"/>
      <c r="H13" s="2353"/>
      <c r="I13" s="2354"/>
      <c r="L13" s="1311"/>
      <c r="M13" s="1235"/>
      <c r="N13" s="2516" t="s">
        <v>229</v>
      </c>
      <c r="O13" s="2517"/>
      <c r="P13" s="2517"/>
      <c r="Q13" s="2517"/>
      <c r="R13" s="2517"/>
      <c r="S13" s="2517"/>
      <c r="T13" s="2517"/>
      <c r="U13" s="2518"/>
      <c r="X13" s="1311"/>
    </row>
    <row r="14" spans="1:34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1982">
        <v>1</v>
      </c>
      <c r="N14" s="2498" t="s">
        <v>278</v>
      </c>
      <c r="O14" s="2499"/>
      <c r="P14" s="2499"/>
      <c r="Q14" s="2499"/>
      <c r="R14" s="2499"/>
      <c r="S14" s="2499"/>
      <c r="T14" s="2499"/>
      <c r="U14" s="2500"/>
    </row>
    <row r="15" spans="1:34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f>'TARGET 23-24'!Q5</f>
        <v>0.11612903225806452</v>
      </c>
      <c r="F15" s="315">
        <f>E60</f>
        <v>0.84600010000000003</v>
      </c>
      <c r="G15" s="315">
        <f>F60</f>
        <v>0.93734980000000001</v>
      </c>
      <c r="H15" s="316">
        <f>(G15-E15)/E15*100</f>
        <v>707.1623277777777</v>
      </c>
      <c r="I15" s="314">
        <f>(G15-F15)/F15*100</f>
        <v>10.797835603092715</v>
      </c>
      <c r="J15" s="1128">
        <f>373857/10000000</f>
        <v>3.7385700000000001E-2</v>
      </c>
      <c r="L15" s="1476"/>
      <c r="M15" s="1983"/>
      <c r="N15" s="1490" t="s">
        <v>816</v>
      </c>
      <c r="O15" s="1519">
        <v>11.460276500000001</v>
      </c>
      <c r="P15" s="1674">
        <v>12.6</v>
      </c>
      <c r="Q15" s="265">
        <f>E15+'AUGUST -23'!Q15</f>
        <v>4.806129032258065</v>
      </c>
      <c r="R15" s="264">
        <f>F15+'AUGUST -23'!R15</f>
        <v>5.1352296000000006</v>
      </c>
      <c r="S15" s="264">
        <f>G15+'AUGUST -23'!S15</f>
        <v>6.9083452999999997</v>
      </c>
      <c r="T15" s="492">
        <f>(S15-Q15)/Q15*100</f>
        <v>43.740321028256915</v>
      </c>
      <c r="U15" s="79">
        <f>(S15-R15)/R15*100</f>
        <v>34.528460032244688</v>
      </c>
      <c r="V15" s="5">
        <f>S15/153</f>
        <v>4.5152583660130717E-2</v>
      </c>
      <c r="Y15" s="12">
        <f>R16+R17</f>
        <v>468.03668740000006</v>
      </c>
      <c r="Z15" s="12">
        <f>S16+S17</f>
        <v>563.78858480000008</v>
      </c>
      <c r="AA15" s="5">
        <f>(Z15-Y15)/Y15*100</f>
        <v>20.458203379720786</v>
      </c>
    </row>
    <row r="16" spans="1:34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f>'TARGET 23-24'!R5</f>
        <v>9.757741935483871</v>
      </c>
      <c r="F16" s="315">
        <v>10.65</v>
      </c>
      <c r="G16" s="315">
        <v>10.65</v>
      </c>
      <c r="H16" s="2154">
        <f>L16</f>
        <v>659.80232404377</v>
      </c>
      <c r="I16" s="314">
        <f>(G16-F16)/F16*100</f>
        <v>0</v>
      </c>
      <c r="J16" s="323">
        <f>F16+F17</f>
        <v>71.767706900000007</v>
      </c>
      <c r="K16" s="323">
        <f>G16+G17</f>
        <v>74.13955</v>
      </c>
      <c r="L16" s="1476">
        <f>(K16-E16)/E16*100</f>
        <v>659.80232404377</v>
      </c>
      <c r="M16" s="1983"/>
      <c r="N16" s="1675" t="s">
        <v>817</v>
      </c>
      <c r="O16" s="1519">
        <v>126.72018780000001</v>
      </c>
      <c r="P16" s="2510">
        <v>1051.1300000000001</v>
      </c>
      <c r="Q16" s="2507">
        <f>E16+'AUGUST -23'!Q16</f>
        <v>420.47774193548389</v>
      </c>
      <c r="R16" s="264">
        <f>F16+'AUGUST -23'!R16</f>
        <v>37.693785599999998</v>
      </c>
      <c r="S16" s="264">
        <f>G16+'AUGUST -23'!S16</f>
        <v>93.743882800000009</v>
      </c>
      <c r="T16" s="2512">
        <f>X16</f>
        <v>34.082860653895239</v>
      </c>
      <c r="U16" s="79">
        <f>(S16-R16)/R16*100</f>
        <v>148.69850907201004</v>
      </c>
      <c r="V16" s="5">
        <f t="shared" ref="V16:V17" si="1">S16/153</f>
        <v>0.61270511633986935</v>
      </c>
      <c r="W16" s="12">
        <f>S16+S17</f>
        <v>563.78858480000008</v>
      </c>
      <c r="X16" s="172">
        <f>(W16-Q16)/Q16*100</f>
        <v>34.082860653895239</v>
      </c>
    </row>
    <row r="17" spans="1:26" ht="15.4" x14ac:dyDescent="0.4">
      <c r="A17" s="2375"/>
      <c r="B17" s="320" t="s">
        <v>931</v>
      </c>
      <c r="C17" s="1519">
        <v>886.03548510000007</v>
      </c>
      <c r="D17" s="2380"/>
      <c r="E17" s="2066"/>
      <c r="F17" s="315">
        <f t="shared" ref="F17:G17" si="2">E62</f>
        <v>61.117706900000002</v>
      </c>
      <c r="G17" s="315">
        <f t="shared" si="2"/>
        <v>63.489550000000001</v>
      </c>
      <c r="H17" s="2155"/>
      <c r="I17" s="314">
        <f>(G17-F17)/F17*100</f>
        <v>3.8807789432950726</v>
      </c>
      <c r="J17" s="323">
        <f>114680295/10000000</f>
        <v>11.4680295</v>
      </c>
      <c r="L17" s="1476"/>
      <c r="M17" s="1984"/>
      <c r="N17" s="1677" t="s">
        <v>931</v>
      </c>
      <c r="O17" s="1519">
        <v>886.03548510000007</v>
      </c>
      <c r="P17" s="2511"/>
      <c r="Q17" s="2508"/>
      <c r="R17" s="264">
        <f>F17+'AUGUST -23'!R17</f>
        <v>430.34290180000005</v>
      </c>
      <c r="S17" s="264">
        <f>G17+'AUGUST -23'!S17</f>
        <v>470.04470200000003</v>
      </c>
      <c r="T17" s="2513"/>
      <c r="U17" s="79">
        <f>(S17-R17)/R17*100</f>
        <v>9.2256198566163903</v>
      </c>
      <c r="V17" s="5">
        <f t="shared" si="1"/>
        <v>3.072187594771242</v>
      </c>
    </row>
    <row r="18" spans="1:26" ht="13.9" x14ac:dyDescent="0.35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L18" s="1476"/>
      <c r="M18" s="1982">
        <v>2</v>
      </c>
      <c r="N18" s="1666" t="s">
        <v>678</v>
      </c>
      <c r="O18" s="2364" t="s">
        <v>680</v>
      </c>
      <c r="P18" s="2364"/>
      <c r="Q18" s="2364"/>
      <c r="R18" s="2365" t="s">
        <v>684</v>
      </c>
      <c r="S18" s="2366"/>
      <c r="T18" s="2366"/>
      <c r="U18" s="2367"/>
    </row>
    <row r="19" spans="1:26" ht="13.9" x14ac:dyDescent="0.35">
      <c r="A19" s="1983"/>
      <c r="B19" s="1531" t="s">
        <v>230</v>
      </c>
      <c r="C19" s="1532">
        <f>F19</f>
        <v>44825</v>
      </c>
      <c r="D19" s="1532">
        <f>G19</f>
        <v>45170</v>
      </c>
      <c r="E19" s="1531" t="s">
        <v>681</v>
      </c>
      <c r="F19" s="1532">
        <f>F4</f>
        <v>44825</v>
      </c>
      <c r="G19" s="1532">
        <f>G4</f>
        <v>45170</v>
      </c>
      <c r="H19" s="1528" t="s">
        <v>682</v>
      </c>
      <c r="I19" s="1530" t="s">
        <v>681</v>
      </c>
      <c r="L19" s="1476"/>
      <c r="M19" s="1983"/>
      <c r="N19" s="1531" t="s">
        <v>230</v>
      </c>
      <c r="O19" s="1532">
        <f>R4</f>
        <v>44825</v>
      </c>
      <c r="P19" s="1532">
        <f>S4</f>
        <v>45170</v>
      </c>
      <c r="Q19" s="1531" t="s">
        <v>681</v>
      </c>
      <c r="R19" s="1532">
        <f>R4</f>
        <v>44825</v>
      </c>
      <c r="S19" s="1532">
        <f>S4</f>
        <v>45170</v>
      </c>
      <c r="T19" s="1528" t="s">
        <v>682</v>
      </c>
      <c r="U19" s="1530" t="s">
        <v>681</v>
      </c>
    </row>
    <row r="20" spans="1:26" ht="18.75" customHeight="1" x14ac:dyDescent="0.4">
      <c r="A20" s="1983"/>
      <c r="B20" s="1055" t="s">
        <v>231</v>
      </c>
      <c r="C20" s="85">
        <v>51788</v>
      </c>
      <c r="D20" s="1409">
        <v>38776</v>
      </c>
      <c r="E20" s="314">
        <f>(D20-C20)/C20*100</f>
        <v>-25.125511701552483</v>
      </c>
      <c r="F20" s="315">
        <v>10.48</v>
      </c>
      <c r="G20" s="315">
        <v>9.98</v>
      </c>
      <c r="H20" s="1060">
        <f>G20/G7*100</f>
        <v>34.497061873487731</v>
      </c>
      <c r="I20" s="314">
        <f>(G20-F20)/F20*100</f>
        <v>-4.7709923664122131</v>
      </c>
      <c r="L20" s="1476"/>
      <c r="M20" s="1983"/>
      <c r="N20" s="1598" t="s">
        <v>231</v>
      </c>
      <c r="O20" s="476">
        <f>'AUGUST -23'!O20+'SEP-23'!C20</f>
        <v>597069</v>
      </c>
      <c r="P20" s="476">
        <f>'AUGUST -23'!P20+'SEP-23'!D20</f>
        <v>319245</v>
      </c>
      <c r="Q20" s="79">
        <f>(P20-O20)/O20*100</f>
        <v>-46.531305427010949</v>
      </c>
      <c r="R20" s="264">
        <f>'AUGUST -23'!R20+'SEP-23'!F20</f>
        <v>105.433211</v>
      </c>
      <c r="S20" s="264">
        <f>'AUGUST -23'!S20+'SEP-23'!G20</f>
        <v>87.11</v>
      </c>
      <c r="T20" s="1678">
        <f>S20/S7*100</f>
        <v>40.69039611360239</v>
      </c>
      <c r="U20" s="79">
        <f>(S20-R20)/R20*100</f>
        <v>-17.378974638266495</v>
      </c>
    </row>
    <row r="21" spans="1:26" ht="18.75" customHeight="1" x14ac:dyDescent="0.4">
      <c r="A21" s="1983"/>
      <c r="B21" s="1055" t="s">
        <v>232</v>
      </c>
      <c r="C21" s="85">
        <v>80996</v>
      </c>
      <c r="D21" s="1410">
        <v>74609</v>
      </c>
      <c r="E21" s="314">
        <f>(D21-C21)/C21*100</f>
        <v>-7.8855745962763599</v>
      </c>
      <c r="F21" s="315">
        <v>10.91</v>
      </c>
      <c r="G21" s="315">
        <v>8.83</v>
      </c>
      <c r="H21" s="1060">
        <f>G21/G7*100</f>
        <v>30.521949533356381</v>
      </c>
      <c r="I21" s="314">
        <f>(G21-F21)/F21*100</f>
        <v>-19.065077910174153</v>
      </c>
      <c r="L21" s="1476"/>
      <c r="M21" s="1983"/>
      <c r="N21" s="1598" t="s">
        <v>232</v>
      </c>
      <c r="O21" s="476">
        <f>'AUGUST -23'!O21+'SEP-23'!C21</f>
        <v>507739</v>
      </c>
      <c r="P21" s="476">
        <f>'AUGUST -23'!P21+'SEP-23'!D21</f>
        <v>485176.3</v>
      </c>
      <c r="Q21" s="79">
        <f>(P21-O21)/O21*100</f>
        <v>-4.4437594906044273</v>
      </c>
      <c r="R21" s="264">
        <f>'AUGUST -23'!R21+'SEP-23'!F21</f>
        <v>44.367490199999992</v>
      </c>
      <c r="S21" s="264">
        <f>'AUGUST -23'!S21+'SEP-23'!G21</f>
        <v>51.120000000000005</v>
      </c>
      <c r="T21" s="1678">
        <f>S21/S7*100</f>
        <v>23.878923766816143</v>
      </c>
      <c r="U21" s="79">
        <f>(S21-R21)/R21*100</f>
        <v>15.219499163826972</v>
      </c>
      <c r="W21" s="5">
        <v>2.17</v>
      </c>
      <c r="X21" s="172">
        <v>2.95</v>
      </c>
      <c r="Y21" s="5">
        <f>(X21-W21)/W21*100</f>
        <v>35.944700460829502</v>
      </c>
    </row>
    <row r="22" spans="1:26" ht="18.75" customHeight="1" x14ac:dyDescent="0.4">
      <c r="A22" s="1983"/>
      <c r="B22" s="1055" t="s">
        <v>239</v>
      </c>
      <c r="C22" s="85">
        <v>46509</v>
      </c>
      <c r="D22" s="1410">
        <v>63441</v>
      </c>
      <c r="E22" s="314">
        <f>(D22-C22)/C22*100</f>
        <v>36.405856930916599</v>
      </c>
      <c r="F22" s="315">
        <v>5.62</v>
      </c>
      <c r="G22" s="315">
        <v>9.4700000000000006</v>
      </c>
      <c r="H22" s="1060">
        <f>G22/G7*100</f>
        <v>32.734185966125132</v>
      </c>
      <c r="I22" s="314">
        <f>(G22-F22)/F22*100</f>
        <v>68.505338078291828</v>
      </c>
      <c r="J22" s="1486"/>
      <c r="L22" s="1476"/>
      <c r="M22" s="1983"/>
      <c r="N22" s="1598" t="s">
        <v>239</v>
      </c>
      <c r="O22" s="476">
        <f>'AUGUST -23'!O22+'SEP-23'!C22</f>
        <v>401499</v>
      </c>
      <c r="P22" s="476">
        <f>'AUGUST -23'!P22+'SEP-23'!D22</f>
        <v>464799</v>
      </c>
      <c r="Q22" s="79">
        <f>(P22-O22)/O22*100</f>
        <v>15.765917225198569</v>
      </c>
      <c r="R22" s="264">
        <f>'AUGUST -23'!R22+'SEP-23'!F22</f>
        <v>47.823634599999998</v>
      </c>
      <c r="S22" s="264">
        <f>'AUGUST -23'!S22+'SEP-23'!G22</f>
        <v>70.489999999999995</v>
      </c>
      <c r="T22" s="1678">
        <f>S22/S7*100</f>
        <v>32.926943198804182</v>
      </c>
      <c r="U22" s="79">
        <f>(S22-R22)/R22*100</f>
        <v>47.395739762531555</v>
      </c>
    </row>
    <row r="23" spans="1:26" ht="18.75" customHeight="1" x14ac:dyDescent="0.4">
      <c r="A23" s="1983"/>
      <c r="B23" s="1055" t="s">
        <v>233</v>
      </c>
      <c r="C23" s="85">
        <v>24232</v>
      </c>
      <c r="D23" s="1410">
        <v>19282</v>
      </c>
      <c r="E23" s="314">
        <f>(D23-C23)/C23*100</f>
        <v>-20.427533839551007</v>
      </c>
      <c r="F23" s="315">
        <v>0.83</v>
      </c>
      <c r="G23" s="315">
        <v>0.65</v>
      </c>
      <c r="H23" s="1060">
        <f>G23/G7*100</f>
        <v>2.2468026270307639</v>
      </c>
      <c r="I23" s="314">
        <f>(G23-F23)/F23*100</f>
        <v>-21.686746987951803</v>
      </c>
      <c r="J23" s="1486"/>
      <c r="L23" s="1476"/>
      <c r="M23" s="1983"/>
      <c r="N23" s="1598" t="s">
        <v>233</v>
      </c>
      <c r="O23" s="476">
        <f>'AUGUST -23'!O23+'SEP-23'!C23</f>
        <v>147255</v>
      </c>
      <c r="P23" s="476">
        <f>'AUGUST -23'!P23+'SEP-23'!D23</f>
        <v>143535</v>
      </c>
      <c r="Q23" s="79">
        <f>(P23-O23)/O23*100</f>
        <v>-2.5262300091677701</v>
      </c>
      <c r="R23" s="264">
        <f>'AUGUST -23'!R23+'SEP-23'!F23</f>
        <v>5.1590007999999994</v>
      </c>
      <c r="S23" s="264">
        <f>'AUGUST -23'!S23+'SEP-23'!G23</f>
        <v>5.2</v>
      </c>
      <c r="T23" s="1678">
        <f>S23/S7*100</f>
        <v>2.4289985052316889</v>
      </c>
      <c r="U23" s="79">
        <f>(S23-R23)/R23*100</f>
        <v>0.7947120302830889</v>
      </c>
      <c r="Z23" s="5">
        <f>25.63+0.96</f>
        <v>26.59</v>
      </c>
    </row>
    <row r="24" spans="1:26" ht="18.75" customHeight="1" x14ac:dyDescent="0.4">
      <c r="A24" s="1983"/>
      <c r="B24" s="1055" t="s">
        <v>739</v>
      </c>
      <c r="C24" s="85">
        <v>0</v>
      </c>
      <c r="D24" s="1409">
        <v>0</v>
      </c>
      <c r="E24" s="836">
        <v>0</v>
      </c>
      <c r="F24" s="833">
        <v>0</v>
      </c>
      <c r="G24" s="833">
        <v>0</v>
      </c>
      <c r="H24" s="1651">
        <f>G24/G7*100</f>
        <v>0</v>
      </c>
      <c r="I24" s="836">
        <v>0</v>
      </c>
      <c r="L24" s="1476"/>
      <c r="M24" s="1983"/>
      <c r="N24" s="1598" t="s">
        <v>739</v>
      </c>
      <c r="O24" s="476">
        <f>'AUGUST -23'!O24+'SEP-23'!C24</f>
        <v>2661</v>
      </c>
      <c r="P24" s="476">
        <f>'AUGUST -23'!P24+'SEP-23'!D24</f>
        <v>0</v>
      </c>
      <c r="Q24" s="210">
        <v>0</v>
      </c>
      <c r="R24" s="264">
        <f>'AUGUST -23'!R24+'SEP-23'!F24</f>
        <v>4.1799999999999997E-2</v>
      </c>
      <c r="S24" s="264">
        <f>'AUGUST -23'!S24+'SEP-23'!G24</f>
        <v>0</v>
      </c>
      <c r="T24" s="1678">
        <f>S24/S7*100</f>
        <v>0</v>
      </c>
      <c r="U24" s="79">
        <v>0</v>
      </c>
    </row>
    <row r="25" spans="1:26" ht="18.75" customHeight="1" x14ac:dyDescent="0.4">
      <c r="A25" s="1983"/>
      <c r="B25" s="1055" t="s">
        <v>235</v>
      </c>
      <c r="C25" s="85">
        <v>0</v>
      </c>
      <c r="D25" s="1409">
        <v>0</v>
      </c>
      <c r="E25" s="836">
        <v>0</v>
      </c>
      <c r="F25" s="833">
        <v>0</v>
      </c>
      <c r="G25" s="833">
        <v>0</v>
      </c>
      <c r="H25" s="1651">
        <f>G25/G7*100</f>
        <v>0</v>
      </c>
      <c r="I25" s="836">
        <v>0</v>
      </c>
      <c r="L25" s="1476"/>
      <c r="M25" s="1983"/>
      <c r="N25" s="1598" t="s">
        <v>235</v>
      </c>
      <c r="O25" s="476">
        <f>'AUGUST -23'!O25+'SEP-23'!C25</f>
        <v>0</v>
      </c>
      <c r="P25" s="476">
        <f>'AUGUST -23'!P25+'SEP-23'!D25</f>
        <v>0</v>
      </c>
      <c r="Q25" s="210">
        <v>0</v>
      </c>
      <c r="R25" s="264">
        <f>'AUGUST -23'!R25+'SEP-23'!F25</f>
        <v>0</v>
      </c>
      <c r="S25" s="264">
        <f>'AUGUST -23'!S25+'SEP-23'!G25</f>
        <v>0</v>
      </c>
      <c r="T25" s="1678">
        <f>S25/S7*100</f>
        <v>0</v>
      </c>
      <c r="U25" s="79">
        <v>0</v>
      </c>
    </row>
    <row r="26" spans="1:26" ht="15.75" x14ac:dyDescent="0.4">
      <c r="A26" s="1984"/>
      <c r="B26" s="1056" t="s">
        <v>693</v>
      </c>
      <c r="C26" s="1520">
        <v>0</v>
      </c>
      <c r="D26" s="1411">
        <v>0</v>
      </c>
      <c r="E26" s="836">
        <v>0</v>
      </c>
      <c r="F26" s="833">
        <v>0</v>
      </c>
      <c r="G26" s="833">
        <v>0</v>
      </c>
      <c r="H26" s="1060" t="s">
        <v>221</v>
      </c>
      <c r="I26" s="314" t="s">
        <v>221</v>
      </c>
      <c r="L26" s="1476"/>
      <c r="M26" s="1984"/>
      <c r="N26" s="1679" t="s">
        <v>693</v>
      </c>
      <c r="O26" s="476">
        <f>'AUGUST -23'!O26+'SEP-23'!C26</f>
        <v>1380</v>
      </c>
      <c r="P26" s="476">
        <f>'AUGUST -23'!P26+'SEP-23'!D26</f>
        <v>0</v>
      </c>
      <c r="Q26" s="210">
        <v>0</v>
      </c>
      <c r="R26" s="264">
        <f>'AUGUST -23'!R26+'SEP-23'!F26</f>
        <v>0.29617000000000004</v>
      </c>
      <c r="S26" s="264">
        <f>'AUGUST -23'!S26+'SEP-23'!G26</f>
        <v>0.16</v>
      </c>
      <c r="T26" s="1678">
        <f>S26/S7*100</f>
        <v>7.4738415545590436E-2</v>
      </c>
      <c r="U26" s="79">
        <f>(S26-R26)/R26*100</f>
        <v>-45.976972684606821</v>
      </c>
    </row>
    <row r="27" spans="1:26" s="26" customFormat="1" ht="19.5" customHeight="1" x14ac:dyDescent="0.4">
      <c r="A27" s="1216"/>
      <c r="B27" s="1063" t="s">
        <v>683</v>
      </c>
      <c r="C27" s="1513">
        <f>SUM(C20:C26)</f>
        <v>203525</v>
      </c>
      <c r="D27" s="1412">
        <f>SUM(D20:D26)</f>
        <v>196108</v>
      </c>
      <c r="E27" s="394">
        <f>(D27-C27)/C27*100</f>
        <v>-3.6442697457314828</v>
      </c>
      <c r="F27" s="1054">
        <f>SUM(F20:F26)</f>
        <v>27.84</v>
      </c>
      <c r="G27" s="1054">
        <f>G20+G21+G22+G23+G24+G25+G26</f>
        <v>28.93</v>
      </c>
      <c r="H27" s="1066">
        <f>SUM(H20:H26)</f>
        <v>100.00000000000001</v>
      </c>
      <c r="I27" s="394">
        <f>(G27-F27)/F27*100</f>
        <v>3.9152298850574709</v>
      </c>
      <c r="J27" s="762"/>
      <c r="K27" s="762"/>
      <c r="L27" s="1475"/>
      <c r="M27" s="1216"/>
      <c r="N27" s="1513" t="s">
        <v>683</v>
      </c>
      <c r="O27" s="1680">
        <f>SUM(O20:O26)</f>
        <v>1657603</v>
      </c>
      <c r="P27" s="1680">
        <f>SUM(P20:P26)</f>
        <v>1412755.3</v>
      </c>
      <c r="Q27" s="1681">
        <f>(P27-O27)/O27*100</f>
        <v>-14.771190689206037</v>
      </c>
      <c r="R27" s="1676">
        <f>SUM(R20:R26)</f>
        <v>203.12130659999997</v>
      </c>
      <c r="S27" s="1676">
        <f>SUM(S20:S26)</f>
        <v>214.08</v>
      </c>
      <c r="T27" s="1682">
        <f>SUM(T20:T26)</f>
        <v>100</v>
      </c>
      <c r="U27" s="1681">
        <f>(S27-R27)/R27*100</f>
        <v>5.3951471578413157</v>
      </c>
      <c r="V27" s="26">
        <f>76.54+0.12</f>
        <v>76.660000000000011</v>
      </c>
      <c r="W27" s="26">
        <f>P27/1000000</f>
        <v>1.4127552999999999</v>
      </c>
      <c r="X27" s="432"/>
    </row>
    <row r="28" spans="1:26" ht="13.9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6"/>
      <c r="N28" s="2509" t="s">
        <v>7</v>
      </c>
      <c r="O28" s="2509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135"/>
      <c r="N29" s="2509"/>
      <c r="O29" s="2509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1">
        <v>3</v>
      </c>
      <c r="N30" s="2498" t="s">
        <v>623</v>
      </c>
      <c r="O30" s="2499"/>
      <c r="P30" s="2499"/>
      <c r="Q30" s="2499"/>
      <c r="R30" s="2499"/>
      <c r="S30" s="2499"/>
      <c r="T30" s="2499"/>
      <c r="U30" s="2500"/>
    </row>
    <row r="31" spans="1:26" ht="15.4" x14ac:dyDescent="0.4">
      <c r="A31" s="2382"/>
      <c r="B31" s="378" t="s">
        <v>2</v>
      </c>
      <c r="C31" s="1521">
        <v>24.66</v>
      </c>
      <c r="D31" s="1429">
        <v>22.5</v>
      </c>
      <c r="E31" s="315">
        <f>'TARGET 23-24'!Z5</f>
        <v>0.17903225806451611</v>
      </c>
      <c r="F31" s="134">
        <f>E71</f>
        <v>1.4289285</v>
      </c>
      <c r="G31" s="134">
        <f>F71</f>
        <v>1.3186994999999999</v>
      </c>
      <c r="H31" s="314">
        <f>(G31-E31)/E31*100</f>
        <v>636.57089189189196</v>
      </c>
      <c r="I31" s="314">
        <f>(G31-F31)/F31*100</f>
        <v>-7.7141018602400431</v>
      </c>
      <c r="J31" s="84">
        <v>1.52</v>
      </c>
      <c r="K31" s="84">
        <f>11596205/10000000</f>
        <v>1.1596204999999999</v>
      </c>
      <c r="L31" s="1476">
        <v>2.5110000000000001</v>
      </c>
      <c r="M31" s="2382"/>
      <c r="N31" s="1490" t="s">
        <v>2</v>
      </c>
      <c r="O31" s="1521">
        <v>24.66</v>
      </c>
      <c r="P31" s="1683">
        <v>22.5</v>
      </c>
      <c r="Q31" s="265">
        <f>E31+'AUGUST -23'!Q31</f>
        <v>9.129032258064516</v>
      </c>
      <c r="R31" s="264">
        <f>F31+'AUGUST -23'!R31</f>
        <v>11.5689285</v>
      </c>
      <c r="S31" s="264">
        <f>G31+'AUGUST -23'!S31</f>
        <v>13.515450599999999</v>
      </c>
      <c r="T31" s="79">
        <f>(S31-Q31)/Q31*100</f>
        <v>48.049105512367483</v>
      </c>
      <c r="U31" s="79">
        <f t="shared" ref="U31:U38" si="3">(S31-R31)/R31*100</f>
        <v>16.825431153801315</v>
      </c>
      <c r="W31" s="5">
        <f>(Q31*10000000)/100000</f>
        <v>912.90322580645159</v>
      </c>
    </row>
    <row r="32" spans="1:26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15">
        <f>'TARGET 23-24'!W5</f>
        <v>0.2661290322580645</v>
      </c>
      <c r="F32" s="134">
        <f t="shared" ref="F32:G33" si="4">E72</f>
        <v>2.0613000000000001</v>
      </c>
      <c r="G32" s="134">
        <f t="shared" si="4"/>
        <v>1.9274</v>
      </c>
      <c r="H32" s="314">
        <f>(G32-E32)/E32*100</f>
        <v>624.23515151515153</v>
      </c>
      <c r="I32" s="314">
        <f>(G32-F32)/F32*100</f>
        <v>-6.4959006452238937</v>
      </c>
      <c r="J32" s="1128">
        <v>2.3697997000000002</v>
      </c>
      <c r="K32" s="84">
        <f>0.58-0.12</f>
        <v>0.45999999999999996</v>
      </c>
      <c r="L32" s="1476">
        <v>2.7853634999999999</v>
      </c>
      <c r="M32" s="2382"/>
      <c r="N32" s="1490" t="s">
        <v>23</v>
      </c>
      <c r="O32" s="1521">
        <v>27.693304099999999</v>
      </c>
      <c r="P32" s="136">
        <f>D32</f>
        <v>37.010000000000005</v>
      </c>
      <c r="Q32" s="265">
        <f>E32+'AUGUST -23'!Q32</f>
        <v>17.216129032258063</v>
      </c>
      <c r="R32" s="264">
        <f>F32+'AUGUST -23'!R32</f>
        <v>14.752981399999999</v>
      </c>
      <c r="S32" s="264">
        <f>G32+'AUGUST -23'!S32</f>
        <v>14.579929700000001</v>
      </c>
      <c r="T32" s="79">
        <f>(S32-Q32)/Q32*100</f>
        <v>-15.312381356567348</v>
      </c>
      <c r="U32" s="79">
        <f t="shared" si="3"/>
        <v>-1.1729947683659283</v>
      </c>
      <c r="W32" s="5">
        <f>(Q32*10000000)/100000</f>
        <v>1721.6129032258063</v>
      </c>
    </row>
    <row r="33" spans="1:27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15">
        <f>'TARGET 23-24'!X5</f>
        <v>2.6129032258064518E-2</v>
      </c>
      <c r="F33" s="134">
        <f t="shared" si="4"/>
        <v>5.2199999999999996E-2</v>
      </c>
      <c r="G33" s="134">
        <f t="shared" si="4"/>
        <v>6.54E-2</v>
      </c>
      <c r="H33" s="314">
        <f>(G33-E33)/E33*100</f>
        <v>150.29629629629628</v>
      </c>
      <c r="I33" s="314">
        <f>(G33-F33)/F33*100</f>
        <v>25.287356321839088</v>
      </c>
      <c r="J33" s="1128">
        <v>7.7621999999999997E-2</v>
      </c>
      <c r="L33" s="1476">
        <v>0.10888689999999999</v>
      </c>
      <c r="M33" s="2382"/>
      <c r="N33" s="1490" t="s">
        <v>1</v>
      </c>
      <c r="O33" s="1521">
        <v>1.0446717999999999</v>
      </c>
      <c r="P33" s="136">
        <f>D33</f>
        <v>3.4</v>
      </c>
      <c r="Q33" s="265">
        <f>E33+'AUGUST -23'!Q33</f>
        <v>1.6561290322580646</v>
      </c>
      <c r="R33" s="264">
        <f>F33+'AUGUST -23'!R33</f>
        <v>0.54414660000000004</v>
      </c>
      <c r="S33" s="264">
        <f>G33+'AUGUST -23'!S33</f>
        <v>0.58323325599999998</v>
      </c>
      <c r="T33" s="79">
        <f>(S33-Q33)/Q33*100</f>
        <v>-64.783344495520069</v>
      </c>
      <c r="U33" s="79">
        <f t="shared" si="3"/>
        <v>7.1831113159578575</v>
      </c>
      <c r="W33" s="5">
        <f>(Q33*10000000)/100000</f>
        <v>165.61290322580646</v>
      </c>
    </row>
    <row r="34" spans="1:27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0.29225806451612901</v>
      </c>
      <c r="F34" s="1483">
        <f t="shared" ref="F34:G34" si="5">SUM(F32:F33)</f>
        <v>2.1135000000000002</v>
      </c>
      <c r="G34" s="1483">
        <f t="shared" si="5"/>
        <v>1.9927999999999999</v>
      </c>
      <c r="H34" s="1484">
        <f>(G34-E34)/E34*100</f>
        <v>581.86313465783667</v>
      </c>
      <c r="I34" s="1484">
        <f>(G34-F34)/F34*100</f>
        <v>-5.7109060799621592</v>
      </c>
      <c r="L34" s="1476"/>
      <c r="M34" s="2382"/>
      <c r="N34" s="1598" t="s">
        <v>904</v>
      </c>
      <c r="O34" s="1522">
        <f>O33+O32</f>
        <v>28.737975899999999</v>
      </c>
      <c r="P34" s="1684">
        <f>P33+P32</f>
        <v>40.410000000000004</v>
      </c>
      <c r="Q34" s="1684">
        <f>Q33+Q32</f>
        <v>18.872258064516128</v>
      </c>
      <c r="R34" s="1684">
        <f t="shared" ref="R34:S34" si="6">R33+R32</f>
        <v>15.297127999999999</v>
      </c>
      <c r="S34" s="1684">
        <f t="shared" si="6"/>
        <v>15.163162956000001</v>
      </c>
      <c r="T34" s="1685">
        <f>(S34-Q34)/Q34*100</f>
        <v>-19.653690066320241</v>
      </c>
      <c r="U34" s="1685">
        <f>(S34-R34)/R34*100</f>
        <v>-0.87575291257285826</v>
      </c>
    </row>
    <row r="35" spans="1:27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f>E74</f>
        <v>0.19018499999999999</v>
      </c>
      <c r="G35" s="313">
        <f>F74</f>
        <v>0.199327</v>
      </c>
      <c r="H35" s="517" t="s">
        <v>221</v>
      </c>
      <c r="I35" s="314">
        <f>(G35-F35)/F35*100</f>
        <v>4.8068985461524365</v>
      </c>
      <c r="J35" s="84">
        <v>0.21881</v>
      </c>
      <c r="L35" s="1476">
        <v>0.303392</v>
      </c>
      <c r="M35" s="2382"/>
      <c r="N35" s="1490" t="s">
        <v>24</v>
      </c>
      <c r="O35" s="1521">
        <v>3.1600820000000001</v>
      </c>
      <c r="P35" s="85" t="s">
        <v>221</v>
      </c>
      <c r="Q35" s="264" t="s">
        <v>221</v>
      </c>
      <c r="R35" s="264">
        <f>F35+'AUGUST -23'!R35</f>
        <v>1.5162689999999999</v>
      </c>
      <c r="S35" s="264">
        <f>G35+'AUGUST -23'!S35</f>
        <v>1.556416</v>
      </c>
      <c r="T35" s="492" t="s">
        <v>221</v>
      </c>
      <c r="U35" s="79">
        <f t="shared" si="3"/>
        <v>2.647749179070479</v>
      </c>
      <c r="W35" s="5" t="e">
        <f>(Q35*10000000)/100000</f>
        <v>#VALUE!</v>
      </c>
    </row>
    <row r="36" spans="1:27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f t="shared" ref="F36:G38" si="7">E75</f>
        <v>0</v>
      </c>
      <c r="G36" s="313">
        <f>F75</f>
        <v>2.8910184000000001</v>
      </c>
      <c r="H36" s="517" t="s">
        <v>221</v>
      </c>
      <c r="I36" s="314">
        <v>0</v>
      </c>
      <c r="J36" s="84">
        <v>3.63459E-2</v>
      </c>
      <c r="L36" s="1476">
        <v>5.1638000000000003E-2</v>
      </c>
      <c r="M36" s="2382"/>
      <c r="N36" s="1406" t="s">
        <v>25</v>
      </c>
      <c r="O36" s="1523">
        <v>6.2230024999999998</v>
      </c>
      <c r="P36" s="85" t="s">
        <v>221</v>
      </c>
      <c r="Q36" s="264" t="s">
        <v>221</v>
      </c>
      <c r="R36" s="264">
        <f>F36+'AUGUST -23'!R36</f>
        <v>4.5529582999999993</v>
      </c>
      <c r="S36" s="264">
        <f>G36+'AUGUST -23'!S36</f>
        <v>4.8022691999999996</v>
      </c>
      <c r="T36" s="492" t="s">
        <v>221</v>
      </c>
      <c r="U36" s="79">
        <f t="shared" si="3"/>
        <v>5.4758002066480653</v>
      </c>
    </row>
    <row r="37" spans="1:27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f t="shared" si="7"/>
        <v>2.656828</v>
      </c>
      <c r="G37" s="313">
        <f t="shared" si="7"/>
        <v>3.0716307999999999</v>
      </c>
      <c r="H37" s="517" t="s">
        <v>221</v>
      </c>
      <c r="I37" s="314">
        <f>(G37-F37)/F37*100</f>
        <v>15.612708086485084</v>
      </c>
      <c r="J37" s="84">
        <v>3.210709</v>
      </c>
      <c r="K37" s="323">
        <f>(20880+ 10612529)/10000000</f>
        <v>1.0633409</v>
      </c>
      <c r="L37" s="1476">
        <v>3.7502597999999998</v>
      </c>
      <c r="M37" s="2382"/>
      <c r="N37" s="1406" t="s">
        <v>241</v>
      </c>
      <c r="O37" s="1523">
        <v>43.050880200000002</v>
      </c>
      <c r="P37" s="33" t="s">
        <v>221</v>
      </c>
      <c r="Q37" s="264" t="s">
        <v>221</v>
      </c>
      <c r="R37" s="264">
        <f>F37+'AUGUST -23'!R37</f>
        <v>19.839943999999999</v>
      </c>
      <c r="S37" s="264">
        <f>G37+'AUGUST -23'!S37</f>
        <v>22.653638500000003</v>
      </c>
      <c r="T37" s="492" t="s">
        <v>221</v>
      </c>
      <c r="U37" s="79">
        <f t="shared" si="3"/>
        <v>14.181967953135372</v>
      </c>
    </row>
    <row r="38" spans="1:27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313">
        <f t="shared" si="7"/>
        <v>0</v>
      </c>
      <c r="G38" s="313">
        <f t="shared" si="7"/>
        <v>0</v>
      </c>
      <c r="H38" s="413"/>
      <c r="I38" s="314">
        <v>0</v>
      </c>
      <c r="J38" s="84">
        <v>6.4195500000000003E-2</v>
      </c>
      <c r="L38" s="1476">
        <v>8.1125600000000006E-2</v>
      </c>
      <c r="M38" s="2383"/>
      <c r="N38" s="1490" t="s">
        <v>260</v>
      </c>
      <c r="O38" s="1521">
        <v>0.85555460000000005</v>
      </c>
      <c r="P38" s="33" t="s">
        <v>221</v>
      </c>
      <c r="Q38" s="264" t="s">
        <v>221</v>
      </c>
      <c r="R38" s="264">
        <f>F38+'AUGUST -23'!R38</f>
        <v>0.37334670000000003</v>
      </c>
      <c r="S38" s="264">
        <f>G38+'AUGUST -23'!S38</f>
        <v>0.41074560000000004</v>
      </c>
      <c r="T38" s="1686"/>
      <c r="U38" s="79">
        <f t="shared" si="3"/>
        <v>10.017203848326504</v>
      </c>
    </row>
    <row r="39" spans="1:27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J39" s="323">
        <v>9.68218E-2</v>
      </c>
      <c r="L39" s="1476"/>
      <c r="M39" s="1230">
        <v>4</v>
      </c>
      <c r="N39" s="2498" t="s">
        <v>622</v>
      </c>
      <c r="O39" s="2499"/>
      <c r="P39" s="2499"/>
      <c r="Q39" s="2499"/>
      <c r="R39" s="2499"/>
      <c r="S39" s="2499"/>
      <c r="T39" s="2499"/>
      <c r="U39" s="2500"/>
    </row>
    <row r="40" spans="1:27" ht="15.4" x14ac:dyDescent="0.4">
      <c r="A40" s="2387"/>
      <c r="B40" s="378" t="s">
        <v>27</v>
      </c>
      <c r="C40" s="1521">
        <v>12.02</v>
      </c>
      <c r="D40" s="1429">
        <v>13.95</v>
      </c>
      <c r="E40" s="315">
        <v>1.1624999999999999</v>
      </c>
      <c r="F40" s="313">
        <v>0.85950380000000004</v>
      </c>
      <c r="G40" s="313">
        <v>1.3437513000000001</v>
      </c>
      <c r="H40" s="314">
        <f>(G40-E40)/E40*100</f>
        <v>15.591509677419376</v>
      </c>
      <c r="I40" s="314">
        <f>(G40-F40)/F40*100</f>
        <v>56.340355912329883</v>
      </c>
      <c r="K40" s="1128">
        <v>0.5185746</v>
      </c>
      <c r="L40" s="1476"/>
      <c r="M40" s="1230"/>
      <c r="N40" s="1490" t="s">
        <v>27</v>
      </c>
      <c r="O40" s="1521">
        <v>12.02</v>
      </c>
      <c r="P40" s="1683">
        <v>13.95</v>
      </c>
      <c r="Q40" s="265">
        <f>'APRIL-2023'!E40+'MAY-2023'!E40+'JUNE-23'!E40+'JULY-23'!E40+E40</f>
        <v>5.8124999999999991</v>
      </c>
      <c r="R40" s="264">
        <v>3.3928470000000002</v>
      </c>
      <c r="S40" s="264">
        <v>5.5978181999999999</v>
      </c>
      <c r="T40" s="79">
        <f>(S40-Q40)/Q40*100</f>
        <v>-3.6934503225806332</v>
      </c>
      <c r="U40" s="79">
        <f>(S40-R40)/R40*100</f>
        <v>64.988819124469785</v>
      </c>
      <c r="W40" s="5">
        <f>(E40*10000000)/100000</f>
        <v>116.24999999999999</v>
      </c>
      <c r="X40" s="172">
        <v>141.05000000000001</v>
      </c>
      <c r="Y40" s="5">
        <v>70.17</v>
      </c>
      <c r="Z40" s="11">
        <f t="shared" ref="Z40:Z45" si="8">(X40-W40)/W40*100</f>
        <v>21.333333333333357</v>
      </c>
      <c r="AA40" s="11">
        <f t="shared" ref="AA40:AA45" si="9">(X40-Y40)/Y40*100</f>
        <v>101.01182841670231</v>
      </c>
    </row>
    <row r="41" spans="1:27" ht="15.4" x14ac:dyDescent="0.4">
      <c r="A41" s="2387"/>
      <c r="B41" s="378" t="s">
        <v>28</v>
      </c>
      <c r="C41" s="1521">
        <v>1.94</v>
      </c>
      <c r="D41" s="1429">
        <v>1.95</v>
      </c>
      <c r="E41" s="315">
        <v>0.16250000000000001</v>
      </c>
      <c r="F41" s="313">
        <v>9.0284100000000006E-2</v>
      </c>
      <c r="G41" s="313">
        <v>6.7934499999999995E-2</v>
      </c>
      <c r="H41" s="314">
        <f>(G41-E41)/E41*100</f>
        <v>-58.194153846153853</v>
      </c>
      <c r="I41" s="314">
        <f>(G41-F41)/F41*100</f>
        <v>-24.754746406067081</v>
      </c>
      <c r="J41" s="84">
        <f t="shared" ref="J41:J46" si="10">E40*8</f>
        <v>9.2999999999999989</v>
      </c>
      <c r="K41" s="1128">
        <v>1.5909099999999999E-2</v>
      </c>
      <c r="L41" s="1476">
        <v>2.1361249999999998</v>
      </c>
      <c r="M41" s="1230"/>
      <c r="N41" s="1490" t="s">
        <v>28</v>
      </c>
      <c r="O41" s="1521">
        <v>1.94</v>
      </c>
      <c r="P41" s="1683">
        <v>1.95</v>
      </c>
      <c r="Q41" s="265">
        <f>'APRIL-2023'!E41+'MAY-2023'!E41+'JUNE-23'!E41+'JULY-23'!E41+E41</f>
        <v>0.8125</v>
      </c>
      <c r="R41" s="264">
        <v>0.2018828</v>
      </c>
      <c r="S41" s="264">
        <v>0.89352529999999997</v>
      </c>
      <c r="T41" s="79">
        <f t="shared" ref="T41:T42" si="11">(S41-Q41)/Q41*100</f>
        <v>9.9723446153846105</v>
      </c>
      <c r="U41" s="79">
        <f>(S41-R41)/R41*100</f>
        <v>342.59605077797607</v>
      </c>
      <c r="W41" s="5">
        <f>(E41*10000000)/100000</f>
        <v>16.25</v>
      </c>
      <c r="X41" s="172">
        <v>19.73</v>
      </c>
      <c r="Y41" s="5">
        <v>3.12</v>
      </c>
      <c r="Z41" s="11">
        <f t="shared" si="8"/>
        <v>21.415384615384617</v>
      </c>
      <c r="AA41" s="11">
        <f t="shared" si="9"/>
        <v>532.3717948717948</v>
      </c>
    </row>
    <row r="42" spans="1:27" ht="15.4" x14ac:dyDescent="0.4">
      <c r="A42" s="2387"/>
      <c r="B42" s="378" t="s">
        <v>224</v>
      </c>
      <c r="C42" s="1521">
        <v>1.96</v>
      </c>
      <c r="D42" s="1429">
        <v>3.25</v>
      </c>
      <c r="E42" s="315">
        <v>0.27</v>
      </c>
      <c r="F42" s="313">
        <v>6.6659200000000002E-2</v>
      </c>
      <c r="G42" s="313">
        <v>0.35313480000000003</v>
      </c>
      <c r="H42" s="314">
        <f>(G42-E42)/E42*100</f>
        <v>30.790666666666667</v>
      </c>
      <c r="I42" s="314">
        <f>(G42-F42)/F42*100</f>
        <v>429.76153329172871</v>
      </c>
      <c r="J42" s="84">
        <f t="shared" si="10"/>
        <v>1.3</v>
      </c>
      <c r="K42" s="1128">
        <v>7.9338400000000003E-2</v>
      </c>
      <c r="L42" s="1476">
        <v>0.11442669999999999</v>
      </c>
      <c r="M42" s="1230"/>
      <c r="N42" s="1490" t="s">
        <v>224</v>
      </c>
      <c r="O42" s="1521">
        <v>1.96</v>
      </c>
      <c r="P42" s="1683">
        <v>3.25</v>
      </c>
      <c r="Q42" s="265">
        <f>'APRIL-2023'!E42+'MAY-2023'!E42+'JUNE-23'!E42+'JULY-23'!E42+E42</f>
        <v>1.35</v>
      </c>
      <c r="R42" s="264">
        <v>0.2016578</v>
      </c>
      <c r="S42" s="264">
        <v>0.7218715</v>
      </c>
      <c r="T42" s="79">
        <f t="shared" si="11"/>
        <v>-46.528037037037038</v>
      </c>
      <c r="U42" s="79">
        <f>(S42-R42)/R42*100</f>
        <v>257.96854869982712</v>
      </c>
      <c r="W42" s="11">
        <f>(E42*10000000)/100000</f>
        <v>27</v>
      </c>
      <c r="X42" s="172">
        <v>45.45</v>
      </c>
      <c r="Y42" s="5">
        <v>0</v>
      </c>
      <c r="Z42" s="11">
        <f t="shared" si="8"/>
        <v>68.333333333333343</v>
      </c>
      <c r="AA42" s="11" t="e">
        <f t="shared" si="9"/>
        <v>#DIV/0!</v>
      </c>
    </row>
    <row r="43" spans="1:27" ht="15.4" hidden="1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/>
      <c r="H43" s="314" t="e">
        <f>(G43-E43)/E43*100</f>
        <v>#VALUE!</v>
      </c>
      <c r="I43" s="314" t="e">
        <f>(G43-F43)/F43*100</f>
        <v>#DIV/0!</v>
      </c>
      <c r="J43" s="323">
        <f t="shared" si="10"/>
        <v>2.16</v>
      </c>
      <c r="K43" s="1128">
        <v>0</v>
      </c>
      <c r="L43" s="1476">
        <v>0.1548958</v>
      </c>
      <c r="M43" s="1230"/>
      <c r="N43" s="1490" t="s">
        <v>30</v>
      </c>
      <c r="O43" s="1521">
        <v>0</v>
      </c>
      <c r="P43" s="33" t="s">
        <v>221</v>
      </c>
      <c r="Q43" s="265" t="s">
        <v>221</v>
      </c>
      <c r="R43" s="264">
        <v>0</v>
      </c>
      <c r="S43" s="264">
        <v>0</v>
      </c>
      <c r="T43" s="79" t="s">
        <v>221</v>
      </c>
      <c r="U43" s="79">
        <v>0</v>
      </c>
      <c r="W43" s="5" t="e">
        <f>(E43*10000000)/100000</f>
        <v>#VALUE!</v>
      </c>
      <c r="Z43" s="11" t="e">
        <f t="shared" si="8"/>
        <v>#VALUE!</v>
      </c>
      <c r="AA43" s="11" t="e">
        <f t="shared" si="9"/>
        <v>#DIV/0!</v>
      </c>
    </row>
    <row r="44" spans="1:27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0</v>
      </c>
      <c r="G44" s="313">
        <v>2.1172000000000001E-3</v>
      </c>
      <c r="H44" s="314"/>
      <c r="I44" s="314" t="s">
        <v>221</v>
      </c>
      <c r="J44" s="84" t="e">
        <f t="shared" si="10"/>
        <v>#VALUE!</v>
      </c>
      <c r="K44" s="1128">
        <v>6.3045000000000002E-3</v>
      </c>
      <c r="L44" s="1476">
        <v>0</v>
      </c>
      <c r="M44" s="1230"/>
      <c r="N44" s="1490" t="s">
        <v>4</v>
      </c>
      <c r="O44" s="1521">
        <v>0.211532</v>
      </c>
      <c r="P44" s="33" t="s">
        <v>221</v>
      </c>
      <c r="Q44" s="265" t="s">
        <v>221</v>
      </c>
      <c r="R44" s="264">
        <v>2.59045E-2</v>
      </c>
      <c r="S44" s="264">
        <v>0.43044450000000001</v>
      </c>
      <c r="T44" s="79" t="s">
        <v>221</v>
      </c>
      <c r="U44" s="79">
        <f>(S44-R44)/R44*100</f>
        <v>1561.6591711864735</v>
      </c>
      <c r="X44" s="172">
        <v>0</v>
      </c>
      <c r="Y44" s="5">
        <v>0.06</v>
      </c>
      <c r="Z44" s="11" t="e">
        <f t="shared" si="8"/>
        <v>#DIV/0!</v>
      </c>
      <c r="AA44" s="11">
        <f t="shared" si="9"/>
        <v>-100</v>
      </c>
    </row>
    <row r="45" spans="1:27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0.24945800000000001</v>
      </c>
      <c r="G45" s="313">
        <v>9.0672799999999998E-2</v>
      </c>
      <c r="H45" s="314"/>
      <c r="I45" s="314" t="s">
        <v>221</v>
      </c>
      <c r="J45" s="84" t="e">
        <f t="shared" si="10"/>
        <v>#VALUE!</v>
      </c>
      <c r="K45" s="1128">
        <v>7.3470099999999997E-2</v>
      </c>
      <c r="L45" s="1476">
        <v>4.0018400000000003E-2</v>
      </c>
      <c r="M45" s="780"/>
      <c r="N45" s="1490" t="s">
        <v>259</v>
      </c>
      <c r="O45" s="1521">
        <v>1.5697181</v>
      </c>
      <c r="P45" s="33" t="s">
        <v>221</v>
      </c>
      <c r="Q45" s="264" t="s">
        <v>221</v>
      </c>
      <c r="R45" s="264">
        <v>0.60130379999999994</v>
      </c>
      <c r="S45" s="264">
        <v>0.3957003</v>
      </c>
      <c r="T45" s="1687" t="s">
        <v>221</v>
      </c>
      <c r="U45" s="79">
        <f>(S45-R45)/R45*100</f>
        <v>-34.192948722426159</v>
      </c>
      <c r="W45" s="595">
        <f>W40+W41+W42+W44</f>
        <v>159.5</v>
      </c>
      <c r="X45" s="172">
        <f>X40+X41+X42+X44</f>
        <v>206.23000000000002</v>
      </c>
      <c r="Y45" s="172">
        <f>Y40+Y41+Y42+Y44</f>
        <v>73.350000000000009</v>
      </c>
      <c r="Z45" s="11">
        <f t="shared" si="8"/>
        <v>29.297805642633239</v>
      </c>
      <c r="AA45" s="11">
        <f t="shared" si="9"/>
        <v>181.15882753919561</v>
      </c>
    </row>
    <row r="46" spans="1:27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10"/>
        <v>#VALUE!</v>
      </c>
      <c r="L46" s="1476">
        <v>0.93056630000000007</v>
      </c>
      <c r="M46" s="2387"/>
      <c r="N46" s="2498" t="s">
        <v>419</v>
      </c>
      <c r="O46" s="2499"/>
      <c r="P46" s="2499"/>
      <c r="Q46" s="2499"/>
      <c r="R46" s="2499"/>
      <c r="S46" s="2499"/>
      <c r="T46" s="2499"/>
      <c r="U46" s="2500"/>
    </row>
    <row r="47" spans="1:27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15">
        <f>'TARGET 23-24'!E31</f>
        <v>0.19354838709677419</v>
      </c>
      <c r="F47" s="315">
        <f>E66</f>
        <v>1.447203</v>
      </c>
      <c r="G47" s="315">
        <f>F66</f>
        <v>1.541534</v>
      </c>
      <c r="H47" s="316">
        <f>(G47-E47)/E47*100</f>
        <v>696.45923333333326</v>
      </c>
      <c r="I47" s="314">
        <f>(G47-F47)/F47*100</f>
        <v>6.5181595118307483</v>
      </c>
      <c r="L47" s="1476"/>
      <c r="M47" s="2387"/>
      <c r="N47" s="1490" t="s">
        <v>794</v>
      </c>
      <c r="O47" s="1521">
        <v>18.824966</v>
      </c>
      <c r="P47" s="29">
        <v>22.9</v>
      </c>
      <c r="Q47" s="265">
        <f>E47+'AUGUST -23'!Q47</f>
        <v>8.1835483870967742</v>
      </c>
      <c r="R47" s="264">
        <f>F47+'AUGUST -23'!R47</f>
        <v>8.2725049999999989</v>
      </c>
      <c r="S47" s="264">
        <f>G47+'AUGUST -23'!S47</f>
        <v>10.656401000000001</v>
      </c>
      <c r="T47" s="492">
        <f>(S47-Q47)/Q47*100</f>
        <v>30.217364105798421</v>
      </c>
      <c r="U47" s="79">
        <f>(S47-R47)/R47*100</f>
        <v>28.817099536355702</v>
      </c>
      <c r="V47" s="5">
        <f>S47/153</f>
        <v>6.9649679738562092E-2</v>
      </c>
    </row>
    <row r="48" spans="1:27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154">
        <f>'TARGET 23-24'!F31</f>
        <v>0.30290322580645163</v>
      </c>
      <c r="F48" s="315">
        <f>E67</f>
        <v>1.1379490000000001</v>
      </c>
      <c r="G48" s="315">
        <f t="shared" ref="F48:G49" si="12">F67</f>
        <v>1.346654</v>
      </c>
      <c r="H48" s="2027">
        <f>L48</f>
        <v>631.92452609158681</v>
      </c>
      <c r="I48" s="314">
        <f>(G48-F48)/F48*100</f>
        <v>18.34045286739563</v>
      </c>
      <c r="J48" s="84">
        <f>94132</f>
        <v>94132</v>
      </c>
      <c r="K48" s="12">
        <f>G48+G49</f>
        <v>2.2170230000000002</v>
      </c>
      <c r="L48" s="172">
        <f>(K48-E48)/E48*100</f>
        <v>631.92452609158681</v>
      </c>
      <c r="M48" s="2387"/>
      <c r="N48" s="20" t="s">
        <v>792</v>
      </c>
      <c r="O48" s="1524">
        <v>15.344440000000001</v>
      </c>
      <c r="P48" s="1982">
        <v>32.97</v>
      </c>
      <c r="Q48" s="2507">
        <f>E48+'AUGUST -23'!Q48</f>
        <v>11.922903225806451</v>
      </c>
      <c r="R48" s="264">
        <f>F48+'AUGUST -23'!R48</f>
        <v>5.5509529999999998</v>
      </c>
      <c r="S48" s="264">
        <f>G48+'AUGUST -23'!S48</f>
        <v>9.9309259999999995</v>
      </c>
      <c r="T48" s="2504">
        <f>X48</f>
        <v>36.386521739130423</v>
      </c>
      <c r="U48" s="79">
        <f>(S48-R48)/R48*100</f>
        <v>78.904883539817391</v>
      </c>
      <c r="V48" s="5">
        <f t="shared" ref="V48:V49" si="13">S48/153</f>
        <v>6.4908013071895421E-2</v>
      </c>
      <c r="W48" s="12">
        <f>S48+S49</f>
        <v>16.261232999999997</v>
      </c>
      <c r="X48" s="172">
        <f>(W48-Q48)/Q48*100</f>
        <v>36.386521739130423</v>
      </c>
    </row>
    <row r="49" spans="1:33" ht="16.5" x14ac:dyDescent="0.55000000000000004">
      <c r="A49" s="2387"/>
      <c r="B49" s="1606" t="s">
        <v>934</v>
      </c>
      <c r="C49" s="1524">
        <v>12.857975999999999</v>
      </c>
      <c r="D49" s="2066"/>
      <c r="E49" s="2155"/>
      <c r="F49" s="315">
        <f t="shared" si="12"/>
        <v>0.87407999999999997</v>
      </c>
      <c r="G49" s="315">
        <f t="shared" si="12"/>
        <v>0.87036899999999995</v>
      </c>
      <c r="H49" s="2029"/>
      <c r="I49" s="314">
        <f>(G49-F49)/F49*100</f>
        <v>-0.4245606809445383</v>
      </c>
      <c r="J49" s="84">
        <v>31105</v>
      </c>
      <c r="K49" s="1198"/>
      <c r="L49" s="1477">
        <f>(K48-E48)/E48*100</f>
        <v>631.92452609158681</v>
      </c>
      <c r="M49" s="2387"/>
      <c r="N49" s="1688" t="s">
        <v>931</v>
      </c>
      <c r="O49" s="1524">
        <v>12.857975999999999</v>
      </c>
      <c r="P49" s="1984"/>
      <c r="Q49" s="2508"/>
      <c r="R49" s="264">
        <f>F49+'AUGUST -23'!R49</f>
        <v>6.4134760000000002</v>
      </c>
      <c r="S49" s="264">
        <f>G49+'AUGUST -23'!S49</f>
        <v>6.3303069999999995</v>
      </c>
      <c r="T49" s="2506"/>
      <c r="U49" s="79">
        <f>(S49-R49)/R49*100</f>
        <v>-1.2967850819119104</v>
      </c>
      <c r="V49" s="5">
        <f t="shared" si="13"/>
        <v>4.1374555555555553E-2</v>
      </c>
    </row>
    <row r="50" spans="1:33" ht="16.5" customHeight="1" x14ac:dyDescent="0.55000000000000004">
      <c r="A50" s="2387">
        <v>6</v>
      </c>
      <c r="B50" s="2021" t="s">
        <v>926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7">
        <v>6</v>
      </c>
      <c r="N50" s="2498" t="s">
        <v>927</v>
      </c>
      <c r="O50" s="2499"/>
      <c r="P50" s="2499"/>
      <c r="Q50" s="2499"/>
      <c r="R50" s="2499"/>
      <c r="S50" s="2499"/>
      <c r="T50" s="2499"/>
      <c r="U50" s="2500"/>
    </row>
    <row r="51" spans="1:33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219.34</v>
      </c>
      <c r="G51" s="313">
        <v>94.99</v>
      </c>
      <c r="H51" s="2027" t="s">
        <v>221</v>
      </c>
      <c r="I51" s="314">
        <f>(G51-F51)/F51*100</f>
        <v>-56.692805689796664</v>
      </c>
      <c r="K51" s="84">
        <v>1.4243969999999999</v>
      </c>
      <c r="M51" s="2387"/>
      <c r="N51" s="2501" t="s">
        <v>36</v>
      </c>
      <c r="O51" s="2502"/>
      <c r="P51" s="1982">
        <v>0.55000000000000004</v>
      </c>
      <c r="Q51" s="2503" t="s">
        <v>221</v>
      </c>
      <c r="R51" s="134">
        <v>219.34</v>
      </c>
      <c r="S51" s="134">
        <v>94.99</v>
      </c>
      <c r="T51" s="2504"/>
      <c r="U51" s="79">
        <f>(S51-R51)/R51*100</f>
        <v>-56.692805689796664</v>
      </c>
    </row>
    <row r="52" spans="1:33" ht="15.4" x14ac:dyDescent="0.4">
      <c r="A52" s="2387"/>
      <c r="B52" s="378" t="s">
        <v>37</v>
      </c>
      <c r="C52" s="1525"/>
      <c r="D52" s="2369"/>
      <c r="E52" s="2025"/>
      <c r="F52" s="313">
        <v>43.37</v>
      </c>
      <c r="G52" s="313">
        <v>21.55</v>
      </c>
      <c r="H52" s="2028"/>
      <c r="I52" s="314">
        <f>(G52-F52)/F52*100</f>
        <v>-50.311275074936589</v>
      </c>
      <c r="K52" s="84">
        <v>1.1149039999999999</v>
      </c>
      <c r="M52" s="2387"/>
      <c r="N52" s="2501" t="s">
        <v>37</v>
      </c>
      <c r="O52" s="2502"/>
      <c r="P52" s="1983"/>
      <c r="Q52" s="1936"/>
      <c r="R52" s="134">
        <v>43.37</v>
      </c>
      <c r="S52" s="134">
        <v>21.55</v>
      </c>
      <c r="T52" s="2505"/>
      <c r="U52" s="79">
        <f>(S52-R52)/R52*100</f>
        <v>-50.311275074936589</v>
      </c>
    </row>
    <row r="53" spans="1:33" ht="15.4" x14ac:dyDescent="0.4">
      <c r="A53" s="2387"/>
      <c r="B53" s="378" t="s">
        <v>38</v>
      </c>
      <c r="C53" s="1525"/>
      <c r="D53" s="2245"/>
      <c r="E53" s="2026"/>
      <c r="F53" s="313">
        <f>SUM(F51:F52)</f>
        <v>262.70999999999998</v>
      </c>
      <c r="G53" s="313">
        <f>SUM(G51:G52)</f>
        <v>116.53999999999999</v>
      </c>
      <c r="H53" s="2029"/>
      <c r="I53" s="314">
        <f>(G53-F53)/F53*100</f>
        <v>-55.639298085341252</v>
      </c>
      <c r="K53" s="84">
        <v>1.0979049999999999</v>
      </c>
      <c r="M53" s="2387"/>
      <c r="N53" s="2501" t="s">
        <v>38</v>
      </c>
      <c r="O53" s="2502"/>
      <c r="P53" s="1984"/>
      <c r="Q53" s="1937"/>
      <c r="R53" s="134">
        <f>SUM(R51:R52)</f>
        <v>262.70999999999998</v>
      </c>
      <c r="S53" s="134">
        <f>SUM(S51:S52)</f>
        <v>116.53999999999999</v>
      </c>
      <c r="T53" s="2506"/>
      <c r="U53" s="79">
        <f>(S53-R53)/R53*100</f>
        <v>-55.639298085341252</v>
      </c>
    </row>
    <row r="54" spans="1:33" ht="15.4" x14ac:dyDescent="0.4">
      <c r="C54" s="315"/>
      <c r="H54" s="41"/>
      <c r="I54" s="41"/>
    </row>
    <row r="55" spans="1:33" ht="15.75" x14ac:dyDescent="0.45">
      <c r="C55" s="315"/>
      <c r="D55" s="229"/>
      <c r="E55" s="229"/>
      <c r="F55" s="229"/>
      <c r="G55" s="12"/>
      <c r="H55" s="314"/>
      <c r="I55" s="314"/>
      <c r="Q55" s="12"/>
      <c r="R55" s="12">
        <f t="shared" ref="R55:S57" si="14">(R47*1000000)/100000</f>
        <v>82.725049999999996</v>
      </c>
      <c r="S55" s="12">
        <f t="shared" si="14"/>
        <v>106.56401</v>
      </c>
      <c r="T55" s="314"/>
      <c r="U55" s="314">
        <f>(S55-R55)/R55*100</f>
        <v>28.817099536355677</v>
      </c>
      <c r="W55" s="12">
        <f>R56+R57</f>
        <v>119.64429</v>
      </c>
      <c r="X55" s="12">
        <f>S56+S57</f>
        <v>162.61232999999999</v>
      </c>
      <c r="Z55" s="314">
        <f>(X55-W55)/W55*100</f>
        <v>35.91315557140252</v>
      </c>
    </row>
    <row r="56" spans="1:33" ht="15.4" x14ac:dyDescent="0.4">
      <c r="C56" s="315"/>
      <c r="H56" s="35"/>
      <c r="I56" s="5"/>
      <c r="J56" s="314">
        <f>210288-1860</f>
        <v>208428</v>
      </c>
      <c r="K56" s="5"/>
      <c r="P56" s="12"/>
      <c r="Q56" s="12"/>
      <c r="R56" s="12">
        <f t="shared" si="14"/>
        <v>55.509529999999998</v>
      </c>
      <c r="S56" s="12">
        <f t="shared" si="14"/>
        <v>99.309259999999995</v>
      </c>
      <c r="U56" s="314">
        <f>(S56-R56)/R56*100</f>
        <v>78.904883539817391</v>
      </c>
    </row>
    <row r="57" spans="1:33" ht="15.4" x14ac:dyDescent="0.4">
      <c r="J57" s="35"/>
      <c r="L57" s="35"/>
      <c r="R57" s="12">
        <f t="shared" si="14"/>
        <v>64.13476</v>
      </c>
      <c r="S57" s="12">
        <f t="shared" si="14"/>
        <v>63.303069999999991</v>
      </c>
      <c r="U57" s="314">
        <f>(S57-R57)/R57*100</f>
        <v>-1.2967850819119131</v>
      </c>
    </row>
    <row r="58" spans="1:33" x14ac:dyDescent="0.4">
      <c r="D58" s="1407"/>
      <c r="E58" s="1192">
        <v>44826</v>
      </c>
      <c r="F58" s="1192">
        <v>45192</v>
      </c>
      <c r="H58" s="1192">
        <f>E58</f>
        <v>44826</v>
      </c>
      <c r="I58" s="1192">
        <f>F58</f>
        <v>45192</v>
      </c>
      <c r="K58" s="84">
        <v>2.94</v>
      </c>
      <c r="R58" s="12">
        <f>SUM(R55:R57)</f>
        <v>202.36933999999999</v>
      </c>
      <c r="S58" s="12">
        <f>SUM(S55:S57)</f>
        <v>269.17633999999998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33" ht="15.75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S59" s="9" t="s">
        <v>152</v>
      </c>
      <c r="T59" s="1291">
        <f>E58</f>
        <v>44826</v>
      </c>
      <c r="U59" s="1291">
        <f>F58</f>
        <v>45192</v>
      </c>
      <c r="V59" s="26"/>
      <c r="W59" s="1291">
        <v>44958</v>
      </c>
      <c r="X59" s="1291">
        <v>44958</v>
      </c>
      <c r="Y59" s="26"/>
      <c r="Z59" s="1291">
        <f>T59</f>
        <v>44826</v>
      </c>
      <c r="AA59" s="1291">
        <f>X59</f>
        <v>44958</v>
      </c>
      <c r="AC59" s="5">
        <v>57578</v>
      </c>
      <c r="AD59" s="5">
        <v>76550</v>
      </c>
    </row>
    <row r="60" spans="1:33" ht="16.149999999999999" x14ac:dyDescent="0.55000000000000004">
      <c r="D60" s="1407" t="s">
        <v>94</v>
      </c>
      <c r="E60" s="1193">
        <f>H60/10000000</f>
        <v>0.84600010000000003</v>
      </c>
      <c r="F60" s="1193">
        <f>I60/10000000</f>
        <v>0.93734980000000001</v>
      </c>
      <c r="H60" s="598">
        <f>E152</f>
        <v>8460001</v>
      </c>
      <c r="I60" s="598">
        <f>E115</f>
        <v>9373498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33" ht="16.149999999999999" x14ac:dyDescent="0.55000000000000004">
      <c r="D61" s="1407" t="s">
        <v>502</v>
      </c>
      <c r="E61" s="1193">
        <f t="shared" ref="E61:F62" si="15">H61/10000000</f>
        <v>9.6294906000000005</v>
      </c>
      <c r="F61" s="1193">
        <f t="shared" si="15"/>
        <v>12.2805278</v>
      </c>
      <c r="H61" s="598">
        <f>G152</f>
        <v>96294906</v>
      </c>
      <c r="I61" s="598">
        <f>G115</f>
        <v>122805278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33" ht="16.899999999999999" thickBot="1" x14ac:dyDescent="0.6">
      <c r="D62" s="1407" t="s">
        <v>767</v>
      </c>
      <c r="E62" s="1193">
        <f t="shared" si="15"/>
        <v>61.117706900000002</v>
      </c>
      <c r="F62" s="1193">
        <f>I62/10000000</f>
        <v>63.489550000000001</v>
      </c>
      <c r="H62" s="1496">
        <f>I152</f>
        <v>611177069</v>
      </c>
      <c r="I62" s="1496">
        <f>I115</f>
        <v>634895500</v>
      </c>
      <c r="J62" s="1320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33" ht="16.5" x14ac:dyDescent="0.55000000000000004">
      <c r="E63" s="428"/>
      <c r="F63" s="428"/>
      <c r="J63" s="1215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33" ht="15.4" x14ac:dyDescent="0.4">
      <c r="E64" s="428"/>
      <c r="F64" s="428"/>
      <c r="I64" s="82">
        <f>J65/1000000</f>
        <v>0.23699999999999999</v>
      </c>
      <c r="K64" s="212"/>
      <c r="L64" s="1217"/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6.149999999999999" x14ac:dyDescent="0.55000000000000004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>
        <f>SUM(T60:T64)</f>
        <v>665125</v>
      </c>
      <c r="U65" s="26">
        <f t="shared" ref="U65:AA65" si="16">SUM(U60:U64)</f>
        <v>3363834</v>
      </c>
      <c r="W65" s="9">
        <f>SUM(W60:W64)</f>
        <v>1174725</v>
      </c>
      <c r="X65" s="9">
        <f t="shared" si="16"/>
        <v>7176648</v>
      </c>
      <c r="Y65" s="26"/>
      <c r="Z65" s="9">
        <f t="shared" si="16"/>
        <v>403700</v>
      </c>
      <c r="AA65" s="9">
        <f t="shared" si="16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6.149999999999999" x14ac:dyDescent="0.55000000000000004">
      <c r="D66" s="1407" t="s">
        <v>94</v>
      </c>
      <c r="E66" s="1193">
        <f>H66/1000000</f>
        <v>1.447203</v>
      </c>
      <c r="F66" s="1193">
        <f>I66/1000000</f>
        <v>1.541534</v>
      </c>
      <c r="H66" s="598">
        <f>D152</f>
        <v>1447203</v>
      </c>
      <c r="I66" s="598">
        <f>D115</f>
        <v>1541534</v>
      </c>
      <c r="J66" s="323">
        <f>H66/100000</f>
        <v>14.47203</v>
      </c>
      <c r="K66" s="323">
        <f t="shared" ref="K66:K68" si="17">I66/100000</f>
        <v>15.41534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6.149999999999999" x14ac:dyDescent="0.55000000000000004">
      <c r="D67" s="1407" t="s">
        <v>502</v>
      </c>
      <c r="E67" s="1193">
        <f t="shared" ref="E67:F68" si="18">H67/1000000</f>
        <v>1.1379490000000001</v>
      </c>
      <c r="F67" s="1193">
        <f t="shared" si="18"/>
        <v>1.346654</v>
      </c>
      <c r="H67" s="598">
        <f>F152</f>
        <v>1137949</v>
      </c>
      <c r="I67" s="598">
        <f>F115</f>
        <v>1346654</v>
      </c>
      <c r="J67" s="323">
        <f>H67/100000</f>
        <v>11.379490000000001</v>
      </c>
      <c r="K67" s="323">
        <f t="shared" si="17"/>
        <v>13.46654</v>
      </c>
      <c r="L67" s="491">
        <f>K66/100000</f>
        <v>1.541534E-4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6.149999999999999" x14ac:dyDescent="0.55000000000000004">
      <c r="D68" s="1407" t="s">
        <v>767</v>
      </c>
      <c r="E68" s="1193">
        <f t="shared" si="18"/>
        <v>0.87407999999999997</v>
      </c>
      <c r="F68" s="1193">
        <f>I68/1000000</f>
        <v>0.87036899999999995</v>
      </c>
      <c r="H68" s="1496">
        <f>H152</f>
        <v>874080</v>
      </c>
      <c r="I68" s="1496">
        <f>H115</f>
        <v>870369</v>
      </c>
      <c r="J68" s="323">
        <f>H68/100000</f>
        <v>8.7408000000000001</v>
      </c>
      <c r="K68" s="323">
        <f t="shared" si="17"/>
        <v>8.7036899999999999</v>
      </c>
      <c r="L68" s="491">
        <f>K67/100000</f>
        <v>1.3466540000000001E-4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J69" s="323"/>
      <c r="K69" s="212"/>
      <c r="L69" s="491">
        <f>K68/100000</f>
        <v>8.7036899999999993E-5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6.149999999999999" x14ac:dyDescent="0.55000000000000004">
      <c r="D71" s="1418" t="s">
        <v>436</v>
      </c>
      <c r="E71" s="134">
        <f>H71</f>
        <v>1.4289285</v>
      </c>
      <c r="F71" s="134">
        <f>I71</f>
        <v>1.3186994999999999</v>
      </c>
      <c r="H71" s="1372">
        <f>J71/10000000</f>
        <v>1.4289285</v>
      </c>
      <c r="I71" s="1372">
        <f>K71/10000000</f>
        <v>1.3186994999999999</v>
      </c>
      <c r="J71">
        <v>14289285</v>
      </c>
      <c r="K71">
        <v>13186995</v>
      </c>
      <c r="L71" s="1217"/>
      <c r="N71" s="755">
        <v>6531262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5">
        <f>66.07-3.11</f>
        <v>62.959999999999994</v>
      </c>
      <c r="D72" s="1418" t="s">
        <v>769</v>
      </c>
      <c r="E72" s="134">
        <f>J79/100</f>
        <v>2.0613000000000001</v>
      </c>
      <c r="F72" s="134">
        <f>K79/100</f>
        <v>1.9274</v>
      </c>
      <c r="H72" s="1263"/>
      <c r="I72" s="1263"/>
      <c r="J72" s="85"/>
      <c r="K72" s="134"/>
      <c r="L72" s="1217"/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5.2199999999999996E-2</v>
      </c>
      <c r="F73" s="283">
        <f>K77/100</f>
        <v>6.54E-2</v>
      </c>
      <c r="H73" s="1263"/>
      <c r="I73" s="1263"/>
      <c r="J73" s="283"/>
      <c r="K73" s="283"/>
      <c r="L73" s="1217"/>
      <c r="U73" s="1239"/>
      <c r="AB73" s="1239"/>
    </row>
    <row r="74" spans="3:30" ht="15.4" x14ac:dyDescent="0.45">
      <c r="D74" s="1418" t="s">
        <v>196</v>
      </c>
      <c r="E74" s="134">
        <f>H74/10000000</f>
        <v>0.19018499999999999</v>
      </c>
      <c r="F74" s="134">
        <f>I74/10000000</f>
        <v>0.199327</v>
      </c>
      <c r="H74" s="1578">
        <f>J152</f>
        <v>1901850</v>
      </c>
      <c r="I74" s="1578">
        <f>J115</f>
        <v>1993270</v>
      </c>
      <c r="J74" s="598"/>
      <c r="K74" s="210">
        <f>J116</f>
        <v>0</v>
      </c>
      <c r="L74" s="1217"/>
      <c r="M74" s="1210"/>
      <c r="N74" s="12"/>
      <c r="X74" s="5"/>
    </row>
    <row r="75" spans="3:30" ht="16.149999999999999" x14ac:dyDescent="0.55000000000000004">
      <c r="D75" s="1418" t="s">
        <v>123</v>
      </c>
      <c r="E75" s="425">
        <f>H75</f>
        <v>0</v>
      </c>
      <c r="F75" s="425">
        <f>I75</f>
        <v>2.8910184000000001</v>
      </c>
      <c r="H75" s="1372">
        <f>J75/10000000</f>
        <v>0</v>
      </c>
      <c r="I75" s="1372">
        <f>K75/10000000</f>
        <v>2.8910184000000001</v>
      </c>
      <c r="J75" s="210">
        <f>L152</f>
        <v>0</v>
      </c>
      <c r="K75" s="1498">
        <f>L115</f>
        <v>28910184</v>
      </c>
    </row>
    <row r="76" spans="3:30" ht="16.149999999999999" x14ac:dyDescent="0.55000000000000004">
      <c r="D76" s="1418" t="s">
        <v>435</v>
      </c>
      <c r="E76" s="134">
        <f>H76/10000000</f>
        <v>2.656828</v>
      </c>
      <c r="F76" s="134">
        <f>I76/10000000</f>
        <v>3.0716307999999999</v>
      </c>
      <c r="H76" s="1578">
        <f>K152</f>
        <v>26568280</v>
      </c>
      <c r="I76" s="1578">
        <f>K115</f>
        <v>30716308</v>
      </c>
      <c r="J76" s="1498">
        <v>32202382</v>
      </c>
      <c r="K76" s="1499">
        <f>K115</f>
        <v>30716308</v>
      </c>
      <c r="N76" s="755"/>
    </row>
    <row r="77" spans="3:30" x14ac:dyDescent="0.4">
      <c r="H77" s="1224"/>
      <c r="I77" s="1225"/>
      <c r="J77" s="85">
        <v>5.22</v>
      </c>
      <c r="K77" s="134">
        <v>6.54</v>
      </c>
    </row>
    <row r="78" spans="3:30" x14ac:dyDescent="0.4">
      <c r="E78" s="428"/>
      <c r="F78" s="428"/>
      <c r="J78" s="85">
        <v>211.35</v>
      </c>
      <c r="K78" s="85">
        <v>199.28</v>
      </c>
      <c r="L78" s="172">
        <f>J77/100</f>
        <v>5.2199999999999996E-2</v>
      </c>
    </row>
    <row r="79" spans="3:30" x14ac:dyDescent="0.4">
      <c r="E79" s="428"/>
      <c r="F79" s="428"/>
      <c r="J79" s="85">
        <f>J78-J77</f>
        <v>206.13</v>
      </c>
      <c r="K79" s="134">
        <f>K78-K77</f>
        <v>192.74</v>
      </c>
    </row>
    <row r="80" spans="3:30" x14ac:dyDescent="0.4">
      <c r="E80" s="428"/>
      <c r="F80" s="428"/>
      <c r="L80" s="172">
        <f>J79/100</f>
        <v>2.0613000000000001</v>
      </c>
    </row>
    <row r="81" spans="3:21" x14ac:dyDescent="0.4">
      <c r="C81" s="9"/>
      <c r="D81" s="235" t="s">
        <v>164</v>
      </c>
      <c r="E81" s="265" t="s">
        <v>710</v>
      </c>
      <c r="F81" s="29" t="s">
        <v>164</v>
      </c>
      <c r="G81" s="265" t="s">
        <v>710</v>
      </c>
      <c r="H81" s="29" t="s">
        <v>164</v>
      </c>
      <c r="I81" s="265" t="s">
        <v>710</v>
      </c>
      <c r="J81" s="29"/>
      <c r="K81" s="29"/>
      <c r="L81" s="1596"/>
    </row>
    <row r="82" spans="3:21" x14ac:dyDescent="0.4">
      <c r="C82" s="9"/>
      <c r="D82" s="235">
        <v>23</v>
      </c>
      <c r="E82" s="29">
        <v>23</v>
      </c>
      <c r="F82" s="29">
        <v>23</v>
      </c>
      <c r="G82" s="29">
        <v>23</v>
      </c>
      <c r="H82" s="29">
        <v>23</v>
      </c>
      <c r="I82" s="29">
        <v>23</v>
      </c>
      <c r="J82" s="29" t="s">
        <v>196</v>
      </c>
      <c r="K82" s="780">
        <v>23</v>
      </c>
      <c r="L82" s="1596"/>
    </row>
    <row r="83" spans="3:21" x14ac:dyDescent="0.4">
      <c r="C83" s="9"/>
      <c r="D83" s="1939" t="s">
        <v>795</v>
      </c>
      <c r="E83" s="1939"/>
      <c r="F83" s="1939" t="s">
        <v>796</v>
      </c>
      <c r="G83" s="1939"/>
      <c r="H83" s="1939" t="s">
        <v>797</v>
      </c>
      <c r="I83" s="1939"/>
      <c r="J83" s="29">
        <v>23</v>
      </c>
      <c r="K83" s="9" t="s">
        <v>882</v>
      </c>
      <c r="L83" s="1596" t="s">
        <v>123</v>
      </c>
    </row>
    <row r="84" spans="3:21" ht="16.149999999999999" x14ac:dyDescent="0.55000000000000004">
      <c r="C84" s="1239">
        <v>45170</v>
      </c>
      <c r="D84" s="1599"/>
      <c r="E84" s="1600"/>
      <c r="F84" s="224"/>
      <c r="G84" s="224"/>
      <c r="H84" s="1601"/>
      <c r="I84" s="1602"/>
      <c r="J84" s="1575"/>
      <c r="K84" s="1602"/>
      <c r="L84" s="1577"/>
      <c r="O84" s="1449">
        <v>62890</v>
      </c>
      <c r="P84" s="476">
        <v>373538</v>
      </c>
      <c r="Q84" s="7">
        <v>48426</v>
      </c>
      <c r="R84" s="7">
        <v>4303143</v>
      </c>
      <c r="S84" s="1453"/>
      <c r="T84" s="828"/>
      <c r="U84" s="85">
        <v>68220</v>
      </c>
    </row>
    <row r="85" spans="3:21" x14ac:dyDescent="0.4">
      <c r="C85" s="1239">
        <v>45171</v>
      </c>
      <c r="D85" s="1451"/>
      <c r="E85" s="476"/>
      <c r="F85" s="7"/>
      <c r="G85" s="7"/>
      <c r="H85" s="224"/>
      <c r="I85" s="1576"/>
      <c r="J85" s="1576"/>
      <c r="K85" s="1575"/>
      <c r="L85" s="1577"/>
      <c r="O85" s="1451">
        <v>69548</v>
      </c>
      <c r="P85" s="476">
        <v>406133</v>
      </c>
      <c r="Q85" s="7">
        <v>51371</v>
      </c>
      <c r="R85" s="7">
        <v>3850288</v>
      </c>
      <c r="S85" s="224"/>
      <c r="T85" s="1576"/>
      <c r="U85" s="1576">
        <v>68040</v>
      </c>
    </row>
    <row r="86" spans="3:21" x14ac:dyDescent="0.4">
      <c r="C86" s="1239">
        <v>45172</v>
      </c>
      <c r="D86" s="1451"/>
      <c r="E86" s="476"/>
      <c r="F86" s="7"/>
      <c r="G86" s="7"/>
      <c r="H86" s="7"/>
      <c r="I86" s="210"/>
      <c r="J86" s="210"/>
      <c r="K86" s="85"/>
      <c r="L86" s="1297"/>
      <c r="O86" s="1451">
        <v>68805</v>
      </c>
      <c r="P86" s="476">
        <v>395004</v>
      </c>
      <c r="Q86" s="7">
        <v>51335</v>
      </c>
      <c r="R86" s="7">
        <v>4085432</v>
      </c>
      <c r="S86" s="7"/>
      <c r="T86" s="210"/>
      <c r="U86" s="210">
        <v>71690</v>
      </c>
    </row>
    <row r="87" spans="3:21" x14ac:dyDescent="0.4">
      <c r="C87" s="1239">
        <v>45173</v>
      </c>
      <c r="D87" s="1451"/>
      <c r="E87" s="476"/>
      <c r="F87" s="7"/>
      <c r="G87" s="7"/>
      <c r="H87" s="7"/>
      <c r="I87" s="210"/>
      <c r="J87" s="210"/>
      <c r="K87" s="85"/>
      <c r="L87" s="1297"/>
      <c r="O87" s="1451">
        <v>60608</v>
      </c>
      <c r="P87" s="476">
        <v>361532</v>
      </c>
      <c r="Q87" s="7">
        <v>49071</v>
      </c>
      <c r="R87" s="7">
        <v>4100485</v>
      </c>
      <c r="S87" s="7"/>
      <c r="T87" s="210"/>
      <c r="U87" s="210">
        <v>63060</v>
      </c>
    </row>
    <row r="88" spans="3:21" x14ac:dyDescent="0.4">
      <c r="C88" s="1239">
        <v>45174</v>
      </c>
      <c r="D88" s="1451"/>
      <c r="E88" s="476"/>
      <c r="F88" s="7"/>
      <c r="G88" s="7"/>
      <c r="H88" s="7"/>
      <c r="I88" s="210"/>
      <c r="J88" s="1604"/>
      <c r="K88" s="85"/>
      <c r="L88" s="1297"/>
      <c r="O88" s="1451">
        <v>56363</v>
      </c>
      <c r="P88" s="476">
        <v>418378</v>
      </c>
      <c r="Q88" s="7">
        <v>51147</v>
      </c>
      <c r="R88" s="7">
        <v>4595376</v>
      </c>
      <c r="S88" s="7"/>
      <c r="T88" s="210"/>
      <c r="U88" s="210">
        <v>77790</v>
      </c>
    </row>
    <row r="89" spans="3:21" ht="16.5" thickBot="1" x14ac:dyDescent="0.6">
      <c r="C89" s="1239">
        <v>45175</v>
      </c>
      <c r="D89" s="1451"/>
      <c r="E89" s="476"/>
      <c r="F89" s="6"/>
      <c r="G89" s="6"/>
      <c r="H89" s="1255"/>
      <c r="I89" s="828"/>
      <c r="J89" s="1604"/>
      <c r="K89" s="755"/>
      <c r="L89" s="1297"/>
      <c r="O89" s="1451">
        <v>58004</v>
      </c>
      <c r="P89" s="476">
        <v>513836</v>
      </c>
      <c r="Q89" s="6">
        <v>48683</v>
      </c>
      <c r="R89" s="6">
        <v>4834875</v>
      </c>
      <c r="S89" s="824"/>
      <c r="T89" s="755"/>
      <c r="U89" s="210">
        <v>94230</v>
      </c>
    </row>
    <row r="90" spans="3:21" x14ac:dyDescent="0.4">
      <c r="C90" s="1239">
        <v>45176</v>
      </c>
      <c r="D90" s="1451"/>
      <c r="E90" s="476"/>
      <c r="F90" s="6"/>
      <c r="G90" s="6"/>
      <c r="H90" s="1461"/>
      <c r="I90" s="1460"/>
      <c r="J90" s="1593"/>
      <c r="K90" s="85"/>
      <c r="L90" s="1594"/>
    </row>
    <row r="91" spans="3:21" x14ac:dyDescent="0.4">
      <c r="C91" s="1239">
        <v>45177</v>
      </c>
      <c r="D91" s="1451"/>
      <c r="E91" s="476"/>
      <c r="F91" s="6"/>
      <c r="G91" s="6"/>
      <c r="H91" s="31"/>
      <c r="I91" s="79"/>
      <c r="J91" s="1593"/>
      <c r="K91" s="85"/>
      <c r="L91" s="1594"/>
    </row>
    <row r="92" spans="3:21" x14ac:dyDescent="0.4">
      <c r="C92" s="1239">
        <v>45178</v>
      </c>
      <c r="D92" s="1451"/>
      <c r="E92" s="476"/>
      <c r="F92" s="6"/>
      <c r="G92" s="6"/>
      <c r="H92" s="31"/>
      <c r="I92" s="79"/>
      <c r="J92" s="1593"/>
      <c r="K92" s="85"/>
      <c r="L92" s="1594"/>
    </row>
    <row r="93" spans="3:21" ht="16.5" thickBot="1" x14ac:dyDescent="0.6">
      <c r="C93" s="1239">
        <v>45179</v>
      </c>
      <c r="D93" s="1451">
        <v>648256</v>
      </c>
      <c r="E93" s="476">
        <v>3947733</v>
      </c>
      <c r="F93" s="6">
        <v>575686</v>
      </c>
      <c r="G93" s="6">
        <v>49585650</v>
      </c>
      <c r="H93" s="755">
        <v>394107</v>
      </c>
      <c r="I93" s="755">
        <v>281684670</v>
      </c>
      <c r="J93" s="1593">
        <v>872200</v>
      </c>
      <c r="K93" s="910">
        <v>12563301</v>
      </c>
      <c r="L93" s="1594">
        <v>7145401</v>
      </c>
    </row>
    <row r="94" spans="3:21" ht="16.149999999999999" x14ac:dyDescent="0.55000000000000004">
      <c r="C94" s="1239">
        <v>45180</v>
      </c>
      <c r="D94" s="1451"/>
      <c r="E94" s="476"/>
      <c r="F94" s="6"/>
      <c r="G94" s="6"/>
      <c r="H94" s="1255"/>
      <c r="I94" s="828"/>
      <c r="J94" s="1593"/>
      <c r="K94" s="828"/>
      <c r="L94" s="1594"/>
    </row>
    <row r="95" spans="3:21" ht="15.75" x14ac:dyDescent="0.4">
      <c r="C95" s="1239">
        <v>45181</v>
      </c>
      <c r="D95" s="1451"/>
      <c r="E95" s="476"/>
      <c r="F95" s="6"/>
      <c r="G95" s="6"/>
      <c r="H95" s="1255"/>
      <c r="I95" s="1453"/>
      <c r="J95" s="1593"/>
      <c r="K95" s="85"/>
      <c r="L95" s="1594"/>
    </row>
    <row r="96" spans="3:21" ht="16.149999999999999" x14ac:dyDescent="0.55000000000000004">
      <c r="C96" s="1239">
        <v>45182</v>
      </c>
      <c r="D96" s="1451"/>
      <c r="E96" s="476"/>
      <c r="F96" s="6"/>
      <c r="G96" s="6"/>
      <c r="H96" s="828"/>
      <c r="I96" s="828"/>
      <c r="J96" s="1593"/>
      <c r="K96" s="1255"/>
      <c r="L96" s="1594"/>
    </row>
    <row r="97" spans="3:12" ht="16.149999999999999" x14ac:dyDescent="0.55000000000000004">
      <c r="C97" s="1239">
        <v>45183</v>
      </c>
      <c r="D97" s="1451"/>
      <c r="E97" s="476"/>
      <c r="F97" s="6"/>
      <c r="G97" s="6"/>
      <c r="H97" s="1254"/>
      <c r="I97" s="1254"/>
      <c r="J97" s="1593"/>
      <c r="K97" s="1255"/>
      <c r="L97" s="1594"/>
    </row>
    <row r="98" spans="3:12" x14ac:dyDescent="0.4">
      <c r="C98" s="1239">
        <v>45184</v>
      </c>
      <c r="D98" s="1451"/>
      <c r="E98" s="476"/>
      <c r="F98" s="6"/>
      <c r="G98" s="6"/>
      <c r="H98" s="31"/>
      <c r="I98" s="79"/>
      <c r="J98" s="1593"/>
      <c r="K98" s="85"/>
      <c r="L98" s="1594"/>
    </row>
    <row r="99" spans="3:12" ht="16.149999999999999" x14ac:dyDescent="0.55000000000000004">
      <c r="C99" s="1239">
        <v>45185</v>
      </c>
      <c r="D99" s="1451"/>
      <c r="E99" s="476"/>
      <c r="F99" s="6"/>
      <c r="G99" s="6"/>
      <c r="H99" s="828"/>
      <c r="I99" s="1453"/>
      <c r="J99" s="1593"/>
      <c r="K99" s="85"/>
      <c r="L99" s="1594"/>
    </row>
    <row r="100" spans="3:12" ht="16.149999999999999" thickBot="1" x14ac:dyDescent="0.45">
      <c r="C100" s="1239">
        <v>45186</v>
      </c>
      <c r="D100" s="1451"/>
      <c r="E100" s="476"/>
      <c r="F100" s="6"/>
      <c r="G100" s="6"/>
      <c r="H100" s="824"/>
      <c r="I100" s="910"/>
      <c r="J100" s="1593"/>
      <c r="K100" s="824"/>
      <c r="L100" s="1594">
        <v>8785474</v>
      </c>
    </row>
    <row r="101" spans="3:12" ht="16.149999999999999" x14ac:dyDescent="0.55000000000000004">
      <c r="C101" s="1239">
        <v>45187</v>
      </c>
      <c r="D101" s="1451"/>
      <c r="E101" s="476"/>
      <c r="F101" s="6"/>
      <c r="G101" s="6"/>
      <c r="H101" s="1255"/>
      <c r="I101" s="828"/>
      <c r="J101" s="1593"/>
      <c r="K101" s="828"/>
      <c r="L101" s="1594"/>
    </row>
    <row r="102" spans="3:12" x14ac:dyDescent="0.4">
      <c r="C102" s="1239">
        <v>45188</v>
      </c>
      <c r="D102" s="234"/>
      <c r="E102" s="476"/>
      <c r="F102" s="6"/>
      <c r="G102" s="6"/>
      <c r="H102" s="31"/>
      <c r="I102" s="79"/>
      <c r="J102" s="1593"/>
      <c r="K102" s="85"/>
      <c r="L102" s="1594"/>
    </row>
    <row r="103" spans="3:12" ht="16.149999999999999" x14ac:dyDescent="0.55000000000000004">
      <c r="C103" s="1239">
        <v>45189</v>
      </c>
      <c r="D103" s="1451">
        <v>671737</v>
      </c>
      <c r="E103" s="476">
        <v>3922891</v>
      </c>
      <c r="F103" s="6">
        <v>569614</v>
      </c>
      <c r="G103" s="6">
        <v>53183230</v>
      </c>
      <c r="H103" s="755">
        <v>347916</v>
      </c>
      <c r="I103" s="755">
        <v>258300116</v>
      </c>
      <c r="J103" s="1593">
        <v>801420</v>
      </c>
      <c r="K103" s="755">
        <v>13098657</v>
      </c>
      <c r="L103" s="1594">
        <v>8890474</v>
      </c>
    </row>
    <row r="104" spans="3:12" ht="16.149999999999999" x14ac:dyDescent="0.55000000000000004">
      <c r="C104" s="1239">
        <v>45190</v>
      </c>
      <c r="D104" s="1478">
        <v>67073</v>
      </c>
      <c r="E104" s="1479">
        <v>392765</v>
      </c>
      <c r="F104" s="1603">
        <v>54323</v>
      </c>
      <c r="G104" s="1603">
        <v>5058408</v>
      </c>
      <c r="H104" s="828"/>
      <c r="I104" s="828"/>
      <c r="J104" s="1593">
        <v>77380</v>
      </c>
      <c r="K104" s="1255"/>
      <c r="L104" s="1594">
        <v>4088835</v>
      </c>
    </row>
    <row r="105" spans="3:12" x14ac:dyDescent="0.4">
      <c r="C105" s="1239">
        <v>45191</v>
      </c>
      <c r="D105" s="1451">
        <v>50676</v>
      </c>
      <c r="E105" s="476">
        <v>326661</v>
      </c>
      <c r="F105" s="85">
        <v>45594</v>
      </c>
      <c r="G105" s="85">
        <v>4432038</v>
      </c>
      <c r="H105" s="31"/>
      <c r="I105" s="79"/>
      <c r="J105" s="85">
        <v>61900</v>
      </c>
      <c r="K105" s="85"/>
      <c r="L105" s="1594"/>
    </row>
    <row r="106" spans="3:12" x14ac:dyDescent="0.4">
      <c r="C106" s="1239">
        <v>45192</v>
      </c>
      <c r="D106" s="1451">
        <v>47187</v>
      </c>
      <c r="E106" s="476">
        <v>341578</v>
      </c>
      <c r="F106" s="476">
        <v>45022</v>
      </c>
      <c r="G106" s="85">
        <v>4674828</v>
      </c>
      <c r="H106" s="31"/>
      <c r="I106" s="79"/>
      <c r="J106" s="85">
        <v>83140</v>
      </c>
      <c r="K106" s="85"/>
      <c r="L106" s="1297"/>
    </row>
    <row r="107" spans="3:12" ht="16.5" thickBot="1" x14ac:dyDescent="0.6">
      <c r="C107" s="1239">
        <v>45193</v>
      </c>
      <c r="D107" s="1451">
        <v>56605</v>
      </c>
      <c r="E107" s="476">
        <v>441870</v>
      </c>
      <c r="F107" s="85">
        <v>56415</v>
      </c>
      <c r="G107" s="85">
        <v>5871124</v>
      </c>
      <c r="H107" s="755">
        <v>128346</v>
      </c>
      <c r="I107" s="824">
        <v>94910714</v>
      </c>
      <c r="J107" s="85">
        <v>97230</v>
      </c>
      <c r="K107" s="755">
        <v>5054350</v>
      </c>
      <c r="L107" s="1297"/>
    </row>
    <row r="108" spans="3:12" x14ac:dyDescent="0.4">
      <c r="C108" s="1239">
        <v>45194</v>
      </c>
      <c r="D108" s="1454"/>
      <c r="E108" s="1243"/>
      <c r="F108" s="1243"/>
      <c r="G108" s="1243"/>
      <c r="H108" s="1243"/>
      <c r="I108" s="1243"/>
      <c r="J108" s="85"/>
      <c r="K108" s="1243"/>
      <c r="L108" s="1297"/>
    </row>
    <row r="109" spans="3:12" x14ac:dyDescent="0.4">
      <c r="C109" s="1239">
        <v>45195</v>
      </c>
      <c r="D109" s="1407"/>
      <c r="E109" s="476"/>
      <c r="F109" s="85"/>
      <c r="G109" s="85"/>
      <c r="H109" s="31"/>
      <c r="I109" s="79"/>
      <c r="J109" s="1243"/>
      <c r="K109" s="85"/>
      <c r="L109" s="1297"/>
    </row>
    <row r="110" spans="3:12" ht="16.149999999999999" x14ac:dyDescent="0.55000000000000004">
      <c r="C110" s="1239">
        <v>45196</v>
      </c>
      <c r="D110" s="1407"/>
      <c r="E110" s="476"/>
      <c r="F110" s="85"/>
      <c r="G110" s="85"/>
      <c r="H110" s="755"/>
      <c r="I110" s="755"/>
      <c r="J110" s="85"/>
      <c r="K110" s="755"/>
      <c r="L110" s="1297"/>
    </row>
    <row r="111" spans="3:12" ht="16.5" thickBot="1" x14ac:dyDescent="0.6">
      <c r="C111" s="1239">
        <v>45197</v>
      </c>
      <c r="D111" s="1407"/>
      <c r="E111" s="476"/>
      <c r="F111" s="6"/>
      <c r="G111" s="6"/>
      <c r="H111" s="824"/>
      <c r="I111" s="910"/>
      <c r="J111" s="85"/>
      <c r="K111" s="755"/>
      <c r="L111" s="1297"/>
    </row>
    <row r="112" spans="3:12" x14ac:dyDescent="0.4">
      <c r="C112" s="1239">
        <v>45198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34" ht="16.149999999999999" x14ac:dyDescent="0.55000000000000004">
      <c r="C113" s="1239">
        <v>45199</v>
      </c>
      <c r="D113" s="1407"/>
      <c r="E113" s="476"/>
      <c r="F113" s="6"/>
      <c r="G113" s="6"/>
      <c r="H113" s="755"/>
      <c r="I113" s="755"/>
      <c r="J113" s="85"/>
      <c r="K113" s="755"/>
      <c r="L113" s="1297"/>
    </row>
    <row r="114" spans="1:34" x14ac:dyDescent="0.4">
      <c r="C114" s="1239"/>
      <c r="D114" s="1455"/>
      <c r="E114" s="277"/>
      <c r="F114" s="44"/>
      <c r="G114" s="44"/>
      <c r="H114" s="1456"/>
      <c r="I114" s="278"/>
      <c r="J114" s="85"/>
      <c r="K114" s="1448"/>
      <c r="L114" s="1297"/>
    </row>
    <row r="115" spans="1:34" x14ac:dyDescent="0.4">
      <c r="C115" s="1239">
        <v>45170</v>
      </c>
      <c r="D115" s="1462">
        <f>SUM(D84:D114)</f>
        <v>1541534</v>
      </c>
      <c r="E115" s="1462">
        <f t="shared" ref="E115:G115" si="19">SUM(E84:E114)</f>
        <v>9373498</v>
      </c>
      <c r="F115" s="1462">
        <f>SUM(F84:F114)</f>
        <v>1346654</v>
      </c>
      <c r="G115" s="1462">
        <f t="shared" si="19"/>
        <v>122805278</v>
      </c>
      <c r="H115" s="1462">
        <f>SUM(H84:H114)</f>
        <v>870369</v>
      </c>
      <c r="I115" s="1462">
        <f>SUM(I84:I114)</f>
        <v>634895500</v>
      </c>
      <c r="J115" s="1462">
        <f>SUM(J84:J114)</f>
        <v>1993270</v>
      </c>
      <c r="K115" s="1462">
        <f>SUM(K84:K114)</f>
        <v>30716308</v>
      </c>
      <c r="L115" s="1462">
        <f>SUM(L84:L114)</f>
        <v>28910184</v>
      </c>
    </row>
    <row r="116" spans="1:34" x14ac:dyDescent="0.4">
      <c r="J116" s="1462"/>
    </row>
    <row r="117" spans="1:34" x14ac:dyDescent="0.4">
      <c r="L117" s="1297"/>
    </row>
    <row r="118" spans="1:34" s="172" customFormat="1" x14ac:dyDescent="0.4">
      <c r="A118" s="1235"/>
      <c r="B118" s="300"/>
      <c r="C118" s="9"/>
      <c r="D118" s="235" t="s">
        <v>164</v>
      </c>
      <c r="E118" s="265" t="s">
        <v>710</v>
      </c>
      <c r="F118" s="29" t="s">
        <v>164</v>
      </c>
      <c r="G118" s="265" t="s">
        <v>710</v>
      </c>
      <c r="H118" s="29" t="s">
        <v>164</v>
      </c>
      <c r="I118" s="265" t="s">
        <v>710</v>
      </c>
      <c r="J118" s="29" t="s">
        <v>196</v>
      </c>
      <c r="K118" s="1592"/>
      <c r="L118" s="1596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 s="172" customFormat="1" x14ac:dyDescent="0.4">
      <c r="A119" s="1235"/>
      <c r="B119" s="300"/>
      <c r="C119" s="9"/>
      <c r="D119" s="235">
        <v>22</v>
      </c>
      <c r="E119" s="29">
        <v>22</v>
      </c>
      <c r="F119" s="29">
        <v>22</v>
      </c>
      <c r="G119" s="29">
        <v>22</v>
      </c>
      <c r="H119" s="29">
        <v>22</v>
      </c>
      <c r="I119" s="29">
        <v>22</v>
      </c>
      <c r="J119" s="29">
        <v>22</v>
      </c>
      <c r="K119" s="1597">
        <v>22</v>
      </c>
      <c r="L119" s="1596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 s="172" customFormat="1" x14ac:dyDescent="0.4">
      <c r="A120" s="1235"/>
      <c r="B120" s="300"/>
      <c r="C120" s="9"/>
      <c r="D120" s="1939" t="s">
        <v>795</v>
      </c>
      <c r="E120" s="1939"/>
      <c r="F120" s="1939" t="s">
        <v>796</v>
      </c>
      <c r="G120" s="1939"/>
      <c r="H120" s="1939" t="s">
        <v>797</v>
      </c>
      <c r="I120" s="1939"/>
      <c r="J120" s="9" t="s">
        <v>196</v>
      </c>
      <c r="K120" s="1598" t="s">
        <v>435</v>
      </c>
      <c r="L120" s="1596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 s="172" customFormat="1" ht="16.149999999999999" x14ac:dyDescent="0.55000000000000004">
      <c r="A121" s="1235"/>
      <c r="B121" s="300"/>
      <c r="C121" s="1261">
        <v>44805</v>
      </c>
      <c r="D121" s="1449"/>
      <c r="E121" s="476"/>
      <c r="F121" s="6"/>
      <c r="G121" s="6"/>
      <c r="H121" s="755"/>
      <c r="I121" s="755"/>
      <c r="J121" s="85"/>
      <c r="K121" s="1255"/>
      <c r="L121" s="1297"/>
      <c r="M121" s="1209"/>
      <c r="N121" s="5"/>
      <c r="O121" s="1449">
        <v>64100</v>
      </c>
      <c r="P121" s="476">
        <v>352606</v>
      </c>
      <c r="Q121" s="6">
        <v>50287</v>
      </c>
      <c r="R121" s="6">
        <v>3243776</v>
      </c>
      <c r="S121" s="755"/>
      <c r="T121" s="755"/>
      <c r="U121" s="85">
        <v>72390</v>
      </c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 s="172" customFormat="1" x14ac:dyDescent="0.4">
      <c r="A122" s="1235"/>
      <c r="B122" s="300"/>
      <c r="C122" s="1261">
        <v>44806</v>
      </c>
      <c r="D122" s="1451"/>
      <c r="E122" s="476"/>
      <c r="F122" s="6"/>
      <c r="G122" s="6"/>
      <c r="H122" s="31"/>
      <c r="I122" s="79"/>
      <c r="J122" s="85"/>
      <c r="K122" s="85"/>
      <c r="L122" s="1297"/>
      <c r="M122" s="1209"/>
      <c r="N122" s="5"/>
      <c r="O122" s="1451">
        <v>47455</v>
      </c>
      <c r="P122" s="476">
        <v>274841</v>
      </c>
      <c r="Q122" s="6">
        <v>37882</v>
      </c>
      <c r="R122" s="6">
        <v>2992313</v>
      </c>
      <c r="S122" s="31"/>
      <c r="T122" s="79"/>
      <c r="U122" s="85">
        <v>71700</v>
      </c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 s="172" customFormat="1" x14ac:dyDescent="0.4">
      <c r="A123" s="1235"/>
      <c r="B123" s="300"/>
      <c r="C123" s="1261">
        <v>44807</v>
      </c>
      <c r="D123" s="1451"/>
      <c r="E123" s="476"/>
      <c r="F123" s="6"/>
      <c r="G123" s="6"/>
      <c r="H123" s="31"/>
      <c r="I123" s="79"/>
      <c r="J123" s="85"/>
      <c r="K123" s="85"/>
      <c r="L123" s="1297"/>
      <c r="M123" s="1209"/>
      <c r="N123" s="5"/>
      <c r="O123" s="1451">
        <v>51343</v>
      </c>
      <c r="P123" s="476">
        <v>284320</v>
      </c>
      <c r="Q123" s="6">
        <v>35510</v>
      </c>
      <c r="R123" s="6">
        <v>2980113</v>
      </c>
      <c r="S123" s="31"/>
      <c r="T123" s="79"/>
      <c r="U123" s="85">
        <v>70770</v>
      </c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 s="172" customFormat="1" x14ac:dyDescent="0.4">
      <c r="A124" s="1235"/>
      <c r="B124" s="300"/>
      <c r="C124" s="1261">
        <v>44808</v>
      </c>
      <c r="D124" s="1451"/>
      <c r="E124" s="476"/>
      <c r="F124" s="6"/>
      <c r="G124" s="6"/>
      <c r="H124" s="31"/>
      <c r="I124" s="79"/>
      <c r="J124" s="85"/>
      <c r="K124" s="85"/>
      <c r="L124" s="1297"/>
      <c r="M124" s="1209"/>
      <c r="N124" s="5"/>
      <c r="O124" s="1451">
        <v>50716</v>
      </c>
      <c r="P124" s="476">
        <v>287532</v>
      </c>
      <c r="Q124" s="6">
        <v>39138</v>
      </c>
      <c r="R124" s="6">
        <v>2848582</v>
      </c>
      <c r="S124" s="31"/>
      <c r="T124" s="79"/>
      <c r="U124" s="85">
        <v>70340</v>
      </c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 s="172" customFormat="1" x14ac:dyDescent="0.4">
      <c r="A125" s="1235"/>
      <c r="B125" s="300"/>
      <c r="C125" s="1261">
        <v>44809</v>
      </c>
      <c r="D125" s="1451"/>
      <c r="E125" s="476"/>
      <c r="F125" s="6"/>
      <c r="G125" s="6"/>
      <c r="H125" s="31"/>
      <c r="I125" s="79"/>
      <c r="J125" s="85"/>
      <c r="K125" s="85"/>
      <c r="L125" s="1297"/>
      <c r="M125" s="1209"/>
      <c r="N125" s="5"/>
      <c r="O125" s="1451">
        <v>46074</v>
      </c>
      <c r="P125" s="476">
        <v>269365</v>
      </c>
      <c r="Q125" s="6">
        <v>35823</v>
      </c>
      <c r="R125" s="6">
        <v>3069600</v>
      </c>
      <c r="S125" s="31"/>
      <c r="T125" s="79"/>
      <c r="U125" s="85">
        <v>61840</v>
      </c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 s="172" customFormat="1" ht="16.5" thickBot="1" x14ac:dyDescent="0.6">
      <c r="A126" s="1235"/>
      <c r="B126" s="300"/>
      <c r="C126" s="1261">
        <v>44810</v>
      </c>
      <c r="D126" s="1451"/>
      <c r="E126" s="476"/>
      <c r="F126" s="6"/>
      <c r="G126" s="6"/>
      <c r="H126" s="1255"/>
      <c r="I126" s="828"/>
      <c r="J126" s="85"/>
      <c r="K126" s="1255"/>
      <c r="L126" s="1297"/>
      <c r="M126" s="1209"/>
      <c r="N126" s="5"/>
      <c r="O126" s="1451">
        <v>44550</v>
      </c>
      <c r="P126" s="476">
        <v>324802</v>
      </c>
      <c r="Q126" s="6">
        <v>36929</v>
      </c>
      <c r="R126" s="6">
        <v>3450395</v>
      </c>
      <c r="S126" s="824"/>
      <c r="T126" s="755"/>
      <c r="U126" s="85">
        <v>79260</v>
      </c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 s="172" customFormat="1" ht="15.75" x14ac:dyDescent="0.5">
      <c r="A127" s="1235"/>
      <c r="B127" s="300"/>
      <c r="C127" s="1261">
        <v>44811</v>
      </c>
      <c r="D127" s="1451"/>
      <c r="E127" s="476"/>
      <c r="F127" s="6"/>
      <c r="G127" s="6"/>
      <c r="H127" s="7"/>
      <c r="I127" s="1459"/>
      <c r="J127" s="85"/>
      <c r="K127" s="1277"/>
      <c r="L127" s="1594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 s="172" customFormat="1" x14ac:dyDescent="0.4">
      <c r="A128" s="1235"/>
      <c r="B128" s="300"/>
      <c r="C128" s="1261">
        <v>44812</v>
      </c>
      <c r="D128" s="1451"/>
      <c r="E128" s="476"/>
      <c r="F128" s="6"/>
      <c r="G128" s="6"/>
      <c r="H128" s="31"/>
      <c r="I128" s="79"/>
      <c r="J128" s="85"/>
      <c r="K128" s="85"/>
      <c r="L128" s="1594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261">
        <v>44813</v>
      </c>
      <c r="D129" s="1451"/>
      <c r="E129" s="476"/>
      <c r="F129" s="6"/>
      <c r="G129" s="6"/>
      <c r="H129" s="31"/>
      <c r="I129" s="79"/>
      <c r="J129" s="85"/>
      <c r="K129" s="85"/>
      <c r="L129" s="1594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6.149999999999999" x14ac:dyDescent="0.55000000000000004">
      <c r="A130" s="1235"/>
      <c r="B130" s="300"/>
      <c r="C130" s="1261">
        <v>44814</v>
      </c>
      <c r="D130" s="1451">
        <v>588263</v>
      </c>
      <c r="E130" s="476">
        <v>3515066</v>
      </c>
      <c r="F130" s="6">
        <v>464987</v>
      </c>
      <c r="G130" s="6">
        <v>37817156</v>
      </c>
      <c r="H130" s="755">
        <v>349767</v>
      </c>
      <c r="I130" s="755">
        <v>256547988</v>
      </c>
      <c r="J130" s="85">
        <v>771710</v>
      </c>
      <c r="K130" s="755">
        <v>11425198</v>
      </c>
      <c r="L130" s="1297"/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6.149999999999999" x14ac:dyDescent="0.55000000000000004">
      <c r="A131" s="1235"/>
      <c r="B131" s="300"/>
      <c r="C131" s="1261">
        <v>44815</v>
      </c>
      <c r="D131" s="1451"/>
      <c r="E131" s="476"/>
      <c r="F131" s="6"/>
      <c r="G131" s="6"/>
      <c r="H131" s="1255"/>
      <c r="I131" s="1255"/>
      <c r="J131" s="1593"/>
      <c r="K131" s="755"/>
      <c r="L131" s="1297"/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6.149999999999999" x14ac:dyDescent="0.55000000000000004">
      <c r="A132" s="1235"/>
      <c r="B132" s="300"/>
      <c r="C132" s="1261">
        <v>44816</v>
      </c>
      <c r="D132" s="1451"/>
      <c r="E132" s="476"/>
      <c r="F132" s="6"/>
      <c r="G132" s="6"/>
      <c r="H132" s="828"/>
      <c r="I132" s="828"/>
      <c r="J132" s="1593"/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ht="15.75" x14ac:dyDescent="0.4">
      <c r="A133" s="1235"/>
      <c r="B133" s="300"/>
      <c r="C133" s="1261">
        <v>44817</v>
      </c>
      <c r="D133" s="1451"/>
      <c r="E133" s="476"/>
      <c r="F133" s="6"/>
      <c r="G133" s="6"/>
      <c r="H133" s="1255"/>
      <c r="I133" s="1255"/>
      <c r="J133" s="1593"/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6.149999999999999" x14ac:dyDescent="0.55000000000000004">
      <c r="A134" s="1235"/>
      <c r="B134" s="300"/>
      <c r="C134" s="1261">
        <v>44818</v>
      </c>
      <c r="D134" s="1452"/>
      <c r="E134" s="476"/>
      <c r="F134" s="6"/>
      <c r="G134" s="6"/>
      <c r="H134" s="828"/>
      <c r="I134" s="1255"/>
      <c r="J134" s="1593"/>
      <c r="K134" s="1492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x14ac:dyDescent="0.4">
      <c r="A135" s="1235"/>
      <c r="B135" s="300"/>
      <c r="C135" s="1261">
        <v>44819</v>
      </c>
      <c r="D135" s="1452"/>
      <c r="E135" s="476"/>
      <c r="F135" s="6"/>
      <c r="G135" s="6"/>
      <c r="H135" s="31"/>
      <c r="I135" s="79"/>
      <c r="J135" s="1593"/>
      <c r="K135" s="1488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6.149999999999999" x14ac:dyDescent="0.55000000000000004">
      <c r="A136" s="1235"/>
      <c r="B136" s="300"/>
      <c r="C136" s="1261">
        <v>44820</v>
      </c>
      <c r="D136" s="1452"/>
      <c r="E136" s="476"/>
      <c r="F136" s="6"/>
      <c r="G136" s="6"/>
      <c r="H136" s="828"/>
      <c r="I136" s="828"/>
      <c r="J136" s="1593"/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261">
        <v>44821</v>
      </c>
      <c r="D137" s="1452"/>
      <c r="E137" s="476"/>
      <c r="F137" s="6"/>
      <c r="G137" s="6"/>
      <c r="H137" s="31"/>
      <c r="I137" s="79"/>
      <c r="J137" s="85"/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6.149999999999999" x14ac:dyDescent="0.55000000000000004">
      <c r="A138" s="1235"/>
      <c r="B138" s="300"/>
      <c r="C138" s="1261">
        <v>44822</v>
      </c>
      <c r="D138" s="1452"/>
      <c r="E138" s="476"/>
      <c r="F138" s="6"/>
      <c r="G138" s="6"/>
      <c r="H138" s="1255"/>
      <c r="I138" s="828"/>
      <c r="J138" s="85"/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x14ac:dyDescent="0.4">
      <c r="A139" s="1235"/>
      <c r="B139" s="300"/>
      <c r="C139" s="1261">
        <v>44823</v>
      </c>
      <c r="D139" s="1452"/>
      <c r="E139" s="476"/>
      <c r="F139" s="6"/>
      <c r="G139" s="6"/>
      <c r="H139" s="186"/>
      <c r="I139" s="1591"/>
      <c r="J139" s="85"/>
      <c r="K139" s="1488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ht="16.149999999999999" x14ac:dyDescent="0.55000000000000004">
      <c r="A140" s="1235"/>
      <c r="B140" s="300"/>
      <c r="C140" s="1261">
        <v>44824</v>
      </c>
      <c r="D140" s="1451">
        <v>621798</v>
      </c>
      <c r="E140" s="210">
        <v>3540027</v>
      </c>
      <c r="F140" s="7">
        <v>482337</v>
      </c>
      <c r="G140" s="7">
        <v>40961548</v>
      </c>
      <c r="H140" s="755">
        <v>383979</v>
      </c>
      <c r="I140" s="755">
        <v>265135586</v>
      </c>
      <c r="J140" s="210">
        <v>815200</v>
      </c>
      <c r="K140" s="755">
        <v>10959433</v>
      </c>
      <c r="L140" s="1488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6.149999999999999" x14ac:dyDescent="0.55000000000000004">
      <c r="A141" s="1235"/>
      <c r="B141" s="300"/>
      <c r="C141" s="1261">
        <v>44825</v>
      </c>
      <c r="D141" s="1407">
        <v>62080</v>
      </c>
      <c r="E141" s="33">
        <v>322175</v>
      </c>
      <c r="F141" s="6">
        <v>45676</v>
      </c>
      <c r="G141" s="6">
        <v>3900881</v>
      </c>
      <c r="H141" s="1453"/>
      <c r="I141" s="1255"/>
      <c r="J141" s="1593">
        <v>77040</v>
      </c>
      <c r="K141" s="755"/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6.149999999999999" x14ac:dyDescent="0.55000000000000004">
      <c r="A142" s="1235"/>
      <c r="B142" s="300"/>
      <c r="C142" s="1261">
        <v>44826</v>
      </c>
      <c r="D142" s="1407">
        <v>61219</v>
      </c>
      <c r="E142" s="33">
        <v>326619</v>
      </c>
      <c r="F142" s="6">
        <v>43088</v>
      </c>
      <c r="G142" s="6">
        <v>3781227</v>
      </c>
      <c r="H142" s="828"/>
      <c r="I142" s="1255"/>
      <c r="J142" s="1593">
        <v>78010</v>
      </c>
      <c r="K142" s="1494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261">
        <v>44827</v>
      </c>
      <c r="D143" s="1407">
        <v>57238</v>
      </c>
      <c r="E143" s="33">
        <v>314244</v>
      </c>
      <c r="F143" s="6">
        <v>45446</v>
      </c>
      <c r="G143" s="6">
        <v>3962970</v>
      </c>
      <c r="H143" s="31"/>
      <c r="I143" s="79"/>
      <c r="J143" s="1593">
        <v>62660</v>
      </c>
      <c r="K143" s="1488"/>
      <c r="L143" s="1297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ht="16.5" thickBot="1" x14ac:dyDescent="0.6">
      <c r="A144" s="1235"/>
      <c r="B144" s="300"/>
      <c r="C144" s="1261">
        <v>44828</v>
      </c>
      <c r="D144" s="1454">
        <v>56605</v>
      </c>
      <c r="E144" s="1243">
        <v>441870</v>
      </c>
      <c r="F144" s="1246">
        <v>56415</v>
      </c>
      <c r="G144" s="1246">
        <v>5871124</v>
      </c>
      <c r="H144" s="755">
        <v>140334</v>
      </c>
      <c r="I144" s="824">
        <v>89493495</v>
      </c>
      <c r="J144" s="1595">
        <v>97230</v>
      </c>
      <c r="K144" s="755">
        <v>4183649</v>
      </c>
      <c r="L144" s="1297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 s="172" customFormat="1" x14ac:dyDescent="0.4">
      <c r="A145" s="1235"/>
      <c r="B145" s="300"/>
      <c r="C145" s="1261">
        <v>44829</v>
      </c>
      <c r="D145" s="1407"/>
      <c r="E145" s="33"/>
      <c r="F145" s="6"/>
      <c r="G145" s="6"/>
      <c r="H145" s="31"/>
      <c r="I145" s="79"/>
      <c r="J145" s="1593"/>
      <c r="K145" s="1488"/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 x14ac:dyDescent="0.4">
      <c r="C146" s="1261">
        <v>44830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34" x14ac:dyDescent="0.4">
      <c r="C147" s="1261">
        <v>44831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34" x14ac:dyDescent="0.4">
      <c r="C148" s="1261">
        <v>44832</v>
      </c>
      <c r="D148" s="1407"/>
      <c r="E148" s="33"/>
      <c r="F148" s="6"/>
      <c r="G148" s="6"/>
      <c r="H148" s="31"/>
      <c r="I148" s="79"/>
      <c r="J148" s="85"/>
      <c r="K148" s="1488"/>
      <c r="L148" s="1297"/>
    </row>
    <row r="149" spans="1:34" x14ac:dyDescent="0.4">
      <c r="C149" s="1261">
        <v>44833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34" x14ac:dyDescent="0.4">
      <c r="C150" s="1261">
        <v>44834</v>
      </c>
      <c r="D150" s="1407"/>
      <c r="E150" s="33"/>
      <c r="F150" s="6"/>
      <c r="G150" s="6"/>
      <c r="H150" s="31"/>
      <c r="I150" s="79"/>
      <c r="J150" s="85"/>
      <c r="K150" s="1488"/>
    </row>
    <row r="151" spans="1:34" ht="16.149999999999999" x14ac:dyDescent="0.55000000000000004">
      <c r="C151" s="1261">
        <v>44804</v>
      </c>
      <c r="D151" s="1407"/>
      <c r="E151" s="33"/>
      <c r="F151" s="6"/>
      <c r="G151" s="6"/>
      <c r="H151" s="755"/>
      <c r="I151" s="755"/>
      <c r="J151" s="1462"/>
      <c r="K151" s="755"/>
    </row>
    <row r="152" spans="1:34" x14ac:dyDescent="0.4">
      <c r="D152" s="1462">
        <f>SUM(D121:D151)</f>
        <v>1447203</v>
      </c>
      <c r="E152" s="1462">
        <f t="shared" ref="E152:L152" si="20">SUM(E121:E151)</f>
        <v>8460001</v>
      </c>
      <c r="F152" s="1462">
        <f t="shared" si="20"/>
        <v>1137949</v>
      </c>
      <c r="G152" s="1462">
        <f t="shared" si="20"/>
        <v>96294906</v>
      </c>
      <c r="H152" s="1462">
        <f>SUM(H121:H151)</f>
        <v>874080</v>
      </c>
      <c r="I152" s="1462">
        <f t="shared" si="20"/>
        <v>611177069</v>
      </c>
      <c r="J152" s="1462">
        <f t="shared" si="20"/>
        <v>1901850</v>
      </c>
      <c r="K152" s="1462">
        <f>SUM(K121:K151)</f>
        <v>26568280</v>
      </c>
      <c r="L152" s="1462">
        <f t="shared" si="20"/>
        <v>0</v>
      </c>
    </row>
    <row r="153" spans="1:34" x14ac:dyDescent="0.4">
      <c r="L153" s="172">
        <f>L152/10000000</f>
        <v>0</v>
      </c>
    </row>
  </sheetData>
  <mergeCells count="86">
    <mergeCell ref="AC3:AH3"/>
    <mergeCell ref="A1:I1"/>
    <mergeCell ref="M1:U1"/>
    <mergeCell ref="A2:I2"/>
    <mergeCell ref="M2:U2"/>
    <mergeCell ref="AC2:AH2"/>
    <mergeCell ref="A3:A5"/>
    <mergeCell ref="B3:B5"/>
    <mergeCell ref="D3:E3"/>
    <mergeCell ref="F3:G3"/>
    <mergeCell ref="H3:I3"/>
    <mergeCell ref="H4:H5"/>
    <mergeCell ref="I4:I5"/>
    <mergeCell ref="T4:T5"/>
    <mergeCell ref="U4:U5"/>
    <mergeCell ref="D5:E5"/>
    <mergeCell ref="T3:U3"/>
    <mergeCell ref="A11:I11"/>
    <mergeCell ref="M11:U11"/>
    <mergeCell ref="B13:I13"/>
    <mergeCell ref="N13:U13"/>
    <mergeCell ref="P5:Q5"/>
    <mergeCell ref="M3:M5"/>
    <mergeCell ref="N3:N5"/>
    <mergeCell ref="P3:Q3"/>
    <mergeCell ref="R3:S3"/>
    <mergeCell ref="M18:M26"/>
    <mergeCell ref="O18:Q18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R18:U18"/>
    <mergeCell ref="A18:A26"/>
    <mergeCell ref="C18:E18"/>
    <mergeCell ref="F18:I18"/>
    <mergeCell ref="R28:S28"/>
    <mergeCell ref="T28:U28"/>
    <mergeCell ref="A30:A37"/>
    <mergeCell ref="B30:I30"/>
    <mergeCell ref="M30:M38"/>
    <mergeCell ref="N30:U30"/>
    <mergeCell ref="B28:C29"/>
    <mergeCell ref="D28:E28"/>
    <mergeCell ref="F28:G28"/>
    <mergeCell ref="H28:I28"/>
    <mergeCell ref="N28:O29"/>
    <mergeCell ref="P28:Q28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P48:P49"/>
    <mergeCell ref="Q48:Q49"/>
    <mergeCell ref="T48:T49"/>
    <mergeCell ref="A50:A53"/>
    <mergeCell ref="B50:I50"/>
    <mergeCell ref="M50:M53"/>
    <mergeCell ref="N50:U50"/>
    <mergeCell ref="D51:D53"/>
    <mergeCell ref="E51:E53"/>
    <mergeCell ref="H51:H53"/>
    <mergeCell ref="N51:O51"/>
    <mergeCell ref="P51:P53"/>
    <mergeCell ref="Q51:Q53"/>
    <mergeCell ref="T51:T53"/>
    <mergeCell ref="N52:O52"/>
    <mergeCell ref="N53:O53"/>
    <mergeCell ref="D83:E83"/>
    <mergeCell ref="F83:G83"/>
    <mergeCell ref="H83:I83"/>
    <mergeCell ref="D120:E120"/>
    <mergeCell ref="F120:G120"/>
    <mergeCell ref="H120:I120"/>
  </mergeCells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EC0D-DC1B-48DB-9D52-5B133F76B8FF}">
  <sheetPr>
    <tabColor rgb="FFFF0000"/>
    <pageSetUpPr fitToPage="1"/>
  </sheetPr>
  <dimension ref="A1:AO153"/>
  <sheetViews>
    <sheetView topLeftCell="A9" zoomScale="90" zoomScaleNormal="90" workbookViewId="0">
      <selection activeCell="T6" sqref="T6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1" style="82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0.86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0" width="10.265625" style="5" customWidth="1"/>
    <col min="21" max="21" width="10.59765625" style="5" customWidth="1"/>
    <col min="22" max="22" width="9.1328125" style="5"/>
    <col min="23" max="23" width="12.3984375" style="5" bestFit="1" customWidth="1"/>
    <col min="24" max="24" width="13.3984375" style="172" hidden="1" customWidth="1"/>
    <col min="25" max="25" width="11.265625" style="5" hidden="1" customWidth="1"/>
    <col min="26" max="26" width="10.265625" style="5" hidden="1" customWidth="1"/>
    <col min="27" max="27" width="10.59765625" style="5" hidden="1" customWidth="1"/>
    <col min="28" max="28" width="0" style="5" hidden="1" customWidth="1"/>
    <col min="29" max="29" width="37.3984375" style="5" hidden="1" customWidth="1"/>
    <col min="30" max="30" width="16.59765625" style="5" hidden="1" customWidth="1"/>
    <col min="31" max="31" width="16.86328125" style="5" hidden="1" customWidth="1"/>
    <col min="32" max="32" width="17.59765625" style="5" hidden="1" customWidth="1"/>
    <col min="33" max="33" width="16.3984375" style="5" hidden="1" customWidth="1"/>
    <col min="34" max="34" width="15.1328125" style="5" hidden="1" customWidth="1"/>
    <col min="35" max="35" width="0" style="5" hidden="1" customWidth="1"/>
    <col min="36" max="36" width="8.265625" style="5" customWidth="1"/>
    <col min="37" max="37" width="32" style="5" bestFit="1" customWidth="1"/>
    <col min="38" max="38" width="14.86328125" style="5" customWidth="1"/>
    <col min="39" max="39" width="17.86328125" style="5" customWidth="1"/>
    <col min="40" max="40" width="15.3984375" style="5" customWidth="1"/>
    <col min="41" max="41" width="14.59765625" style="5" customWidth="1"/>
    <col min="42" max="16384" width="9.1328125" style="5"/>
  </cols>
  <sheetData>
    <row r="1" spans="1:41" ht="21.75" customHeight="1" x14ac:dyDescent="0.35">
      <c r="A1" s="2156" t="s">
        <v>1012</v>
      </c>
      <c r="B1" s="2156"/>
      <c r="C1" s="2156"/>
      <c r="D1" s="2156"/>
      <c r="E1" s="2156"/>
      <c r="F1" s="2156"/>
      <c r="G1" s="2156"/>
      <c r="H1" s="2156"/>
      <c r="I1" s="2156"/>
      <c r="M1" s="2345" t="s">
        <v>1013</v>
      </c>
      <c r="N1" s="2345"/>
      <c r="O1" s="2345"/>
      <c r="P1" s="2345"/>
      <c r="Q1" s="2345"/>
      <c r="R1" s="2345"/>
      <c r="S1" s="2345"/>
      <c r="T1" s="2345"/>
      <c r="U1" s="2345"/>
    </row>
    <row r="2" spans="1:41" s="301" customFormat="1" ht="20.25" customHeight="1" thickBot="1" x14ac:dyDescent="0.4">
      <c r="A2" s="2346" t="s">
        <v>986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1019</v>
      </c>
      <c r="N2" s="2093"/>
      <c r="O2" s="2093"/>
      <c r="P2" s="2093"/>
      <c r="Q2" s="2093"/>
      <c r="R2" s="2093"/>
      <c r="S2" s="2093"/>
      <c r="T2" s="2093"/>
      <c r="U2" s="2094"/>
      <c r="X2" s="1149"/>
      <c r="AC2" s="2326" t="s">
        <v>781</v>
      </c>
      <c r="AD2" s="2326"/>
      <c r="AE2" s="2326"/>
      <c r="AF2" s="2326"/>
      <c r="AG2" s="2326"/>
      <c r="AH2" s="2326"/>
      <c r="AJ2" s="2092" t="s">
        <v>1011</v>
      </c>
      <c r="AK2" s="2093"/>
      <c r="AL2" s="2093"/>
      <c r="AM2" s="2093"/>
      <c r="AN2" s="2093"/>
      <c r="AO2" s="2093"/>
    </row>
    <row r="3" spans="1:41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  <c r="AJ3" s="2358" t="s">
        <v>757</v>
      </c>
      <c r="AK3" s="2342" t="s">
        <v>353</v>
      </c>
      <c r="AL3" s="2107" t="s">
        <v>8</v>
      </c>
      <c r="AM3" s="2108"/>
      <c r="AN3" s="2107" t="s">
        <v>10</v>
      </c>
      <c r="AO3" s="2108"/>
    </row>
    <row r="4" spans="1:41" s="35" customFormat="1" ht="28.5" customHeight="1" x14ac:dyDescent="0.35">
      <c r="A4" s="2360"/>
      <c r="B4" s="2343"/>
      <c r="C4" s="2333" t="s">
        <v>666</v>
      </c>
      <c r="D4" s="1424" t="s">
        <v>879</v>
      </c>
      <c r="E4" s="1787" t="str">
        <f>G4</f>
        <v>upto 30th Nov-23</v>
      </c>
      <c r="F4" s="1057" t="s">
        <v>1014</v>
      </c>
      <c r="G4" s="1057" t="s">
        <v>1015</v>
      </c>
      <c r="H4" s="2335" t="s">
        <v>12</v>
      </c>
      <c r="I4" s="2335" t="s">
        <v>13</v>
      </c>
      <c r="J4" s="323"/>
      <c r="K4" s="323"/>
      <c r="L4" s="1574"/>
      <c r="M4" s="2358"/>
      <c r="N4" s="2343"/>
      <c r="O4" s="2337" t="s">
        <v>666</v>
      </c>
      <c r="P4" s="421" t="s">
        <v>9</v>
      </c>
      <c r="Q4" s="1057" t="str">
        <f>E4</f>
        <v>upto 30th Nov-23</v>
      </c>
      <c r="R4" s="1057" t="str">
        <f>F4</f>
        <v>upto 30th Nov-22</v>
      </c>
      <c r="S4" s="1057" t="str">
        <f>G4</f>
        <v>upto 30th Nov-23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  <c r="AJ4" s="2358"/>
      <c r="AK4" s="2343"/>
      <c r="AL4" s="421" t="s">
        <v>9</v>
      </c>
      <c r="AM4" s="1057" t="s">
        <v>1009</v>
      </c>
      <c r="AN4" s="1057" t="s">
        <v>1010</v>
      </c>
      <c r="AO4" s="1057" t="s">
        <v>1009</v>
      </c>
    </row>
    <row r="5" spans="1:41" ht="18.75" hidden="1" customHeight="1" x14ac:dyDescent="0.5">
      <c r="A5" s="2361"/>
      <c r="B5" s="2344"/>
      <c r="C5" s="2334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M5" s="2359"/>
      <c r="N5" s="2344"/>
      <c r="O5" s="2338"/>
      <c r="P5" s="2157" t="s">
        <v>249</v>
      </c>
      <c r="Q5" s="2158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  <c r="AJ5" s="2359"/>
      <c r="AK5" s="2344"/>
      <c r="AL5" s="2157" t="s">
        <v>249</v>
      </c>
      <c r="AM5" s="2158"/>
      <c r="AN5" s="602" t="s">
        <v>249</v>
      </c>
      <c r="AO5" s="602" t="s">
        <v>438</v>
      </c>
    </row>
    <row r="6" spans="1:41" ht="30" customHeight="1" x14ac:dyDescent="0.35">
      <c r="A6" s="1229">
        <v>1</v>
      </c>
      <c r="B6" s="1191" t="s">
        <v>290</v>
      </c>
      <c r="C6" s="1518">
        <v>1024.2159494</v>
      </c>
      <c r="D6" s="1425">
        <v>1063.73</v>
      </c>
      <c r="E6" s="1446">
        <f>E15+E16</f>
        <v>94.550000000000011</v>
      </c>
      <c r="F6" s="434">
        <f>F15+F16+F17</f>
        <v>90.804143400000001</v>
      </c>
      <c r="G6" s="434">
        <f>G15+G16+G17</f>
        <v>99.759639700000008</v>
      </c>
      <c r="H6" s="1313">
        <f>(G6-E6)/E6*100</f>
        <v>5.5099309360126876</v>
      </c>
      <c r="I6" s="517">
        <f>(G6-F6)/F6*100</f>
        <v>9.8624313436340465</v>
      </c>
      <c r="J6" s="82">
        <f>G6/27</f>
        <v>3.6948014703703707</v>
      </c>
      <c r="K6" s="323">
        <f>J6*30</f>
        <v>110.84404411111112</v>
      </c>
      <c r="L6" s="491">
        <f>K6+'OCT-23'!S6</f>
        <v>802.06886241111101</v>
      </c>
      <c r="M6" s="1203">
        <v>1</v>
      </c>
      <c r="N6" s="1179" t="s">
        <v>290</v>
      </c>
      <c r="O6" s="1185">
        <v>1024.2159494</v>
      </c>
      <c r="P6" s="1425">
        <v>1063.73</v>
      </c>
      <c r="Q6" s="1446">
        <f>Q15+Q16</f>
        <v>681.56000000000006</v>
      </c>
      <c r="R6" s="434">
        <f>R15+R16+R17</f>
        <v>657.16994120000004</v>
      </c>
      <c r="S6" s="434">
        <f>S15+S16+S17</f>
        <v>790.9844579999999</v>
      </c>
      <c r="T6" s="1313">
        <f>(S6-Q6)/Q6*100</f>
        <v>16.054999999999975</v>
      </c>
      <c r="U6" s="1313">
        <f>(S6-R6)/R6*100</f>
        <v>20.362239416436633</v>
      </c>
      <c r="V6" s="12">
        <f>G6+'OCT-23'!S6</f>
        <v>790.9844579999999</v>
      </c>
      <c r="W6" s="11">
        <f>(S6-P6)/P6*100</f>
        <v>-25.640486025589208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  <c r="AJ6" s="1203">
        <v>1</v>
      </c>
      <c r="AK6" s="1179" t="s">
        <v>290</v>
      </c>
      <c r="AL6" s="1425">
        <v>1063.73</v>
      </c>
      <c r="AM6" s="1446">
        <f>'TARGET 23-24'!D18</f>
        <v>681.56</v>
      </c>
      <c r="AN6" s="434">
        <v>657.16742699999998</v>
      </c>
      <c r="AO6" s="434">
        <v>791.00769752222209</v>
      </c>
    </row>
    <row r="7" spans="1:41" ht="26.25" customHeight="1" x14ac:dyDescent="0.35">
      <c r="A7" s="1230">
        <v>2</v>
      </c>
      <c r="B7" s="1154" t="s">
        <v>291</v>
      </c>
      <c r="C7" s="1518">
        <v>403.10200000000003</v>
      </c>
      <c r="D7" s="1425">
        <v>485.81999999999994</v>
      </c>
      <c r="E7" s="1446">
        <v>51.94</v>
      </c>
      <c r="F7" s="434">
        <f>F20+F21+F22+F23+F24+F25+F26</f>
        <v>43.143999999999998</v>
      </c>
      <c r="G7" s="434">
        <f>G20+G21+G22+G23+G24+G25+G26</f>
        <v>31.41</v>
      </c>
      <c r="H7" s="1313">
        <f>(G7-E7)/E7*100</f>
        <v>-39.526376588371193</v>
      </c>
      <c r="I7" s="517">
        <f>(G7-F7)/F7*100</f>
        <v>-27.197292786946036</v>
      </c>
      <c r="J7" s="82">
        <f t="shared" ref="J7:J8" si="0">G7/27</f>
        <v>1.1633333333333333</v>
      </c>
      <c r="K7" s="323">
        <f t="shared" ref="K7:K8" si="1">J7*30</f>
        <v>34.9</v>
      </c>
      <c r="L7" s="491">
        <f>K7+'OCT-23'!S7</f>
        <v>291.35699999999997</v>
      </c>
      <c r="M7" s="1204">
        <v>2</v>
      </c>
      <c r="N7" s="1154" t="s">
        <v>291</v>
      </c>
      <c r="O7" s="1186">
        <v>403.10200000000003</v>
      </c>
      <c r="P7" s="1425">
        <v>485.81999999999994</v>
      </c>
      <c r="Q7" s="1446">
        <f>E7+'OCT-23'!Q7</f>
        <v>332.94</v>
      </c>
      <c r="R7" s="434">
        <f>R20+R21+R22+R23+R24+R25+R26</f>
        <v>276.28770659999998</v>
      </c>
      <c r="S7" s="434">
        <f>S20+S21+S22+S23+S24+S25+S26</f>
        <v>287.86699999999996</v>
      </c>
      <c r="T7" s="1313">
        <f>(S7-Q7)/Q7*100</f>
        <v>-13.537874692136731</v>
      </c>
      <c r="U7" s="1313">
        <f>(S7-R7)/R7*100</f>
        <v>4.1910273687146322</v>
      </c>
      <c r="V7" s="12">
        <f>G7+'OCT-23'!S7</f>
        <v>287.86700000000002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  <c r="AJ7" s="1204">
        <v>2</v>
      </c>
      <c r="AK7" s="1154" t="s">
        <v>291</v>
      </c>
      <c r="AL7" s="1425">
        <v>485.81999999999994</v>
      </c>
      <c r="AM7" s="1446">
        <f>'TARGET 23-24'!E18</f>
        <v>332.94</v>
      </c>
      <c r="AN7" s="434">
        <v>276.28809999999999</v>
      </c>
      <c r="AO7" s="434">
        <v>286.65699999999998</v>
      </c>
    </row>
    <row r="8" spans="1:41" ht="32.25" customHeight="1" x14ac:dyDescent="0.35">
      <c r="A8" s="1231">
        <v>3</v>
      </c>
      <c r="B8" s="1155" t="s">
        <v>292</v>
      </c>
      <c r="C8" s="1518">
        <v>106.68749520000001</v>
      </c>
      <c r="D8" s="1425">
        <v>150.59</v>
      </c>
      <c r="E8" s="1446">
        <v>11.51</v>
      </c>
      <c r="F8" s="1314">
        <f>F31+F32+F33+F35+F36+F37+F38</f>
        <v>8.6374419000000007</v>
      </c>
      <c r="G8" s="1314">
        <f>G31+G34+G35+G36+G37+G38</f>
        <v>11.2228545</v>
      </c>
      <c r="H8" s="1313">
        <f>(G8-E8)/E8*100</f>
        <v>-2.4947480451781008</v>
      </c>
      <c r="I8" s="517">
        <f>(G8-F8)/F8*100</f>
        <v>29.932619286272704</v>
      </c>
      <c r="J8" s="82">
        <f t="shared" si="0"/>
        <v>0.41566127777777778</v>
      </c>
      <c r="K8" s="323">
        <f t="shared" si="1"/>
        <v>12.469838333333334</v>
      </c>
      <c r="L8" s="491">
        <f>K8+'OCT-23'!S8</f>
        <v>82.335225189333343</v>
      </c>
      <c r="M8" s="1205">
        <v>3</v>
      </c>
      <c r="N8" s="1155" t="s">
        <v>292</v>
      </c>
      <c r="O8" s="1187">
        <v>106.68749520000001</v>
      </c>
      <c r="P8" s="1425">
        <v>150.59</v>
      </c>
      <c r="Q8" s="1446">
        <f>E8+'OCT-23'!Q8</f>
        <v>105.69</v>
      </c>
      <c r="R8" s="1314">
        <f>R31+R32+R33+R35+R36+R37+R38</f>
        <v>73.268716400000002</v>
      </c>
      <c r="S8" s="1314">
        <f>S31+S34+S35+S36+S37+S38</f>
        <v>81.088241355999997</v>
      </c>
      <c r="T8" s="1313">
        <f>(S8-Q8)/Q8*100</f>
        <v>-23.277281335982593</v>
      </c>
      <c r="U8" s="1313">
        <f>(S8-R8)/R8*100</f>
        <v>10.672392448245477</v>
      </c>
      <c r="V8" s="12">
        <f>G8+'OCT-23'!S8</f>
        <v>81.088241356000012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  <c r="AJ8" s="1205">
        <v>3</v>
      </c>
      <c r="AK8" s="1155" t="s">
        <v>292</v>
      </c>
      <c r="AL8" s="1425">
        <v>150.59</v>
      </c>
      <c r="AM8" s="1446">
        <f>'TARGET 23-24'!F18</f>
        <v>105.69</v>
      </c>
      <c r="AN8" s="1314">
        <v>73.268227600000003</v>
      </c>
      <c r="AO8" s="1314">
        <v>80.325848300444463</v>
      </c>
    </row>
    <row r="9" spans="1:41" ht="34.5" customHeight="1" x14ac:dyDescent="0.35">
      <c r="A9" s="1230">
        <v>4</v>
      </c>
      <c r="B9" s="1156" t="s">
        <v>293</v>
      </c>
      <c r="C9" s="1518">
        <v>17.701250099999996</v>
      </c>
      <c r="D9" s="1425">
        <f>D40+D41+D42</f>
        <v>19.149999999999999</v>
      </c>
      <c r="E9" s="1425">
        <v>1.595</v>
      </c>
      <c r="F9" s="434">
        <f>F40+F41+F42+F44+F45</f>
        <v>2.1321292999999999</v>
      </c>
      <c r="G9" s="434">
        <f>G40+G41+G42+G44+G45</f>
        <v>1.6523919999999999</v>
      </c>
      <c r="H9" s="1313">
        <f>(G9-E9)/E9*100</f>
        <v>3.5982445141065758</v>
      </c>
      <c r="I9" s="517">
        <f>(G9-F9)/F9*100</f>
        <v>-22.500384943821185</v>
      </c>
      <c r="K9" s="84">
        <f>K10*31</f>
        <v>202.97233964545458</v>
      </c>
      <c r="M9" s="1204">
        <v>4</v>
      </c>
      <c r="N9" s="1156" t="s">
        <v>293</v>
      </c>
      <c r="O9" s="1185">
        <v>17.701250099999996</v>
      </c>
      <c r="P9" s="1425">
        <f>P40+P41+P42</f>
        <v>19.149999999999999</v>
      </c>
      <c r="Q9" s="1425">
        <v>12.77</v>
      </c>
      <c r="R9" s="434">
        <f>R40+R41+R42+R44+R45</f>
        <v>10.473423500000001</v>
      </c>
      <c r="S9" s="434">
        <f>S40+S41+S42+S44+S45</f>
        <v>12.3392076</v>
      </c>
      <c r="T9" s="1313">
        <f>(S9-Q9)/Q9*100</f>
        <v>-3.3734722004698487</v>
      </c>
      <c r="U9" s="1313">
        <f>(S9-R9)/R9*100</f>
        <v>17.814462482110066</v>
      </c>
      <c r="V9" s="12">
        <f>G9+'OCT-23'!S9</f>
        <v>12.339207600000002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  <c r="AJ9" s="1204">
        <v>4</v>
      </c>
      <c r="AK9" s="1156" t="s">
        <v>293</v>
      </c>
      <c r="AL9" s="1425">
        <v>19.149999999999999</v>
      </c>
      <c r="AM9" s="1425">
        <f>'TARGET 23-24'!O45</f>
        <v>13.326666666666666</v>
      </c>
      <c r="AN9" s="434">
        <v>10.473413500000001</v>
      </c>
      <c r="AO9" s="434">
        <f>AO40+AO41+AO42+AO44+AO45</f>
        <v>0</v>
      </c>
    </row>
    <row r="10" spans="1:41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1719.29</v>
      </c>
      <c r="E10" s="1447">
        <f>E6+E7+E8+E9</f>
        <v>159.595</v>
      </c>
      <c r="F10" s="321">
        <f>SUM(F6:F9)</f>
        <v>144.71771459999999</v>
      </c>
      <c r="G10" s="321">
        <f>SUM(G6:G9)</f>
        <v>144.04488620000001</v>
      </c>
      <c r="H10" s="1162">
        <f>(G10-E10)/E10*100</f>
        <v>-9.743484319684196</v>
      </c>
      <c r="I10" s="322">
        <f>(G10-F10)/F10*100</f>
        <v>-0.46492469968841393</v>
      </c>
      <c r="K10" s="84">
        <f>G10/22</f>
        <v>6.547494827272728</v>
      </c>
      <c r="M10" s="1205">
        <v>5</v>
      </c>
      <c r="N10" s="1157" t="s">
        <v>294</v>
      </c>
      <c r="O10" s="1185">
        <v>1551.7066947000001</v>
      </c>
      <c r="P10" s="321">
        <f t="shared" ref="P10" si="2">P6+P7+P8+P9</f>
        <v>1719.29</v>
      </c>
      <c r="Q10" s="321">
        <f>Q6+Q7+Q8+Q9</f>
        <v>1132.96</v>
      </c>
      <c r="R10" s="321">
        <f>R6+R7+R8+R9</f>
        <v>1017.1997877</v>
      </c>
      <c r="S10" s="321">
        <f>S6+S7+S8+S9</f>
        <v>1172.2789069559999</v>
      </c>
      <c r="T10" s="1162">
        <f>(S10-Q10)/Q10*100</f>
        <v>3.470458529515593</v>
      </c>
      <c r="U10" s="1162">
        <f>(S10-R10)/R10*100</f>
        <v>15.245689306193306</v>
      </c>
      <c r="V10" s="12">
        <f>SUM(V6:V9)</f>
        <v>1172.2789069559999</v>
      </c>
      <c r="X10" s="12">
        <f>SUM(X6:X9)</f>
        <v>389.94179218299996</v>
      </c>
      <c r="Y10" s="12">
        <f>SUM(Y6:Y9)</f>
        <v>752.12112639999998</v>
      </c>
      <c r="Z10" s="12">
        <f>S10-Y10</f>
        <v>420.15778055599992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  <c r="AJ10" s="1205">
        <v>5</v>
      </c>
      <c r="AK10" s="1157" t="s">
        <v>294</v>
      </c>
      <c r="AL10" s="321">
        <f t="shared" ref="AL10" si="3">AL6+AL7+AL8+AL9</f>
        <v>1719.29</v>
      </c>
      <c r="AM10" s="321">
        <f>AM6+AM7+AM8+AM9</f>
        <v>1133.5166666666667</v>
      </c>
      <c r="AN10" s="321">
        <f>AN6+AN7+AN8+AN9</f>
        <v>1017.1971681</v>
      </c>
      <c r="AO10" s="321">
        <f>AO6+AO7+AO8+AO9</f>
        <v>1157.9905458226665</v>
      </c>
    </row>
    <row r="11" spans="1:41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  <c r="AJ11" s="2061"/>
      <c r="AK11" s="2062"/>
      <c r="AL11" s="2062"/>
      <c r="AM11" s="2062"/>
      <c r="AN11" s="2062"/>
      <c r="AO11" s="2062"/>
    </row>
    <row r="12" spans="1:41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312">
        <f>E47+E48</f>
        <v>5.35</v>
      </c>
      <c r="F12" s="1294">
        <f>F47+F48+F49</f>
        <v>4.5999999999999996</v>
      </c>
      <c r="G12" s="1294">
        <f>G47+G48+G49</f>
        <v>4.6992720000000006</v>
      </c>
      <c r="H12" s="1534">
        <f>(G12-E12)/E12*100</f>
        <v>-12.163140186915872</v>
      </c>
      <c r="I12" s="308">
        <f>(G12-F12)/F12*100</f>
        <v>2.1580869565217591</v>
      </c>
      <c r="L12" s="1476"/>
      <c r="M12" s="1204">
        <v>6.3</v>
      </c>
      <c r="N12" s="1316" t="s">
        <v>814</v>
      </c>
      <c r="O12" s="1185">
        <v>47.027382000000003</v>
      </c>
      <c r="P12" s="332">
        <v>55.06</v>
      </c>
      <c r="Q12" s="307">
        <f>Q47+Q48</f>
        <v>34.68</v>
      </c>
      <c r="R12" s="1294">
        <f>R47+R48+R49</f>
        <v>29.889489000000001</v>
      </c>
      <c r="S12" s="1294">
        <f>S47+S48+S49</f>
        <v>37.207245</v>
      </c>
      <c r="T12" s="1534">
        <f>(S12-Q12)/Q12*100</f>
        <v>7.2873269896193786</v>
      </c>
      <c r="U12" s="1161">
        <f>(S12-R12)/R12*100</f>
        <v>24.482706947582809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  <c r="AJ12" s="1204">
        <v>6.3</v>
      </c>
      <c r="AK12" s="1293" t="s">
        <v>778</v>
      </c>
      <c r="AL12" s="332">
        <v>55.06</v>
      </c>
      <c r="AM12" s="307">
        <f>'TARGET 23-24'!D45</f>
        <v>34.68</v>
      </c>
      <c r="AN12" s="1294">
        <v>29.16</v>
      </c>
      <c r="AO12" s="1294">
        <f>AO47+AO48+AO49</f>
        <v>0</v>
      </c>
    </row>
    <row r="13" spans="1:41" s="1310" customFormat="1" ht="13.5" customHeight="1" x14ac:dyDescent="0.35">
      <c r="A13" s="1309"/>
      <c r="B13" s="2352" t="s">
        <v>229</v>
      </c>
      <c r="C13" s="2353"/>
      <c r="D13" s="2353"/>
      <c r="E13" s="2353"/>
      <c r="F13" s="2353"/>
      <c r="G13" s="2353"/>
      <c r="H13" s="2353"/>
      <c r="I13" s="2354"/>
      <c r="L13" s="1311"/>
      <c r="M13" s="1309"/>
      <c r="N13" s="2355" t="s">
        <v>229</v>
      </c>
      <c r="O13" s="2356"/>
      <c r="P13" s="2356"/>
      <c r="Q13" s="2356"/>
      <c r="R13" s="2356"/>
      <c r="S13" s="2356"/>
      <c r="T13" s="2356"/>
      <c r="U13" s="2357"/>
      <c r="X13" s="1311"/>
      <c r="AJ13" s="5"/>
      <c r="AK13" s="5"/>
      <c r="AL13" s="5"/>
      <c r="AM13" s="5"/>
      <c r="AN13" s="5"/>
    </row>
    <row r="14" spans="1:41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2368">
        <v>1</v>
      </c>
      <c r="N14" s="2021" t="s">
        <v>278</v>
      </c>
      <c r="O14" s="2022"/>
      <c r="P14" s="2022"/>
      <c r="Q14" s="2022"/>
      <c r="R14" s="2022"/>
      <c r="S14" s="2022"/>
      <c r="T14" s="2022"/>
      <c r="U14" s="2023"/>
    </row>
    <row r="15" spans="1:41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v>1.18</v>
      </c>
      <c r="F15" s="315">
        <v>1.0817189</v>
      </c>
      <c r="G15" s="315">
        <f>'ACTUAL- 23-24'!E10/10000000</f>
        <v>1.0810917</v>
      </c>
      <c r="H15" s="316">
        <f>(G15-E15)/E15*100</f>
        <v>-8.3820593220338946</v>
      </c>
      <c r="I15" s="314">
        <f>(G15-F15)/F15*100</f>
        <v>-5.7981791757549014E-2</v>
      </c>
      <c r="J15" s="1128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12.6</v>
      </c>
      <c r="Q15" s="307">
        <f>E15+'OCT-23'!Q15</f>
        <v>8.07</v>
      </c>
      <c r="R15" s="315">
        <f>F15+'OCT-23'!R15</f>
        <v>7.3945855000000007</v>
      </c>
      <c r="S15" s="315">
        <f>G15+'OCT-23'!S15</f>
        <v>9.3392301999999994</v>
      </c>
      <c r="T15" s="316">
        <f>(S15-Q15)/Q15*100</f>
        <v>15.727759603469629</v>
      </c>
      <c r="U15" s="314">
        <f>(S15-R15)/R15*100</f>
        <v>26.298224559037131</v>
      </c>
      <c r="V15" s="5">
        <f>S15/153</f>
        <v>6.1040720261437906E-2</v>
      </c>
      <c r="Y15" s="12">
        <f>R16+R17</f>
        <v>649.77535569999998</v>
      </c>
      <c r="Z15" s="12">
        <f>S16+S17</f>
        <v>781.64522779999993</v>
      </c>
      <c r="AA15" s="5">
        <f>(Z15-Y15)/Y15*100</f>
        <v>20.294686608718354</v>
      </c>
    </row>
    <row r="16" spans="1:41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v>93.37</v>
      </c>
      <c r="F16" s="315">
        <v>14.403031500000001</v>
      </c>
      <c r="G16" s="315">
        <f>'ACTUAL- 23-24'!F10/10000000</f>
        <v>20.522232200000001</v>
      </c>
      <c r="H16" s="2154">
        <f>L16</f>
        <v>5.6854964121238103</v>
      </c>
      <c r="I16" s="314">
        <f>(G16-F16)/F16*100</f>
        <v>42.485505221591715</v>
      </c>
      <c r="J16" s="323">
        <f>F16+F17</f>
        <v>89.722424500000002</v>
      </c>
      <c r="K16" s="323">
        <f>G16+G17</f>
        <v>98.678548000000006</v>
      </c>
      <c r="L16" s="1476">
        <f>(K16-E16)/E16*100</f>
        <v>5.6854964121238103</v>
      </c>
      <c r="M16" s="2369"/>
      <c r="N16" s="1281" t="s">
        <v>817</v>
      </c>
      <c r="O16" s="1282">
        <v>126.72018780000001</v>
      </c>
      <c r="P16" s="2379">
        <v>1051.1300000000001</v>
      </c>
      <c r="Q16" s="2065">
        <f>E16+'OCT-23'!Q16</f>
        <v>673.49</v>
      </c>
      <c r="R16" s="315">
        <f>F16+'OCT-23'!R16</f>
        <v>68.525711999999999</v>
      </c>
      <c r="S16" s="315">
        <f>G16+'OCT-23'!S16</f>
        <v>134.52792009999999</v>
      </c>
      <c r="T16" s="2154">
        <f>X16</f>
        <v>16.058921112414424</v>
      </c>
      <c r="U16" s="314">
        <f>(S16-R16)/R16*100</f>
        <v>96.317434979734301</v>
      </c>
      <c r="V16" s="12">
        <f>R16+R17</f>
        <v>649.77535569999998</v>
      </c>
      <c r="W16" s="12">
        <f>S16+S17</f>
        <v>781.64522779999993</v>
      </c>
      <c r="X16" s="1151">
        <f>(W16-Q16)/Q16*100</f>
        <v>16.058921112414424</v>
      </c>
    </row>
    <row r="17" spans="1:41" ht="15.75" x14ac:dyDescent="0.45">
      <c r="A17" s="2375"/>
      <c r="B17" s="1606" t="s">
        <v>1018</v>
      </c>
      <c r="C17" s="1519">
        <v>886.03548510000007</v>
      </c>
      <c r="D17" s="2380"/>
      <c r="E17" s="2066"/>
      <c r="F17" s="315">
        <v>75.319393000000005</v>
      </c>
      <c r="G17" s="315">
        <f>'ACTUAL- 23-24'!G10/10000000</f>
        <v>78.156315800000002</v>
      </c>
      <c r="H17" s="2155"/>
      <c r="I17" s="314">
        <f>(G17-F17)/F17*100</f>
        <v>3.7665237158775247</v>
      </c>
      <c r="J17" s="323"/>
      <c r="L17" s="1477">
        <f>(K16-J16)/J16*100</f>
        <v>9.9820346473138422</v>
      </c>
      <c r="M17" s="2245"/>
      <c r="N17" s="1606" t="s">
        <v>931</v>
      </c>
      <c r="O17" s="1282">
        <v>886.03548510000007</v>
      </c>
      <c r="P17" s="2380"/>
      <c r="Q17" s="2066"/>
      <c r="R17" s="315">
        <f>F17+'OCT-23'!R17</f>
        <v>581.24964369999998</v>
      </c>
      <c r="S17" s="315">
        <f>G17+'OCT-23'!S17</f>
        <v>647.11730769999997</v>
      </c>
      <c r="T17" s="2155"/>
      <c r="U17" s="314">
        <f>(S17-R17)/R17*100</f>
        <v>11.332078172248519</v>
      </c>
      <c r="V17" s="84"/>
      <c r="W17" s="1198"/>
      <c r="X17" s="1477">
        <f>(W16-V16)/V16*100</f>
        <v>20.294686608718354</v>
      </c>
      <c r="AK17" s="369" t="s">
        <v>231</v>
      </c>
      <c r="AL17" s="369" t="s">
        <v>232</v>
      </c>
      <c r="AM17" s="369" t="s">
        <v>1027</v>
      </c>
      <c r="AN17" s="29" t="s">
        <v>266</v>
      </c>
      <c r="AO17" s="29" t="s">
        <v>548</v>
      </c>
    </row>
    <row r="18" spans="1:41" ht="16.5" customHeight="1" x14ac:dyDescent="0.4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J18" s="323">
        <f>F16+F15</f>
        <v>15.484750400000001</v>
      </c>
      <c r="K18" s="323">
        <f>G16+G15</f>
        <v>21.603323899999999</v>
      </c>
      <c r="L18" s="314">
        <f>(K18-J18)/J18*100</f>
        <v>39.513542949972233</v>
      </c>
      <c r="M18" s="2368">
        <v>2</v>
      </c>
      <c r="N18" s="1155" t="s">
        <v>678</v>
      </c>
      <c r="O18" s="2370" t="s">
        <v>680</v>
      </c>
      <c r="P18" s="2371"/>
      <c r="Q18" s="2372"/>
      <c r="R18" s="2370" t="s">
        <v>684</v>
      </c>
      <c r="S18" s="2371"/>
      <c r="T18" s="2371"/>
      <c r="U18" s="2372"/>
      <c r="V18" s="323">
        <f>R16+R15</f>
        <v>75.920297500000004</v>
      </c>
      <c r="W18" s="323">
        <f>S16+S15</f>
        <v>143.86715029999999</v>
      </c>
      <c r="X18" s="314">
        <f>(W18-V18)/V18*100</f>
        <v>89.497611360124068</v>
      </c>
      <c r="AK18" s="85">
        <v>41.1</v>
      </c>
      <c r="AL18" s="85">
        <v>22.7</v>
      </c>
      <c r="AM18" s="85">
        <v>33.5</v>
      </c>
      <c r="AN18" s="85">
        <v>2.7</v>
      </c>
      <c r="AO18" s="85">
        <f>SUM(AK18:AN18)</f>
        <v>100</v>
      </c>
    </row>
    <row r="19" spans="1:41" ht="26.25" customHeight="1" x14ac:dyDescent="0.35">
      <c r="A19" s="1983"/>
      <c r="B19" s="1531" t="s">
        <v>230</v>
      </c>
      <c r="C19" s="1788" t="str">
        <f>F19</f>
        <v>upto 30th Nov-22</v>
      </c>
      <c r="D19" s="1788" t="str">
        <f>G19</f>
        <v>upto 30th Nov-23</v>
      </c>
      <c r="E19" s="1531" t="s">
        <v>681</v>
      </c>
      <c r="F19" s="1788" t="str">
        <f>F4</f>
        <v>upto 30th Nov-22</v>
      </c>
      <c r="G19" s="1788" t="str">
        <f>G4</f>
        <v>upto 30th Nov-23</v>
      </c>
      <c r="H19" s="1528" t="s">
        <v>682</v>
      </c>
      <c r="I19" s="1530" t="s">
        <v>681</v>
      </c>
      <c r="L19" s="1476"/>
      <c r="M19" s="2369"/>
      <c r="N19" s="1514" t="s">
        <v>230</v>
      </c>
      <c r="O19" s="1527" t="str">
        <f>R4</f>
        <v>upto 30th Nov-22</v>
      </c>
      <c r="P19" s="1788" t="str">
        <f>S4</f>
        <v>upto 30th Nov-23</v>
      </c>
      <c r="Q19" s="1789" t="s">
        <v>681</v>
      </c>
      <c r="R19" s="1788" t="str">
        <f>R4</f>
        <v>upto 30th Nov-22</v>
      </c>
      <c r="S19" s="1788" t="str">
        <f>S4</f>
        <v>upto 30th Nov-23</v>
      </c>
      <c r="T19" s="1528" t="s">
        <v>682</v>
      </c>
      <c r="U19" s="1526" t="s">
        <v>681</v>
      </c>
    </row>
    <row r="20" spans="1:41" ht="18.75" customHeight="1" x14ac:dyDescent="0.45">
      <c r="A20" s="1983"/>
      <c r="B20" s="1055" t="s">
        <v>231</v>
      </c>
      <c r="C20" s="85">
        <v>94100</v>
      </c>
      <c r="D20" s="1409">
        <v>41444</v>
      </c>
      <c r="E20" s="1744">
        <f>(D20-C20)/C20*100</f>
        <v>-55.957492029755585</v>
      </c>
      <c r="F20" s="315">
        <v>17.510000000000002</v>
      </c>
      <c r="G20" s="315">
        <v>11.99</v>
      </c>
      <c r="H20" s="1060">
        <f>G20/G7*100</f>
        <v>38.172556510665395</v>
      </c>
      <c r="I20" s="314">
        <f>(G20-F20)/F20*100</f>
        <v>-31.5248429468875</v>
      </c>
      <c r="L20" s="1476"/>
      <c r="M20" s="2369"/>
      <c r="N20" s="1055" t="s">
        <v>231</v>
      </c>
      <c r="O20" s="833">
        <f>C20+'OCT-23'!O20</f>
        <v>743060</v>
      </c>
      <c r="P20" s="833">
        <f>D20+'OCT-23'!P20</f>
        <v>426177</v>
      </c>
      <c r="Q20" s="314">
        <f>(P20-O20)/O20*100</f>
        <v>-42.645681371625443</v>
      </c>
      <c r="R20" s="315">
        <f>F20+'OCT-23'!R20</f>
        <v>137.73321099999998</v>
      </c>
      <c r="S20" s="315">
        <f>G20+'OCT-23'!S20</f>
        <v>118.14</v>
      </c>
      <c r="T20" s="1060">
        <f>S20/S7*100</f>
        <v>41.039785734384289</v>
      </c>
      <c r="U20" s="314">
        <f>(S20-R20)/R20*100</f>
        <v>-14.225480447123232</v>
      </c>
    </row>
    <row r="21" spans="1:41" ht="18.75" customHeight="1" x14ac:dyDescent="0.45">
      <c r="A21" s="1983"/>
      <c r="B21" s="1055" t="s">
        <v>232</v>
      </c>
      <c r="C21" s="85">
        <v>102399</v>
      </c>
      <c r="D21" s="1410">
        <v>70989</v>
      </c>
      <c r="E21" s="1744">
        <f>(D21-C21)/C21*100</f>
        <v>-30.674127677028096</v>
      </c>
      <c r="F21" s="315">
        <v>15.06</v>
      </c>
      <c r="G21" s="315">
        <v>3.82</v>
      </c>
      <c r="H21" s="1060">
        <f>G21/G7*100</f>
        <v>12.161731932505571</v>
      </c>
      <c r="I21" s="314">
        <f>(G21-F21)/F21*100</f>
        <v>-74.634794156706505</v>
      </c>
      <c r="L21" s="1476"/>
      <c r="M21" s="2369"/>
      <c r="N21" s="1055" t="s">
        <v>232</v>
      </c>
      <c r="O21" s="833">
        <f>C21+'OCT-23'!O21</f>
        <v>654471</v>
      </c>
      <c r="P21" s="833">
        <f>D21+'OCT-23'!P21</f>
        <v>650165</v>
      </c>
      <c r="Q21" s="314">
        <f>(P21-O21)/O21*100</f>
        <v>-0.65793595132557448</v>
      </c>
      <c r="R21" s="315">
        <f>F21+'OCT-23'!R21</f>
        <v>63.547490199999991</v>
      </c>
      <c r="S21" s="315">
        <f>G21+'OCT-23'!S21</f>
        <v>65.37</v>
      </c>
      <c r="T21" s="1060">
        <f>S21/S7*100</f>
        <v>22.708403533576274</v>
      </c>
      <c r="U21" s="314">
        <f>(S21-R21)/R21*100</f>
        <v>2.8679492994359252</v>
      </c>
      <c r="W21" s="5">
        <v>2.17</v>
      </c>
      <c r="X21" s="172">
        <v>2.95</v>
      </c>
      <c r="Y21" s="5">
        <f>(X21-W21)/W21*100</f>
        <v>35.944700460829502</v>
      </c>
    </row>
    <row r="22" spans="1:41" ht="18.75" customHeight="1" x14ac:dyDescent="0.45">
      <c r="A22" s="1983"/>
      <c r="B22" s="1055" t="s">
        <v>239</v>
      </c>
      <c r="C22" s="85">
        <v>77021.5</v>
      </c>
      <c r="D22" s="1410">
        <v>103323</v>
      </c>
      <c r="E22" s="1744">
        <f>(D22-C22)/C22*100</f>
        <v>34.148257304778532</v>
      </c>
      <c r="F22" s="315">
        <v>9.7439999999999998</v>
      </c>
      <c r="G22" s="315">
        <v>14.65</v>
      </c>
      <c r="H22" s="1060">
        <f>G22/G7*100</f>
        <v>46.641197070996498</v>
      </c>
      <c r="I22" s="314">
        <f>(G22-F22)/F22*100</f>
        <v>50.348932676518885</v>
      </c>
      <c r="J22" s="1486"/>
      <c r="L22" s="1476"/>
      <c r="M22" s="2369"/>
      <c r="N22" s="1055" t="s">
        <v>239</v>
      </c>
      <c r="O22" s="833">
        <f>C22+'OCT-23'!O22</f>
        <v>556732.5</v>
      </c>
      <c r="P22" s="833">
        <f>D22+'OCT-23'!P22</f>
        <v>649873</v>
      </c>
      <c r="Q22" s="314">
        <f>(P22-O22)/O22*100</f>
        <v>16.729847817398841</v>
      </c>
      <c r="R22" s="315">
        <f>F22+'OCT-23'!R22</f>
        <v>67.977634600000002</v>
      </c>
      <c r="S22" s="315">
        <f>G22+'OCT-23'!S22</f>
        <v>96.42</v>
      </c>
      <c r="T22" s="1060">
        <f>S22/S7*100</f>
        <v>33.494634675040906</v>
      </c>
      <c r="U22" s="314">
        <f>(S22-R22)/R22*100</f>
        <v>41.840769493323911</v>
      </c>
    </row>
    <row r="23" spans="1:41" ht="18.75" customHeight="1" x14ac:dyDescent="0.45">
      <c r="A23" s="1983"/>
      <c r="B23" s="1055" t="s">
        <v>233</v>
      </c>
      <c r="C23" s="85">
        <v>24078</v>
      </c>
      <c r="D23" s="1410">
        <v>20522</v>
      </c>
      <c r="E23" s="1744">
        <f>(D23-C23)/C23*100</f>
        <v>-14.768668494060968</v>
      </c>
      <c r="F23" s="315">
        <v>0.83</v>
      </c>
      <c r="G23" s="315">
        <v>0.71</v>
      </c>
      <c r="H23" s="1060">
        <f>G23/G7*100</f>
        <v>2.2604266157274755</v>
      </c>
      <c r="I23" s="314">
        <f>(G23-F23)/F23*100</f>
        <v>-14.457831325301203</v>
      </c>
      <c r="J23" s="1486"/>
      <c r="L23" s="1476"/>
      <c r="M23" s="2369"/>
      <c r="N23" s="1055" t="s">
        <v>233</v>
      </c>
      <c r="O23" s="833">
        <f>C23+'OCT-23'!O23</f>
        <v>190119</v>
      </c>
      <c r="P23" s="833">
        <f>D23+'OCT-23'!P23</f>
        <v>195712</v>
      </c>
      <c r="Q23" s="314">
        <f>(P23-O23)/O23*100</f>
        <v>2.9418416886265968</v>
      </c>
      <c r="R23" s="315">
        <f>F23+'OCT-23'!R23</f>
        <v>6.5990007999999998</v>
      </c>
      <c r="S23" s="315">
        <f>G23+'OCT-23'!S23</f>
        <v>7.24</v>
      </c>
      <c r="T23" s="1060">
        <f>S23/S7*100</f>
        <v>2.5150503531144595</v>
      </c>
      <c r="U23" s="314">
        <f>(S23-R23)/R23*100</f>
        <v>9.7135796680006532</v>
      </c>
      <c r="Z23" s="5">
        <f>25.63+0.96</f>
        <v>26.59</v>
      </c>
    </row>
    <row r="24" spans="1:41" ht="18.75" customHeight="1" x14ac:dyDescent="0.45">
      <c r="A24" s="1983"/>
      <c r="B24" s="1055" t="s">
        <v>739</v>
      </c>
      <c r="C24" s="85">
        <v>0</v>
      </c>
      <c r="D24" s="1409">
        <v>0</v>
      </c>
      <c r="E24" s="1793">
        <v>0</v>
      </c>
      <c r="F24" s="833">
        <v>0</v>
      </c>
      <c r="G24" s="833">
        <v>0</v>
      </c>
      <c r="H24" s="1651">
        <f>G24/G7*100</f>
        <v>0</v>
      </c>
      <c r="I24" s="836">
        <v>0</v>
      </c>
      <c r="L24" s="1476"/>
      <c r="M24" s="2369"/>
      <c r="N24" s="1055" t="s">
        <v>739</v>
      </c>
      <c r="O24" s="833">
        <f>C24+'OCT-23'!O24</f>
        <v>2661</v>
      </c>
      <c r="P24" s="833">
        <f>D24+'OCT-23'!P24</f>
        <v>0</v>
      </c>
      <c r="Q24" s="836">
        <v>0</v>
      </c>
      <c r="R24" s="315">
        <f>F24+'OCT-23'!R24</f>
        <v>4.1799999999999997E-2</v>
      </c>
      <c r="S24" s="315">
        <f>G24+'OCT-23'!S24</f>
        <v>0.03</v>
      </c>
      <c r="T24" s="1060">
        <f>S24/S7*100</f>
        <v>1.0421479363733947E-2</v>
      </c>
      <c r="U24" s="314">
        <v>0</v>
      </c>
    </row>
    <row r="25" spans="1:41" ht="18.75" customHeight="1" x14ac:dyDescent="0.45">
      <c r="A25" s="1983"/>
      <c r="B25" s="1055" t="s">
        <v>235</v>
      </c>
      <c r="C25" s="85">
        <v>0</v>
      </c>
      <c r="D25" s="1409">
        <v>0</v>
      </c>
      <c r="E25" s="1793">
        <v>0</v>
      </c>
      <c r="F25" s="833">
        <v>0</v>
      </c>
      <c r="G25" s="833">
        <v>0</v>
      </c>
      <c r="H25" s="1651">
        <f>G25/G7*100</f>
        <v>0</v>
      </c>
      <c r="I25" s="836">
        <v>0</v>
      </c>
      <c r="L25" s="1476"/>
      <c r="M25" s="2369"/>
      <c r="N25" s="1055" t="s">
        <v>235</v>
      </c>
      <c r="O25" s="833">
        <f>C25+'OCT-23'!O25</f>
        <v>1368</v>
      </c>
      <c r="P25" s="833">
        <f>D25+'OCT-23'!P25</f>
        <v>0</v>
      </c>
      <c r="Q25" s="836">
        <v>0</v>
      </c>
      <c r="R25" s="315">
        <f>F25+'OCT-23'!R25</f>
        <v>4.3999999999999997E-2</v>
      </c>
      <c r="S25" s="315">
        <f>G25+'OCT-23'!S25</f>
        <v>0</v>
      </c>
      <c r="T25" s="1060">
        <f>S25/S7*100</f>
        <v>0</v>
      </c>
      <c r="U25" s="314">
        <v>0</v>
      </c>
    </row>
    <row r="26" spans="1:41" ht="15.75" x14ac:dyDescent="0.45">
      <c r="A26" s="1984"/>
      <c r="B26" s="1056" t="s">
        <v>693</v>
      </c>
      <c r="C26" s="1520">
        <v>0</v>
      </c>
      <c r="D26" s="1411">
        <v>765</v>
      </c>
      <c r="E26" s="1793">
        <v>0</v>
      </c>
      <c r="F26" s="833">
        <v>0</v>
      </c>
      <c r="G26" s="315">
        <v>0.24</v>
      </c>
      <c r="H26" s="1060" t="s">
        <v>221</v>
      </c>
      <c r="I26" s="314" t="s">
        <v>221</v>
      </c>
      <c r="L26" s="1476"/>
      <c r="M26" s="2245"/>
      <c r="N26" s="1056" t="s">
        <v>693</v>
      </c>
      <c r="O26" s="833">
        <f>C26+'OCT-23'!O26</f>
        <v>1380</v>
      </c>
      <c r="P26" s="833">
        <f>D26+'OCT-23'!P26</f>
        <v>3883</v>
      </c>
      <c r="Q26" s="836">
        <v>0</v>
      </c>
      <c r="R26" s="315">
        <f>F26+'OCT-23'!R26</f>
        <v>0.34457000000000004</v>
      </c>
      <c r="S26" s="315">
        <f>G26+'OCT-23'!S26</f>
        <v>0.66700000000000004</v>
      </c>
      <c r="T26" s="1060">
        <f>S26/S7*100</f>
        <v>0.23170422452035147</v>
      </c>
      <c r="U26" s="314">
        <f>(S26-R26)/R26*100</f>
        <v>93.574600226369085</v>
      </c>
      <c r="AJ26" s="26"/>
      <c r="AK26" s="26"/>
      <c r="AL26" s="26"/>
      <c r="AM26" s="26"/>
      <c r="AN26" s="26"/>
    </row>
    <row r="27" spans="1:41" s="26" customFormat="1" ht="19.5" customHeight="1" x14ac:dyDescent="0.4">
      <c r="A27" s="1216"/>
      <c r="B27" s="1063" t="s">
        <v>683</v>
      </c>
      <c r="C27" s="1513">
        <f>SUM(C20:C26)</f>
        <v>297598.5</v>
      </c>
      <c r="D27" s="1412">
        <f>SUM(D20:D26)</f>
        <v>237043</v>
      </c>
      <c r="E27" s="1794">
        <f>(D27-C27)/C27*100</f>
        <v>-20.348052829567354</v>
      </c>
      <c r="F27" s="1054">
        <f>SUM(F20:F26)</f>
        <v>43.143999999999998</v>
      </c>
      <c r="G27" s="1054">
        <f>G20+G21+G22+G23+G24+G25+G26</f>
        <v>31.41</v>
      </c>
      <c r="H27" s="1066">
        <f>SUM(H20:H26)</f>
        <v>99.235912129894942</v>
      </c>
      <c r="I27" s="394">
        <f>(G27-F27)/F27*100</f>
        <v>-27.197292786946036</v>
      </c>
      <c r="J27" s="762"/>
      <c r="K27" s="762"/>
      <c r="L27" s="1475"/>
      <c r="M27" s="1202"/>
      <c r="N27" s="1063" t="s">
        <v>683</v>
      </c>
      <c r="O27" s="1259">
        <f>SUM(O20:O26)</f>
        <v>2149791.5</v>
      </c>
      <c r="P27" s="1259">
        <f>SUM(P20:P26)</f>
        <v>1925810</v>
      </c>
      <c r="Q27" s="394">
        <f>(P27-O27)/O27*100</f>
        <v>-10.4187545629425</v>
      </c>
      <c r="R27" s="1054">
        <f>SUM(R20:R26)</f>
        <v>276.28770659999998</v>
      </c>
      <c r="S27" s="1054">
        <f>SUM(S20:S26)</f>
        <v>287.86699999999996</v>
      </c>
      <c r="T27" s="1066">
        <f>SUM(T20:T26)</f>
        <v>100.00000000000001</v>
      </c>
      <c r="U27" s="394">
        <f>(S27-R27)/R27*100</f>
        <v>4.1910273687146322</v>
      </c>
      <c r="V27" s="26">
        <f>76.54+0.12</f>
        <v>76.660000000000011</v>
      </c>
      <c r="W27" s="26">
        <f>P27/1000000</f>
        <v>1.92581</v>
      </c>
      <c r="X27" s="432"/>
      <c r="AJ27" s="5"/>
      <c r="AK27" s="5"/>
      <c r="AL27" s="5"/>
      <c r="AM27" s="5"/>
      <c r="AN27" s="5"/>
    </row>
    <row r="28" spans="1:41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41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41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4">
        <v>3</v>
      </c>
      <c r="N30" s="2021" t="s">
        <v>623</v>
      </c>
      <c r="O30" s="2022"/>
      <c r="P30" s="2022"/>
      <c r="Q30" s="2022"/>
      <c r="R30" s="2022"/>
      <c r="S30" s="2022"/>
      <c r="T30" s="2022"/>
      <c r="U30" s="2023"/>
    </row>
    <row r="31" spans="1:41" ht="15.4" x14ac:dyDescent="0.4">
      <c r="A31" s="2382"/>
      <c r="B31" s="378" t="s">
        <v>2</v>
      </c>
      <c r="C31" s="1521">
        <v>24.66</v>
      </c>
      <c r="D31" s="1429">
        <v>22.5</v>
      </c>
      <c r="E31" s="315">
        <v>2.4</v>
      </c>
      <c r="F31" s="134">
        <v>1.96</v>
      </c>
      <c r="G31" s="134">
        <f>'ACTUAL- 23-24'!P10/10000000</f>
        <v>3.0935823999999998</v>
      </c>
      <c r="H31" s="314">
        <f>(G31-E31)/E31*100</f>
        <v>28.899266666666669</v>
      </c>
      <c r="I31" s="314">
        <f>(G31-F31)/F31*100</f>
        <v>57.835836734693871</v>
      </c>
      <c r="J31" s="84">
        <v>1.52</v>
      </c>
      <c r="K31" s="1128">
        <f>11596205/10000000</f>
        <v>1.1596204999999999</v>
      </c>
      <c r="L31" s="1749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v>15.450000000000001</v>
      </c>
      <c r="R31" s="315">
        <f>F31+'OCT-23'!R31</f>
        <v>16.63</v>
      </c>
      <c r="S31" s="315">
        <f>G31+'OCT-23'!S31</f>
        <v>19.926045999999999</v>
      </c>
      <c r="T31" s="314">
        <f>(S31-Q31)/Q31*100</f>
        <v>28.971171521035586</v>
      </c>
      <c r="U31" s="314">
        <f t="shared" ref="U31:U38" si="4">(S31-R31)/R31*100</f>
        <v>19.819879735417921</v>
      </c>
      <c r="W31" s="5">
        <f>(Q31*10000000)/100000</f>
        <v>1545</v>
      </c>
    </row>
    <row r="32" spans="1:41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15">
        <v>3.19</v>
      </c>
      <c r="F32" s="134">
        <v>2.3856622000000001</v>
      </c>
      <c r="G32" s="134">
        <f>'ACTUAL- 23-24'!Q10/10000000</f>
        <v>2.2530515000000002</v>
      </c>
      <c r="H32" s="314">
        <f>(G32-E32)/E32*100</f>
        <v>-29.37142633228839</v>
      </c>
      <c r="I32" s="314">
        <f>(G32-F32)/F32*100</f>
        <v>-5.558653693720756</v>
      </c>
      <c r="J32" s="1128">
        <v>2.3697997000000002</v>
      </c>
      <c r="K32" s="84">
        <f>0.58-0.12</f>
        <v>0.45999999999999996</v>
      </c>
      <c r="L32" s="1749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v>26.970000000000002</v>
      </c>
      <c r="R32" s="315">
        <f>F32+'OCT-23'!R32</f>
        <v>20.169691199999999</v>
      </c>
      <c r="S32" s="315">
        <f>G32+'OCT-23'!S32</f>
        <v>19.960760000000004</v>
      </c>
      <c r="T32" s="314">
        <f>(S32-Q32)/Q32*100</f>
        <v>-25.989024842417489</v>
      </c>
      <c r="U32" s="314">
        <f t="shared" si="4"/>
        <v>-1.035867123240811</v>
      </c>
      <c r="W32" s="5">
        <f>(Q32*10000000)/100000</f>
        <v>2697</v>
      </c>
    </row>
    <row r="33" spans="1:39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15">
        <v>0.28999999999999998</v>
      </c>
      <c r="F33" s="283">
        <v>8.53714E-2</v>
      </c>
      <c r="G33" s="283">
        <f>'ACTUAL- 23-24'!R10/10000000</f>
        <v>8.6453600000000005E-2</v>
      </c>
      <c r="H33" s="314">
        <f>(G33-E33)/E33*100</f>
        <v>-70.18841379310345</v>
      </c>
      <c r="I33" s="314">
        <f>(G33-F33)/F33*100</f>
        <v>1.2676376397716393</v>
      </c>
      <c r="J33" s="1128">
        <v>7.7621999999999997E-2</v>
      </c>
      <c r="L33" s="1749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v>2.41</v>
      </c>
      <c r="R33" s="315">
        <f>F33+'OCT-23'!R33</f>
        <v>0.7295242999999999</v>
      </c>
      <c r="S33" s="315">
        <f>G33+'OCT-23'!S33</f>
        <v>0.798443656</v>
      </c>
      <c r="T33" s="314">
        <f>(S33-Q33)/Q33*100</f>
        <v>-66.869557842323658</v>
      </c>
      <c r="U33" s="314">
        <f t="shared" si="4"/>
        <v>9.4471638573245755</v>
      </c>
      <c r="W33" s="5">
        <f>(Q33*10000000)/100000</f>
        <v>241</v>
      </c>
    </row>
    <row r="34" spans="1:39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3.48</v>
      </c>
      <c r="F34" s="1483">
        <f>SUM(F32:F33)</f>
        <v>2.4710336000000002</v>
      </c>
      <c r="G34" s="1483">
        <f>SUM(G32:G33)</f>
        <v>2.3395051000000002</v>
      </c>
      <c r="H34" s="1484">
        <f>(G34-E34)/E34*100</f>
        <v>-32.772841954022979</v>
      </c>
      <c r="I34" s="1484">
        <f>(G34-F34)/F34*100</f>
        <v>-5.3228130932740019</v>
      </c>
      <c r="L34" s="1749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29.380000000000003</v>
      </c>
      <c r="R34" s="1814">
        <f>F34+'OCT-23'!R34</f>
        <v>20.899215499999997</v>
      </c>
      <c r="S34" s="1814">
        <f>SUM(S32:S33)</f>
        <v>20.759203656000004</v>
      </c>
      <c r="T34" s="1484">
        <f>(S34-Q34)/Q34*100</f>
        <v>-29.342397358747441</v>
      </c>
      <c r="U34" s="1484">
        <f>(S34-R34)/R34*100</f>
        <v>-0.66993827591276289</v>
      </c>
    </row>
    <row r="35" spans="1:39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v>0.26006499999999999</v>
      </c>
      <c r="G35" s="313">
        <f>3079270/10000000</f>
        <v>0.30792700000000001</v>
      </c>
      <c r="H35" s="517" t="s">
        <v>221</v>
      </c>
      <c r="I35" s="314">
        <f>(G35-F35)/F35*100</f>
        <v>18.403860573318216</v>
      </c>
      <c r="J35" s="84">
        <v>0.21881</v>
      </c>
      <c r="L35" s="1749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f>F35+'OCT-23'!R35</f>
        <v>2.1835139999999997</v>
      </c>
      <c r="S35" s="315">
        <f>G35+'OCT-23'!S35</f>
        <v>2.1720859999999997</v>
      </c>
      <c r="T35" s="316" t="s">
        <v>221</v>
      </c>
      <c r="U35" s="314">
        <f t="shared" si="4"/>
        <v>-0.52337653891845881</v>
      </c>
      <c r="W35" s="5" t="e">
        <f>(Q35*10000000)/100000</f>
        <v>#VALUE!</v>
      </c>
    </row>
    <row r="36" spans="1:39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v>0.29328559999999998</v>
      </c>
      <c r="G36" s="313">
        <f>3262783/10000000</f>
        <v>0.32627830000000002</v>
      </c>
      <c r="H36" s="517" t="s">
        <v>221</v>
      </c>
      <c r="I36" s="314">
        <v>0</v>
      </c>
      <c r="J36" s="84">
        <v>3.63459E-2</v>
      </c>
      <c r="L36" s="1749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f>F36+'OCT-23'!R36</f>
        <v>4.8997792999999996</v>
      </c>
      <c r="S36" s="315">
        <f>G36+'OCT-23'!S36</f>
        <v>4.7897713999999993</v>
      </c>
      <c r="T36" s="316" t="s">
        <v>221</v>
      </c>
      <c r="U36" s="314">
        <f t="shared" si="4"/>
        <v>-2.2451603075265099</v>
      </c>
    </row>
    <row r="37" spans="1:39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v>3.5810947999999998</v>
      </c>
      <c r="G37" s="313">
        <v>5.07</v>
      </c>
      <c r="H37" s="517" t="s">
        <v>221</v>
      </c>
      <c r="I37" s="314">
        <f>(G37-F37)/F37*100</f>
        <v>41.576816117797286</v>
      </c>
      <c r="J37" s="84">
        <v>3.210709</v>
      </c>
      <c r="K37" s="323">
        <f>(20880+ 10612529)/10000000</f>
        <v>1.0633409</v>
      </c>
      <c r="L37" s="1749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f>F37+'OCT-23'!R37</f>
        <v>28.094167299999999</v>
      </c>
      <c r="S37" s="315">
        <f>G37+'OCT-23'!S37</f>
        <v>32.727086400000005</v>
      </c>
      <c r="T37" s="316" t="s">
        <v>221</v>
      </c>
      <c r="U37" s="314">
        <f t="shared" si="4"/>
        <v>16.490679544006294</v>
      </c>
    </row>
    <row r="38" spans="1:39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313">
        <v>7.1962899999999996E-2</v>
      </c>
      <c r="G38" s="313">
        <f>'ACTUAL- 23-24'!U10/10000000</f>
        <v>8.5561700000000004E-2</v>
      </c>
      <c r="H38" s="413"/>
      <c r="I38" s="314">
        <v>0</v>
      </c>
      <c r="J38" s="84">
        <v>6.4195500000000003E-2</v>
      </c>
      <c r="L38" s="1749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f>F38+'OCT-23'!R38</f>
        <v>0.56204030000000005</v>
      </c>
      <c r="S38" s="315">
        <f>G38+'OCT-23'!S38</f>
        <v>0.71404789999999996</v>
      </c>
      <c r="T38" s="413"/>
      <c r="U38" s="314">
        <f t="shared" si="4"/>
        <v>27.04567626200468</v>
      </c>
    </row>
    <row r="39" spans="1:39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J39" s="323">
        <v>9.68218E-2</v>
      </c>
      <c r="L39" s="1749"/>
      <c r="M39" s="1286">
        <v>4</v>
      </c>
      <c r="N39" s="2021" t="s">
        <v>622</v>
      </c>
      <c r="O39" s="2022"/>
      <c r="P39" s="2022"/>
      <c r="Q39" s="2022"/>
      <c r="R39" s="2022"/>
      <c r="S39" s="2022"/>
      <c r="T39" s="2022"/>
      <c r="U39" s="2023"/>
    </row>
    <row r="40" spans="1:39" ht="15.4" x14ac:dyDescent="0.4">
      <c r="A40" s="2387"/>
      <c r="B40" s="378" t="s">
        <v>27</v>
      </c>
      <c r="C40" s="1521">
        <v>12.02</v>
      </c>
      <c r="D40" s="1429">
        <v>13.95</v>
      </c>
      <c r="E40" s="315">
        <v>1.1625000000000001</v>
      </c>
      <c r="F40" s="313">
        <v>1.2100426</v>
      </c>
      <c r="G40" s="313">
        <f>'ACTUAL- 23-24'!O27/10000000</f>
        <v>1.3363186</v>
      </c>
      <c r="H40" s="314">
        <f>(G40-E40)/E40*100</f>
        <v>14.952137634408597</v>
      </c>
      <c r="I40" s="314">
        <f>(G40-F40)/F40*100</f>
        <v>10.435665653424108</v>
      </c>
      <c r="K40" s="1128">
        <v>0.5185746</v>
      </c>
      <c r="L40" s="1476"/>
      <c r="M40" s="1286"/>
      <c r="N40" s="378" t="s">
        <v>27</v>
      </c>
      <c r="O40" s="1283">
        <v>12.02</v>
      </c>
      <c r="P40" s="1429">
        <v>13.95</v>
      </c>
      <c r="Q40" s="307">
        <v>9.3000000000000007</v>
      </c>
      <c r="R40" s="315">
        <f>F40+'OCT-23'!R40</f>
        <v>7.0175040000000006</v>
      </c>
      <c r="S40" s="315">
        <f>G40+'OCT-23'!S40</f>
        <v>8.2163185999999993</v>
      </c>
      <c r="T40" s="314">
        <f>(S40-Q40)/Q40*100</f>
        <v>-11.652488172043025</v>
      </c>
      <c r="U40" s="314">
        <f>(S40-R40)/R40*100</f>
        <v>17.083205082604849</v>
      </c>
      <c r="W40" s="12">
        <v>6.8847902000000003</v>
      </c>
      <c r="X40" s="491">
        <v>1.5093639999999999</v>
      </c>
      <c r="Y40" s="12">
        <v>0.98931259999999999</v>
      </c>
      <c r="Z40" s="12">
        <v>0.63322219999999996</v>
      </c>
      <c r="AA40" s="12">
        <v>0.67428080000000001</v>
      </c>
      <c r="AL40" s="5" t="s">
        <v>27</v>
      </c>
      <c r="AM40" s="12">
        <f t="shared" ref="AM40:AM45" si="5">S40</f>
        <v>8.2163185999999993</v>
      </c>
    </row>
    <row r="41" spans="1:39" ht="15.4" x14ac:dyDescent="0.4">
      <c r="A41" s="2387"/>
      <c r="B41" s="378" t="s">
        <v>28</v>
      </c>
      <c r="C41" s="1521">
        <v>1.94</v>
      </c>
      <c r="D41" s="1429">
        <v>1.95</v>
      </c>
      <c r="E41" s="315">
        <v>0.16250000000000001</v>
      </c>
      <c r="F41" s="313">
        <v>0.1550318</v>
      </c>
      <c r="G41" s="313">
        <f>'ACTUAL- 23-24'!P27/10000000</f>
        <v>8.97892E-2</v>
      </c>
      <c r="H41" s="314">
        <f>(G41-E41)/E41*100</f>
        <v>-44.745107692307698</v>
      </c>
      <c r="I41" s="314">
        <f>(G41-F41)/F41*100</f>
        <v>-42.083366122305229</v>
      </c>
      <c r="J41" s="84">
        <f t="shared" ref="J41:J46" si="6">E40*8</f>
        <v>9.3000000000000007</v>
      </c>
      <c r="K41" s="1128">
        <v>1.5909099999999999E-2</v>
      </c>
      <c r="L41" s="1476">
        <v>2.1361249999999998</v>
      </c>
      <c r="M41" s="1286"/>
      <c r="N41" s="378" t="s">
        <v>28</v>
      </c>
      <c r="O41" s="1283">
        <v>1.94</v>
      </c>
      <c r="P41" s="1429">
        <v>1.95</v>
      </c>
      <c r="Q41" s="307">
        <v>1.3</v>
      </c>
      <c r="R41" s="315">
        <f>F41+'OCT-23'!R41</f>
        <v>0.79031479999999998</v>
      </c>
      <c r="S41" s="315">
        <f>G41+'OCT-23'!S41</f>
        <v>1.5997892</v>
      </c>
      <c r="T41" s="314">
        <f>(S41-Q41)/Q41*100</f>
        <v>23.060707692307687</v>
      </c>
      <c r="U41" s="314">
        <f>(S41-R41)/R41*100</f>
        <v>102.42429978535137</v>
      </c>
      <c r="W41" s="5">
        <f>(E41*10000000)/100000</f>
        <v>16.25</v>
      </c>
      <c r="X41" s="172">
        <v>19.73</v>
      </c>
      <c r="Y41" s="5">
        <v>3.12</v>
      </c>
      <c r="Z41" s="11">
        <f t="shared" ref="Z41:Z45" si="7">(X41-W41)/W41*100</f>
        <v>21.415384615384617</v>
      </c>
      <c r="AA41" s="11">
        <f t="shared" ref="AA41:AA45" si="8">(X41-Y41)/Y41*100</f>
        <v>532.3717948717948</v>
      </c>
      <c r="AL41" s="5" t="str">
        <f>N41</f>
        <v>Pay &amp; Park</v>
      </c>
      <c r="AM41" s="12">
        <f t="shared" si="5"/>
        <v>1.5997892</v>
      </c>
    </row>
    <row r="42" spans="1:39" ht="15.4" x14ac:dyDescent="0.4">
      <c r="A42" s="2387"/>
      <c r="B42" s="378" t="s">
        <v>224</v>
      </c>
      <c r="C42" s="1521">
        <v>1.96</v>
      </c>
      <c r="D42" s="1429">
        <v>3.25</v>
      </c>
      <c r="E42" s="315">
        <v>0.27</v>
      </c>
      <c r="F42" s="313">
        <v>0.44543159999999998</v>
      </c>
      <c r="G42" s="313">
        <f>'ACTUAL- 23-24'!Q27/10000000</f>
        <v>0.14057620000000001</v>
      </c>
      <c r="H42" s="314">
        <f>(G42-E42)/E42*100</f>
        <v>-47.934740740740736</v>
      </c>
      <c r="I42" s="314">
        <f>(G42-F42)/F42*100</f>
        <v>-68.440451912257686</v>
      </c>
      <c r="J42" s="84">
        <f t="shared" si="6"/>
        <v>1.3</v>
      </c>
      <c r="K42" s="1128">
        <v>7.9338400000000003E-2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7">
        <v>2.16</v>
      </c>
      <c r="R42" s="315">
        <f>F42+'OCT-23'!R42</f>
        <v>1.2477319999999998</v>
      </c>
      <c r="S42" s="315">
        <f>G42+'OCT-23'!S42</f>
        <v>1.1298888</v>
      </c>
      <c r="T42" s="314">
        <f>(S42-Q42)/Q42*100</f>
        <v>-47.690333333333335</v>
      </c>
      <c r="U42" s="314">
        <f>(S42-R42)/R42*100</f>
        <v>-9.4445922682114301</v>
      </c>
      <c r="W42" s="11">
        <f>(E42*10000000)/100000</f>
        <v>27</v>
      </c>
      <c r="X42" s="172">
        <v>45.45</v>
      </c>
      <c r="Y42" s="5">
        <v>0</v>
      </c>
      <c r="Z42" s="11">
        <f t="shared" si="7"/>
        <v>68.333333333333343</v>
      </c>
      <c r="AA42" s="11" t="e">
        <f t="shared" si="8"/>
        <v>#DIV/0!</v>
      </c>
      <c r="AL42" s="5" t="s">
        <v>3</v>
      </c>
      <c r="AM42" s="12">
        <f t="shared" si="5"/>
        <v>1.1298888</v>
      </c>
    </row>
    <row r="43" spans="1:39" ht="15.4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>
        <v>0</v>
      </c>
      <c r="H43" s="314" t="e">
        <f>(G43-E43)/E43*100</f>
        <v>#VALUE!</v>
      </c>
      <c r="I43" s="314" t="e">
        <f t="shared" ref="I43:I44" si="9">(G43-F43)/F43*100</f>
        <v>#DIV/0!</v>
      </c>
      <c r="J43" s="323">
        <f t="shared" si="6"/>
        <v>2.16</v>
      </c>
      <c r="K43" s="1128">
        <v>0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15">
        <f>F43+'OCT-23'!R43</f>
        <v>0</v>
      </c>
      <c r="S43" s="315">
        <f>G43+'OCT-23'!S43</f>
        <v>0</v>
      </c>
      <c r="T43" s="314" t="s">
        <v>221</v>
      </c>
      <c r="U43" s="314">
        <v>0</v>
      </c>
      <c r="W43" s="5" t="e">
        <f>(E43*10000000)/100000</f>
        <v>#VALUE!</v>
      </c>
      <c r="Z43" s="11" t="e">
        <f t="shared" si="7"/>
        <v>#VALUE!</v>
      </c>
      <c r="AA43" s="11" t="e">
        <f t="shared" si="8"/>
        <v>#DIV/0!</v>
      </c>
      <c r="AM43" s="12">
        <f t="shared" si="5"/>
        <v>0</v>
      </c>
    </row>
    <row r="44" spans="1:39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5.5114999999999999E-3</v>
      </c>
      <c r="G44" s="313">
        <v>0</v>
      </c>
      <c r="H44" s="314"/>
      <c r="I44" s="314">
        <f t="shared" si="9"/>
        <v>-100</v>
      </c>
      <c r="J44" s="84" t="e">
        <f t="shared" si="6"/>
        <v>#VALUE!</v>
      </c>
      <c r="K44" s="1128">
        <v>6.3045000000000002E-3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15">
        <f>F44+'OCT-23'!R44</f>
        <v>0.20511170000000001</v>
      </c>
      <c r="S44" s="315">
        <f>G44+'OCT-23'!S44</f>
        <v>0.63322220000000007</v>
      </c>
      <c r="T44" s="314" t="s">
        <v>221</v>
      </c>
      <c r="U44" s="314">
        <f>(S44-R44)/R44*100</f>
        <v>208.72066293634154</v>
      </c>
      <c r="X44" s="172">
        <v>0</v>
      </c>
      <c r="Y44" s="5">
        <v>0.06</v>
      </c>
      <c r="Z44" s="11" t="e">
        <f t="shared" si="7"/>
        <v>#DIV/0!</v>
      </c>
      <c r="AA44" s="11">
        <f t="shared" si="8"/>
        <v>-100</v>
      </c>
      <c r="AL44" s="5" t="s">
        <v>1016</v>
      </c>
      <c r="AM44" s="12">
        <f t="shared" si="5"/>
        <v>0.63322220000000007</v>
      </c>
    </row>
    <row r="45" spans="1:39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0.3161118</v>
      </c>
      <c r="G45" s="313">
        <f>'ACTUAL- 23-24'!S27/10000000</f>
        <v>8.5708000000000006E-2</v>
      </c>
      <c r="H45" s="314"/>
      <c r="I45" s="314">
        <f>(G45-F45)/F45*100</f>
        <v>-72.886807768643877</v>
      </c>
      <c r="J45" s="84" t="e">
        <f t="shared" si="6"/>
        <v>#VALUE!</v>
      </c>
      <c r="K45" s="1128">
        <v>7.3470099999999997E-2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15">
        <f>F45+'OCT-23'!R45</f>
        <v>1.212761</v>
      </c>
      <c r="S45" s="315">
        <f>G45+'OCT-23'!S45</f>
        <v>0.75998880000000002</v>
      </c>
      <c r="T45" s="407" t="s">
        <v>221</v>
      </c>
      <c r="U45" s="314">
        <f>(S45-R45)/R45*100</f>
        <v>-37.334000681090501</v>
      </c>
      <c r="W45" s="595">
        <f>W40+W41+W42+W44</f>
        <v>50.134790199999998</v>
      </c>
      <c r="X45" s="172">
        <f>X40+X41+X42+X44</f>
        <v>66.689364000000012</v>
      </c>
      <c r="Y45" s="172">
        <f>Y40+Y41+Y42+Y44</f>
        <v>4.1693125999999996</v>
      </c>
      <c r="Z45" s="11">
        <f t="shared" si="7"/>
        <v>33.020131796622174</v>
      </c>
      <c r="AA45" s="11">
        <f t="shared" si="8"/>
        <v>1499.528996698401</v>
      </c>
      <c r="AL45" s="5" t="s">
        <v>1017</v>
      </c>
      <c r="AM45" s="12">
        <f t="shared" si="5"/>
        <v>0.75998880000000002</v>
      </c>
    </row>
    <row r="46" spans="1:39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6"/>
        <v>#VALUE!</v>
      </c>
      <c r="L46" s="1476">
        <v>0.93056630000000007</v>
      </c>
      <c r="M46" s="2388"/>
      <c r="N46" s="2021" t="s">
        <v>419</v>
      </c>
      <c r="O46" s="2022"/>
      <c r="P46" s="2022"/>
      <c r="Q46" s="2022"/>
      <c r="R46" s="2022"/>
      <c r="S46" s="2022"/>
      <c r="T46" s="2022"/>
      <c r="U46" s="2023"/>
    </row>
    <row r="47" spans="1:39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15">
        <v>2.15</v>
      </c>
      <c r="F47" s="315">
        <v>1.8494299999999999</v>
      </c>
      <c r="G47" s="315">
        <f>'ACTUAL- 23-24'!E27/1000000</f>
        <v>1.706731</v>
      </c>
      <c r="H47" s="316">
        <f>(G47-E47)/E47*100</f>
        <v>-20.61716279069767</v>
      </c>
      <c r="I47" s="314">
        <f>(G47-F47)/F47*100</f>
        <v>-7.7158367713295402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v>14.04</v>
      </c>
      <c r="R47" s="315">
        <f>F47+'OCT-23'!R47</f>
        <v>12.108135000000001</v>
      </c>
      <c r="S47" s="315">
        <f>G47+'OCT-23'!S47</f>
        <v>14.610028999999999</v>
      </c>
      <c r="T47" s="316">
        <f>(S47-Q47)/Q47*100</f>
        <v>4.0600356125356116</v>
      </c>
      <c r="U47" s="314">
        <f>(S47-R47)/R47*100</f>
        <v>20.662917947313918</v>
      </c>
      <c r="V47" s="5">
        <f>S47/153</f>
        <v>9.5490385620915025E-2</v>
      </c>
    </row>
    <row r="48" spans="1:39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154">
        <v>3.2</v>
      </c>
      <c r="F48" s="315">
        <v>1.656377</v>
      </c>
      <c r="G48" s="315">
        <f>'ACTUAL- 23-24'!F27/1000000</f>
        <v>1.9580230000000001</v>
      </c>
      <c r="H48" s="2027">
        <f>L48</f>
        <v>-6.4830937500000019</v>
      </c>
      <c r="I48" s="314">
        <f>(G48-F48)/F48*100</f>
        <v>18.211192258767181</v>
      </c>
      <c r="J48" s="12">
        <f>F48+F49</f>
        <v>2.7505699999999997</v>
      </c>
      <c r="K48" s="12">
        <f>G48+G49</f>
        <v>2.9925410000000001</v>
      </c>
      <c r="L48" s="1151">
        <f>(K48-E48)/E48*100</f>
        <v>-6.4830937500000019</v>
      </c>
      <c r="M48" s="2388"/>
      <c r="N48" s="1280" t="s">
        <v>792</v>
      </c>
      <c r="O48" s="1285">
        <v>15.344440000000001</v>
      </c>
      <c r="P48" s="2067">
        <v>32.97</v>
      </c>
      <c r="Q48" s="2065">
        <v>20.64</v>
      </c>
      <c r="R48" s="315">
        <f>F48+'OCT-23'!R48</f>
        <v>9.1269939999999998</v>
      </c>
      <c r="S48" s="315">
        <f>G48+'OCT-23'!S48</f>
        <v>13.834714000000002</v>
      </c>
      <c r="T48" s="2027">
        <f>X48</f>
        <v>9.4826356589147416</v>
      </c>
      <c r="U48" s="314">
        <f>(S48-R48)/R48*100</f>
        <v>51.580180725439305</v>
      </c>
      <c r="V48" s="12">
        <f>R48+R49</f>
        <v>17.781354</v>
      </c>
      <c r="W48" s="12">
        <f>S48+S49</f>
        <v>22.597216000000003</v>
      </c>
      <c r="X48" s="1151">
        <f>(W48-Q48)/Q48*100</f>
        <v>9.4826356589147416</v>
      </c>
    </row>
    <row r="49" spans="1:33" ht="16.5" x14ac:dyDescent="0.55000000000000004">
      <c r="A49" s="2387"/>
      <c r="B49" s="1606" t="s">
        <v>934</v>
      </c>
      <c r="C49" s="1524">
        <v>12.857975999999999</v>
      </c>
      <c r="D49" s="2066"/>
      <c r="E49" s="2155"/>
      <c r="F49" s="315">
        <v>1.094193</v>
      </c>
      <c r="G49" s="315">
        <f>'ACTUAL- 23-24'!G27/1000000</f>
        <v>1.034518</v>
      </c>
      <c r="H49" s="2029"/>
      <c r="I49" s="314">
        <f>(G49-F49)/F49*100</f>
        <v>-5.4537910587985783</v>
      </c>
      <c r="J49" s="84">
        <v>31105</v>
      </c>
      <c r="K49" s="1198"/>
      <c r="L49" s="1477">
        <f>(K48-J48)/J48*100</f>
        <v>8.7971220510657933</v>
      </c>
      <c r="M49" s="2388"/>
      <c r="N49" s="320" t="s">
        <v>931</v>
      </c>
      <c r="O49" s="1285">
        <v>12.857975999999999</v>
      </c>
      <c r="P49" s="2068"/>
      <c r="Q49" s="2066"/>
      <c r="R49" s="315">
        <f>F49+'OCT-23'!R49</f>
        <v>8.6543600000000005</v>
      </c>
      <c r="S49" s="315">
        <f>G49+'OCT-23'!S49</f>
        <v>8.7625019999999996</v>
      </c>
      <c r="T49" s="2029"/>
      <c r="U49" s="314">
        <f>(S49-R49)/R49*100</f>
        <v>1.2495666923954984</v>
      </c>
      <c r="V49" s="84"/>
      <c r="W49" s="1198"/>
      <c r="X49" s="1477">
        <f>(W48-V48)/V48*100</f>
        <v>27.083775510008984</v>
      </c>
    </row>
    <row r="50" spans="1:33" ht="16.5" customHeight="1" x14ac:dyDescent="0.55000000000000004">
      <c r="A50" s="2387">
        <v>6</v>
      </c>
      <c r="B50" s="2021" t="s">
        <v>1022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8">
        <v>6</v>
      </c>
      <c r="N50" s="2021" t="s">
        <v>1022</v>
      </c>
      <c r="O50" s="2022"/>
      <c r="P50" s="2022"/>
      <c r="Q50" s="2022"/>
      <c r="R50" s="2022"/>
      <c r="S50" s="2022"/>
      <c r="T50" s="2022"/>
      <c r="U50" s="2023"/>
      <c r="V50" s="323">
        <f>R48+R47</f>
        <v>21.235129000000001</v>
      </c>
      <c r="W50" s="323">
        <f>S48+S47</f>
        <v>28.444743000000003</v>
      </c>
      <c r="X50" s="314">
        <f>(W50-V50)/V50*100</f>
        <v>33.951354851670558</v>
      </c>
    </row>
    <row r="51" spans="1:33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190.16</v>
      </c>
      <c r="G51" s="313">
        <v>396.55</v>
      </c>
      <c r="H51" s="2027" t="s">
        <v>221</v>
      </c>
      <c r="I51" s="314">
        <f>(G51-F51)/F51*100</f>
        <v>108.53491796381995</v>
      </c>
      <c r="K51" s="84">
        <v>1.4243969999999999</v>
      </c>
      <c r="M51" s="2388"/>
      <c r="N51" s="2006" t="s">
        <v>36</v>
      </c>
      <c r="O51" s="2007"/>
      <c r="P51" s="2368">
        <v>0.55000000000000004</v>
      </c>
      <c r="Q51" s="2024" t="s">
        <v>221</v>
      </c>
      <c r="R51" s="313">
        <v>190.16</v>
      </c>
      <c r="S51" s="313">
        <v>396.55</v>
      </c>
      <c r="T51" s="2027"/>
      <c r="U51" s="314">
        <f>(S51-R51)/R51*100</f>
        <v>108.53491796381995</v>
      </c>
    </row>
    <row r="52" spans="1:33" ht="15.4" x14ac:dyDescent="0.4">
      <c r="A52" s="2387"/>
      <c r="B52" s="378" t="s">
        <v>37</v>
      </c>
      <c r="C52" s="1525"/>
      <c r="D52" s="2369"/>
      <c r="E52" s="2025"/>
      <c r="F52" s="313">
        <v>34.49</v>
      </c>
      <c r="G52" s="313">
        <v>23.2</v>
      </c>
      <c r="H52" s="2028"/>
      <c r="I52" s="314">
        <f>(G52-F52)/F52*100</f>
        <v>-32.734125833574957</v>
      </c>
      <c r="K52" s="84">
        <v>1.1149039999999999</v>
      </c>
      <c r="M52" s="2388"/>
      <c r="N52" s="2006" t="s">
        <v>37</v>
      </c>
      <c r="O52" s="2007"/>
      <c r="P52" s="2369"/>
      <c r="Q52" s="2025"/>
      <c r="R52" s="313">
        <v>34.49</v>
      </c>
      <c r="S52" s="313">
        <v>23.2</v>
      </c>
      <c r="T52" s="2028"/>
      <c r="U52" s="314">
        <f>(S52-R52)/R52*100</f>
        <v>-32.734125833574957</v>
      </c>
    </row>
    <row r="53" spans="1:33" ht="15.4" x14ac:dyDescent="0.4">
      <c r="A53" s="2387"/>
      <c r="B53" s="378" t="s">
        <v>38</v>
      </c>
      <c r="C53" s="1525"/>
      <c r="D53" s="2245"/>
      <c r="E53" s="2026"/>
      <c r="F53" s="313">
        <v>245.52</v>
      </c>
      <c r="G53" s="313">
        <f>SUM(G51:G52)</f>
        <v>419.75</v>
      </c>
      <c r="H53" s="2029"/>
      <c r="I53" s="314">
        <f>(G53-F53)/F53*100</f>
        <v>70.963668947539901</v>
      </c>
      <c r="K53" s="84">
        <v>1.0979049999999999</v>
      </c>
      <c r="M53" s="2388"/>
      <c r="N53" s="2006" t="s">
        <v>38</v>
      </c>
      <c r="O53" s="2007"/>
      <c r="P53" s="2245"/>
      <c r="Q53" s="2026"/>
      <c r="R53" s="313">
        <v>245.52</v>
      </c>
      <c r="S53" s="313">
        <f>SUM(S51:S52)</f>
        <v>419.75</v>
      </c>
      <c r="T53" s="2029"/>
      <c r="U53" s="314">
        <f>(S53-R53)/R53*100</f>
        <v>70.963668947539901</v>
      </c>
    </row>
    <row r="54" spans="1:33" x14ac:dyDescent="0.4">
      <c r="B54" s="1748"/>
      <c r="C54" s="1810" t="s">
        <v>195</v>
      </c>
      <c r="D54" s="1810" t="s">
        <v>227</v>
      </c>
      <c r="E54" s="1811" t="s">
        <v>494</v>
      </c>
      <c r="F54" s="1740"/>
      <c r="G54" s="1810" t="s">
        <v>195</v>
      </c>
      <c r="H54" s="1810" t="s">
        <v>227</v>
      </c>
      <c r="I54" s="1811" t="s">
        <v>494</v>
      </c>
      <c r="N54" s="1740"/>
      <c r="O54" s="1810" t="s">
        <v>195</v>
      </c>
      <c r="P54" s="1810" t="s">
        <v>227</v>
      </c>
      <c r="Q54" s="1811" t="s">
        <v>494</v>
      </c>
      <c r="R54" s="1810"/>
      <c r="S54" s="1810" t="s">
        <v>195</v>
      </c>
      <c r="T54" s="1810" t="s">
        <v>227</v>
      </c>
      <c r="U54" s="1811" t="s">
        <v>494</v>
      </c>
    </row>
    <row r="55" spans="1:33" ht="15.75" x14ac:dyDescent="0.45">
      <c r="B55" s="1742" t="s">
        <v>989</v>
      </c>
      <c r="C55" s="1743">
        <f>F15+F16</f>
        <v>15.484750400000001</v>
      </c>
      <c r="D55" s="1743">
        <f>G15+G16</f>
        <v>21.603323899999999</v>
      </c>
      <c r="E55" s="1744">
        <f>(D55-C55)/C55*100</f>
        <v>39.513542949972233</v>
      </c>
      <c r="F55" s="1745" t="s">
        <v>991</v>
      </c>
      <c r="G55" s="1745">
        <f>F48+F47</f>
        <v>3.5058069999999999</v>
      </c>
      <c r="H55" s="1745">
        <f>G48+G47</f>
        <v>3.6647540000000003</v>
      </c>
      <c r="I55" s="1744">
        <f>(H55-G55)/G55*100</f>
        <v>4.5338206010770241</v>
      </c>
      <c r="N55" s="1742" t="s">
        <v>989</v>
      </c>
      <c r="O55" s="1743">
        <f>R15+R16</f>
        <v>75.920297500000004</v>
      </c>
      <c r="P55" s="1743">
        <f>S15+S16</f>
        <v>143.86715029999999</v>
      </c>
      <c r="Q55" s="1744">
        <f>(P55-O55)/O55*100</f>
        <v>89.497611360124068</v>
      </c>
      <c r="R55" s="1745" t="s">
        <v>991</v>
      </c>
      <c r="S55" s="1745">
        <f>R48+R47</f>
        <v>21.235129000000001</v>
      </c>
      <c r="T55" s="1745">
        <f>S48+S47</f>
        <v>28.444743000000003</v>
      </c>
      <c r="U55" s="1744">
        <f>(T55-S55)/S55*100</f>
        <v>33.951354851670558</v>
      </c>
      <c r="W55" s="12" t="e">
        <f>R56+R57</f>
        <v>#VALUE!</v>
      </c>
      <c r="X55" s="12">
        <f>S56+S57</f>
        <v>17.781354</v>
      </c>
      <c r="Z55" s="314" t="e">
        <f>(X55-W55)/W55*100</f>
        <v>#VALUE!</v>
      </c>
    </row>
    <row r="56" spans="1:33" ht="15.75" x14ac:dyDescent="0.45">
      <c r="B56" s="1742" t="s">
        <v>990</v>
      </c>
      <c r="C56" s="1743">
        <f>F16+F17</f>
        <v>89.722424500000002</v>
      </c>
      <c r="D56" s="1743">
        <f>G16+G17</f>
        <v>98.678548000000006</v>
      </c>
      <c r="E56" s="1744">
        <f>(D56-C56)/C56*100</f>
        <v>9.9820346473138422</v>
      </c>
      <c r="F56" s="1746" t="s">
        <v>992</v>
      </c>
      <c r="G56" s="1747">
        <f>F48+F49</f>
        <v>2.7505699999999997</v>
      </c>
      <c r="H56" s="1747">
        <f>G48+G49</f>
        <v>2.9925410000000001</v>
      </c>
      <c r="I56" s="1744">
        <f>(H56-G56)/G56*100</f>
        <v>8.7971220510657933</v>
      </c>
      <c r="J56" s="314"/>
      <c r="K56" s="5"/>
      <c r="N56" s="1742" t="s">
        <v>990</v>
      </c>
      <c r="O56" s="1743">
        <f>R16+R17</f>
        <v>649.77535569999998</v>
      </c>
      <c r="P56" s="1743">
        <f>S16+S17</f>
        <v>781.64522779999993</v>
      </c>
      <c r="Q56" s="1744">
        <f>(P56-O56)/O56*100</f>
        <v>20.294686608718354</v>
      </c>
      <c r="R56" s="1746" t="s">
        <v>992</v>
      </c>
      <c r="S56" s="1747">
        <f>R48+R49</f>
        <v>17.781354</v>
      </c>
      <c r="T56" s="1747">
        <f>S48+S49</f>
        <v>22.597216000000003</v>
      </c>
      <c r="U56" s="1744">
        <f>(T56-S56)/S56*100</f>
        <v>27.083775510008984</v>
      </c>
    </row>
    <row r="57" spans="1:33" ht="15.75" x14ac:dyDescent="0.45">
      <c r="J57" s="35"/>
      <c r="L57" s="35"/>
      <c r="Q57" s="229"/>
      <c r="R57" s="12"/>
      <c r="S57" s="12"/>
      <c r="U57" s="314"/>
    </row>
    <row r="58" spans="1:33" x14ac:dyDescent="0.4">
      <c r="D58" s="1407"/>
      <c r="E58" s="1192">
        <v>44887</v>
      </c>
      <c r="F58" s="1192">
        <v>45253</v>
      </c>
      <c r="H58" s="1192">
        <f>E58</f>
        <v>44887</v>
      </c>
      <c r="I58" s="1192">
        <f>F58</f>
        <v>45253</v>
      </c>
      <c r="K58" s="84">
        <v>2.94</v>
      </c>
      <c r="R58" s="12">
        <f>SUM(R55:R57)</f>
        <v>0</v>
      </c>
      <c r="S58" s="12">
        <f>SUM(S55:S57)</f>
        <v>39.016483000000001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33" ht="15.75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S59" s="9" t="s">
        <v>152</v>
      </c>
      <c r="T59" s="1291">
        <f>E58</f>
        <v>44887</v>
      </c>
      <c r="U59" s="1291">
        <f>F58</f>
        <v>45253</v>
      </c>
      <c r="V59" s="26"/>
      <c r="W59" s="1291">
        <v>44958</v>
      </c>
      <c r="X59" s="1291">
        <v>44958</v>
      </c>
      <c r="Y59" s="26"/>
      <c r="Z59" s="1291">
        <f>T59</f>
        <v>44887</v>
      </c>
      <c r="AA59" s="1291">
        <f>X59</f>
        <v>44958</v>
      </c>
      <c r="AC59" s="5">
        <v>57578</v>
      </c>
      <c r="AD59" s="5">
        <v>76550</v>
      </c>
    </row>
    <row r="60" spans="1:33" ht="16.149999999999999" x14ac:dyDescent="0.55000000000000004">
      <c r="D60" s="1407" t="s">
        <v>94</v>
      </c>
      <c r="E60" s="1193">
        <f>H60/10000000</f>
        <v>1.0817188</v>
      </c>
      <c r="F60" s="1193">
        <f>I60/10000000</f>
        <v>0.96402189999999999</v>
      </c>
      <c r="H60" s="598">
        <f>E152</f>
        <v>10817188</v>
      </c>
      <c r="I60" s="598">
        <f>E115</f>
        <v>9640219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33" ht="16.149999999999999" x14ac:dyDescent="0.55000000000000004">
      <c r="D61" s="1407" t="s">
        <v>502</v>
      </c>
      <c r="E61" s="1193">
        <f>H61/10000000</f>
        <v>14.4030314</v>
      </c>
      <c r="F61" s="1193">
        <f t="shared" ref="E61:F62" si="10">I61/10000000</f>
        <v>19.0570214</v>
      </c>
      <c r="H61" s="598">
        <f>G152</f>
        <v>144030314</v>
      </c>
      <c r="I61" s="598">
        <f>G115</f>
        <v>190570214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33" ht="16.899999999999999" thickBot="1" x14ac:dyDescent="0.6">
      <c r="D62" s="1407" t="s">
        <v>767</v>
      </c>
      <c r="E62" s="1193">
        <f t="shared" si="10"/>
        <v>68.685322999999997</v>
      </c>
      <c r="F62" s="1193">
        <f>I62/10000000</f>
        <v>69.783547999999996</v>
      </c>
      <c r="H62" s="1496">
        <f>I152</f>
        <v>686853230</v>
      </c>
      <c r="I62" s="1496">
        <f>I115</f>
        <v>697835480</v>
      </c>
      <c r="J62" s="1320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33" ht="16.5" x14ac:dyDescent="0.55000000000000004">
      <c r="E63" s="428"/>
      <c r="F63" s="428"/>
      <c r="J63" s="1215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33" ht="15.4" x14ac:dyDescent="0.4">
      <c r="E64" s="428"/>
      <c r="F64" s="428"/>
      <c r="I64" s="82">
        <f>J65/1000000</f>
        <v>0.23699999999999999</v>
      </c>
      <c r="K64" s="212"/>
      <c r="L64" s="1217"/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6.149999999999999" x14ac:dyDescent="0.55000000000000004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>
        <f>SUM(T60:T64)</f>
        <v>665125</v>
      </c>
      <c r="U65" s="26">
        <f t="shared" ref="U65:AA65" si="11">SUM(U60:U64)</f>
        <v>3363834</v>
      </c>
      <c r="W65" s="9">
        <f>SUM(W60:W64)</f>
        <v>1174725</v>
      </c>
      <c r="X65" s="9">
        <f t="shared" si="11"/>
        <v>7176648</v>
      </c>
      <c r="Y65" s="26"/>
      <c r="Z65" s="9">
        <f t="shared" si="11"/>
        <v>403700</v>
      </c>
      <c r="AA65" s="9">
        <f t="shared" si="11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6.149999999999999" x14ac:dyDescent="0.55000000000000004">
      <c r="D66" s="1407" t="s">
        <v>94</v>
      </c>
      <c r="E66" s="1193">
        <f>H66/1000000</f>
        <v>1.8494299999999999</v>
      </c>
      <c r="F66" s="1193">
        <f>I66/1000000</f>
        <v>1.4930129999999999</v>
      </c>
      <c r="H66" s="598">
        <f>D152</f>
        <v>1849430</v>
      </c>
      <c r="I66" s="598">
        <f>D115</f>
        <v>1493013</v>
      </c>
      <c r="J66" s="323">
        <f>H66/100000</f>
        <v>18.494299999999999</v>
      </c>
      <c r="K66" s="323">
        <f t="shared" ref="K66:K68" si="12">I66/100000</f>
        <v>14.93013</v>
      </c>
      <c r="L66" s="1217"/>
      <c r="O66" s="755">
        <v>3608549</v>
      </c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6.5" thickBot="1" x14ac:dyDescent="0.6">
      <c r="D67" s="1407" t="s">
        <v>502</v>
      </c>
      <c r="E67" s="1193">
        <f t="shared" ref="E67:F68" si="13">H67/1000000</f>
        <v>1.656377</v>
      </c>
      <c r="F67" s="1193">
        <f t="shared" si="13"/>
        <v>1.779309</v>
      </c>
      <c r="H67" s="598">
        <f>F152</f>
        <v>1656377</v>
      </c>
      <c r="I67" s="598">
        <f>F115</f>
        <v>1779309</v>
      </c>
      <c r="J67" s="323">
        <f>H67/100000</f>
        <v>16.563770000000002</v>
      </c>
      <c r="K67" s="323">
        <f t="shared" si="12"/>
        <v>17.793089999999999</v>
      </c>
      <c r="L67" s="491">
        <f>K66/100000</f>
        <v>1.4930130000000001E-4</v>
      </c>
      <c r="O67" s="910">
        <v>3348767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6.149999999999999" x14ac:dyDescent="0.55000000000000004">
      <c r="D68" s="1407" t="s">
        <v>767</v>
      </c>
      <c r="E68" s="1193">
        <f t="shared" si="13"/>
        <v>0.99698399999999998</v>
      </c>
      <c r="F68" s="1193">
        <f>I68/1000000</f>
        <v>0.99698399999999998</v>
      </c>
      <c r="H68" s="1496">
        <f>H152</f>
        <v>996984</v>
      </c>
      <c r="I68" s="1496">
        <f>H115</f>
        <v>996984</v>
      </c>
      <c r="J68" s="323">
        <f>H68/100000</f>
        <v>9.9698399999999996</v>
      </c>
      <c r="K68" s="323">
        <f t="shared" si="12"/>
        <v>9.9698399999999996</v>
      </c>
      <c r="L68" s="491">
        <f>K67/100000</f>
        <v>1.7793089999999998E-4</v>
      </c>
      <c r="O68" s="41">
        <f>O66+O67</f>
        <v>6957316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J69" s="323"/>
      <c r="K69" s="212"/>
      <c r="L69" s="491">
        <f>K68/100000</f>
        <v>9.9698399999999994E-5</v>
      </c>
      <c r="O69" s="41">
        <f>O68/244</f>
        <v>28513.590163934427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6.149999999999999" x14ac:dyDescent="0.55000000000000004">
      <c r="D71" s="1418" t="s">
        <v>436</v>
      </c>
      <c r="E71" s="134">
        <f>H71</f>
        <v>1.5209462</v>
      </c>
      <c r="F71" s="134">
        <f>I71</f>
        <v>2.5969245000000001</v>
      </c>
      <c r="H71" s="1372">
        <f>J71/10000000</f>
        <v>1.5209462</v>
      </c>
      <c r="I71" s="1372">
        <f>K71/10000000</f>
        <v>2.5969245000000001</v>
      </c>
      <c r="J71">
        <v>15209462</v>
      </c>
      <c r="K71">
        <v>25969245</v>
      </c>
      <c r="L71" s="1217"/>
      <c r="N71" s="755">
        <v>185546505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5">
        <f>66.07-3.11</f>
        <v>62.959999999999994</v>
      </c>
      <c r="D72" s="1418" t="s">
        <v>769</v>
      </c>
      <c r="E72" s="134">
        <f>J79/100</f>
        <v>1.5419</v>
      </c>
      <c r="F72" s="134">
        <f>K79/100</f>
        <v>1.8124</v>
      </c>
      <c r="H72" s="1263"/>
      <c r="I72" s="1263"/>
      <c r="J72" s="85"/>
      <c r="K72" s="134"/>
      <c r="L72" s="1217"/>
      <c r="N72" s="5">
        <v>8209935</v>
      </c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9.5899999999999999E-2</v>
      </c>
      <c r="F73" s="283">
        <f>K77/100</f>
        <v>6.2800000000000009E-2</v>
      </c>
      <c r="H73" s="1263"/>
      <c r="I73" s="1263"/>
      <c r="J73" s="283"/>
      <c r="K73" s="283"/>
      <c r="L73" s="1217"/>
      <c r="U73" s="1239"/>
      <c r="AB73" s="1239"/>
    </row>
    <row r="74" spans="3:30" ht="15.4" x14ac:dyDescent="0.45">
      <c r="D74" s="1418" t="s">
        <v>196</v>
      </c>
      <c r="E74" s="134">
        <f>H74/10000000</f>
        <v>0.26006499999999999</v>
      </c>
      <c r="F74" s="134">
        <f>I74/10000000</f>
        <v>0.28087400000000001</v>
      </c>
      <c r="H74" s="1578">
        <f>J152</f>
        <v>2600650</v>
      </c>
      <c r="I74" s="1578">
        <f>J115</f>
        <v>2808740</v>
      </c>
      <c r="J74" s="598"/>
      <c r="K74" s="210">
        <f>J116</f>
        <v>0</v>
      </c>
      <c r="L74" s="1217"/>
      <c r="M74" s="1210"/>
      <c r="N74" s="12"/>
      <c r="O74" s="1132">
        <v>0.41666666666666669</v>
      </c>
      <c r="P74" s="1132">
        <v>0.61805555555555558</v>
      </c>
      <c r="Q74" s="1132">
        <f>P74-O74</f>
        <v>0.2013888888888889</v>
      </c>
      <c r="X74" s="5"/>
    </row>
    <row r="75" spans="3:30" ht="16.149999999999999" x14ac:dyDescent="0.55000000000000004">
      <c r="D75" s="1418" t="s">
        <v>123</v>
      </c>
      <c r="E75" s="425">
        <f>H75</f>
        <v>0.29328559999999998</v>
      </c>
      <c r="F75" s="425">
        <f>I75</f>
        <v>4.0153500000000002E-2</v>
      </c>
      <c r="H75" s="1372">
        <f>J75/10000000</f>
        <v>0.29328559999999998</v>
      </c>
      <c r="I75" s="1372">
        <f>K75/10000000</f>
        <v>4.0153500000000002E-2</v>
      </c>
      <c r="J75" s="210">
        <f>L152</f>
        <v>2932856</v>
      </c>
      <c r="K75" s="1498">
        <f>L115</f>
        <v>401535</v>
      </c>
    </row>
    <row r="76" spans="3:30" ht="16.149999999999999" x14ac:dyDescent="0.55000000000000004">
      <c r="D76" s="1418" t="s">
        <v>435</v>
      </c>
      <c r="E76" s="134">
        <f>H76/10000000</f>
        <v>3.2032501999999998</v>
      </c>
      <c r="F76" s="134">
        <f>I76/10000000</f>
        <v>4.6212632999999999</v>
      </c>
      <c r="H76" s="1578">
        <f>K152</f>
        <v>32032502</v>
      </c>
      <c r="I76" s="1578">
        <f>K115</f>
        <v>46212633</v>
      </c>
      <c r="J76" s="1498"/>
      <c r="K76" s="1499"/>
      <c r="N76" s="755"/>
    </row>
    <row r="77" spans="3:30" x14ac:dyDescent="0.4">
      <c r="H77" s="1224"/>
      <c r="I77" s="1225"/>
      <c r="J77" s="85">
        <v>9.59</v>
      </c>
      <c r="K77" s="134">
        <v>6.28</v>
      </c>
    </row>
    <row r="78" spans="3:30" x14ac:dyDescent="0.4">
      <c r="E78" s="428"/>
      <c r="F78" s="428"/>
      <c r="J78" s="85">
        <v>163.78</v>
      </c>
      <c r="K78" s="85">
        <v>187.52</v>
      </c>
      <c r="L78" s="172">
        <f>J77/100</f>
        <v>9.5899999999999999E-2</v>
      </c>
    </row>
    <row r="79" spans="3:30" x14ac:dyDescent="0.4">
      <c r="E79" s="428"/>
      <c r="F79" s="428"/>
      <c r="J79" s="85">
        <f>J78-J77</f>
        <v>154.19</v>
      </c>
      <c r="K79" s="134">
        <f>K78-K77</f>
        <v>181.24</v>
      </c>
    </row>
    <row r="80" spans="3:30" x14ac:dyDescent="0.4">
      <c r="E80" s="428"/>
      <c r="F80" s="428"/>
      <c r="L80" s="172">
        <f>J79/100</f>
        <v>1.5419</v>
      </c>
    </row>
    <row r="81" spans="3:21" x14ac:dyDescent="0.4">
      <c r="C81" s="9"/>
      <c r="D81" s="235" t="s">
        <v>164</v>
      </c>
      <c r="E81" s="265" t="s">
        <v>710</v>
      </c>
      <c r="F81" s="29" t="s">
        <v>164</v>
      </c>
      <c r="G81" s="265" t="s">
        <v>710</v>
      </c>
      <c r="H81" s="29" t="s">
        <v>164</v>
      </c>
      <c r="I81" s="265" t="s">
        <v>710</v>
      </c>
      <c r="J81" s="29"/>
      <c r="K81" s="29"/>
      <c r="L81" s="1596"/>
    </row>
    <row r="82" spans="3:21" x14ac:dyDescent="0.4">
      <c r="C82" s="9"/>
      <c r="D82" s="235">
        <v>23</v>
      </c>
      <c r="E82" s="29">
        <v>23</v>
      </c>
      <c r="F82" s="29">
        <v>23</v>
      </c>
      <c r="G82" s="29">
        <v>23</v>
      </c>
      <c r="H82" s="29">
        <v>23</v>
      </c>
      <c r="I82" s="29">
        <v>23</v>
      </c>
      <c r="J82" s="29" t="s">
        <v>196</v>
      </c>
      <c r="K82" s="780">
        <v>23</v>
      </c>
      <c r="L82" s="1596"/>
    </row>
    <row r="83" spans="3:21" x14ac:dyDescent="0.4">
      <c r="C83" s="9"/>
      <c r="D83" s="1939" t="s">
        <v>795</v>
      </c>
      <c r="E83" s="1939"/>
      <c r="F83" s="1939" t="s">
        <v>796</v>
      </c>
      <c r="G83" s="1939"/>
      <c r="H83" s="1939" t="s">
        <v>797</v>
      </c>
      <c r="I83" s="1939"/>
      <c r="J83" s="29">
        <v>23</v>
      </c>
      <c r="K83" s="9" t="s">
        <v>882</v>
      </c>
      <c r="L83" s="1596" t="s">
        <v>123</v>
      </c>
      <c r="O83" s="5" t="s">
        <v>195</v>
      </c>
      <c r="P83" s="5" t="s">
        <v>227</v>
      </c>
    </row>
    <row r="84" spans="3:21" ht="16.149999999999999" x14ac:dyDescent="0.55000000000000004">
      <c r="C84" s="1239">
        <v>45231</v>
      </c>
      <c r="D84" s="1599"/>
      <c r="E84" s="1600"/>
      <c r="F84" s="224"/>
      <c r="G84" s="224"/>
      <c r="H84" s="1601"/>
      <c r="I84" s="1602"/>
      <c r="J84" s="1575"/>
      <c r="K84" s="1602"/>
      <c r="L84" s="1577"/>
      <c r="N84" s="378" t="s">
        <v>27</v>
      </c>
      <c r="O84" s="1449"/>
      <c r="P84" s="476">
        <v>905484</v>
      </c>
      <c r="Q84" s="27">
        <f>P84/10000000</f>
        <v>9.0548400000000001E-2</v>
      </c>
      <c r="R84" s="7"/>
      <c r="S84" s="1453"/>
      <c r="T84" s="828"/>
      <c r="U84" s="85"/>
    </row>
    <row r="85" spans="3:21" x14ac:dyDescent="0.4">
      <c r="C85" s="1239">
        <v>45232</v>
      </c>
      <c r="D85" s="1451"/>
      <c r="E85" s="476"/>
      <c r="F85" s="7"/>
      <c r="G85" s="7"/>
      <c r="H85" s="224"/>
      <c r="I85" s="1576"/>
      <c r="J85" s="1576"/>
      <c r="K85" s="1575"/>
      <c r="L85" s="1577"/>
      <c r="N85" s="378" t="s">
        <v>28</v>
      </c>
      <c r="O85" s="1451"/>
      <c r="P85" s="476">
        <v>358386</v>
      </c>
      <c r="Q85" s="27">
        <f t="shared" ref="Q85:Q86" si="14">P85/10000000</f>
        <v>3.5838599999999998E-2</v>
      </c>
      <c r="R85" s="7"/>
      <c r="S85" s="224"/>
      <c r="T85" s="1576"/>
      <c r="U85" s="1576"/>
    </row>
    <row r="86" spans="3:21" x14ac:dyDescent="0.4">
      <c r="C86" s="1239">
        <v>45233</v>
      </c>
      <c r="D86" s="1451"/>
      <c r="E86" s="476"/>
      <c r="F86" s="7"/>
      <c r="G86" s="7"/>
      <c r="H86" s="7"/>
      <c r="I86" s="210"/>
      <c r="J86" s="210"/>
      <c r="K86" s="85"/>
      <c r="L86" s="1297">
        <v>228045</v>
      </c>
      <c r="N86" s="378" t="s">
        <v>224</v>
      </c>
      <c r="O86" s="1451"/>
      <c r="P86" s="476">
        <v>1459000</v>
      </c>
      <c r="Q86" s="27">
        <f t="shared" si="14"/>
        <v>0.1459</v>
      </c>
      <c r="R86" s="7"/>
      <c r="S86" s="7"/>
      <c r="T86" s="210"/>
      <c r="U86" s="210"/>
    </row>
    <row r="87" spans="3:21" x14ac:dyDescent="0.4">
      <c r="C87" s="1239">
        <v>45234</v>
      </c>
      <c r="D87" s="1451"/>
      <c r="E87" s="476"/>
      <c r="F87" s="7"/>
      <c r="G87" s="7"/>
      <c r="H87" s="7"/>
      <c r="I87" s="210"/>
      <c r="J87" s="210"/>
      <c r="K87" s="85"/>
      <c r="L87" s="1297"/>
      <c r="N87" s="378" t="s">
        <v>30</v>
      </c>
      <c r="O87" s="1451"/>
      <c r="P87" s="476"/>
      <c r="Q87" s="7"/>
      <c r="R87" s="7"/>
      <c r="S87" s="7"/>
      <c r="T87" s="210"/>
      <c r="U87" s="210"/>
    </row>
    <row r="88" spans="3:21" ht="16.5" thickBot="1" x14ac:dyDescent="0.6">
      <c r="C88" s="1239">
        <v>45235</v>
      </c>
      <c r="D88" s="1451"/>
      <c r="E88" s="476"/>
      <c r="F88" s="7"/>
      <c r="G88" s="7"/>
      <c r="H88" s="824"/>
      <c r="I88" s="755"/>
      <c r="J88" s="1604"/>
      <c r="K88" s="755"/>
      <c r="L88" s="1297"/>
      <c r="N88" s="378" t="s">
        <v>4</v>
      </c>
      <c r="O88" s="1451"/>
      <c r="P88" s="476"/>
      <c r="Q88" s="7"/>
      <c r="R88" s="7"/>
      <c r="S88" s="7"/>
      <c r="T88" s="210"/>
      <c r="U88" s="210"/>
    </row>
    <row r="89" spans="3:21" ht="16.5" thickBot="1" x14ac:dyDescent="0.6">
      <c r="C89" s="1239">
        <v>45236</v>
      </c>
      <c r="D89" s="1451"/>
      <c r="E89" s="476"/>
      <c r="F89" s="6"/>
      <c r="G89" s="6"/>
      <c r="H89" s="1255"/>
      <c r="I89" s="828"/>
      <c r="J89" s="1604"/>
      <c r="K89" s="755"/>
      <c r="L89" s="1297"/>
      <c r="O89" s="1451"/>
      <c r="P89" s="476"/>
      <c r="Q89" s="6"/>
      <c r="R89" s="6"/>
      <c r="S89" s="824"/>
      <c r="T89" s="755"/>
      <c r="U89" s="210"/>
    </row>
    <row r="90" spans="3:21" x14ac:dyDescent="0.4">
      <c r="C90" s="1239">
        <v>45237</v>
      </c>
      <c r="D90" s="1451"/>
      <c r="E90" s="476"/>
      <c r="F90" s="6"/>
      <c r="G90" s="6"/>
      <c r="H90" s="1461"/>
      <c r="I90" s="1460"/>
      <c r="J90" s="1593"/>
      <c r="K90" s="85"/>
      <c r="L90" s="1594"/>
    </row>
    <row r="91" spans="3:21" x14ac:dyDescent="0.4">
      <c r="C91" s="1239">
        <v>45238</v>
      </c>
      <c r="D91" s="1451"/>
      <c r="E91" s="476"/>
      <c r="F91" s="6"/>
      <c r="G91" s="6"/>
      <c r="H91" s="31"/>
      <c r="I91" s="79"/>
      <c r="J91" s="1593"/>
      <c r="K91" s="85"/>
      <c r="L91" s="1594"/>
    </row>
    <row r="92" spans="3:21" x14ac:dyDescent="0.4">
      <c r="C92" s="1239">
        <v>45239</v>
      </c>
      <c r="D92" s="1451"/>
      <c r="E92" s="476"/>
      <c r="F92" s="6"/>
      <c r="G92" s="6"/>
      <c r="H92" s="31"/>
      <c r="I92" s="79"/>
      <c r="J92" s="1593"/>
      <c r="K92" s="85"/>
      <c r="L92" s="1594"/>
    </row>
    <row r="93" spans="3:21" ht="16.149999999999999" x14ac:dyDescent="0.55000000000000004">
      <c r="C93" s="1239">
        <v>45240</v>
      </c>
      <c r="D93" s="1451">
        <v>528104</v>
      </c>
      <c r="E93" s="476">
        <v>3415005</v>
      </c>
      <c r="F93" s="6">
        <v>584627</v>
      </c>
      <c r="G93" s="6">
        <v>70160208</v>
      </c>
      <c r="H93" s="755">
        <v>316479</v>
      </c>
      <c r="I93" s="755">
        <v>239013191</v>
      </c>
      <c r="J93" s="1593">
        <v>913100</v>
      </c>
      <c r="K93" s="84">
        <v>18537764</v>
      </c>
      <c r="L93" s="1594"/>
      <c r="O93" s="41"/>
      <c r="P93" s="41"/>
      <c r="Q93" s="41"/>
      <c r="R93" s="41"/>
    </row>
    <row r="94" spans="3:21" ht="16.5" thickBot="1" x14ac:dyDescent="0.6">
      <c r="C94" s="1239">
        <v>45241</v>
      </c>
      <c r="D94" s="1451"/>
      <c r="E94" s="476"/>
      <c r="F94" s="6"/>
      <c r="G94" s="6"/>
      <c r="H94" s="1255"/>
      <c r="I94" s="828"/>
      <c r="J94" s="1593"/>
      <c r="K94" s="910"/>
      <c r="L94" s="1594"/>
      <c r="O94" s="41">
        <f>D103+F103</f>
        <v>1313628</v>
      </c>
      <c r="P94" s="41">
        <f>E103+G103</f>
        <v>84306457</v>
      </c>
      <c r="Q94" s="5">
        <f>H103</f>
        <v>283719</v>
      </c>
      <c r="R94" s="5">
        <f>I103</f>
        <v>217437671</v>
      </c>
    </row>
    <row r="95" spans="3:21" ht="15.75" x14ac:dyDescent="0.4">
      <c r="C95" s="1239">
        <v>45242</v>
      </c>
      <c r="D95" s="1451"/>
      <c r="E95" s="476"/>
      <c r="F95" s="6"/>
      <c r="G95" s="6"/>
      <c r="H95" s="1255"/>
      <c r="I95" s="1453"/>
      <c r="J95" s="1593"/>
      <c r="K95" s="85"/>
      <c r="L95" s="1594"/>
      <c r="O95" s="41">
        <f>D116+F116</f>
        <v>0</v>
      </c>
      <c r="P95" s="41">
        <f>E116+G116</f>
        <v>0</v>
      </c>
      <c r="Q95" s="41">
        <f>H116</f>
        <v>0</v>
      </c>
      <c r="R95" s="41">
        <f>I116</f>
        <v>0</v>
      </c>
    </row>
    <row r="96" spans="3:21" ht="16.149999999999999" x14ac:dyDescent="0.55000000000000004">
      <c r="C96" s="1239">
        <v>45243</v>
      </c>
      <c r="D96" s="1451"/>
      <c r="E96" s="476"/>
      <c r="F96" s="6"/>
      <c r="G96" s="6"/>
      <c r="H96" s="828"/>
      <c r="I96" s="828"/>
      <c r="J96" s="1593"/>
      <c r="K96" s="1255"/>
      <c r="L96" s="1594"/>
    </row>
    <row r="97" spans="3:21" ht="16.5" thickBot="1" x14ac:dyDescent="0.6">
      <c r="C97" s="1239">
        <v>45244</v>
      </c>
      <c r="D97" s="1451"/>
      <c r="E97" s="1796"/>
      <c r="F97" s="234"/>
      <c r="G97" s="234"/>
      <c r="H97" s="755"/>
      <c r="I97" s="824"/>
      <c r="J97" s="1593"/>
      <c r="K97" s="755"/>
      <c r="L97" s="1594"/>
      <c r="O97" s="1599">
        <v>52681</v>
      </c>
      <c r="P97" s="1600">
        <v>314216</v>
      </c>
      <c r="Q97" s="224">
        <v>47645</v>
      </c>
      <c r="R97" s="224">
        <v>4894612</v>
      </c>
      <c r="S97" s="1601"/>
      <c r="T97" s="1602"/>
      <c r="U97" s="1575">
        <v>84820</v>
      </c>
    </row>
    <row r="98" spans="3:21" ht="16.5" thickBot="1" x14ac:dyDescent="0.6">
      <c r="C98" s="1239">
        <v>45245</v>
      </c>
      <c r="D98" s="1451"/>
      <c r="E98" s="476"/>
      <c r="F98" s="6"/>
      <c r="G98" s="6"/>
      <c r="H98" s="755"/>
      <c r="I98" s="755"/>
      <c r="J98" s="1593"/>
      <c r="K98" s="824"/>
      <c r="L98" s="1594"/>
      <c r="O98" s="1451">
        <v>53821</v>
      </c>
      <c r="P98" s="476">
        <v>323700</v>
      </c>
      <c r="Q98" s="7">
        <v>47979</v>
      </c>
      <c r="R98" s="7">
        <v>4746125</v>
      </c>
      <c r="S98" s="224"/>
      <c r="T98" s="1576"/>
      <c r="U98" s="1576">
        <v>82840</v>
      </c>
    </row>
    <row r="99" spans="3:21" ht="16.149999999999999" x14ac:dyDescent="0.55000000000000004">
      <c r="C99" s="1239">
        <v>45246</v>
      </c>
      <c r="D99" s="1451"/>
      <c r="E99" s="476"/>
      <c r="F99" s="6"/>
      <c r="G99" s="6"/>
      <c r="H99" s="828"/>
      <c r="I99" s="1453"/>
      <c r="J99" s="1593"/>
      <c r="K99" s="85"/>
      <c r="L99" s="1594"/>
      <c r="O99" s="1451">
        <v>56005</v>
      </c>
      <c r="P99" s="476">
        <v>337697</v>
      </c>
      <c r="Q99" s="7">
        <v>49409</v>
      </c>
      <c r="R99" s="7">
        <v>5129181</v>
      </c>
      <c r="S99" s="7"/>
      <c r="T99" s="210"/>
      <c r="U99" s="210">
        <v>78420</v>
      </c>
    </row>
    <row r="100" spans="3:21" ht="16.149999999999999" thickBot="1" x14ac:dyDescent="0.45">
      <c r="C100" s="1239">
        <v>45247</v>
      </c>
      <c r="D100" s="1451"/>
      <c r="E100" s="476"/>
      <c r="F100" s="6"/>
      <c r="G100" s="6"/>
      <c r="H100" s="824"/>
      <c r="I100" s="910"/>
      <c r="J100" s="1593"/>
      <c r="K100" s="824"/>
      <c r="L100" s="1594"/>
      <c r="O100" s="1451">
        <v>52127</v>
      </c>
      <c r="P100" s="476">
        <v>353318</v>
      </c>
      <c r="Q100" s="7">
        <v>54219</v>
      </c>
      <c r="R100" s="7">
        <v>5651697</v>
      </c>
      <c r="S100" s="7"/>
      <c r="T100" s="210"/>
      <c r="U100" s="210">
        <v>88230</v>
      </c>
    </row>
    <row r="101" spans="3:21" ht="16.5" thickBot="1" x14ac:dyDescent="0.6">
      <c r="C101" s="1239">
        <v>45248</v>
      </c>
      <c r="D101" s="1451"/>
      <c r="E101" s="476"/>
      <c r="F101" s="6"/>
      <c r="G101" s="6"/>
      <c r="H101" s="1255"/>
      <c r="I101" s="828"/>
      <c r="J101" s="1593"/>
      <c r="K101" s="828"/>
      <c r="L101" s="1594"/>
      <c r="O101" s="1451">
        <v>48621</v>
      </c>
      <c r="P101" s="476">
        <v>364051</v>
      </c>
      <c r="Q101" s="7">
        <v>54944</v>
      </c>
      <c r="R101" s="7">
        <v>6404635</v>
      </c>
      <c r="S101" s="824"/>
      <c r="T101" s="755"/>
      <c r="U101" s="1604">
        <v>104850</v>
      </c>
    </row>
    <row r="102" spans="3:21" x14ac:dyDescent="0.4">
      <c r="C102" s="1239">
        <v>45249</v>
      </c>
      <c r="D102" s="234"/>
      <c r="E102" s="476"/>
      <c r="F102" s="6"/>
      <c r="G102" s="6"/>
      <c r="H102" s="31"/>
      <c r="I102" s="79"/>
      <c r="J102" s="1593"/>
      <c r="K102" s="85"/>
      <c r="L102" s="1594"/>
    </row>
    <row r="103" spans="3:21" ht="16.5" thickBot="1" x14ac:dyDescent="0.6">
      <c r="C103" s="1239">
        <v>45250</v>
      </c>
      <c r="D103" s="1451">
        <v>562855</v>
      </c>
      <c r="E103" s="210">
        <v>3855400</v>
      </c>
      <c r="F103" s="7">
        <v>750773</v>
      </c>
      <c r="G103" s="7">
        <v>80451057</v>
      </c>
      <c r="H103" s="824">
        <v>283719</v>
      </c>
      <c r="I103" s="755">
        <v>217437671</v>
      </c>
      <c r="J103" s="1593">
        <v>1175770</v>
      </c>
      <c r="K103" s="755">
        <v>15381698</v>
      </c>
      <c r="L103" s="1594">
        <v>173490</v>
      </c>
    </row>
    <row r="104" spans="3:21" ht="16.5" thickBot="1" x14ac:dyDescent="0.6">
      <c r="C104" s="1239">
        <v>45251</v>
      </c>
      <c r="D104" s="1478"/>
      <c r="E104" s="1479"/>
      <c r="F104" s="1603"/>
      <c r="G104" s="1603"/>
      <c r="H104" s="755"/>
      <c r="I104" s="755"/>
      <c r="J104" s="1593"/>
      <c r="K104" s="824"/>
      <c r="L104" s="1594"/>
      <c r="O104" s="1449">
        <v>87082</v>
      </c>
      <c r="P104" s="476">
        <v>455322</v>
      </c>
      <c r="Q104" s="6"/>
      <c r="R104" s="6"/>
      <c r="S104" s="755"/>
      <c r="T104" s="755"/>
      <c r="U104" s="85">
        <v>97840</v>
      </c>
    </row>
    <row r="105" spans="3:21" ht="16.5" thickBot="1" x14ac:dyDescent="0.6">
      <c r="C105" s="1239">
        <v>45252</v>
      </c>
      <c r="D105" s="1451"/>
      <c r="E105" s="476"/>
      <c r="F105" s="85"/>
      <c r="G105" s="85"/>
      <c r="H105" s="755"/>
      <c r="I105" s="824"/>
      <c r="J105" s="85"/>
      <c r="K105" s="755"/>
      <c r="L105" s="1594"/>
      <c r="O105" s="1451">
        <v>71382</v>
      </c>
      <c r="P105" s="476">
        <v>391850</v>
      </c>
      <c r="Q105" s="6"/>
      <c r="R105" s="6"/>
      <c r="S105" s="31"/>
      <c r="T105" s="79"/>
      <c r="U105" s="85">
        <v>89880</v>
      </c>
    </row>
    <row r="106" spans="3:21" x14ac:dyDescent="0.4">
      <c r="C106" s="1239">
        <v>45253</v>
      </c>
      <c r="D106" s="1451"/>
      <c r="E106" s="476"/>
      <c r="F106" s="476"/>
      <c r="G106" s="85"/>
      <c r="H106" s="31"/>
      <c r="I106" s="79"/>
      <c r="J106" s="85"/>
      <c r="K106" s="85"/>
      <c r="L106" s="1297"/>
      <c r="O106" s="1451">
        <v>72756</v>
      </c>
      <c r="P106" s="476">
        <v>386616</v>
      </c>
      <c r="Q106" s="6"/>
      <c r="R106" s="6"/>
      <c r="S106" s="31"/>
      <c r="T106" s="79"/>
      <c r="U106" s="85">
        <v>91220</v>
      </c>
    </row>
    <row r="107" spans="3:21" ht="16.5" thickBot="1" x14ac:dyDescent="0.6">
      <c r="C107" s="1239">
        <v>45254</v>
      </c>
      <c r="D107" s="1451"/>
      <c r="E107" s="476"/>
      <c r="F107" s="85"/>
      <c r="G107" s="85"/>
      <c r="H107" s="755"/>
      <c r="I107" s="824"/>
      <c r="J107" s="85"/>
      <c r="K107" s="755"/>
      <c r="L107" s="1297"/>
      <c r="O107" s="1451">
        <v>57734</v>
      </c>
      <c r="P107" s="476">
        <v>327554</v>
      </c>
      <c r="Q107" s="6"/>
      <c r="R107" s="6"/>
      <c r="S107" s="31"/>
      <c r="T107" s="79"/>
      <c r="U107" s="85">
        <v>83100</v>
      </c>
    </row>
    <row r="108" spans="3:21" ht="16.5" thickBot="1" x14ac:dyDescent="0.6">
      <c r="C108" s="1239">
        <v>45255</v>
      </c>
      <c r="D108" s="1454"/>
      <c r="E108" s="1243"/>
      <c r="F108" s="1243"/>
      <c r="G108" s="1243"/>
      <c r="H108" s="1243"/>
      <c r="I108" s="1243"/>
      <c r="J108" s="85"/>
      <c r="K108" s="1243"/>
      <c r="L108" s="1297"/>
      <c r="O108" s="1451">
        <v>51377</v>
      </c>
      <c r="P108" s="476">
        <v>343313</v>
      </c>
      <c r="Q108" s="6"/>
      <c r="R108" s="6"/>
      <c r="S108" s="824"/>
      <c r="T108" s="755"/>
      <c r="U108" s="85">
        <v>100280</v>
      </c>
    </row>
    <row r="109" spans="3:21" x14ac:dyDescent="0.4">
      <c r="C109" s="1239">
        <v>45256</v>
      </c>
      <c r="D109" s="1407"/>
      <c r="E109" s="476"/>
      <c r="F109" s="85"/>
      <c r="G109" s="85"/>
      <c r="H109" s="31"/>
      <c r="I109" s="79"/>
      <c r="J109" s="1243"/>
      <c r="K109" s="85"/>
      <c r="L109" s="1297"/>
    </row>
    <row r="110" spans="3:21" ht="16.149999999999999" x14ac:dyDescent="0.55000000000000004">
      <c r="C110" s="1239">
        <v>45257</v>
      </c>
      <c r="D110" s="1407">
        <v>402054</v>
      </c>
      <c r="E110" s="476">
        <v>2369814</v>
      </c>
      <c r="F110" s="85">
        <v>443909</v>
      </c>
      <c r="G110" s="85">
        <v>39958949</v>
      </c>
      <c r="H110" s="755">
        <v>279525</v>
      </c>
      <c r="I110" s="755" t="s">
        <v>1008</v>
      </c>
      <c r="J110" s="85">
        <v>719870</v>
      </c>
      <c r="K110" s="755">
        <v>10617318</v>
      </c>
      <c r="L110" s="1297">
        <v>0</v>
      </c>
    </row>
    <row r="111" spans="3:21" ht="16.5" thickBot="1" x14ac:dyDescent="0.6">
      <c r="C111" s="1239">
        <v>45258</v>
      </c>
      <c r="D111" s="1407"/>
      <c r="E111" s="476"/>
      <c r="F111" s="6"/>
      <c r="G111" s="6"/>
      <c r="H111" s="824"/>
      <c r="I111" s="910"/>
      <c r="J111" s="85"/>
      <c r="K111" s="755"/>
      <c r="L111" s="1297"/>
    </row>
    <row r="112" spans="3:21" x14ac:dyDescent="0.4">
      <c r="C112" s="1239">
        <v>45259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40" ht="16.149999999999999" thickBot="1" x14ac:dyDescent="0.45">
      <c r="C113" s="1239">
        <v>45260</v>
      </c>
      <c r="D113" s="1407"/>
      <c r="E113" s="476"/>
      <c r="F113" s="6"/>
      <c r="G113" s="6"/>
      <c r="H113" s="824"/>
      <c r="I113" s="824"/>
      <c r="J113" s="85"/>
      <c r="K113" s="824"/>
      <c r="L113" s="1297"/>
    </row>
    <row r="114" spans="1:40" x14ac:dyDescent="0.4">
      <c r="C114" s="1239">
        <v>45261</v>
      </c>
      <c r="D114" s="1455"/>
      <c r="E114" s="277"/>
      <c r="F114" s="44"/>
      <c r="G114" s="44"/>
      <c r="H114" s="1456"/>
      <c r="I114" s="278"/>
      <c r="J114" s="85"/>
      <c r="K114" s="1448"/>
      <c r="L114" s="1297"/>
    </row>
    <row r="115" spans="1:40" ht="16.149999999999999" thickBot="1" x14ac:dyDescent="0.6">
      <c r="C115" s="1239">
        <v>45262</v>
      </c>
      <c r="D115" s="1462">
        <f>SUM(D84:D114)</f>
        <v>1493013</v>
      </c>
      <c r="E115" s="1462">
        <f t="shared" ref="E115:M115" si="15">SUM(E84:E114)</f>
        <v>9640219</v>
      </c>
      <c r="F115" s="1462">
        <f t="shared" si="15"/>
        <v>1779309</v>
      </c>
      <c r="G115" s="1462">
        <f t="shared" si="15"/>
        <v>190570214</v>
      </c>
      <c r="H115" s="1809">
        <v>996984</v>
      </c>
      <c r="I115" s="755">
        <v>697835480</v>
      </c>
      <c r="J115" s="1462">
        <f t="shared" si="15"/>
        <v>2808740</v>
      </c>
      <c r="K115" s="824">
        <v>46212633</v>
      </c>
      <c r="L115" s="1462">
        <f t="shared" si="15"/>
        <v>401535</v>
      </c>
      <c r="M115" s="1462">
        <f t="shared" si="15"/>
        <v>0</v>
      </c>
      <c r="P115" s="41">
        <f>E115+G115</f>
        <v>200210433</v>
      </c>
    </row>
    <row r="116" spans="1:40" ht="16.5" thickBot="1" x14ac:dyDescent="0.6">
      <c r="D116" s="1420">
        <f>D104+D105+D106+D107</f>
        <v>0</v>
      </c>
      <c r="E116" s="1420">
        <f t="shared" ref="E116:F116" si="16">E104+E105+E106+E107</f>
        <v>0</v>
      </c>
      <c r="F116" s="1420">
        <f t="shared" si="16"/>
        <v>0</v>
      </c>
      <c r="G116" s="1420">
        <f>G104+G105+G106+G107</f>
        <v>0</v>
      </c>
      <c r="H116" s="755"/>
      <c r="I116" s="755"/>
      <c r="J116" s="1462"/>
      <c r="K116" s="824"/>
    </row>
    <row r="117" spans="1:40" x14ac:dyDescent="0.4">
      <c r="L117" s="1297"/>
      <c r="AJ117" s="172"/>
      <c r="AK117" s="172"/>
      <c r="AL117" s="172"/>
      <c r="AM117" s="172"/>
      <c r="AN117" s="172"/>
    </row>
    <row r="118" spans="1:40" s="172" customFormat="1" x14ac:dyDescent="0.4">
      <c r="A118" s="1235"/>
      <c r="B118" s="300"/>
      <c r="C118" s="9"/>
      <c r="D118" s="235" t="s">
        <v>164</v>
      </c>
      <c r="E118" s="265" t="s">
        <v>710</v>
      </c>
      <c r="F118" s="29" t="s">
        <v>164</v>
      </c>
      <c r="G118" s="265" t="s">
        <v>710</v>
      </c>
      <c r="H118" s="29" t="s">
        <v>164</v>
      </c>
      <c r="I118" s="265" t="s">
        <v>710</v>
      </c>
      <c r="J118" s="29" t="s">
        <v>196</v>
      </c>
      <c r="K118" s="1592"/>
      <c r="L118" s="1596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40" s="172" customFormat="1" x14ac:dyDescent="0.4">
      <c r="A119" s="1235"/>
      <c r="B119" s="300"/>
      <c r="C119" s="9"/>
      <c r="D119" s="235">
        <v>22</v>
      </c>
      <c r="E119" s="29">
        <v>22</v>
      </c>
      <c r="F119" s="29">
        <v>22</v>
      </c>
      <c r="G119" s="29">
        <v>22</v>
      </c>
      <c r="H119" s="29">
        <v>22</v>
      </c>
      <c r="I119" s="29">
        <v>22</v>
      </c>
      <c r="J119" s="29">
        <v>22</v>
      </c>
      <c r="K119" s="1597">
        <v>22</v>
      </c>
      <c r="L119" s="1596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40" s="172" customFormat="1" x14ac:dyDescent="0.4">
      <c r="A120" s="1235"/>
      <c r="B120" s="300"/>
      <c r="C120" s="9"/>
      <c r="D120" s="1939" t="s">
        <v>795</v>
      </c>
      <c r="E120" s="1939"/>
      <c r="F120" s="1939" t="s">
        <v>796</v>
      </c>
      <c r="G120" s="1939"/>
      <c r="H120" s="1939" t="s">
        <v>797</v>
      </c>
      <c r="I120" s="1939"/>
      <c r="J120" s="9" t="s">
        <v>196</v>
      </c>
      <c r="K120" s="1598" t="s">
        <v>435</v>
      </c>
      <c r="L120" s="1596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40" s="172" customFormat="1" ht="16.149999999999999" x14ac:dyDescent="0.55000000000000004">
      <c r="A121" s="1235"/>
      <c r="B121" s="300"/>
      <c r="C121" s="1261">
        <v>44835</v>
      </c>
      <c r="D121" s="1449"/>
      <c r="E121" s="476"/>
      <c r="F121" s="6"/>
      <c r="G121" s="6"/>
      <c r="H121" s="755"/>
      <c r="I121" s="755"/>
      <c r="J121" s="85"/>
      <c r="K121" s="1255"/>
      <c r="L121" s="1297"/>
      <c r="M121" s="1209"/>
      <c r="N121" s="5"/>
      <c r="O121" s="1449">
        <v>64100</v>
      </c>
      <c r="P121" s="476">
        <v>352606</v>
      </c>
      <c r="Q121" s="6">
        <v>50287</v>
      </c>
      <c r="R121" s="6">
        <v>3243776</v>
      </c>
      <c r="S121" s="755"/>
      <c r="T121" s="755"/>
      <c r="U121" s="85">
        <v>72390</v>
      </c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40" s="172" customFormat="1" x14ac:dyDescent="0.4">
      <c r="A122" s="1235"/>
      <c r="B122" s="300"/>
      <c r="C122" s="1261">
        <v>44836</v>
      </c>
      <c r="D122" s="1451"/>
      <c r="E122" s="476"/>
      <c r="F122" s="6"/>
      <c r="G122" s="6"/>
      <c r="H122" s="31"/>
      <c r="I122" s="79"/>
      <c r="J122" s="85"/>
      <c r="K122" s="85"/>
      <c r="L122" s="1297"/>
      <c r="M122" s="1209"/>
      <c r="N122" s="5"/>
      <c r="O122" s="1451">
        <v>47455</v>
      </c>
      <c r="P122" s="476">
        <v>274841</v>
      </c>
      <c r="Q122" s="6">
        <v>37882</v>
      </c>
      <c r="R122" s="6">
        <v>2992313</v>
      </c>
      <c r="S122" s="31"/>
      <c r="T122" s="79"/>
      <c r="U122" s="85">
        <v>71700</v>
      </c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40" s="172" customFormat="1" x14ac:dyDescent="0.4">
      <c r="A123" s="1235"/>
      <c r="B123" s="300"/>
      <c r="C123" s="1261">
        <v>44837</v>
      </c>
      <c r="D123" s="1451"/>
      <c r="E123" s="476"/>
      <c r="F123" s="6"/>
      <c r="G123" s="6"/>
      <c r="H123" s="31"/>
      <c r="I123" s="79"/>
      <c r="J123" s="85"/>
      <c r="K123" s="85"/>
      <c r="L123" s="1297"/>
      <c r="M123" s="1209"/>
      <c r="N123" s="5"/>
      <c r="O123" s="1451">
        <v>51343</v>
      </c>
      <c r="P123" s="476">
        <v>284320</v>
      </c>
      <c r="Q123" s="6">
        <v>35510</v>
      </c>
      <c r="R123" s="6">
        <v>2980113</v>
      </c>
      <c r="S123" s="31"/>
      <c r="T123" s="79"/>
      <c r="U123" s="85">
        <v>70770</v>
      </c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40" s="172" customFormat="1" x14ac:dyDescent="0.4">
      <c r="A124" s="1235"/>
      <c r="B124" s="300"/>
      <c r="C124" s="1261">
        <v>44838</v>
      </c>
      <c r="D124" s="1451"/>
      <c r="E124" s="476"/>
      <c r="F124" s="6"/>
      <c r="G124" s="6"/>
      <c r="H124" s="31"/>
      <c r="I124" s="79"/>
      <c r="J124" s="85"/>
      <c r="K124" s="85"/>
      <c r="L124" s="1297">
        <v>100000</v>
      </c>
      <c r="M124" s="1209"/>
      <c r="N124" s="5"/>
      <c r="O124" s="1451">
        <v>50716</v>
      </c>
      <c r="P124" s="476">
        <v>287532</v>
      </c>
      <c r="Q124" s="6">
        <v>39138</v>
      </c>
      <c r="R124" s="6">
        <v>2848582</v>
      </c>
      <c r="S124" s="31"/>
      <c r="T124" s="79"/>
      <c r="U124" s="85">
        <v>70340</v>
      </c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40" s="172" customFormat="1" ht="16.5" thickBot="1" x14ac:dyDescent="0.6">
      <c r="A125" s="1235"/>
      <c r="B125" s="300"/>
      <c r="C125" s="1261">
        <v>44839</v>
      </c>
      <c r="D125" s="1451"/>
      <c r="E125" s="476"/>
      <c r="F125" s="6"/>
      <c r="G125" s="6"/>
      <c r="H125" s="824"/>
      <c r="I125" s="755"/>
      <c r="J125" s="85"/>
      <c r="K125" s="755"/>
      <c r="L125" s="1297"/>
      <c r="M125" s="1209"/>
      <c r="N125" s="5"/>
      <c r="O125" s="1451">
        <v>46074</v>
      </c>
      <c r="P125" s="476">
        <v>269365</v>
      </c>
      <c r="Q125" s="6">
        <v>35823</v>
      </c>
      <c r="R125" s="6">
        <v>3069600</v>
      </c>
      <c r="S125" s="31"/>
      <c r="T125" s="79"/>
      <c r="U125" s="85">
        <v>61840</v>
      </c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40" s="172" customFormat="1" ht="16.5" thickBot="1" x14ac:dyDescent="0.6">
      <c r="A126" s="1235"/>
      <c r="B126" s="300"/>
      <c r="C126" s="1261">
        <v>44840</v>
      </c>
      <c r="D126" s="1451"/>
      <c r="E126" s="476"/>
      <c r="F126" s="6"/>
      <c r="G126" s="6"/>
      <c r="H126" s="1255"/>
      <c r="I126" s="828"/>
      <c r="J126" s="85"/>
      <c r="K126" s="1255"/>
      <c r="L126" s="1297"/>
      <c r="M126" s="1209"/>
      <c r="N126" s="5"/>
      <c r="O126" s="1451">
        <v>44550</v>
      </c>
      <c r="P126" s="476">
        <v>324802</v>
      </c>
      <c r="Q126" s="6">
        <v>36929</v>
      </c>
      <c r="R126" s="6">
        <v>3450395</v>
      </c>
      <c r="S126" s="824"/>
      <c r="T126" s="755"/>
      <c r="U126" s="85">
        <v>79260</v>
      </c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40" s="172" customFormat="1" ht="15.75" x14ac:dyDescent="0.5">
      <c r="A127" s="1235"/>
      <c r="B127" s="300"/>
      <c r="C127" s="1261">
        <v>44841</v>
      </c>
      <c r="D127" s="1451"/>
      <c r="E127" s="476"/>
      <c r="F127" s="6"/>
      <c r="G127" s="6"/>
      <c r="H127" s="7"/>
      <c r="I127" s="1459"/>
      <c r="J127" s="85"/>
      <c r="K127" s="1277"/>
      <c r="L127" s="1594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40" s="172" customFormat="1" x14ac:dyDescent="0.4">
      <c r="A128" s="1235"/>
      <c r="B128" s="300"/>
      <c r="C128" s="1261">
        <v>44842</v>
      </c>
      <c r="D128" s="1451"/>
      <c r="E128" s="476"/>
      <c r="F128" s="6"/>
      <c r="G128" s="6"/>
      <c r="H128" s="31"/>
      <c r="I128" s="79"/>
      <c r="J128" s="85"/>
      <c r="K128" s="85"/>
      <c r="L128" s="1594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261">
        <v>44843</v>
      </c>
      <c r="D129" s="1451"/>
      <c r="E129" s="476"/>
      <c r="F129" s="6"/>
      <c r="G129" s="6"/>
      <c r="H129" s="31"/>
      <c r="I129" s="79"/>
      <c r="J129" s="85"/>
      <c r="K129" s="85"/>
      <c r="L129" s="1594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6.5" thickBot="1" x14ac:dyDescent="0.6">
      <c r="A130" s="1235"/>
      <c r="B130" s="300"/>
      <c r="C130" s="1261">
        <v>44844</v>
      </c>
      <c r="D130" s="1451">
        <v>675341</v>
      </c>
      <c r="E130" s="476">
        <v>3804111</v>
      </c>
      <c r="F130" s="6">
        <v>592974</v>
      </c>
      <c r="G130" s="6">
        <v>47034087</v>
      </c>
      <c r="H130" s="755">
        <v>394642</v>
      </c>
      <c r="I130" s="824">
        <v>273365935</v>
      </c>
      <c r="J130" s="85">
        <v>918440</v>
      </c>
      <c r="K130" s="824">
        <v>11946943</v>
      </c>
      <c r="L130" s="1297"/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6.149999999999999" x14ac:dyDescent="0.55000000000000004">
      <c r="A131" s="1235"/>
      <c r="B131" s="300"/>
      <c r="C131" s="1261">
        <v>44845</v>
      </c>
      <c r="D131" s="1451"/>
      <c r="E131" s="476"/>
      <c r="F131" s="6"/>
      <c r="G131" s="6"/>
      <c r="H131" s="1255"/>
      <c r="I131" s="1255"/>
      <c r="J131" s="1593"/>
      <c r="K131" s="755"/>
      <c r="L131" s="1297"/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6.149999999999999" x14ac:dyDescent="0.55000000000000004">
      <c r="A132" s="1235"/>
      <c r="B132" s="300"/>
      <c r="C132" s="1261">
        <v>44846</v>
      </c>
      <c r="D132" s="1451"/>
      <c r="E132" s="476"/>
      <c r="F132" s="6"/>
      <c r="G132" s="6"/>
      <c r="H132" s="828"/>
      <c r="I132" s="828"/>
      <c r="J132" s="1593"/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ht="15.75" x14ac:dyDescent="0.4">
      <c r="A133" s="1235"/>
      <c r="B133" s="300"/>
      <c r="C133" s="1261">
        <v>44847</v>
      </c>
      <c r="D133" s="1451"/>
      <c r="E133" s="476"/>
      <c r="F133" s="6"/>
      <c r="G133" s="6"/>
      <c r="H133" s="1255"/>
      <c r="I133" s="1255"/>
      <c r="J133" s="1593"/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6.5" thickBot="1" x14ac:dyDescent="0.6">
      <c r="A134" s="1235"/>
      <c r="B134" s="300"/>
      <c r="C134" s="1261">
        <v>44848</v>
      </c>
      <c r="D134" s="1451"/>
      <c r="E134" s="476"/>
      <c r="F134" s="6"/>
      <c r="G134" s="6"/>
      <c r="H134" s="910"/>
      <c r="I134" s="755"/>
      <c r="J134" s="1593"/>
      <c r="K134" s="824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ht="16.5" thickBot="1" x14ac:dyDescent="0.6">
      <c r="A135" s="1235"/>
      <c r="B135" s="300"/>
      <c r="C135" s="1261">
        <v>44849</v>
      </c>
      <c r="D135" s="1452"/>
      <c r="E135" s="476"/>
      <c r="F135" s="6"/>
      <c r="G135" s="6"/>
      <c r="H135" s="824"/>
      <c r="I135" s="755"/>
      <c r="J135" s="1593"/>
      <c r="K135" s="755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6.149999999999999" x14ac:dyDescent="0.55000000000000004">
      <c r="A136" s="1235"/>
      <c r="B136" s="300"/>
      <c r="C136" s="1261">
        <v>44850</v>
      </c>
      <c r="D136" s="1452"/>
      <c r="E136" s="476"/>
      <c r="F136" s="6"/>
      <c r="G136" s="6"/>
      <c r="H136" s="828"/>
      <c r="I136" s="828"/>
      <c r="J136" s="1593"/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261">
        <v>44851</v>
      </c>
      <c r="D137" s="1452"/>
      <c r="E137" s="476"/>
      <c r="F137" s="6"/>
      <c r="G137" s="6"/>
      <c r="H137" s="31"/>
      <c r="I137" s="79"/>
      <c r="J137" s="85"/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6.149999999999999" x14ac:dyDescent="0.55000000000000004">
      <c r="A138" s="1235"/>
      <c r="B138" s="300"/>
      <c r="C138" s="1261">
        <v>44852</v>
      </c>
      <c r="D138" s="1452"/>
      <c r="E138" s="476"/>
      <c r="F138" s="6"/>
      <c r="G138" s="6"/>
      <c r="H138" s="1255"/>
      <c r="I138" s="828"/>
      <c r="J138" s="85"/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x14ac:dyDescent="0.4">
      <c r="A139" s="1235"/>
      <c r="B139" s="300"/>
      <c r="C139" s="1261">
        <v>44853</v>
      </c>
      <c r="D139" s="1452"/>
      <c r="E139" s="476"/>
      <c r="F139" s="6"/>
      <c r="G139" s="6"/>
      <c r="H139" s="186"/>
      <c r="I139" s="1591"/>
      <c r="J139" s="85"/>
      <c r="K139" s="1488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ht="16.5" thickBot="1" x14ac:dyDescent="0.6">
      <c r="A140" s="1235"/>
      <c r="B140" s="300"/>
      <c r="C140" s="1261">
        <v>44854</v>
      </c>
      <c r="D140" s="1451">
        <v>624325</v>
      </c>
      <c r="E140" s="210">
        <v>3747179</v>
      </c>
      <c r="F140" s="7">
        <v>545075</v>
      </c>
      <c r="G140" s="7">
        <v>49056249</v>
      </c>
      <c r="H140" s="755">
        <v>369449</v>
      </c>
      <c r="I140" s="755">
        <v>251015334</v>
      </c>
      <c r="J140" s="210">
        <v>872310</v>
      </c>
      <c r="K140" s="910">
        <v>11597622</v>
      </c>
      <c r="L140" s="1488">
        <v>173490</v>
      </c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6.149999999999999" x14ac:dyDescent="0.55000000000000004">
      <c r="A141" s="1235"/>
      <c r="B141" s="300"/>
      <c r="C141" s="1261">
        <v>44855</v>
      </c>
      <c r="D141" s="1451"/>
      <c r="E141" s="210"/>
      <c r="F141" s="7"/>
      <c r="G141" s="7"/>
      <c r="H141" s="755"/>
      <c r="I141" s="755"/>
      <c r="J141" s="1593"/>
      <c r="K141" s="755"/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6.149999999999999" x14ac:dyDescent="0.55000000000000004">
      <c r="A142" s="1235"/>
      <c r="B142" s="300"/>
      <c r="C142" s="1261">
        <v>44856</v>
      </c>
      <c r="D142" s="1407"/>
      <c r="E142" s="33"/>
      <c r="F142" s="6"/>
      <c r="G142" s="6"/>
      <c r="H142" s="755"/>
      <c r="I142" s="755"/>
      <c r="J142" s="1593"/>
      <c r="K142" s="755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261">
        <v>44857</v>
      </c>
      <c r="D143" s="1407"/>
      <c r="E143" s="33"/>
      <c r="F143" s="6"/>
      <c r="G143" s="6"/>
      <c r="H143" s="31"/>
      <c r="I143" s="79"/>
      <c r="J143" s="1593"/>
      <c r="K143" s="1488"/>
      <c r="L143" s="1297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ht="16.5" thickBot="1" x14ac:dyDescent="0.6">
      <c r="A144" s="1235"/>
      <c r="B144" s="300"/>
      <c r="C144" s="1261">
        <v>44858</v>
      </c>
      <c r="D144" s="1454"/>
      <c r="E144" s="1243"/>
      <c r="F144" s="1246"/>
      <c r="G144" s="1246"/>
      <c r="H144" s="755"/>
      <c r="I144" s="824"/>
      <c r="J144" s="1595"/>
      <c r="K144" s="755"/>
      <c r="L144" s="1297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40" s="172" customFormat="1" x14ac:dyDescent="0.4">
      <c r="A145" s="1235"/>
      <c r="B145" s="300"/>
      <c r="C145" s="1261">
        <v>44859</v>
      </c>
      <c r="D145" s="1407"/>
      <c r="E145" s="33"/>
      <c r="F145" s="6"/>
      <c r="G145" s="6"/>
      <c r="H145" s="31"/>
      <c r="I145" s="79"/>
      <c r="J145" s="1593"/>
      <c r="K145" s="1488"/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J145" s="5"/>
      <c r="AK145" s="5"/>
      <c r="AL145" s="5"/>
      <c r="AM145" s="5"/>
      <c r="AN145" s="5"/>
    </row>
    <row r="146" spans="1:40" x14ac:dyDescent="0.4">
      <c r="C146" s="1261">
        <v>44860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40" x14ac:dyDescent="0.4">
      <c r="C147" s="1261">
        <v>44861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40" x14ac:dyDescent="0.4">
      <c r="C148" s="1261">
        <v>44862</v>
      </c>
      <c r="D148" s="1407"/>
      <c r="E148" s="33"/>
      <c r="F148" s="6"/>
      <c r="G148" s="6"/>
      <c r="H148" s="31"/>
      <c r="I148" s="79"/>
      <c r="J148" s="85"/>
      <c r="K148" s="1488"/>
      <c r="L148" s="1297"/>
    </row>
    <row r="149" spans="1:40" x14ac:dyDescent="0.4">
      <c r="C149" s="1261">
        <v>44863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40" x14ac:dyDescent="0.4">
      <c r="C150" s="1261">
        <v>44864</v>
      </c>
      <c r="D150" s="1407">
        <v>549764</v>
      </c>
      <c r="E150" s="33">
        <v>3265898</v>
      </c>
      <c r="F150" s="6">
        <v>518328</v>
      </c>
      <c r="G150" s="6">
        <v>47939978</v>
      </c>
      <c r="H150" s="31">
        <v>232893</v>
      </c>
      <c r="I150" s="79">
        <v>162471961</v>
      </c>
      <c r="J150" s="85">
        <v>809900</v>
      </c>
      <c r="K150" s="1488">
        <v>8487937</v>
      </c>
      <c r="L150" s="172">
        <v>2659366</v>
      </c>
    </row>
    <row r="151" spans="1:40" ht="16.149999999999999" x14ac:dyDescent="0.55000000000000004">
      <c r="C151" s="1261">
        <v>44865</v>
      </c>
      <c r="D151" s="1407"/>
      <c r="E151" s="33"/>
      <c r="F151" s="6"/>
      <c r="G151" s="6"/>
      <c r="H151" s="755"/>
      <c r="I151" s="755"/>
      <c r="J151" s="1462"/>
      <c r="K151" s="755"/>
    </row>
    <row r="152" spans="1:40" ht="13.9" x14ac:dyDescent="0.35">
      <c r="D152" s="1462">
        <f>SUM(D121:D151)</f>
        <v>1849430</v>
      </c>
      <c r="E152" s="1462">
        <f t="shared" ref="E152:M152" si="17">SUM(E121:E151)</f>
        <v>10817188</v>
      </c>
      <c r="F152" s="1462">
        <f t="shared" si="17"/>
        <v>1656377</v>
      </c>
      <c r="G152" s="1462">
        <f t="shared" si="17"/>
        <v>144030314</v>
      </c>
      <c r="H152" s="1462">
        <f t="shared" si="17"/>
        <v>996984</v>
      </c>
      <c r="I152" s="1462">
        <f t="shared" si="17"/>
        <v>686853230</v>
      </c>
      <c r="J152" s="1462">
        <f t="shared" si="17"/>
        <v>2600650</v>
      </c>
      <c r="K152" s="1462">
        <f t="shared" si="17"/>
        <v>32032502</v>
      </c>
      <c r="L152" s="1462">
        <f>SUM(L121:L151)</f>
        <v>2932856</v>
      </c>
      <c r="M152" s="1462">
        <f t="shared" si="17"/>
        <v>0</v>
      </c>
    </row>
    <row r="153" spans="1:40" ht="16.149999999999999" thickBot="1" x14ac:dyDescent="0.45">
      <c r="D153" s="1420"/>
      <c r="E153" s="1420"/>
      <c r="F153" s="1420"/>
      <c r="G153" s="1420"/>
      <c r="H153" s="824"/>
      <c r="I153" s="824"/>
      <c r="K153" s="824"/>
    </row>
  </sheetData>
  <mergeCells count="95">
    <mergeCell ref="AJ11:AO11"/>
    <mergeCell ref="AJ2:AO2"/>
    <mergeCell ref="AJ3:AJ5"/>
    <mergeCell ref="AK3:AK5"/>
    <mergeCell ref="AL3:AM3"/>
    <mergeCell ref="AN3:AO3"/>
    <mergeCell ref="AL5:AM5"/>
    <mergeCell ref="D83:E83"/>
    <mergeCell ref="F83:G83"/>
    <mergeCell ref="H83:I83"/>
    <mergeCell ref="D120:E120"/>
    <mergeCell ref="F120:G120"/>
    <mergeCell ref="H120:I120"/>
    <mergeCell ref="A50:A53"/>
    <mergeCell ref="B50:I50"/>
    <mergeCell ref="M50:M53"/>
    <mergeCell ref="N50:U50"/>
    <mergeCell ref="D51:D53"/>
    <mergeCell ref="E51:E53"/>
    <mergeCell ref="H51:H53"/>
    <mergeCell ref="N51:O51"/>
    <mergeCell ref="P51:P53"/>
    <mergeCell ref="Q51:Q53"/>
    <mergeCell ref="T51:T53"/>
    <mergeCell ref="N52:O52"/>
    <mergeCell ref="N53:O53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P48:P49"/>
    <mergeCell ref="Q48:Q49"/>
    <mergeCell ref="T48:T49"/>
    <mergeCell ref="R28:S28"/>
    <mergeCell ref="T28:U28"/>
    <mergeCell ref="A30:A37"/>
    <mergeCell ref="B30:I30"/>
    <mergeCell ref="M30:M38"/>
    <mergeCell ref="N30:U30"/>
    <mergeCell ref="B28:C29"/>
    <mergeCell ref="D28:E28"/>
    <mergeCell ref="F28:G28"/>
    <mergeCell ref="H28:I28"/>
    <mergeCell ref="N28:O29"/>
    <mergeCell ref="P28:Q28"/>
    <mergeCell ref="M18:M26"/>
    <mergeCell ref="O18:Q18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R18:U18"/>
    <mergeCell ref="A18:A26"/>
    <mergeCell ref="C18:E18"/>
    <mergeCell ref="F18:I18"/>
    <mergeCell ref="T3:U3"/>
    <mergeCell ref="A11:I11"/>
    <mergeCell ref="M11:U11"/>
    <mergeCell ref="B13:I13"/>
    <mergeCell ref="N13:U13"/>
    <mergeCell ref="P5:Q5"/>
    <mergeCell ref="M3:M5"/>
    <mergeCell ref="N3:N5"/>
    <mergeCell ref="P3:Q3"/>
    <mergeCell ref="R3:S3"/>
    <mergeCell ref="O4:O5"/>
    <mergeCell ref="C4:C5"/>
    <mergeCell ref="AC3:AH3"/>
    <mergeCell ref="A1:I1"/>
    <mergeCell ref="M1:U1"/>
    <mergeCell ref="A2:I2"/>
    <mergeCell ref="M2:U2"/>
    <mergeCell ref="AC2:AH2"/>
    <mergeCell ref="A3:A5"/>
    <mergeCell ref="B3:B5"/>
    <mergeCell ref="D3:E3"/>
    <mergeCell ref="F3:G3"/>
    <mergeCell ref="H3:I3"/>
    <mergeCell ref="H4:H5"/>
    <mergeCell ref="I4:I5"/>
    <mergeCell ref="T4:T5"/>
    <mergeCell ref="U4:U5"/>
    <mergeCell ref="D5:E5"/>
  </mergeCells>
  <pageMargins left="0.2" right="0.2" top="0.38" bottom="0.24" header="0.3" footer="0.3"/>
  <pageSetup paperSize="9" scale="24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7030A0"/>
    <pageSetUpPr fitToPage="1"/>
  </sheetPr>
  <dimension ref="A1:AG82"/>
  <sheetViews>
    <sheetView zoomScale="90" zoomScaleNormal="90" workbookViewId="0">
      <selection activeCell="I17" sqref="I17"/>
    </sheetView>
  </sheetViews>
  <sheetFormatPr defaultColWidth="9.1328125" defaultRowHeight="15" x14ac:dyDescent="0.4"/>
  <cols>
    <col min="1" max="1" width="3.73046875" style="1235" customWidth="1"/>
    <col min="2" max="2" width="36.1328125" style="300" customWidth="1"/>
    <col min="3" max="3" width="12" style="5" hidden="1" customWidth="1"/>
    <col min="4" max="4" width="11.398437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86328125" style="11" customWidth="1"/>
    <col min="9" max="9" width="14.86328125" style="82" bestFit="1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59765625" style="1209" customWidth="1"/>
    <col min="14" max="14" width="37.265625" style="5" customWidth="1"/>
    <col min="15" max="15" width="12.1328125" style="5" customWidth="1"/>
    <col min="16" max="16" width="11.3984375" style="5" bestFit="1" customWidth="1"/>
    <col min="17" max="17" width="11.265625" style="5" bestFit="1" customWidth="1"/>
    <col min="18" max="19" width="14" style="5" customWidth="1"/>
    <col min="20" max="21" width="11.1328125" style="5" customWidth="1"/>
    <col min="22" max="23" width="9.1328125" style="5"/>
    <col min="24" max="24" width="9.1328125" style="172"/>
    <col min="25" max="25" width="9.1328125" style="5"/>
    <col min="26" max="26" width="10.1328125" style="5" bestFit="1" customWidth="1"/>
    <col min="27" max="16384" width="9.1328125" style="5"/>
  </cols>
  <sheetData>
    <row r="1" spans="1:26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345"/>
      <c r="N1" s="2345"/>
      <c r="O1" s="2345"/>
      <c r="P1" s="2345"/>
      <c r="Q1" s="2345"/>
      <c r="R1" s="2345"/>
      <c r="S1" s="2345"/>
      <c r="T1" s="2345"/>
      <c r="U1" s="2345"/>
    </row>
    <row r="2" spans="1:26" s="301" customFormat="1" ht="17.25" thickBot="1" x14ac:dyDescent="0.4">
      <c r="A2" s="2346" t="s">
        <v>776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779</v>
      </c>
      <c r="N2" s="2093"/>
      <c r="O2" s="2446"/>
      <c r="P2" s="2093"/>
      <c r="Q2" s="2093"/>
      <c r="R2" s="2093"/>
      <c r="S2" s="2093"/>
      <c r="T2" s="2093"/>
      <c r="U2" s="2094"/>
      <c r="X2" s="1149"/>
    </row>
    <row r="3" spans="1:26" ht="17.25" customHeight="1" thickTop="1" x14ac:dyDescent="0.5">
      <c r="A3" s="2360" t="s">
        <v>144</v>
      </c>
      <c r="B3" s="2342" t="s">
        <v>353</v>
      </c>
      <c r="C3" s="1190" t="s">
        <v>763</v>
      </c>
      <c r="D3" s="2107" t="s">
        <v>8</v>
      </c>
      <c r="E3" s="2108"/>
      <c r="F3" s="2447" t="s">
        <v>10</v>
      </c>
      <c r="G3" s="2448"/>
      <c r="H3" s="2490" t="s">
        <v>11</v>
      </c>
      <c r="I3" s="2491"/>
      <c r="M3" s="2358" t="s">
        <v>757</v>
      </c>
      <c r="N3" s="2342" t="s">
        <v>353</v>
      </c>
      <c r="O3" s="1190" t="s">
        <v>763</v>
      </c>
      <c r="P3" s="2107" t="s">
        <v>8</v>
      </c>
      <c r="Q3" s="2108"/>
      <c r="R3" s="2107" t="s">
        <v>10</v>
      </c>
      <c r="S3" s="2108"/>
      <c r="T3" s="2109" t="s">
        <v>11</v>
      </c>
      <c r="U3" s="2110"/>
    </row>
    <row r="4" spans="1:26" s="35" customFormat="1" ht="25.5" customHeight="1" x14ac:dyDescent="0.35">
      <c r="A4" s="2360"/>
      <c r="B4" s="2343"/>
      <c r="C4" s="1183" t="s">
        <v>764</v>
      </c>
      <c r="D4" s="1064" t="s">
        <v>9</v>
      </c>
      <c r="E4" s="422">
        <f>G4</f>
        <v>44916</v>
      </c>
      <c r="F4" s="422">
        <v>44551</v>
      </c>
      <c r="G4" s="422">
        <v>44916</v>
      </c>
      <c r="H4" s="2111" t="s">
        <v>12</v>
      </c>
      <c r="I4" s="2111" t="s">
        <v>13</v>
      </c>
      <c r="J4" s="84"/>
      <c r="K4" s="84"/>
      <c r="L4" s="1150"/>
      <c r="M4" s="2358"/>
      <c r="N4" s="2343"/>
      <c r="O4" s="1183" t="s">
        <v>764</v>
      </c>
      <c r="P4" s="421" t="s">
        <v>9</v>
      </c>
      <c r="Q4" s="422">
        <f>E4</f>
        <v>44916</v>
      </c>
      <c r="R4" s="422">
        <f>F4</f>
        <v>44551</v>
      </c>
      <c r="S4" s="422">
        <f>G4</f>
        <v>44916</v>
      </c>
      <c r="T4" s="1980" t="s">
        <v>12</v>
      </c>
      <c r="U4" s="1980" t="s">
        <v>13</v>
      </c>
      <c r="X4" s="1150"/>
    </row>
    <row r="5" spans="1:26" ht="18.75" hidden="1" customHeight="1" x14ac:dyDescent="0.5">
      <c r="A5" s="2361"/>
      <c r="B5" s="2344"/>
      <c r="C5" s="1184"/>
      <c r="D5" s="2157" t="s">
        <v>249</v>
      </c>
      <c r="E5" s="2158"/>
      <c r="F5" s="1134" t="s">
        <v>249</v>
      </c>
      <c r="G5" s="1134" t="s">
        <v>438</v>
      </c>
      <c r="H5" s="2112"/>
      <c r="I5" s="2112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1981"/>
      <c r="U5" s="1981"/>
    </row>
    <row r="6" spans="1:26" ht="30" customHeight="1" x14ac:dyDescent="0.35">
      <c r="A6" s="1229">
        <v>1</v>
      </c>
      <c r="B6" s="1191" t="s">
        <v>290</v>
      </c>
      <c r="C6" s="1185">
        <v>615.09889696200003</v>
      </c>
      <c r="D6" s="304">
        <v>908.2</v>
      </c>
      <c r="E6" s="636">
        <v>81.62</v>
      </c>
      <c r="F6" s="305">
        <f>F15+F16+F17</f>
        <v>60.324309400000004</v>
      </c>
      <c r="G6" s="305">
        <f>G15+G16+G17</f>
        <v>91.420524</v>
      </c>
      <c r="H6" s="306">
        <f>(G6-E6)/E6*100</f>
        <v>12.007503062974756</v>
      </c>
      <c r="I6" s="306">
        <f>(G6-F6)/F6*100</f>
        <v>51.548397170710082</v>
      </c>
      <c r="M6" s="1203">
        <v>1</v>
      </c>
      <c r="N6" s="1179" t="s">
        <v>290</v>
      </c>
      <c r="O6" s="1185">
        <v>615.09889696200003</v>
      </c>
      <c r="P6" s="304">
        <v>908.2</v>
      </c>
      <c r="Q6" s="305">
        <v>699.55000000000007</v>
      </c>
      <c r="R6" s="305">
        <f>R15+R16+R17</f>
        <v>422.726657983</v>
      </c>
      <c r="S6" s="305">
        <f>S15+S16+S17</f>
        <v>748.59226379999996</v>
      </c>
      <c r="T6" s="1160">
        <f>(S6-Q6)/Q6*100</f>
        <v>7.0105444642984613</v>
      </c>
      <c r="U6" s="1160">
        <f>(S6-R6)/R6*100</f>
        <v>77.086599499505581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</row>
    <row r="7" spans="1:26" ht="26.25" customHeight="1" x14ac:dyDescent="0.35">
      <c r="A7" s="1230">
        <v>2</v>
      </c>
      <c r="B7" s="1154" t="s">
        <v>291</v>
      </c>
      <c r="C7" s="1186">
        <v>275.33999999999997</v>
      </c>
      <c r="D7" s="307">
        <v>322.42</v>
      </c>
      <c r="E7" s="1129">
        <v>36.15</v>
      </c>
      <c r="F7" s="307">
        <f>F20+F21+F22+F23+F24+F25+F26</f>
        <v>30.849999999999998</v>
      </c>
      <c r="G7" s="307">
        <f>G20+G21+G22+G23+G24+G25+G26</f>
        <v>36.820000000000007</v>
      </c>
      <c r="H7" s="308">
        <f>(G7-E7)/E7*100</f>
        <v>1.8533886583679358</v>
      </c>
      <c r="I7" s="308">
        <f>(G7-F7)/F7*100</f>
        <v>19.351701782820129</v>
      </c>
      <c r="M7" s="1204">
        <v>2</v>
      </c>
      <c r="N7" s="1154" t="s">
        <v>291</v>
      </c>
      <c r="O7" s="1186">
        <v>275.33999999999997</v>
      </c>
      <c r="P7" s="307">
        <v>322.42</v>
      </c>
      <c r="Q7" s="307">
        <v>252.92</v>
      </c>
      <c r="R7" s="305">
        <f>R20+R21+R22+R23+R24+R25+R26</f>
        <v>215.83133000000001</v>
      </c>
      <c r="S7" s="305">
        <f>S20+S21+S22+S23+S24+S25+S26</f>
        <v>313.11809999999997</v>
      </c>
      <c r="T7" s="1161">
        <f>(S7-Q7)/Q7*100</f>
        <v>23.801241499288306</v>
      </c>
      <c r="U7" s="1161">
        <f>(S7-R7)/R7*100</f>
        <v>45.075369734319828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</row>
    <row r="8" spans="1:26" ht="32.25" customHeight="1" x14ac:dyDescent="0.35">
      <c r="A8" s="1231">
        <v>3</v>
      </c>
      <c r="B8" s="1155" t="s">
        <v>292</v>
      </c>
      <c r="C8" s="1187">
        <v>71.674099700000014</v>
      </c>
      <c r="D8" s="364">
        <v>96.78</v>
      </c>
      <c r="E8" s="636">
        <v>10.51</v>
      </c>
      <c r="F8" s="364">
        <f>F31+F32+F33+F34+F35+F36+F37</f>
        <v>7.3444962</v>
      </c>
      <c r="G8" s="364">
        <f>G31+G32+G33+G34+G35+G36+G37</f>
        <v>9.0796395000000008</v>
      </c>
      <c r="H8" s="306">
        <f>(G8-E8)/E8*100</f>
        <v>-13.609519505233102</v>
      </c>
      <c r="I8" s="306">
        <f>(G8-F8)/F8*100</f>
        <v>23.62508268436439</v>
      </c>
      <c r="M8" s="1205">
        <v>3</v>
      </c>
      <c r="N8" s="1155" t="s">
        <v>292</v>
      </c>
      <c r="O8" s="1187">
        <v>71.674099700000014</v>
      </c>
      <c r="P8" s="364">
        <v>96.78</v>
      </c>
      <c r="Q8" s="364">
        <v>65.290000000000006</v>
      </c>
      <c r="R8" s="364">
        <f>R31+R32+R33+R34+R35+R36+R37</f>
        <v>50.289868200000001</v>
      </c>
      <c r="S8" s="305">
        <f>S31+S32+S33+S34+S35+S36+S37</f>
        <v>82.347867100000002</v>
      </c>
      <c r="T8" s="1160">
        <f>(S8-Q8)/Q8*100</f>
        <v>26.126308929391932</v>
      </c>
      <c r="U8" s="1160">
        <f>(S8-R8)/R8*100</f>
        <v>63.746436503884098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</row>
    <row r="9" spans="1:26" ht="34.5" customHeight="1" x14ac:dyDescent="0.35">
      <c r="A9" s="1230">
        <v>4</v>
      </c>
      <c r="B9" s="1156" t="s">
        <v>293</v>
      </c>
      <c r="C9" s="1185">
        <v>5.1459812999999999</v>
      </c>
      <c r="D9" s="307">
        <f>D39+D40+D41</f>
        <v>17.53</v>
      </c>
      <c r="E9" s="1129">
        <v>1.4601666666666666</v>
      </c>
      <c r="F9" s="307">
        <f>F39+F40+F41+F42+F43+F44</f>
        <v>0.55606290000000003</v>
      </c>
      <c r="G9" s="307">
        <f>G39+G40+G41+G42+G43+G44</f>
        <v>1.946761</v>
      </c>
      <c r="H9" s="306">
        <f>(G9-E9)/E9*100</f>
        <v>33.324574820226005</v>
      </c>
      <c r="I9" s="308">
        <f>(G9-F9)/F9*100</f>
        <v>250.09726417640877</v>
      </c>
      <c r="M9" s="1204">
        <v>4</v>
      </c>
      <c r="N9" s="1156" t="s">
        <v>293</v>
      </c>
      <c r="O9" s="1185">
        <v>5.1459812999999999</v>
      </c>
      <c r="P9" s="307">
        <f>P39+P40+P41</f>
        <v>17.53</v>
      </c>
      <c r="Q9" s="307">
        <f>Q39+Q40+Q41</f>
        <v>13.141499999999999</v>
      </c>
      <c r="R9" s="307">
        <f>R39+R40+R41+R42+R43+R44</f>
        <v>4.0752296999999995</v>
      </c>
      <c r="S9" s="307">
        <f>S39+S40+S41+S42+S43+S44</f>
        <v>12.4201745</v>
      </c>
      <c r="T9" s="1160">
        <f>(S9-Q9)/Q9*100</f>
        <v>-5.4889129855800256</v>
      </c>
      <c r="U9" s="1161">
        <f>(S9-R9)/R9*100</f>
        <v>204.7723788428417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</row>
    <row r="10" spans="1:26" ht="28.5" customHeight="1" x14ac:dyDescent="0.35">
      <c r="A10" s="1231">
        <v>5</v>
      </c>
      <c r="B10" s="1157" t="s">
        <v>294</v>
      </c>
      <c r="C10" s="1188">
        <f>SUM(C6:C9)</f>
        <v>967.25897796200002</v>
      </c>
      <c r="D10" s="321">
        <f>SUM(D6:D9)</f>
        <v>1344.93</v>
      </c>
      <c r="E10" s="321">
        <f>SUM(E6:E9)</f>
        <v>129.74016666666668</v>
      </c>
      <c r="F10" s="321">
        <f>SUM(F6:F9)</f>
        <v>99.074868499999994</v>
      </c>
      <c r="G10" s="321">
        <f>SUM(G6:G9)</f>
        <v>139.26692450000002</v>
      </c>
      <c r="H10" s="322">
        <f>(G10-E10)/E10*100</f>
        <v>7.3429517458612796</v>
      </c>
      <c r="I10" s="322">
        <f>(G10-F10)/F10*100</f>
        <v>40.56735740204391</v>
      </c>
      <c r="M10" s="1205">
        <v>5</v>
      </c>
      <c r="N10" s="1157" t="s">
        <v>294</v>
      </c>
      <c r="O10" s="1188">
        <f>SUM(O6:O9)</f>
        <v>967.25897796200002</v>
      </c>
      <c r="P10" s="321">
        <f>SUM(P6:P9)</f>
        <v>1344.93</v>
      </c>
      <c r="Q10" s="321">
        <f>SUM(Q6:Q9)</f>
        <v>1030.9014999999999</v>
      </c>
      <c r="R10" s="321">
        <f>SUM(R6:R9)</f>
        <v>692.923085883</v>
      </c>
      <c r="S10" s="321">
        <f>SUM(S6:S9)</f>
        <v>1156.4784053999999</v>
      </c>
      <c r="T10" s="1162">
        <f>(S10-Q10)/Q10*100</f>
        <v>12.18127099436755</v>
      </c>
      <c r="U10" s="1162">
        <f>(S10-R10)/R10*100</f>
        <v>66.89852437609089</v>
      </c>
      <c r="X10" s="12">
        <f>SUM(X6:X9)</f>
        <v>389.94179218299996</v>
      </c>
      <c r="Y10" s="12">
        <f>SUM(Y6:Y9)</f>
        <v>752.12112639999998</v>
      </c>
      <c r="Z10" s="12">
        <f>S10-Y10</f>
        <v>404.35727899999995</v>
      </c>
    </row>
    <row r="11" spans="1:26" ht="3.75" customHeight="1" thickBot="1" x14ac:dyDescent="0.4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</row>
    <row r="12" spans="1:26" ht="31.5" customHeight="1" thickBot="1" x14ac:dyDescent="0.4">
      <c r="A12" s="1232">
        <v>6.3</v>
      </c>
      <c r="B12" s="1247" t="s">
        <v>778</v>
      </c>
      <c r="C12" s="367">
        <v>16.11</v>
      </c>
      <c r="D12" s="1250">
        <f>D46+D47</f>
        <v>80.319999999999993</v>
      </c>
      <c r="E12" s="1042">
        <f>E46+E47</f>
        <v>7.43</v>
      </c>
      <c r="F12" s="1043">
        <f>F46+F47+F48</f>
        <v>1.930814</v>
      </c>
      <c r="G12" s="1043">
        <f>G46+G47+G48</f>
        <v>4.4721069999999994</v>
      </c>
      <c r="H12" s="1044">
        <f>(G12-E12)/E12*100</f>
        <v>-39.810134589502027</v>
      </c>
      <c r="I12" s="1045">
        <f>(G12-F12)/F12*100</f>
        <v>131.61770113537602</v>
      </c>
      <c r="M12" s="1206">
        <v>6.3</v>
      </c>
      <c r="N12" s="1237" t="s">
        <v>250</v>
      </c>
      <c r="O12" s="1238">
        <v>16.61</v>
      </c>
      <c r="P12" s="1041">
        <f>P46+P47</f>
        <v>80.319999999999993</v>
      </c>
      <c r="Q12" s="1042">
        <f>Q46+Q47</f>
        <v>62.66</v>
      </c>
      <c r="R12" s="1043">
        <f>R46+R47+R48</f>
        <v>10.322007000000001</v>
      </c>
      <c r="S12" s="1043">
        <f>S46+S47+S48</f>
        <v>34.220725999999999</v>
      </c>
      <c r="T12" s="1163">
        <f>(S12-Q12)/Q12*100</f>
        <v>-45.38664857963613</v>
      </c>
      <c r="U12" s="1164">
        <f>(S12-R12)/R12*100</f>
        <v>231.53170696357788</v>
      </c>
    </row>
    <row r="13" spans="1:26" ht="17.649999999999999" x14ac:dyDescent="0.35">
      <c r="A13" s="1233"/>
      <c r="B13" s="2467" t="s">
        <v>229</v>
      </c>
      <c r="C13" s="2468"/>
      <c r="D13" s="2468"/>
      <c r="E13" s="2468"/>
      <c r="F13" s="2468"/>
      <c r="G13" s="2468"/>
      <c r="H13" s="2468"/>
      <c r="I13" s="2469"/>
      <c r="M13" s="1207"/>
      <c r="N13" s="2058" t="s">
        <v>229</v>
      </c>
      <c r="O13" s="2059"/>
      <c r="P13" s="2059"/>
      <c r="Q13" s="2059"/>
      <c r="R13" s="2059"/>
      <c r="S13" s="2059"/>
      <c r="T13" s="2059"/>
      <c r="U13" s="2060"/>
    </row>
    <row r="14" spans="1:26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26" ht="15.4" x14ac:dyDescent="0.4">
      <c r="A15" s="2374"/>
      <c r="B15" s="2473" t="s">
        <v>16</v>
      </c>
      <c r="C15" s="2474"/>
      <c r="D15" s="333">
        <f>'target FY 22-23'!K56</f>
        <v>21.180000000000003</v>
      </c>
      <c r="E15" s="1249">
        <v>1.94</v>
      </c>
      <c r="F15" s="315">
        <v>0.27969699999999997</v>
      </c>
      <c r="G15" s="315">
        <f>'actual fig'!L12/10000000</f>
        <v>1.0631889000000001</v>
      </c>
      <c r="H15" s="316">
        <f>(G15-E15)/E15*100</f>
        <v>-45.196448453608241</v>
      </c>
      <c r="I15" s="314">
        <f>(G15-F15)/F15*100</f>
        <v>280.1216673757674</v>
      </c>
      <c r="J15" s="1128">
        <f>373857/10000000</f>
        <v>3.7385700000000001E-2</v>
      </c>
      <c r="M15" s="2369"/>
      <c r="N15" s="2006" t="s">
        <v>16</v>
      </c>
      <c r="O15" s="2007"/>
      <c r="P15" s="333">
        <f>D15</f>
        <v>21.180000000000003</v>
      </c>
      <c r="Q15" s="307">
        <v>16.580000000000002</v>
      </c>
      <c r="R15" s="315">
        <f>F15+'NOV -22'!R15</f>
        <v>0.98728973499999995</v>
      </c>
      <c r="S15" s="315">
        <f>G15+'NOV -22'!S15</f>
        <v>8.4569524000000005</v>
      </c>
      <c r="T15" s="316">
        <f>(S15-Q15)/Q15*100</f>
        <v>-48.993049457177321</v>
      </c>
      <c r="U15" s="314">
        <f>(S15-R15)/R15*100</f>
        <v>756.58263225029896</v>
      </c>
    </row>
    <row r="16" spans="1:26" ht="15.4" x14ac:dyDescent="0.4">
      <c r="A16" s="2374"/>
      <c r="B16" s="2422" t="s">
        <v>15</v>
      </c>
      <c r="C16" s="320" t="s">
        <v>166</v>
      </c>
      <c r="D16" s="2166">
        <f>'target FY 22-23'!L56</f>
        <v>887.02</v>
      </c>
      <c r="E16" s="2065">
        <v>79.680000000000007</v>
      </c>
      <c r="F16" s="315">
        <v>0.31032549999999998</v>
      </c>
      <c r="G16" s="315">
        <f>'actual fig'!M12/10000000</f>
        <v>15.189975199999999</v>
      </c>
      <c r="H16" s="2154">
        <f>L16</f>
        <v>13.400269954819269</v>
      </c>
      <c r="I16" s="314">
        <f>(G16-F16)/F16*100</f>
        <v>4794.8524049747766</v>
      </c>
      <c r="J16" s="12">
        <f>F16+F17</f>
        <v>60.044612399999998</v>
      </c>
      <c r="K16" s="12">
        <f>G16+G17</f>
        <v>90.3573351</v>
      </c>
      <c r="L16" s="172">
        <f>(K16-E16)/E16*100</f>
        <v>13.400269954819269</v>
      </c>
      <c r="M16" s="2369"/>
      <c r="N16" s="2071" t="s">
        <v>15</v>
      </c>
      <c r="O16" s="1189" t="s">
        <v>166</v>
      </c>
      <c r="P16" s="2166">
        <f>D16</f>
        <v>887.02</v>
      </c>
      <c r="Q16" s="2065">
        <v>682.97</v>
      </c>
      <c r="R16" s="315">
        <f>F16+'NOV -22'!R16</f>
        <v>0.81996424800000001</v>
      </c>
      <c r="S16" s="315">
        <v>83.72</v>
      </c>
      <c r="T16" s="2154">
        <f>X16</f>
        <v>8.3701057733136075</v>
      </c>
      <c r="U16" s="314">
        <f>(S16-R16)/R16*100</f>
        <v>10110.201262336013</v>
      </c>
      <c r="W16" s="12">
        <f>S16+S17</f>
        <v>740.13531139999998</v>
      </c>
      <c r="X16" s="172">
        <f>(W16-Q16)/Q16*100</f>
        <v>8.3701057733136075</v>
      </c>
    </row>
    <row r="17" spans="1:24" ht="15.4" x14ac:dyDescent="0.4">
      <c r="A17" s="2375"/>
      <c r="B17" s="2422"/>
      <c r="C17" s="320" t="s">
        <v>228</v>
      </c>
      <c r="D17" s="2064"/>
      <c r="E17" s="2066"/>
      <c r="F17" s="315">
        <v>59.734286900000001</v>
      </c>
      <c r="G17" s="315">
        <f>'actual fig'!N12/10000000</f>
        <v>75.167359899999994</v>
      </c>
      <c r="H17" s="2155"/>
      <c r="I17" s="314">
        <f>(G17-F17)/F17*100</f>
        <v>25.836205303389992</v>
      </c>
      <c r="J17" s="323">
        <f>114680295/10000000</f>
        <v>11.4680295</v>
      </c>
      <c r="M17" s="2245"/>
      <c r="N17" s="2071"/>
      <c r="O17" s="1189" t="s">
        <v>228</v>
      </c>
      <c r="P17" s="2064"/>
      <c r="Q17" s="2066"/>
      <c r="R17" s="315">
        <f>F17+'NOV -22'!R17</f>
        <v>420.91940399999999</v>
      </c>
      <c r="S17" s="315">
        <f>G17+'NOV -22'!S17</f>
        <v>656.41531139999995</v>
      </c>
      <c r="T17" s="2155"/>
      <c r="U17" s="314">
        <f>(S17-R17)/R17*100</f>
        <v>55.947980815823826</v>
      </c>
    </row>
    <row r="18" spans="1:24" ht="21.75" customHeight="1" x14ac:dyDescent="0.35">
      <c r="A18" s="1982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  <c r="M18" s="2368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4" ht="19.5" customHeight="1" x14ac:dyDescent="0.35">
      <c r="A19" s="1983"/>
      <c r="B19" s="1069" t="s">
        <v>230</v>
      </c>
      <c r="C19" s="1098">
        <f>F4</f>
        <v>44551</v>
      </c>
      <c r="D19" s="1098">
        <f>G4</f>
        <v>44916</v>
      </c>
      <c r="E19" s="1069" t="s">
        <v>681</v>
      </c>
      <c r="F19" s="1098">
        <f>F4</f>
        <v>44551</v>
      </c>
      <c r="G19" s="1098">
        <f>G4</f>
        <v>44916</v>
      </c>
      <c r="H19" s="1071" t="s">
        <v>682</v>
      </c>
      <c r="I19" s="1072" t="s">
        <v>681</v>
      </c>
      <c r="M19" s="2369"/>
      <c r="N19" s="1069" t="s">
        <v>230</v>
      </c>
      <c r="O19" s="1098">
        <f>R4</f>
        <v>44551</v>
      </c>
      <c r="P19" s="1098">
        <f>S4</f>
        <v>44916</v>
      </c>
      <c r="Q19" s="1069" t="s">
        <v>681</v>
      </c>
      <c r="R19" s="1098">
        <f>R4</f>
        <v>44551</v>
      </c>
      <c r="S19" s="1098">
        <f>S4</f>
        <v>44916</v>
      </c>
      <c r="T19" s="1071" t="s">
        <v>682</v>
      </c>
      <c r="U19" s="1072" t="s">
        <v>681</v>
      </c>
    </row>
    <row r="20" spans="1:24" ht="18.75" customHeight="1" x14ac:dyDescent="0.4">
      <c r="A20" s="1983"/>
      <c r="B20" s="1055" t="s">
        <v>231</v>
      </c>
      <c r="C20" s="85">
        <v>140895</v>
      </c>
      <c r="D20" s="303">
        <v>62516</v>
      </c>
      <c r="E20" s="314">
        <f>(D20-C20)/C20*100</f>
        <v>-55.629369388551765</v>
      </c>
      <c r="F20" s="315">
        <v>23.58</v>
      </c>
      <c r="G20" s="315">
        <v>10.25</v>
      </c>
      <c r="H20" s="1060">
        <f>G20/G7*100</f>
        <v>27.838131450298746</v>
      </c>
      <c r="I20" s="314">
        <f>(G20-F20)/F20*100</f>
        <v>-56.530958439355381</v>
      </c>
      <c r="M20" s="2369"/>
      <c r="N20" s="1055" t="s">
        <v>231</v>
      </c>
      <c r="O20" s="833">
        <f>C20+'NOV -22'!O20</f>
        <v>910660</v>
      </c>
      <c r="P20" s="833">
        <f>D20+'NOV -22'!P20</f>
        <v>805576</v>
      </c>
      <c r="Q20" s="314">
        <f>(P20-O20)/O20*100</f>
        <v>-11.539323128280587</v>
      </c>
      <c r="R20" s="315">
        <v>171.32</v>
      </c>
      <c r="S20" s="315">
        <v>147.97999999999999</v>
      </c>
      <c r="T20" s="1060">
        <f>S20/S7*100</f>
        <v>47.2601232570075</v>
      </c>
      <c r="U20" s="314">
        <f>(S20-R20)/R20*100</f>
        <v>-13.62362829792202</v>
      </c>
    </row>
    <row r="21" spans="1:24" ht="18.75" customHeight="1" x14ac:dyDescent="0.4">
      <c r="A21" s="1983"/>
      <c r="B21" s="1055" t="s">
        <v>232</v>
      </c>
      <c r="C21" s="1214">
        <v>35893.899999999994</v>
      </c>
      <c r="D21" s="303">
        <v>92934.1</v>
      </c>
      <c r="E21" s="314">
        <f>(D21-C21)/C21*100</f>
        <v>158.91335296526714</v>
      </c>
      <c r="F21" s="315">
        <v>1.76</v>
      </c>
      <c r="G21" s="315">
        <v>11.82</v>
      </c>
      <c r="H21" s="1060">
        <f>G21/G7*100</f>
        <v>32.10211841390548</v>
      </c>
      <c r="I21" s="314">
        <f>(G21-F21)/F21*100</f>
        <v>571.59090909090912</v>
      </c>
      <c r="M21" s="2369"/>
      <c r="N21" s="1055" t="s">
        <v>232</v>
      </c>
      <c r="O21" s="833">
        <f>C21+'NOV -22'!O21</f>
        <v>120466.9</v>
      </c>
      <c r="P21" s="833">
        <f>D21+'NOV -22'!P21</f>
        <v>747406.1</v>
      </c>
      <c r="Q21" s="314">
        <f>(P21-O21)/O21*100</f>
        <v>520.42444854146663</v>
      </c>
      <c r="R21" s="315">
        <v>8.11</v>
      </c>
      <c r="S21" s="315">
        <v>75.38</v>
      </c>
      <c r="T21" s="1060">
        <f>S21/S7*100</f>
        <v>24.073983586384816</v>
      </c>
      <c r="U21" s="314">
        <f>(S21-R21)/R21*100</f>
        <v>829.46979038224424</v>
      </c>
    </row>
    <row r="22" spans="1:24" ht="18.75" customHeight="1" x14ac:dyDescent="0.4">
      <c r="A22" s="1983"/>
      <c r="B22" s="1055" t="s">
        <v>239</v>
      </c>
      <c r="C22" s="303">
        <v>48510</v>
      </c>
      <c r="D22" s="303">
        <v>1142412</v>
      </c>
      <c r="E22" s="314">
        <f>(D22-C22)/C22*100</f>
        <v>2255.0030921459493</v>
      </c>
      <c r="F22" s="315">
        <v>4.88</v>
      </c>
      <c r="G22" s="315">
        <v>13.8</v>
      </c>
      <c r="H22" s="1060">
        <f>G22/G7*100</f>
        <v>37.479630635524167</v>
      </c>
      <c r="I22" s="314">
        <f>(G22-F22)/F22*100</f>
        <v>182.78688524590169</v>
      </c>
      <c r="M22" s="2369"/>
      <c r="N22" s="1055" t="s">
        <v>239</v>
      </c>
      <c r="O22" s="833">
        <f>C22+'NOV -22'!O22</f>
        <v>265685</v>
      </c>
      <c r="P22" s="833">
        <v>669145</v>
      </c>
      <c r="Q22" s="314">
        <f>(P22-O22)/O22*100</f>
        <v>151.85652182095339</v>
      </c>
      <c r="R22" s="315">
        <v>28.98</v>
      </c>
      <c r="S22" s="315">
        <f>G22+'NOV -22'!S22</f>
        <v>81.784000000000006</v>
      </c>
      <c r="T22" s="1060">
        <f>S22/S7*100</f>
        <v>26.119218275787958</v>
      </c>
      <c r="U22" s="314">
        <f>(S22-R22)/R22*100</f>
        <v>182.20841959972395</v>
      </c>
    </row>
    <row r="23" spans="1:24" ht="18.75" customHeight="1" x14ac:dyDescent="0.4">
      <c r="A23" s="1983"/>
      <c r="B23" s="1055" t="s">
        <v>233</v>
      </c>
      <c r="C23" s="303">
        <v>21576</v>
      </c>
      <c r="D23" s="303">
        <v>18394</v>
      </c>
      <c r="E23" s="314">
        <f>(D23-C23)/C23*100</f>
        <v>-14.74786800148313</v>
      </c>
      <c r="F23" s="315">
        <v>0.63</v>
      </c>
      <c r="G23" s="315">
        <v>0.95</v>
      </c>
      <c r="H23" s="1060">
        <f>G23/G7*100</f>
        <v>2.5801195002715911</v>
      </c>
      <c r="I23" s="314">
        <f>(G23-F23)/F23*100</f>
        <v>50.793650793650791</v>
      </c>
      <c r="M23" s="2369"/>
      <c r="N23" s="1055" t="s">
        <v>233</v>
      </c>
      <c r="O23" s="833">
        <f>C23+'NOV -22'!O23</f>
        <v>220221</v>
      </c>
      <c r="P23" s="833">
        <f>D23+'NOV -22'!P23</f>
        <v>208513</v>
      </c>
      <c r="Q23" s="314">
        <f>(P23-O23)/O23*100</f>
        <v>-5.3164775384727161</v>
      </c>
      <c r="R23" s="315">
        <f>F23+'NOV -22'!R23</f>
        <v>7.1113299999999997</v>
      </c>
      <c r="S23" s="315">
        <f>G23+'NOV -22'!S23</f>
        <v>7.55</v>
      </c>
      <c r="T23" s="1060">
        <f>S23/S7*100</f>
        <v>2.4112307784187501</v>
      </c>
      <c r="U23" s="314">
        <f>(S23-R23)/R23*100</f>
        <v>6.168606997565858</v>
      </c>
    </row>
    <row r="24" spans="1:24" ht="18.75" customHeight="1" x14ac:dyDescent="0.4">
      <c r="A24" s="1983"/>
      <c r="B24" s="1055" t="s">
        <v>739</v>
      </c>
      <c r="C24" s="303">
        <v>0</v>
      </c>
      <c r="D24" s="303"/>
      <c r="E24" s="836">
        <v>0</v>
      </c>
      <c r="F24" s="833">
        <v>0</v>
      </c>
      <c r="G24" s="833">
        <v>0</v>
      </c>
      <c r="H24" s="1060">
        <f>G24/G7*100</f>
        <v>0</v>
      </c>
      <c r="I24" s="314">
        <v>0</v>
      </c>
      <c r="M24" s="2369"/>
      <c r="N24" s="1055" t="s">
        <v>739</v>
      </c>
      <c r="O24" s="833">
        <f>C24+'NOV -22'!O24</f>
        <v>0</v>
      </c>
      <c r="P24" s="833">
        <f>D24+'NOV -22'!P24</f>
        <v>2661</v>
      </c>
      <c r="Q24" s="836">
        <v>0</v>
      </c>
      <c r="R24" s="315">
        <f>F24+'NOV -22'!R24</f>
        <v>0</v>
      </c>
      <c r="S24" s="315">
        <f>G24+'NOV -22'!S24</f>
        <v>4.1000000000000002E-2</v>
      </c>
      <c r="T24" s="1060">
        <f>S24/S7*100</f>
        <v>1.309410091591639E-2</v>
      </c>
      <c r="U24" s="314">
        <v>0</v>
      </c>
    </row>
    <row r="25" spans="1:24" ht="18.75" customHeight="1" x14ac:dyDescent="0.4">
      <c r="A25" s="1983"/>
      <c r="B25" s="1055" t="s">
        <v>235</v>
      </c>
      <c r="C25" s="303">
        <v>0</v>
      </c>
      <c r="D25" s="303"/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M25" s="2369"/>
      <c r="N25" s="1055" t="s">
        <v>235</v>
      </c>
      <c r="O25" s="833">
        <f>C25+'NOV -22'!O25</f>
        <v>0</v>
      </c>
      <c r="P25" s="833">
        <f>D25+'NOV -22'!P25</f>
        <v>2748</v>
      </c>
      <c r="Q25" s="836">
        <v>0</v>
      </c>
      <c r="R25" s="315">
        <v>0.04</v>
      </c>
      <c r="S25" s="315">
        <f>G25+'NOV -22'!S25</f>
        <v>0.11310000000000001</v>
      </c>
      <c r="T25" s="1060">
        <f>S25/S7*100</f>
        <v>3.6120556429027902E-2</v>
      </c>
      <c r="U25" s="314">
        <v>0</v>
      </c>
    </row>
    <row r="26" spans="1:24" ht="27" customHeight="1" x14ac:dyDescent="0.4">
      <c r="A26" s="1984"/>
      <c r="B26" s="1056" t="s">
        <v>693</v>
      </c>
      <c r="C26" s="1059">
        <v>0</v>
      </c>
      <c r="D26" s="1059"/>
      <c r="E26" s="836">
        <v>0</v>
      </c>
      <c r="F26" s="833">
        <v>0</v>
      </c>
      <c r="G26" s="833">
        <v>0</v>
      </c>
      <c r="H26" s="1060">
        <f>G26/G7*100</f>
        <v>0</v>
      </c>
      <c r="I26" s="314" t="e">
        <f>(G26-F26)/F26*100</f>
        <v>#DIV/0!</v>
      </c>
      <c r="M26" s="2245"/>
      <c r="N26" s="1056" t="s">
        <v>693</v>
      </c>
      <c r="O26" s="833">
        <f>C26+'NOV -22'!O26</f>
        <v>2827</v>
      </c>
      <c r="P26" s="833">
        <f>D26+'NOV -22'!P26</f>
        <v>0</v>
      </c>
      <c r="Q26" s="836">
        <v>0</v>
      </c>
      <c r="R26" s="315">
        <v>0.27</v>
      </c>
      <c r="S26" s="315">
        <f>G26+'NOV -22'!S26</f>
        <v>0.27</v>
      </c>
      <c r="T26" s="1060">
        <f>S26/S7*100</f>
        <v>8.6229445056034776E-2</v>
      </c>
      <c r="U26" s="314">
        <f>(S26-R26)/R26*100</f>
        <v>0</v>
      </c>
    </row>
    <row r="27" spans="1:24" s="26" customFormat="1" ht="19.5" customHeight="1" x14ac:dyDescent="0.4">
      <c r="A27" s="1216"/>
      <c r="B27" s="1063" t="s">
        <v>683</v>
      </c>
      <c r="C27" s="1063">
        <f>SUM(C20:C26)</f>
        <v>246874.9</v>
      </c>
      <c r="D27" s="1063">
        <f>SUM(D20:D26)</f>
        <v>1316256.1000000001</v>
      </c>
      <c r="E27" s="394">
        <f>(D27-C27)/C27*100</f>
        <v>433.16724381457988</v>
      </c>
      <c r="F27" s="1054">
        <f>SUM(F20:F26)</f>
        <v>30.849999999999998</v>
      </c>
      <c r="G27" s="1054">
        <f>G20+G21+G22+G23+G24+G25+G26</f>
        <v>36.820000000000007</v>
      </c>
      <c r="H27" s="1066">
        <f>SUM(H20:H26)</f>
        <v>99.999999999999986</v>
      </c>
      <c r="I27" s="394">
        <f>(G27-F27)/F27*100</f>
        <v>19.351701782820129</v>
      </c>
      <c r="J27" s="762"/>
      <c r="K27" s="762"/>
      <c r="L27" s="432"/>
      <c r="M27" s="1202"/>
      <c r="N27" s="1063" t="s">
        <v>683</v>
      </c>
      <c r="O27" s="1259">
        <f>SUM(O20:O26)</f>
        <v>1519859.9</v>
      </c>
      <c r="P27" s="1259">
        <f>SUM(P20:P26)</f>
        <v>2436049.1</v>
      </c>
      <c r="Q27" s="394">
        <f>(P27-O27)/O27*100</f>
        <v>60.281161441261808</v>
      </c>
      <c r="R27" s="1054">
        <f>SUM(R20:R26)</f>
        <v>215.83133000000001</v>
      </c>
      <c r="S27" s="1054">
        <f>SUM(S20:S26)</f>
        <v>313.11809999999997</v>
      </c>
      <c r="T27" s="1066">
        <f>SUM(T20:T26)</f>
        <v>100.00000000000001</v>
      </c>
      <c r="U27" s="394">
        <f>(S27-R27)/R27*100</f>
        <v>45.075369734319828</v>
      </c>
      <c r="X27" s="432"/>
    </row>
    <row r="28" spans="1:24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4" ht="24" hidden="1" customHeight="1" x14ac:dyDescent="0.35">
      <c r="A29" s="135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4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2384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4" ht="15.4" x14ac:dyDescent="0.4">
      <c r="A31" s="2382"/>
      <c r="B31" s="2006" t="s">
        <v>2</v>
      </c>
      <c r="C31" s="2007"/>
      <c r="D31" s="331">
        <v>12.05</v>
      </c>
      <c r="E31" s="315">
        <v>1.25</v>
      </c>
      <c r="F31" s="313">
        <v>1.4544739</v>
      </c>
      <c r="G31" s="313">
        <v>1.6995965</v>
      </c>
      <c r="H31" s="314">
        <f>(G31-E31)/E31*100</f>
        <v>35.96772</v>
      </c>
      <c r="I31" s="314">
        <f t="shared" ref="I31:I36" si="0">(G31-F31)/F31*100</f>
        <v>16.853007812653082</v>
      </c>
      <c r="J31" s="84">
        <f>2661720/10000000</f>
        <v>0.26617200000000002</v>
      </c>
      <c r="K31" s="84">
        <f>11596205/10000000</f>
        <v>1.1596204999999999</v>
      </c>
      <c r="M31" s="2385"/>
      <c r="N31" s="2006" t="s">
        <v>2</v>
      </c>
      <c r="O31" s="2007"/>
      <c r="P31" s="331">
        <v>12.05</v>
      </c>
      <c r="Q31" s="315">
        <v>9.35</v>
      </c>
      <c r="R31" s="315">
        <f>F31+'NOV -22'!R31</f>
        <v>5.9535122000000005</v>
      </c>
      <c r="S31" s="315">
        <f>G31+'NOV -22'!S31</f>
        <v>18.32818</v>
      </c>
      <c r="T31" s="314">
        <f>(S31-Q31)/Q31*100</f>
        <v>96.023315508021383</v>
      </c>
      <c r="U31" s="314">
        <f t="shared" ref="U31:U37" si="1">(S31-R31)/R31*100</f>
        <v>207.85491629629985</v>
      </c>
    </row>
    <row r="32" spans="1:24" ht="15.4" x14ac:dyDescent="0.4">
      <c r="A32" s="2382"/>
      <c r="B32" s="2006" t="s">
        <v>23</v>
      </c>
      <c r="C32" s="2007"/>
      <c r="D32" s="331">
        <v>27.75</v>
      </c>
      <c r="E32" s="315">
        <v>2.71</v>
      </c>
      <c r="F32" s="313">
        <v>2.5028763999999999</v>
      </c>
      <c r="G32" s="313">
        <v>2.0981466000000002</v>
      </c>
      <c r="H32" s="314">
        <f>(G32-E32)/E32*100</f>
        <v>-22.577616236162353</v>
      </c>
      <c r="I32" s="314">
        <f>(G32-F32)/F32*100</f>
        <v>-16.170586769686256</v>
      </c>
      <c r="J32" s="1128">
        <f>0.42-0.02</f>
        <v>0.39999999999999997</v>
      </c>
      <c r="K32" s="84">
        <f>0.58-0.12</f>
        <v>0.45999999999999996</v>
      </c>
      <c r="M32" s="2385"/>
      <c r="N32" s="2006" t="s">
        <v>23</v>
      </c>
      <c r="O32" s="2007"/>
      <c r="P32" s="331">
        <v>27.75</v>
      </c>
      <c r="Q32" s="315">
        <v>20.580000000000002</v>
      </c>
      <c r="R32" s="315">
        <f>F32+'NOV -22'!R32</f>
        <v>19.010218999999999</v>
      </c>
      <c r="S32" s="315">
        <f>G32+'NOV -22'!S32</f>
        <v>22.267837799999999</v>
      </c>
      <c r="T32" s="314">
        <f>(S32-Q32)/Q32*100</f>
        <v>8.2013498542273897</v>
      </c>
      <c r="U32" s="314">
        <f t="shared" si="1"/>
        <v>17.136145564656566</v>
      </c>
    </row>
    <row r="33" spans="1:24" ht="15.4" x14ac:dyDescent="0.4">
      <c r="A33" s="2382"/>
      <c r="B33" s="2006" t="s">
        <v>1</v>
      </c>
      <c r="C33" s="2007"/>
      <c r="D33" s="331">
        <v>5.77</v>
      </c>
      <c r="E33" s="315">
        <v>0.46</v>
      </c>
      <c r="F33" s="313">
        <v>8.5816400000000001E-2</v>
      </c>
      <c r="G33" s="313">
        <v>8.3564200000000005E-2</v>
      </c>
      <c r="H33" s="314">
        <f>(G33-E33)/E33*100</f>
        <v>-81.833869565217384</v>
      </c>
      <c r="I33" s="314">
        <f t="shared" si="0"/>
        <v>-2.6244400837135977</v>
      </c>
      <c r="M33" s="2385"/>
      <c r="N33" s="2006" t="s">
        <v>1</v>
      </c>
      <c r="O33" s="2007"/>
      <c r="P33" s="331">
        <v>5.77</v>
      </c>
      <c r="Q33" s="315">
        <f>E33+'NOV -22'!Q33</f>
        <v>4.4400000000000004</v>
      </c>
      <c r="R33" s="315">
        <f>F33+'NOV -22'!R33</f>
        <v>0.86549540000000003</v>
      </c>
      <c r="S33" s="315">
        <f>G33+'NOV -22'!S33</f>
        <v>0.81356419999999996</v>
      </c>
      <c r="T33" s="314">
        <f>(S33-Q33)/Q33*100</f>
        <v>-81.676481981981979</v>
      </c>
      <c r="U33" s="314">
        <f t="shared" si="1"/>
        <v>-6.0001705381680903</v>
      </c>
    </row>
    <row r="34" spans="1:24" ht="15.4" x14ac:dyDescent="0.4">
      <c r="A34" s="2382"/>
      <c r="B34" s="2006" t="s">
        <v>24</v>
      </c>
      <c r="C34" s="2007"/>
      <c r="D34" s="603" t="s">
        <v>221</v>
      </c>
      <c r="E34" s="315"/>
      <c r="F34" s="313">
        <v>4.3907000000000002E-2</v>
      </c>
      <c r="G34" s="313">
        <v>0.258797</v>
      </c>
      <c r="H34" s="316" t="s">
        <v>221</v>
      </c>
      <c r="I34" s="314">
        <f t="shared" si="0"/>
        <v>489.42082128134467</v>
      </c>
      <c r="J34" s="84">
        <f>62410/10000000</f>
        <v>6.241E-3</v>
      </c>
      <c r="M34" s="2385"/>
      <c r="N34" s="2006" t="s">
        <v>24</v>
      </c>
      <c r="O34" s="2007"/>
      <c r="P34" s="603" t="s">
        <v>221</v>
      </c>
      <c r="Q34" s="315"/>
      <c r="R34" s="315">
        <f>F34+'NOV -22'!R34</f>
        <v>0.237345</v>
      </c>
      <c r="S34" s="315">
        <f>G34+'NOV -22'!S34</f>
        <v>2.4423110000000001</v>
      </c>
      <c r="T34" s="316" t="s">
        <v>221</v>
      </c>
      <c r="U34" s="314">
        <f t="shared" si="1"/>
        <v>929.01304008932152</v>
      </c>
    </row>
    <row r="35" spans="1:24" ht="15.4" x14ac:dyDescent="0.4">
      <c r="A35" s="2382"/>
      <c r="B35" s="2017" t="s">
        <v>25</v>
      </c>
      <c r="C35" s="2030"/>
      <c r="D35" s="603" t="s">
        <v>221</v>
      </c>
      <c r="E35" s="315"/>
      <c r="F35" s="313">
        <v>1.2394000000000001E-2</v>
      </c>
      <c r="G35" s="313">
        <v>0.73338990000000004</v>
      </c>
      <c r="H35" s="316" t="s">
        <v>221</v>
      </c>
      <c r="I35" s="314">
        <v>0</v>
      </c>
      <c r="M35" s="2385"/>
      <c r="N35" s="2017" t="s">
        <v>25</v>
      </c>
      <c r="O35" s="2030"/>
      <c r="P35" s="603" t="s">
        <v>221</v>
      </c>
      <c r="Q35" s="315"/>
      <c r="R35" s="315">
        <f>F35+'NOV -22'!R35</f>
        <v>2.5810382000000001</v>
      </c>
      <c r="S35" s="315">
        <f>G35+'NOV -22'!S35</f>
        <v>5.6331691999999993</v>
      </c>
      <c r="T35" s="316" t="s">
        <v>221</v>
      </c>
      <c r="U35" s="314">
        <f t="shared" si="1"/>
        <v>118.25206616469292</v>
      </c>
    </row>
    <row r="36" spans="1:24" ht="15.4" x14ac:dyDescent="0.4">
      <c r="A36" s="2383"/>
      <c r="B36" s="2017" t="s">
        <v>241</v>
      </c>
      <c r="C36" s="2030"/>
      <c r="D36" s="540" t="s">
        <v>221</v>
      </c>
      <c r="E36" s="316"/>
      <c r="F36" s="313">
        <v>3.1935641000000001</v>
      </c>
      <c r="G36" s="313">
        <v>4.1403211000000004</v>
      </c>
      <c r="H36" s="316" t="s">
        <v>221</v>
      </c>
      <c r="I36" s="314">
        <f t="shared" si="0"/>
        <v>29.645780399397658</v>
      </c>
      <c r="J36" s="323">
        <f>(3613355)/10000000</f>
        <v>0.36133549999999998</v>
      </c>
      <c r="K36" s="323">
        <f>(20880+ 10612529)/10000000</f>
        <v>1.0633409</v>
      </c>
      <c r="M36" s="2386"/>
      <c r="N36" s="2017" t="s">
        <v>241</v>
      </c>
      <c r="O36" s="2030"/>
      <c r="P36" s="540" t="s">
        <v>221</v>
      </c>
      <c r="Q36" s="316"/>
      <c r="R36" s="315">
        <f>F36+'NOV -22'!R36</f>
        <v>21.240736099999999</v>
      </c>
      <c r="S36" s="315">
        <f>G36+'NOV -22'!S36</f>
        <v>32.234940399999999</v>
      </c>
      <c r="T36" s="316" t="s">
        <v>221</v>
      </c>
      <c r="U36" s="314">
        <f t="shared" si="1"/>
        <v>51.759996679211127</v>
      </c>
    </row>
    <row r="37" spans="1:24" ht="15.4" x14ac:dyDescent="0.4">
      <c r="A37" s="1234"/>
      <c r="B37" s="2006" t="s">
        <v>260</v>
      </c>
      <c r="C37" s="2019"/>
      <c r="D37" s="540" t="s">
        <v>221</v>
      </c>
      <c r="E37" s="316"/>
      <c r="F37" s="313">
        <v>5.14644E-2</v>
      </c>
      <c r="G37" s="313">
        <f>'actual fig'!Z12/10000000</f>
        <v>6.5824199999999999E-2</v>
      </c>
      <c r="H37" s="413"/>
      <c r="I37" s="314">
        <v>0</v>
      </c>
      <c r="M37" s="1208"/>
      <c r="N37" s="2006" t="s">
        <v>260</v>
      </c>
      <c r="O37" s="2019"/>
      <c r="P37" s="540" t="s">
        <v>221</v>
      </c>
      <c r="Q37" s="316"/>
      <c r="R37" s="315">
        <f>F37+'NOV -22'!R37</f>
        <v>0.40152229999999994</v>
      </c>
      <c r="S37" s="315">
        <f>G37+'NOV -22'!S37</f>
        <v>0.62786450000000005</v>
      </c>
      <c r="T37" s="413"/>
      <c r="U37" s="314">
        <f t="shared" si="1"/>
        <v>56.371016005835827</v>
      </c>
    </row>
    <row r="38" spans="1:24" x14ac:dyDescent="0.35">
      <c r="A38" s="2387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  <c r="M38" s="2388">
        <v>4</v>
      </c>
      <c r="N38" s="2309" t="s">
        <v>622</v>
      </c>
      <c r="O38" s="2310"/>
      <c r="P38" s="2310"/>
      <c r="Q38" s="2310"/>
      <c r="R38" s="2310"/>
      <c r="S38" s="2310"/>
      <c r="T38" s="2310"/>
      <c r="U38" s="2311"/>
    </row>
    <row r="39" spans="1:24" ht="15.4" x14ac:dyDescent="0.4">
      <c r="A39" s="2387"/>
      <c r="B39" s="2006" t="s">
        <v>27</v>
      </c>
      <c r="C39" s="2007"/>
      <c r="D39" s="331">
        <v>12.24</v>
      </c>
      <c r="E39" s="315">
        <v>1.02</v>
      </c>
      <c r="F39" s="381">
        <v>0.47961890000000001</v>
      </c>
      <c r="G39" s="313">
        <v>1.0860209000000001</v>
      </c>
      <c r="H39" s="314">
        <f>(G39-E39)/E39*100</f>
        <v>6.4726372549019651</v>
      </c>
      <c r="I39" s="313">
        <f t="shared" ref="I39:I44" si="2">(G39-F39)/F39*100</f>
        <v>126.43413343385761</v>
      </c>
      <c r="J39" s="84">
        <f t="shared" ref="J39:J44" si="3">E39*8</f>
        <v>8.16</v>
      </c>
      <c r="L39" s="172">
        <v>2.1361249999999998</v>
      </c>
      <c r="M39" s="2388"/>
      <c r="N39" s="2006" t="s">
        <v>27</v>
      </c>
      <c r="O39" s="2007"/>
      <c r="P39" s="331">
        <v>12.24</v>
      </c>
      <c r="Q39" s="315">
        <f>'APRIL-22'!E39+'MAY-22'!E39+'JUNE-22'!E39+'JULY 22'!E39+'AUG-22'!E39+'SEP-2022'!E39+'OCT-2022'!E39+'NOV -22'!E39+'DEC-22'!E39</f>
        <v>9.1799999999999979</v>
      </c>
      <c r="R39" s="315">
        <f>F39+'NOV -22'!R39</f>
        <v>2.6229806</v>
      </c>
      <c r="S39" s="315">
        <f>G39+'NOV -22'!S39</f>
        <v>8.1035149000000004</v>
      </c>
      <c r="T39" s="314">
        <f>(S39-Q39)/Q39*100</f>
        <v>-11.726417211328952</v>
      </c>
      <c r="U39" s="314">
        <f>(S39-R39)/R39*100</f>
        <v>208.94299790093757</v>
      </c>
      <c r="W39" s="5">
        <f>P39/12</f>
        <v>1.02</v>
      </c>
      <c r="X39" s="172">
        <f>W39*4</f>
        <v>4.08</v>
      </c>
    </row>
    <row r="40" spans="1:24" ht="15.4" x14ac:dyDescent="0.4">
      <c r="A40" s="2387"/>
      <c r="B40" s="2006" t="s">
        <v>28</v>
      </c>
      <c r="C40" s="2007"/>
      <c r="D40" s="333">
        <v>2.84</v>
      </c>
      <c r="E40" s="315">
        <v>0.23599999999999999</v>
      </c>
      <c r="F40" s="381">
        <v>4.6385999999999997E-3</v>
      </c>
      <c r="G40" s="381">
        <v>0.45795809999999998</v>
      </c>
      <c r="H40" s="314">
        <f>(G40-E40)/E40*100</f>
        <v>94.050042372881364</v>
      </c>
      <c r="I40" s="313">
        <f t="shared" si="2"/>
        <v>9772.7654895873748</v>
      </c>
      <c r="J40" s="84">
        <f t="shared" si="3"/>
        <v>1.8879999999999999</v>
      </c>
      <c r="L40" s="172">
        <v>0.11442669999999999</v>
      </c>
      <c r="M40" s="2388"/>
      <c r="N40" s="2006" t="s">
        <v>28</v>
      </c>
      <c r="O40" s="2007"/>
      <c r="P40" s="333">
        <v>2.84</v>
      </c>
      <c r="Q40" s="315">
        <f>'APRIL-22'!E40+'MAY-22'!E40+'JUNE-22'!E40+'JULY 22'!E40+'AUG-22'!E40+'SEP-2022'!E40+'OCT-2022'!E40+'NOV -22'!E40+'DEC-22'!E40</f>
        <v>2.1239999999999997</v>
      </c>
      <c r="R40" s="315">
        <f>F40+'NOV -22'!R40</f>
        <v>0.11906529999999999</v>
      </c>
      <c r="S40" s="315">
        <f>G40+'NOV -22'!S40</f>
        <v>1.2482728999999999</v>
      </c>
      <c r="T40" s="314">
        <f>(S40-Q40)/Q40*100</f>
        <v>-41.230089453860636</v>
      </c>
      <c r="U40" s="314">
        <f>(S40-R40)/R40*100</f>
        <v>948.3935285931334</v>
      </c>
      <c r="W40" s="5">
        <f>P40/12</f>
        <v>0.23666666666666666</v>
      </c>
      <c r="X40" s="172">
        <f>W40*4</f>
        <v>0.94666666666666666</v>
      </c>
    </row>
    <row r="41" spans="1:24" ht="15.4" x14ac:dyDescent="0.4">
      <c r="A41" s="2387"/>
      <c r="B41" s="378" t="s">
        <v>224</v>
      </c>
      <c r="C41" s="379"/>
      <c r="D41" s="331">
        <v>2.4500000000000002</v>
      </c>
      <c r="E41" s="323">
        <v>0.20416666666666669</v>
      </c>
      <c r="F41" s="381">
        <v>2.5342099999999999E-2</v>
      </c>
      <c r="G41" s="313">
        <v>0.26538270000000003</v>
      </c>
      <c r="H41" s="314">
        <f>(G41-E41)/E41*100</f>
        <v>29.983363265306117</v>
      </c>
      <c r="I41" s="313">
        <f t="shared" si="2"/>
        <v>947.20090284546291</v>
      </c>
      <c r="J41" s="323">
        <f t="shared" si="3"/>
        <v>1.6333333333333335</v>
      </c>
      <c r="L41" s="172">
        <v>0.1548958</v>
      </c>
      <c r="M41" s="2388"/>
      <c r="N41" s="378" t="s">
        <v>224</v>
      </c>
      <c r="O41" s="379"/>
      <c r="P41" s="331">
        <v>2.4500000000000002</v>
      </c>
      <c r="Q41" s="315">
        <f>'APRIL-22'!E41+'MAY-22'!E41+'JUNE-22'!E41+'JULY 22'!E41+'AUG-22'!E41+'SEP-2022'!E41+'OCT-2022'!E41+'NOV -22'!E41+'DEC-22'!E41</f>
        <v>1.8374999999999999</v>
      </c>
      <c r="R41" s="315">
        <f>F41+'NOV -22'!R41</f>
        <v>0.2239959</v>
      </c>
      <c r="S41" s="315">
        <f>G41+'NOV -22'!S41</f>
        <v>1.5131146999999998</v>
      </c>
      <c r="T41" s="314">
        <f>(S41-Q41)/Q41*100</f>
        <v>-17.653621768707488</v>
      </c>
      <c r="U41" s="314">
        <f>(S41-R41)/R41*100</f>
        <v>575.50999817407364</v>
      </c>
      <c r="W41" s="5">
        <f>P41/12</f>
        <v>0.20416666666666669</v>
      </c>
      <c r="X41" s="172">
        <f>W41*4</f>
        <v>0.81666666666666676</v>
      </c>
    </row>
    <row r="42" spans="1:24" ht="15.4" x14ac:dyDescent="0.4">
      <c r="A42" s="2387"/>
      <c r="B42" s="2006" t="s">
        <v>64</v>
      </c>
      <c r="C42" s="2007"/>
      <c r="D42" s="540" t="s">
        <v>221</v>
      </c>
      <c r="E42" s="315"/>
      <c r="F42" s="381">
        <v>0</v>
      </c>
      <c r="G42" s="313">
        <v>0</v>
      </c>
      <c r="H42" s="314" t="s">
        <v>221</v>
      </c>
      <c r="I42" s="313" t="e">
        <f t="shared" si="2"/>
        <v>#DIV/0!</v>
      </c>
      <c r="J42" s="84">
        <f t="shared" si="3"/>
        <v>0</v>
      </c>
      <c r="L42" s="172">
        <v>0</v>
      </c>
      <c r="M42" s="2388"/>
      <c r="N42" s="2006" t="s">
        <v>64</v>
      </c>
      <c r="O42" s="2007"/>
      <c r="P42" s="540" t="s">
        <v>221</v>
      </c>
      <c r="Q42" s="315"/>
      <c r="R42" s="315">
        <f>F42+'NOV -22'!R42</f>
        <v>0</v>
      </c>
      <c r="S42" s="315">
        <f>G42+'NOV -22'!S42</f>
        <v>0</v>
      </c>
      <c r="T42" s="314" t="s">
        <v>221</v>
      </c>
      <c r="U42" s="314">
        <v>0</v>
      </c>
    </row>
    <row r="43" spans="1:24" ht="15.4" x14ac:dyDescent="0.4">
      <c r="A43" s="2387"/>
      <c r="B43" s="2006" t="s">
        <v>4</v>
      </c>
      <c r="C43" s="2007"/>
      <c r="D43" s="540" t="s">
        <v>221</v>
      </c>
      <c r="E43" s="315"/>
      <c r="F43" s="381">
        <v>0</v>
      </c>
      <c r="G43" s="313">
        <v>0</v>
      </c>
      <c r="H43" s="314" t="s">
        <v>221</v>
      </c>
      <c r="I43" s="313" t="e">
        <f t="shared" si="2"/>
        <v>#DIV/0!</v>
      </c>
      <c r="J43" s="84">
        <f t="shared" si="3"/>
        <v>0</v>
      </c>
      <c r="L43" s="172">
        <v>4.0018400000000003E-2</v>
      </c>
      <c r="M43" s="2388"/>
      <c r="N43" s="2006" t="s">
        <v>4</v>
      </c>
      <c r="O43" s="2007"/>
      <c r="P43" s="540" t="s">
        <v>221</v>
      </c>
      <c r="Q43" s="315"/>
      <c r="R43" s="315">
        <f>F43+'NOV -22'!R43</f>
        <v>4.0018400000000003E-2</v>
      </c>
      <c r="S43" s="315">
        <f>G43+'NOV -22'!S43</f>
        <v>0.20511170000000001</v>
      </c>
      <c r="T43" s="314" t="s">
        <v>221</v>
      </c>
      <c r="U43" s="314">
        <f>(S43-R43)/R43*100</f>
        <v>412.54347999920037</v>
      </c>
    </row>
    <row r="44" spans="1:24" ht="15.4" x14ac:dyDescent="0.4">
      <c r="A44" s="780"/>
      <c r="B44" s="2006" t="s">
        <v>259</v>
      </c>
      <c r="C44" s="2019"/>
      <c r="D44" s="540" t="s">
        <v>221</v>
      </c>
      <c r="E44" s="315"/>
      <c r="F44" s="1039">
        <v>4.6463299999999999E-2</v>
      </c>
      <c r="G44" s="313">
        <v>0.1373993</v>
      </c>
      <c r="H44" s="407" t="s">
        <v>221</v>
      </c>
      <c r="I44" s="314">
        <f t="shared" si="2"/>
        <v>195.71575845882666</v>
      </c>
      <c r="J44" s="84">
        <f t="shared" si="3"/>
        <v>0</v>
      </c>
      <c r="L44" s="172">
        <v>0.93056630000000007</v>
      </c>
      <c r="M44" s="1204"/>
      <c r="N44" s="2006" t="s">
        <v>259</v>
      </c>
      <c r="O44" s="2019"/>
      <c r="P44" s="540" t="s">
        <v>221</v>
      </c>
      <c r="Q44" s="315"/>
      <c r="R44" s="315">
        <f>F44+'NOV -22'!R44</f>
        <v>1.0691695000000001</v>
      </c>
      <c r="S44" s="315">
        <f>G44+'NOV -22'!S44</f>
        <v>1.3501603</v>
      </c>
      <c r="T44" s="407" t="s">
        <v>221</v>
      </c>
      <c r="U44" s="314">
        <f>(S44-R44)/R44*100</f>
        <v>26.281221078603519</v>
      </c>
    </row>
    <row r="45" spans="1:24" x14ac:dyDescent="0.35">
      <c r="A45" s="2387"/>
      <c r="B45" s="2309" t="s">
        <v>419</v>
      </c>
      <c r="C45" s="2310"/>
      <c r="D45" s="2310"/>
      <c r="E45" s="2310"/>
      <c r="F45" s="2310"/>
      <c r="G45" s="2310"/>
      <c r="H45" s="2310"/>
      <c r="I45" s="2311"/>
      <c r="M45" s="2388"/>
      <c r="N45" s="2309" t="s">
        <v>419</v>
      </c>
      <c r="O45" s="2310"/>
      <c r="P45" s="2310"/>
      <c r="Q45" s="2310"/>
      <c r="R45" s="2310"/>
      <c r="S45" s="2310"/>
      <c r="T45" s="2310"/>
      <c r="U45" s="2311"/>
    </row>
    <row r="46" spans="1:24" ht="15.4" x14ac:dyDescent="0.4">
      <c r="A46" s="2387"/>
      <c r="B46" s="2006" t="s">
        <v>16</v>
      </c>
      <c r="C46" s="2007"/>
      <c r="D46" s="331">
        <v>37.090000000000003</v>
      </c>
      <c r="E46" s="315">
        <f>'target FY 22-23'!K76</f>
        <v>3.42</v>
      </c>
      <c r="F46" s="315">
        <v>0.58939699999999995</v>
      </c>
      <c r="G46" s="315">
        <f>'actual fig'!L28/1000000</f>
        <v>1.7716099999999999</v>
      </c>
      <c r="H46" s="316">
        <f>(G46-E46)/E46*100</f>
        <v>-48.198538011695909</v>
      </c>
      <c r="I46" s="314">
        <f>(G46-F46)/F46*100</f>
        <v>200.58008439133553</v>
      </c>
      <c r="J46" s="84">
        <f>94132</f>
        <v>94132</v>
      </c>
      <c r="L46" s="172">
        <f>K46/100000</f>
        <v>0</v>
      </c>
      <c r="M46" s="2388"/>
      <c r="N46" s="2006" t="s">
        <v>16</v>
      </c>
      <c r="O46" s="2007"/>
      <c r="P46" s="331">
        <v>37.090000000000003</v>
      </c>
      <c r="Q46" s="315">
        <v>28.880000000000003</v>
      </c>
      <c r="R46" s="315">
        <f>F46+'NOV -22'!R46</f>
        <v>2.30098</v>
      </c>
      <c r="S46" s="315">
        <v>13.81</v>
      </c>
      <c r="T46" s="316">
        <f>(S46-Q46)/Q46*100</f>
        <v>-52.181440443213297</v>
      </c>
      <c r="U46" s="314">
        <f>(S46-R46)/R46*100</f>
        <v>500.17905414214806</v>
      </c>
    </row>
    <row r="47" spans="1:24" ht="15.4" x14ac:dyDescent="0.4">
      <c r="A47" s="2387"/>
      <c r="B47" s="2069" t="s">
        <v>15</v>
      </c>
      <c r="C47" s="320" t="s">
        <v>166</v>
      </c>
      <c r="D47" s="2067">
        <v>43.23</v>
      </c>
      <c r="E47" s="2154">
        <f>'target FY 22-23'!L76</f>
        <v>4.01</v>
      </c>
      <c r="F47" s="315">
        <v>0.141848</v>
      </c>
      <c r="G47" s="315">
        <f>'actual fig'!M28/1000000</f>
        <v>1.674131</v>
      </c>
      <c r="H47" s="2027">
        <f>L47</f>
        <v>-32.655935162094764</v>
      </c>
      <c r="I47" s="314">
        <f>(G47-F47)/F47*100</f>
        <v>1080.2288365010434</v>
      </c>
      <c r="J47" s="84">
        <v>31105</v>
      </c>
      <c r="K47" s="323">
        <f>G47+G48</f>
        <v>2.7004969999999999</v>
      </c>
      <c r="L47" s="1151">
        <f>(K47-E47)/E47*100</f>
        <v>-32.655935162094764</v>
      </c>
      <c r="M47" s="2388"/>
      <c r="N47" s="2069" t="s">
        <v>15</v>
      </c>
      <c r="O47" s="320" t="s">
        <v>166</v>
      </c>
      <c r="P47" s="2067">
        <v>43.23</v>
      </c>
      <c r="Q47" s="2154">
        <v>33.779999999999994</v>
      </c>
      <c r="R47" s="315">
        <f>F47+'NOV -22'!R47</f>
        <v>0.57867899999999994</v>
      </c>
      <c r="S47" s="315">
        <v>10.73</v>
      </c>
      <c r="T47" s="2027">
        <f>X47</f>
        <v>-39.577483718176424</v>
      </c>
      <c r="U47" s="314">
        <f>(S47-R47)/R47*100</f>
        <v>1754.2231530779588</v>
      </c>
      <c r="W47" s="12">
        <f>S47+S48</f>
        <v>20.410726</v>
      </c>
      <c r="X47" s="172">
        <f>(W47-Q47)/Q47*100</f>
        <v>-39.577483718176424</v>
      </c>
    </row>
    <row r="48" spans="1:24" ht="16.5" x14ac:dyDescent="0.55000000000000004">
      <c r="A48" s="2387"/>
      <c r="B48" s="2070"/>
      <c r="C48" s="320" t="s">
        <v>228</v>
      </c>
      <c r="D48" s="2068"/>
      <c r="E48" s="2155"/>
      <c r="F48" s="315">
        <v>1.1995690000000001</v>
      </c>
      <c r="G48" s="315">
        <f>'actual fig'!N28/1000000</f>
        <v>1.0263659999999999</v>
      </c>
      <c r="H48" s="2029"/>
      <c r="I48" s="314">
        <f>(G48-F48)/F48*100</f>
        <v>-14.4387692579585</v>
      </c>
      <c r="J48" s="755">
        <v>205039</v>
      </c>
      <c r="K48" s="755"/>
      <c r="M48" s="2388"/>
      <c r="N48" s="2070"/>
      <c r="O48" s="320" t="s">
        <v>228</v>
      </c>
      <c r="P48" s="2068"/>
      <c r="Q48" s="2155"/>
      <c r="R48" s="315">
        <f>F48+'NOV -22'!R48</f>
        <v>7.4423480000000009</v>
      </c>
      <c r="S48" s="315">
        <f>G48+'NOV -22'!S48</f>
        <v>9.6807259999999999</v>
      </c>
      <c r="T48" s="2029"/>
      <c r="U48" s="314">
        <f>(S48-R48)/R48*100</f>
        <v>30.076234005719684</v>
      </c>
    </row>
    <row r="49" spans="1:33" ht="15.75" customHeight="1" x14ac:dyDescent="0.35">
      <c r="A49" s="2387">
        <v>6</v>
      </c>
      <c r="B49" s="2309" t="s">
        <v>780</v>
      </c>
      <c r="C49" s="2310"/>
      <c r="D49" s="2310"/>
      <c r="E49" s="2310"/>
      <c r="F49" s="2310"/>
      <c r="G49" s="2310"/>
      <c r="H49" s="2310"/>
      <c r="I49" s="2311"/>
      <c r="M49" s="2388">
        <v>6</v>
      </c>
      <c r="N49" s="2309" t="s">
        <v>780</v>
      </c>
      <c r="O49" s="2310"/>
      <c r="P49" s="2310"/>
      <c r="Q49" s="2310"/>
      <c r="R49" s="2310"/>
      <c r="S49" s="2310"/>
      <c r="T49" s="2310"/>
      <c r="U49" s="2311"/>
    </row>
    <row r="50" spans="1:33" ht="15.4" x14ac:dyDescent="0.4">
      <c r="A50" s="2387"/>
      <c r="B50" s="2006" t="s">
        <v>36</v>
      </c>
      <c r="C50" s="2007"/>
      <c r="D50" s="2368">
        <v>293</v>
      </c>
      <c r="E50" s="2024" t="s">
        <v>221</v>
      </c>
      <c r="F50" s="313">
        <v>224.46</v>
      </c>
      <c r="G50" s="313">
        <v>203.68</v>
      </c>
      <c r="H50" s="2027">
        <f>(G52-D50)/D50*100</f>
        <v>-18.116040955631394</v>
      </c>
      <c r="I50" s="314">
        <f>(G50-F50)/F50*100</f>
        <v>-9.2577742136683607</v>
      </c>
      <c r="M50" s="2388"/>
      <c r="N50" s="2006" t="s">
        <v>36</v>
      </c>
      <c r="O50" s="2007"/>
      <c r="P50" s="2368">
        <v>293</v>
      </c>
      <c r="Q50" s="2024"/>
      <c r="R50" s="313">
        <v>224.46</v>
      </c>
      <c r="S50" s="313">
        <v>203.68</v>
      </c>
      <c r="T50" s="2027">
        <f>(S52-P50)/P50*100</f>
        <v>-18.116040955631394</v>
      </c>
      <c r="U50" s="314">
        <f>(S50-R50)/R50*100</f>
        <v>-9.2577742136683607</v>
      </c>
    </row>
    <row r="51" spans="1:33" ht="15.4" x14ac:dyDescent="0.4">
      <c r="A51" s="2387"/>
      <c r="B51" s="2006" t="s">
        <v>37</v>
      </c>
      <c r="C51" s="2007"/>
      <c r="D51" s="2369"/>
      <c r="E51" s="2025"/>
      <c r="F51" s="313">
        <v>71.47</v>
      </c>
      <c r="G51" s="313">
        <v>36.24</v>
      </c>
      <c r="H51" s="2028"/>
      <c r="I51" s="314">
        <f>(G51-F51)/F51*100</f>
        <v>-49.293409822303062</v>
      </c>
      <c r="M51" s="2388"/>
      <c r="N51" s="2006" t="s">
        <v>37</v>
      </c>
      <c r="O51" s="2007"/>
      <c r="P51" s="2369"/>
      <c r="Q51" s="2025"/>
      <c r="R51" s="313">
        <v>71.47</v>
      </c>
      <c r="S51" s="313">
        <v>36.24</v>
      </c>
      <c r="T51" s="2028"/>
      <c r="U51" s="314">
        <f>(S51-R51)/R51*100</f>
        <v>-49.293409822303062</v>
      </c>
    </row>
    <row r="52" spans="1:33" ht="15.4" x14ac:dyDescent="0.4">
      <c r="A52" s="2387"/>
      <c r="B52" s="2006" t="s">
        <v>38</v>
      </c>
      <c r="C52" s="2007"/>
      <c r="D52" s="2245"/>
      <c r="E52" s="2026"/>
      <c r="F52" s="313">
        <f>SUM(F50:F51)</f>
        <v>295.93</v>
      </c>
      <c r="G52" s="313">
        <f>SUM(G50:G51)</f>
        <v>239.92000000000002</v>
      </c>
      <c r="H52" s="2029"/>
      <c r="I52" s="314">
        <f>(G52-F52)/F52*100</f>
        <v>-18.926773223397422</v>
      </c>
      <c r="M52" s="2388"/>
      <c r="N52" s="2006" t="s">
        <v>38</v>
      </c>
      <c r="O52" s="2007"/>
      <c r="P52" s="2245"/>
      <c r="Q52" s="2026"/>
      <c r="R52" s="313">
        <f>SUM(R50:R51)</f>
        <v>295.93</v>
      </c>
      <c r="S52" s="313">
        <f>SUM(S50:S51)</f>
        <v>239.92000000000002</v>
      </c>
      <c r="T52" s="2029"/>
      <c r="U52" s="314">
        <f>(S52-R52)/R52*100</f>
        <v>-18.926773223397422</v>
      </c>
    </row>
    <row r="53" spans="1:33" x14ac:dyDescent="0.4">
      <c r="H53" s="41"/>
      <c r="I53" s="41"/>
    </row>
    <row r="54" spans="1:33" ht="15.4" x14ac:dyDescent="0.4">
      <c r="E54" s="12"/>
      <c r="F54" s="12"/>
      <c r="G54" s="12"/>
      <c r="H54" s="314"/>
      <c r="I54" s="314"/>
      <c r="J54" s="314"/>
      <c r="Q54" s="12"/>
      <c r="R54" s="12"/>
      <c r="S54" s="12"/>
      <c r="T54" s="314"/>
      <c r="U54" s="314"/>
    </row>
    <row r="55" spans="1:33" x14ac:dyDescent="0.4">
      <c r="H55" s="35"/>
      <c r="I55" s="5"/>
      <c r="J55" s="35"/>
      <c r="K55" s="5"/>
      <c r="L55" s="35"/>
      <c r="P55" s="12"/>
      <c r="Q55" s="12"/>
      <c r="R55" s="12"/>
    </row>
    <row r="57" spans="1:33" x14ac:dyDescent="0.4">
      <c r="D57" s="85"/>
      <c r="E57" s="1192">
        <v>44916</v>
      </c>
      <c r="F57" s="1192">
        <v>44917</v>
      </c>
      <c r="H57" s="1192">
        <v>44886</v>
      </c>
      <c r="I57" s="1192">
        <v>44917</v>
      </c>
    </row>
    <row r="58" spans="1:33" ht="15.75" x14ac:dyDescent="0.4">
      <c r="D58" s="1195" t="s">
        <v>766</v>
      </c>
      <c r="E58" s="33"/>
      <c r="F58" s="33"/>
      <c r="H58" s="1244"/>
      <c r="I58" s="1245"/>
    </row>
    <row r="59" spans="1:33" ht="16.149999999999999" x14ac:dyDescent="0.55000000000000004">
      <c r="D59" s="85" t="s">
        <v>94</v>
      </c>
      <c r="E59" s="1193">
        <f>V73/10000000</f>
        <v>0.1827828</v>
      </c>
      <c r="F59" s="1193">
        <f>W73/10000000</f>
        <v>0.63759909999999997</v>
      </c>
      <c r="H59" s="1246">
        <v>2796970</v>
      </c>
      <c r="I59" s="1246"/>
      <c r="J59" s="1215"/>
      <c r="K59" s="1215"/>
      <c r="U59" s="5" t="s">
        <v>777</v>
      </c>
      <c r="AB59" s="5" t="s">
        <v>156</v>
      </c>
    </row>
    <row r="60" spans="1:33" ht="16.149999999999999" x14ac:dyDescent="0.55000000000000004">
      <c r="D60" s="85" t="s">
        <v>502</v>
      </c>
      <c r="E60" s="1193">
        <f>Y73/10000000</f>
        <v>0.18808849999999999</v>
      </c>
      <c r="F60" s="1193">
        <f>Z73/10000000</f>
        <v>8.9055651000000005</v>
      </c>
      <c r="H60" s="1246">
        <v>3103255</v>
      </c>
      <c r="I60" s="1246"/>
      <c r="J60" s="1215"/>
      <c r="K60" s="1215"/>
      <c r="L60" s="1217"/>
      <c r="U60" s="5" t="s">
        <v>152</v>
      </c>
      <c r="V60" s="632">
        <v>44531</v>
      </c>
      <c r="W60" s="632">
        <v>44896</v>
      </c>
      <c r="X60" s="5" t="s">
        <v>755</v>
      </c>
      <c r="Y60" s="632">
        <v>44531</v>
      </c>
      <c r="Z60" s="632">
        <v>44896</v>
      </c>
      <c r="AB60" s="5" t="s">
        <v>152</v>
      </c>
      <c r="AC60" s="632">
        <v>44531</v>
      </c>
      <c r="AD60" s="632">
        <v>44896</v>
      </c>
      <c r="AE60" s="5" t="s">
        <v>755</v>
      </c>
      <c r="AF60" s="632">
        <v>44531</v>
      </c>
      <c r="AG60" s="632">
        <v>44896</v>
      </c>
    </row>
    <row r="61" spans="1:33" ht="16.899999999999999" thickBot="1" x14ac:dyDescent="0.6">
      <c r="D61" s="85" t="s">
        <v>767</v>
      </c>
      <c r="E61" s="1193">
        <f>H61/10000000</f>
        <v>48.832718900000003</v>
      </c>
      <c r="F61" s="1193">
        <f>I61/10000000</f>
        <v>0</v>
      </c>
      <c r="H61" s="828">
        <v>488327189</v>
      </c>
      <c r="I61" s="828"/>
      <c r="J61" s="1215"/>
      <c r="K61" s="910"/>
      <c r="L61" s="1217"/>
      <c r="T61" s="331"/>
      <c r="U61" s="1239">
        <v>44896</v>
      </c>
      <c r="V61" s="5">
        <v>128675</v>
      </c>
      <c r="W61" s="5">
        <v>428430</v>
      </c>
      <c r="Y61" s="5">
        <v>100235</v>
      </c>
      <c r="Z61" s="5">
        <v>4551999</v>
      </c>
      <c r="AB61" s="1239">
        <v>44896</v>
      </c>
      <c r="AC61" s="5">
        <v>30283</v>
      </c>
      <c r="AD61" s="5">
        <v>81866</v>
      </c>
      <c r="AE61" s="172"/>
      <c r="AF61" s="5">
        <v>7041</v>
      </c>
      <c r="AG61" s="5">
        <v>59022</v>
      </c>
    </row>
    <row r="62" spans="1:33" ht="15.4" x14ac:dyDescent="0.4">
      <c r="E62" s="428"/>
      <c r="F62" s="428"/>
      <c r="K62" s="212"/>
      <c r="L62" s="1217"/>
      <c r="T62" s="331"/>
      <c r="U62" s="1239">
        <v>44897</v>
      </c>
      <c r="V62" s="5">
        <v>79905</v>
      </c>
      <c r="W62" s="5">
        <v>349099</v>
      </c>
      <c r="Y62" s="5">
        <v>91185</v>
      </c>
      <c r="Z62" s="5">
        <v>4634970</v>
      </c>
      <c r="AB62" s="1239">
        <v>44897</v>
      </c>
      <c r="AC62" s="5">
        <v>19603</v>
      </c>
      <c r="AD62" s="5">
        <v>62591</v>
      </c>
      <c r="AE62" s="172"/>
      <c r="AF62" s="5">
        <v>5963</v>
      </c>
      <c r="AG62" s="5">
        <v>55942</v>
      </c>
    </row>
    <row r="63" spans="1:33" ht="15.4" x14ac:dyDescent="0.4">
      <c r="E63" s="428"/>
      <c r="F63" s="428"/>
      <c r="K63" s="212"/>
      <c r="L63" s="1217"/>
      <c r="T63" s="331"/>
      <c r="U63" s="1239">
        <v>44898</v>
      </c>
      <c r="V63" s="5">
        <v>70396</v>
      </c>
      <c r="W63" s="5">
        <v>336090</v>
      </c>
      <c r="Y63" s="5">
        <v>88905</v>
      </c>
      <c r="Z63" s="5">
        <v>4998494</v>
      </c>
      <c r="AB63" s="1239">
        <v>44898</v>
      </c>
      <c r="AC63" s="5">
        <v>14623</v>
      </c>
      <c r="AD63" s="5">
        <v>52022</v>
      </c>
      <c r="AE63" s="172"/>
      <c r="AF63" s="5">
        <v>4520</v>
      </c>
      <c r="AG63" s="5">
        <v>56832</v>
      </c>
    </row>
    <row r="64" spans="1:33" ht="16.149999999999999" x14ac:dyDescent="0.55000000000000004">
      <c r="D64" s="1195" t="s">
        <v>768</v>
      </c>
      <c r="E64" s="1193"/>
      <c r="F64" s="1193"/>
      <c r="J64" s="755"/>
      <c r="K64" s="259"/>
      <c r="L64" s="1217"/>
      <c r="U64" s="1239">
        <v>44899</v>
      </c>
      <c r="V64" s="5">
        <v>56658</v>
      </c>
      <c r="W64" s="5">
        <v>379860</v>
      </c>
      <c r="Y64" s="5">
        <v>74700</v>
      </c>
      <c r="Z64" s="5">
        <v>5379267</v>
      </c>
      <c r="AB64" s="1239">
        <v>44899</v>
      </c>
      <c r="AC64" s="5">
        <v>10751</v>
      </c>
      <c r="AD64" s="5">
        <v>49666</v>
      </c>
      <c r="AE64" s="172"/>
      <c r="AF64" s="5">
        <v>3423</v>
      </c>
      <c r="AG64" s="5">
        <v>55032</v>
      </c>
    </row>
    <row r="65" spans="3:33" ht="16.149999999999999" x14ac:dyDescent="0.55000000000000004">
      <c r="D65" s="85" t="s">
        <v>94</v>
      </c>
      <c r="E65" s="1193">
        <f t="shared" ref="E65:F67" si="4">H65/1000000</f>
        <v>0.58939699999999995</v>
      </c>
      <c r="F65" s="1193">
        <f t="shared" si="4"/>
        <v>1.460051</v>
      </c>
      <c r="H65" s="1243">
        <v>589397</v>
      </c>
      <c r="I65" s="1243">
        <v>1460051</v>
      </c>
      <c r="J65" s="212"/>
      <c r="K65" s="1215"/>
      <c r="L65" s="1217"/>
      <c r="U65" s="1239">
        <v>44900</v>
      </c>
      <c r="AB65" s="1239">
        <v>44900</v>
      </c>
      <c r="AE65" s="172"/>
    </row>
    <row r="66" spans="3:33" ht="16.149999999999999" x14ac:dyDescent="0.55000000000000004">
      <c r="D66" s="85" t="s">
        <v>502</v>
      </c>
      <c r="E66" s="1193">
        <f t="shared" si="4"/>
        <v>0.141848</v>
      </c>
      <c r="F66" s="1193">
        <f t="shared" si="4"/>
        <v>1.3797159999999999</v>
      </c>
      <c r="H66" s="1243">
        <v>141848</v>
      </c>
      <c r="I66" s="1243">
        <v>1379716</v>
      </c>
      <c r="K66" s="1215"/>
      <c r="L66" s="1217"/>
      <c r="U66" s="1239">
        <v>44901</v>
      </c>
      <c r="AB66" s="1239">
        <v>44901</v>
      </c>
      <c r="AE66" s="172"/>
    </row>
    <row r="67" spans="3:33" ht="16.5" thickBot="1" x14ac:dyDescent="0.6">
      <c r="D67" s="85" t="s">
        <v>767</v>
      </c>
      <c r="E67" s="1193">
        <f t="shared" si="4"/>
        <v>0.99165800000000004</v>
      </c>
      <c r="F67" s="1193">
        <f t="shared" si="4"/>
        <v>0.82846200000000003</v>
      </c>
      <c r="H67" s="1255">
        <v>991658</v>
      </c>
      <c r="I67" s="828">
        <v>828462</v>
      </c>
      <c r="J67" s="1215"/>
      <c r="K67" s="910"/>
      <c r="L67" s="1217"/>
      <c r="U67" s="1239">
        <v>44902</v>
      </c>
      <c r="AB67" s="1239">
        <v>44902</v>
      </c>
      <c r="AE67" s="172"/>
    </row>
    <row r="68" spans="3:33" x14ac:dyDescent="0.4">
      <c r="E68" s="428"/>
      <c r="F68" s="323"/>
      <c r="H68" s="1224"/>
      <c r="I68" s="1225"/>
      <c r="K68" s="212"/>
      <c r="L68" s="1217"/>
      <c r="U68" s="1239">
        <v>44903</v>
      </c>
      <c r="AB68" s="1239">
        <v>44903</v>
      </c>
      <c r="AE68" s="172"/>
    </row>
    <row r="69" spans="3:33" x14ac:dyDescent="0.4">
      <c r="E69" s="428"/>
      <c r="F69" s="323"/>
      <c r="H69" s="1224"/>
      <c r="I69" s="1225"/>
      <c r="K69" s="212"/>
      <c r="L69" s="1217"/>
      <c r="U69" s="1239"/>
      <c r="AB69" s="1239"/>
      <c r="AE69" s="172"/>
    </row>
    <row r="70" spans="3:33" x14ac:dyDescent="0.4">
      <c r="D70" s="1195" t="s">
        <v>436</v>
      </c>
      <c r="E70" s="134">
        <f>H70/10000000</f>
        <v>1.1150599999999999</v>
      </c>
      <c r="F70" s="134">
        <f>I70/10000000</f>
        <v>1.2390772000000001</v>
      </c>
      <c r="H70" s="1240">
        <v>11150600</v>
      </c>
      <c r="I70" s="1251">
        <v>12390772</v>
      </c>
      <c r="J70" s="212"/>
      <c r="K70" s="212"/>
      <c r="L70" s="1217"/>
      <c r="U70" s="1239"/>
      <c r="AB70" s="1239"/>
    </row>
    <row r="71" spans="3:33" x14ac:dyDescent="0.4">
      <c r="C71" s="5">
        <f>66.07-3.11</f>
        <v>62.959999999999994</v>
      </c>
      <c r="D71" s="1195" t="s">
        <v>769</v>
      </c>
      <c r="E71" s="134">
        <f>H71</f>
        <v>2.1529000000000003</v>
      </c>
      <c r="F71" s="134">
        <f>I71</f>
        <v>1.6353</v>
      </c>
      <c r="H71" s="1241">
        <f>J71/100</f>
        <v>2.1529000000000003</v>
      </c>
      <c r="I71" s="1241">
        <f>K71/100</f>
        <v>1.6353</v>
      </c>
      <c r="J71" s="84">
        <f>221.8-6.51</f>
        <v>215.29000000000002</v>
      </c>
      <c r="K71" s="323">
        <f>169.49-5.96</f>
        <v>163.53</v>
      </c>
      <c r="L71" s="1217"/>
      <c r="U71" s="1239"/>
      <c r="V71" s="5">
        <v>915503</v>
      </c>
      <c r="W71" s="5">
        <v>3643512</v>
      </c>
      <c r="Y71" s="5">
        <v>938530</v>
      </c>
      <c r="Z71" s="5">
        <v>46308964</v>
      </c>
      <c r="AB71" s="1239"/>
      <c r="AC71" s="5">
        <v>207523</v>
      </c>
      <c r="AD71" s="5">
        <v>630644</v>
      </c>
      <c r="AF71" s="5">
        <v>51131</v>
      </c>
      <c r="AG71" s="5">
        <v>553192</v>
      </c>
    </row>
    <row r="72" spans="3:33" x14ac:dyDescent="0.4">
      <c r="D72" s="1195" t="s">
        <v>125</v>
      </c>
      <c r="E72" s="134">
        <f>H72</f>
        <v>6.5099999999999991E-2</v>
      </c>
      <c r="F72" s="134">
        <f>I72</f>
        <v>5.96E-2</v>
      </c>
      <c r="H72" s="1241">
        <f>J72/100</f>
        <v>6.5099999999999991E-2</v>
      </c>
      <c r="I72" s="1241">
        <f>K72/100</f>
        <v>5.96E-2</v>
      </c>
      <c r="J72" s="1128">
        <v>6.51</v>
      </c>
      <c r="K72" s="1128">
        <v>5.96</v>
      </c>
      <c r="L72" s="1217"/>
      <c r="U72" s="1239"/>
      <c r="V72" s="5">
        <v>912325</v>
      </c>
      <c r="W72" s="5">
        <v>2732479</v>
      </c>
      <c r="Y72" s="5">
        <v>942355</v>
      </c>
      <c r="Z72" s="5">
        <v>42746687</v>
      </c>
      <c r="AB72" s="1239"/>
      <c r="AC72" s="5">
        <v>191876</v>
      </c>
      <c r="AD72" s="5">
        <v>452728</v>
      </c>
      <c r="AF72" s="5">
        <v>43255</v>
      </c>
      <c r="AG72" s="5">
        <v>460794</v>
      </c>
    </row>
    <row r="73" spans="3:33" x14ac:dyDescent="0.4">
      <c r="D73" s="1195" t="s">
        <v>196</v>
      </c>
      <c r="E73" s="134">
        <f t="shared" ref="E73:F75" si="5">H73/10000000</f>
        <v>1.2394000000000001E-2</v>
      </c>
      <c r="F73" s="134">
        <f t="shared" si="5"/>
        <v>0.208429</v>
      </c>
      <c r="H73" s="1246">
        <v>123940</v>
      </c>
      <c r="I73" s="1243">
        <v>2084290</v>
      </c>
      <c r="J73" s="212"/>
      <c r="K73" s="212">
        <f>78880+71970+89180+97180</f>
        <v>337210</v>
      </c>
      <c r="M73" s="1210"/>
      <c r="N73" s="12"/>
      <c r="V73" s="5">
        <f>SUM(V71:V72)</f>
        <v>1827828</v>
      </c>
      <c r="W73" s="5">
        <f t="shared" ref="W73:AG73" si="6">SUM(W71:W72)</f>
        <v>6375991</v>
      </c>
      <c r="X73" s="5">
        <f t="shared" si="6"/>
        <v>0</v>
      </c>
      <c r="Y73" s="5">
        <f t="shared" si="6"/>
        <v>1880885</v>
      </c>
      <c r="Z73" s="5">
        <f t="shared" si="6"/>
        <v>89055651</v>
      </c>
      <c r="AA73" s="5">
        <f t="shared" si="6"/>
        <v>0</v>
      </c>
      <c r="AB73" s="5">
        <f t="shared" si="6"/>
        <v>0</v>
      </c>
      <c r="AC73" s="5">
        <f t="shared" si="6"/>
        <v>399399</v>
      </c>
      <c r="AD73" s="5">
        <f t="shared" si="6"/>
        <v>1083372</v>
      </c>
      <c r="AE73" s="5">
        <f t="shared" si="6"/>
        <v>0</v>
      </c>
      <c r="AF73" s="5">
        <f t="shared" si="6"/>
        <v>94386</v>
      </c>
      <c r="AG73" s="5">
        <f t="shared" si="6"/>
        <v>1013986</v>
      </c>
    </row>
    <row r="74" spans="3:33" x14ac:dyDescent="0.4">
      <c r="D74" s="1195" t="s">
        <v>123</v>
      </c>
      <c r="E74" s="134">
        <f t="shared" si="5"/>
        <v>1.0304667000000001</v>
      </c>
      <c r="F74" s="134">
        <f t="shared" si="5"/>
        <v>0.71604950000000001</v>
      </c>
      <c r="H74" s="1242">
        <f>10180727+123940</f>
        <v>10304667</v>
      </c>
      <c r="I74" s="1243">
        <v>7160495</v>
      </c>
      <c r="K74" s="212"/>
    </row>
    <row r="75" spans="3:33" ht="16.149999999999999" x14ac:dyDescent="0.55000000000000004">
      <c r="D75" s="1195" t="s">
        <v>435</v>
      </c>
      <c r="E75" s="134">
        <f t="shared" si="5"/>
        <v>2.5530115000000002</v>
      </c>
      <c r="F75" s="134">
        <f t="shared" si="5"/>
        <v>3.3375336999999998</v>
      </c>
      <c r="H75" s="828">
        <v>25530115</v>
      </c>
      <c r="I75" s="828">
        <v>33375337</v>
      </c>
      <c r="J75" s="755"/>
      <c r="K75" s="755"/>
      <c r="N75" s="755"/>
    </row>
    <row r="76" spans="3:33" x14ac:dyDescent="0.4">
      <c r="H76" s="1224"/>
      <c r="I76" s="1225"/>
      <c r="K76" s="212"/>
    </row>
    <row r="77" spans="3:33" x14ac:dyDescent="0.4">
      <c r="E77" s="428"/>
      <c r="F77" s="428"/>
    </row>
    <row r="78" spans="3:33" x14ac:dyDescent="0.4">
      <c r="E78" s="428"/>
      <c r="F78" s="428"/>
    </row>
    <row r="79" spans="3:33" x14ac:dyDescent="0.4">
      <c r="E79" s="428"/>
      <c r="F79" s="428"/>
    </row>
    <row r="80" spans="3:33" x14ac:dyDescent="0.4">
      <c r="E80" s="428"/>
      <c r="F80" s="428"/>
      <c r="I80" s="11"/>
    </row>
    <row r="81" spans="5:6" x14ac:dyDescent="0.4">
      <c r="E81" s="428"/>
      <c r="F81" s="428"/>
    </row>
    <row r="82" spans="5:6" x14ac:dyDescent="0.4">
      <c r="E82" s="428"/>
      <c r="F82" s="428"/>
    </row>
  </sheetData>
  <mergeCells count="114">
    <mergeCell ref="Q50:Q52"/>
    <mergeCell ref="T50:T52"/>
    <mergeCell ref="B51:C51"/>
    <mergeCell ref="N51:O51"/>
    <mergeCell ref="B52:C52"/>
    <mergeCell ref="N52:O52"/>
    <mergeCell ref="A49:A52"/>
    <mergeCell ref="B49:I49"/>
    <mergeCell ref="M49:M52"/>
    <mergeCell ref="N49:U49"/>
    <mergeCell ref="B50:C50"/>
    <mergeCell ref="D50:D52"/>
    <mergeCell ref="E50:E52"/>
    <mergeCell ref="H50:H52"/>
    <mergeCell ref="N50:O50"/>
    <mergeCell ref="P50:P52"/>
    <mergeCell ref="E47:E48"/>
    <mergeCell ref="H47:H48"/>
    <mergeCell ref="N47:N48"/>
    <mergeCell ref="P47:P48"/>
    <mergeCell ref="Q47:Q48"/>
    <mergeCell ref="T47:T48"/>
    <mergeCell ref="B44:C44"/>
    <mergeCell ref="N44:O44"/>
    <mergeCell ref="A45:A48"/>
    <mergeCell ref="B45:I45"/>
    <mergeCell ref="M45:M48"/>
    <mergeCell ref="N45:U45"/>
    <mergeCell ref="B46:C46"/>
    <mergeCell ref="N46:O46"/>
    <mergeCell ref="B47:B48"/>
    <mergeCell ref="D47:D48"/>
    <mergeCell ref="A38:A43"/>
    <mergeCell ref="B38:I38"/>
    <mergeCell ref="M38:M43"/>
    <mergeCell ref="N38:U38"/>
    <mergeCell ref="B39:C39"/>
    <mergeCell ref="N39:O39"/>
    <mergeCell ref="B33:C33"/>
    <mergeCell ref="N33:O33"/>
    <mergeCell ref="B34:C34"/>
    <mergeCell ref="N34:O34"/>
    <mergeCell ref="B35:C35"/>
    <mergeCell ref="N35:O35"/>
    <mergeCell ref="B40:C40"/>
    <mergeCell ref="N40:O40"/>
    <mergeCell ref="B42:C42"/>
    <mergeCell ref="N42:O42"/>
    <mergeCell ref="B43:C43"/>
    <mergeCell ref="N43:O43"/>
    <mergeCell ref="B36:C36"/>
    <mergeCell ref="N36:O36"/>
    <mergeCell ref="B37:C37"/>
    <mergeCell ref="N37:O37"/>
    <mergeCell ref="R28:S28"/>
    <mergeCell ref="T28:U28"/>
    <mergeCell ref="A30:A36"/>
    <mergeCell ref="B30:I30"/>
    <mergeCell ref="M30:M36"/>
    <mergeCell ref="N30:U30"/>
    <mergeCell ref="B31:C31"/>
    <mergeCell ref="N31:O31"/>
    <mergeCell ref="B32:C32"/>
    <mergeCell ref="N32:O32"/>
    <mergeCell ref="B28:C29"/>
    <mergeCell ref="D28:E28"/>
    <mergeCell ref="F28:G28"/>
    <mergeCell ref="H28:I28"/>
    <mergeCell ref="N28:O29"/>
    <mergeCell ref="P28:Q28"/>
    <mergeCell ref="A18:A26"/>
    <mergeCell ref="C18:E18"/>
    <mergeCell ref="F18:G18"/>
    <mergeCell ref="M18:M26"/>
    <mergeCell ref="O18:Q18"/>
    <mergeCell ref="R18:U18"/>
    <mergeCell ref="E16:E17"/>
    <mergeCell ref="H16:H17"/>
    <mergeCell ref="N16:N17"/>
    <mergeCell ref="P16:P17"/>
    <mergeCell ref="Q16:Q17"/>
    <mergeCell ref="T16:T17"/>
    <mergeCell ref="B13:I13"/>
    <mergeCell ref="N13:U13"/>
    <mergeCell ref="A14:A17"/>
    <mergeCell ref="B14:I14"/>
    <mergeCell ref="M14:M17"/>
    <mergeCell ref="N14:U14"/>
    <mergeCell ref="B15:C15"/>
    <mergeCell ref="N15:O15"/>
    <mergeCell ref="B16:B17"/>
    <mergeCell ref="D16:D17"/>
    <mergeCell ref="P3:Q3"/>
    <mergeCell ref="R3:S3"/>
    <mergeCell ref="T3:U3"/>
    <mergeCell ref="D5:E5"/>
    <mergeCell ref="P5:Q5"/>
    <mergeCell ref="A11:I11"/>
    <mergeCell ref="M11:U11"/>
    <mergeCell ref="A1:I1"/>
    <mergeCell ref="M1:U1"/>
    <mergeCell ref="A2:I2"/>
    <mergeCell ref="M2:U2"/>
    <mergeCell ref="A3:A5"/>
    <mergeCell ref="D3:E3"/>
    <mergeCell ref="F3:G3"/>
    <mergeCell ref="H3:I3"/>
    <mergeCell ref="M3:M5"/>
    <mergeCell ref="T4:T5"/>
    <mergeCell ref="U4:U5"/>
    <mergeCell ref="H4:H5"/>
    <mergeCell ref="I4:I5"/>
    <mergeCell ref="N3:N5"/>
    <mergeCell ref="B3:B5"/>
  </mergeCells>
  <pageMargins left="0.2" right="0.2" top="0.38" bottom="0.47" header="0.3" footer="0.3"/>
  <pageSetup paperSize="9" scale="25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27350-2627-4412-AF95-99635A872ACB}">
  <sheetPr>
    <tabColor rgb="FF7030A0"/>
    <pageSetUpPr fitToPage="1"/>
  </sheetPr>
  <dimension ref="A1:BE153"/>
  <sheetViews>
    <sheetView topLeftCell="N18" zoomScale="90" zoomScaleNormal="90" workbookViewId="0">
      <selection activeCell="AZ41" sqref="AZ41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0.86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0" width="10.265625" style="5" customWidth="1"/>
    <col min="21" max="21" width="10.59765625" style="5" customWidth="1"/>
    <col min="22" max="22" width="9.1328125" style="5"/>
    <col min="23" max="23" width="12.3984375" style="5" customWidth="1"/>
    <col min="24" max="24" width="13.3984375" style="172" customWidth="1"/>
    <col min="25" max="25" width="11.265625" style="5" hidden="1" customWidth="1"/>
    <col min="26" max="26" width="10.265625" style="5" hidden="1" customWidth="1"/>
    <col min="27" max="27" width="10.59765625" style="5" hidden="1" customWidth="1"/>
    <col min="28" max="28" width="9.1328125" style="5" hidden="1" customWidth="1"/>
    <col min="29" max="29" width="37.3984375" style="5" hidden="1" customWidth="1"/>
    <col min="30" max="30" width="16.59765625" style="5" hidden="1" customWidth="1"/>
    <col min="31" max="31" width="16.86328125" style="5" hidden="1" customWidth="1"/>
    <col min="32" max="32" width="17.59765625" style="5" hidden="1" customWidth="1"/>
    <col min="33" max="33" width="16.3984375" style="5" hidden="1" customWidth="1"/>
    <col min="34" max="34" width="15.1328125" style="5" hidden="1" customWidth="1"/>
    <col min="35" max="35" width="9.1328125" style="5" hidden="1" customWidth="1"/>
    <col min="36" max="36" width="8.265625" style="5" hidden="1" customWidth="1"/>
    <col min="37" max="37" width="32" style="5" hidden="1" customWidth="1"/>
    <col min="38" max="38" width="14.86328125" style="5" hidden="1" customWidth="1"/>
    <col min="39" max="39" width="17.86328125" style="5" hidden="1" customWidth="1"/>
    <col min="40" max="40" width="15.3984375" style="5" hidden="1" customWidth="1"/>
    <col min="41" max="41" width="14.59765625" style="5" hidden="1" customWidth="1"/>
    <col min="42" max="42" width="9.1328125" style="5" hidden="1" customWidth="1"/>
    <col min="43" max="45" width="0" style="5" hidden="1" customWidth="1"/>
    <col min="46" max="46" width="4.59765625" style="5" bestFit="1" customWidth="1"/>
    <col min="47" max="47" width="40.59765625" style="5" bestFit="1" customWidth="1"/>
    <col min="48" max="50" width="11.3984375" style="5" bestFit="1" customWidth="1"/>
    <col min="51" max="51" width="13.1328125" style="5" bestFit="1" customWidth="1"/>
    <col min="52" max="52" width="10.73046875" style="5" bestFit="1" customWidth="1"/>
    <col min="53" max="53" width="13.59765625" style="5" bestFit="1" customWidth="1"/>
    <col min="54" max="54" width="13.3984375" style="5" bestFit="1" customWidth="1"/>
    <col min="55" max="16384" width="9.1328125" style="5"/>
  </cols>
  <sheetData>
    <row r="1" spans="1:57" ht="21.75" customHeight="1" x14ac:dyDescent="0.35">
      <c r="A1" s="2156" t="s">
        <v>1039</v>
      </c>
      <c r="B1" s="2156"/>
      <c r="C1" s="2156"/>
      <c r="D1" s="2156"/>
      <c r="E1" s="2156"/>
      <c r="F1" s="2156"/>
      <c r="G1" s="2156"/>
      <c r="H1" s="2156"/>
      <c r="I1" s="2156"/>
      <c r="M1" s="2345" t="s">
        <v>1038</v>
      </c>
      <c r="N1" s="2345"/>
      <c r="O1" s="2345"/>
      <c r="P1" s="2345"/>
      <c r="Q1" s="2345"/>
      <c r="R1" s="2345"/>
      <c r="S1" s="2345"/>
      <c r="T1" s="2345"/>
      <c r="U1" s="2345"/>
      <c r="AT1" s="2345" t="s">
        <v>1038</v>
      </c>
      <c r="AU1" s="2345"/>
      <c r="AV1" s="2345"/>
      <c r="AW1" s="2345"/>
      <c r="AX1" s="2345"/>
      <c r="AY1" s="2345"/>
      <c r="AZ1" s="2345"/>
      <c r="BA1" s="2345"/>
      <c r="BB1" s="2345"/>
    </row>
    <row r="2" spans="1:57" s="301" customFormat="1" ht="20.25" customHeight="1" thickBot="1" x14ac:dyDescent="0.4">
      <c r="A2" s="2346" t="s">
        <v>986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1019</v>
      </c>
      <c r="N2" s="2093"/>
      <c r="O2" s="2093"/>
      <c r="P2" s="2093"/>
      <c r="Q2" s="2093"/>
      <c r="R2" s="2093"/>
      <c r="S2" s="2093"/>
      <c r="T2" s="2093"/>
      <c r="U2" s="2094"/>
      <c r="X2" s="1149"/>
      <c r="AC2" s="2326" t="s">
        <v>781</v>
      </c>
      <c r="AD2" s="2326"/>
      <c r="AE2" s="2326"/>
      <c r="AF2" s="2326"/>
      <c r="AG2" s="2326"/>
      <c r="AH2" s="2326"/>
      <c r="AJ2" s="2092" t="s">
        <v>1011</v>
      </c>
      <c r="AK2" s="2093"/>
      <c r="AL2" s="2093"/>
      <c r="AM2" s="2093"/>
      <c r="AN2" s="2093"/>
      <c r="AO2" s="2093"/>
      <c r="AT2" s="2092" t="s">
        <v>1019</v>
      </c>
      <c r="AU2" s="2093"/>
      <c r="AV2" s="2093"/>
      <c r="AW2" s="2093"/>
      <c r="AX2" s="2093"/>
      <c r="AY2" s="2093"/>
      <c r="AZ2" s="2093"/>
      <c r="BA2" s="2093"/>
      <c r="BB2" s="2094"/>
    </row>
    <row r="3" spans="1:57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  <c r="AJ3" s="2358" t="s">
        <v>757</v>
      </c>
      <c r="AK3" s="2342" t="s">
        <v>353</v>
      </c>
      <c r="AL3" s="2107" t="s">
        <v>8</v>
      </c>
      <c r="AM3" s="2108"/>
      <c r="AN3" s="2107" t="s">
        <v>10</v>
      </c>
      <c r="AO3" s="2108"/>
      <c r="AT3" s="2358" t="s">
        <v>757</v>
      </c>
      <c r="AU3" s="2342" t="s">
        <v>353</v>
      </c>
      <c r="AV3" s="1190" t="s">
        <v>10</v>
      </c>
      <c r="AW3" s="2107" t="s">
        <v>8</v>
      </c>
      <c r="AX3" s="2108"/>
      <c r="AY3" s="2107" t="s">
        <v>10</v>
      </c>
      <c r="AZ3" s="2108"/>
      <c r="BA3" s="2109" t="s">
        <v>813</v>
      </c>
      <c r="BB3" s="2110"/>
    </row>
    <row r="4" spans="1:57" s="35" customFormat="1" ht="28.5" customHeight="1" x14ac:dyDescent="0.35">
      <c r="A4" s="2360"/>
      <c r="B4" s="2343"/>
      <c r="C4" s="2333" t="s">
        <v>666</v>
      </c>
      <c r="D4" s="434" t="s">
        <v>879</v>
      </c>
      <c r="E4" s="434" t="str">
        <f>G4</f>
        <v xml:space="preserve"> DEC-23</v>
      </c>
      <c r="F4" s="434" t="s">
        <v>1023</v>
      </c>
      <c r="G4" s="434" t="s">
        <v>1024</v>
      </c>
      <c r="H4" s="1832" t="s">
        <v>12</v>
      </c>
      <c r="I4" s="1832" t="s">
        <v>13</v>
      </c>
      <c r="J4" s="323"/>
      <c r="K4" s="323"/>
      <c r="L4" s="1574"/>
      <c r="M4" s="2358"/>
      <c r="N4" s="2343"/>
      <c r="O4" s="2337" t="s">
        <v>666</v>
      </c>
      <c r="P4" s="1834" t="s">
        <v>9</v>
      </c>
      <c r="Q4" s="1836" t="s">
        <v>1043</v>
      </c>
      <c r="R4" s="1836" t="s">
        <v>1041</v>
      </c>
      <c r="S4" s="1836" t="s">
        <v>1042</v>
      </c>
      <c r="T4" s="2331" t="s">
        <v>12</v>
      </c>
      <c r="U4" s="2331" t="s">
        <v>13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  <c r="AJ4" s="2358"/>
      <c r="AK4" s="2343"/>
      <c r="AL4" s="421" t="s">
        <v>9</v>
      </c>
      <c r="AM4" s="1057" t="s">
        <v>1009</v>
      </c>
      <c r="AN4" s="1057" t="s">
        <v>1010</v>
      </c>
      <c r="AO4" s="1057" t="s">
        <v>1009</v>
      </c>
      <c r="AT4" s="2358"/>
      <c r="AU4" s="2343"/>
      <c r="AV4" s="2337" t="s">
        <v>666</v>
      </c>
      <c r="AW4" s="1834" t="s">
        <v>9</v>
      </c>
      <c r="AX4" s="1836" t="s">
        <v>1043</v>
      </c>
      <c r="AY4" s="1836" t="s">
        <v>1041</v>
      </c>
      <c r="AZ4" s="1836" t="s">
        <v>1042</v>
      </c>
      <c r="BA4" s="2331" t="s">
        <v>12</v>
      </c>
      <c r="BB4" s="2331" t="s">
        <v>13</v>
      </c>
    </row>
    <row r="5" spans="1:57" ht="18.75" hidden="1" customHeight="1" x14ac:dyDescent="0.5">
      <c r="A5" s="2361"/>
      <c r="B5" s="2344"/>
      <c r="C5" s="2334"/>
      <c r="D5" s="434" t="s">
        <v>249</v>
      </c>
      <c r="E5" s="434"/>
      <c r="F5" s="434" t="s">
        <v>249</v>
      </c>
      <c r="G5" s="434" t="s">
        <v>438</v>
      </c>
      <c r="H5" s="434"/>
      <c r="I5" s="434"/>
      <c r="M5" s="2359"/>
      <c r="N5" s="2344"/>
      <c r="O5" s="2338"/>
      <c r="P5" s="2531" t="s">
        <v>249</v>
      </c>
      <c r="Q5" s="2532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  <c r="AJ5" s="2359"/>
      <c r="AK5" s="2344"/>
      <c r="AL5" s="2157" t="s">
        <v>249</v>
      </c>
      <c r="AM5" s="2158"/>
      <c r="AN5" s="602" t="s">
        <v>249</v>
      </c>
      <c r="AO5" s="602" t="s">
        <v>438</v>
      </c>
      <c r="AT5" s="2359"/>
      <c r="AU5" s="2344"/>
      <c r="AV5" s="2338"/>
      <c r="AW5" s="2531" t="s">
        <v>249</v>
      </c>
      <c r="AX5" s="2532"/>
      <c r="AY5" s="602" t="s">
        <v>249</v>
      </c>
      <c r="AZ5" s="602" t="s">
        <v>438</v>
      </c>
      <c r="BA5" s="2332"/>
      <c r="BB5" s="2332"/>
    </row>
    <row r="6" spans="1:57" ht="30" customHeight="1" x14ac:dyDescent="0.35">
      <c r="A6" s="1229">
        <v>1</v>
      </c>
      <c r="B6" s="1191" t="s">
        <v>290</v>
      </c>
      <c r="C6" s="1518">
        <v>1024.2159494</v>
      </c>
      <c r="D6" s="1835">
        <v>1119.72</v>
      </c>
      <c r="E6" s="1842">
        <f>E15+E16</f>
        <v>99.56</v>
      </c>
      <c r="F6" s="434">
        <f>F15+F16+F17</f>
        <v>91.420524</v>
      </c>
      <c r="G6" s="1840">
        <f>G15+G16+G17</f>
        <v>108.005729</v>
      </c>
      <c r="H6" s="1849">
        <f>(G6-E6)/E6*100</f>
        <v>8.4830544395339498</v>
      </c>
      <c r="I6" s="1837">
        <f>(G6-F6)/F6*100</f>
        <v>18.141664775406451</v>
      </c>
      <c r="J6" s="82">
        <f>G6/27</f>
        <v>4.0002121851851848</v>
      </c>
      <c r="K6" s="323">
        <f>J6*30</f>
        <v>120.00636555555555</v>
      </c>
      <c r="L6" s="491">
        <f>K6+'OCT-23'!S6</f>
        <v>811.23118385555551</v>
      </c>
      <c r="M6" s="1203">
        <v>1</v>
      </c>
      <c r="N6" s="1179" t="s">
        <v>290</v>
      </c>
      <c r="O6" s="1185">
        <v>1024.2159494</v>
      </c>
      <c r="P6" s="1835">
        <v>1063.73</v>
      </c>
      <c r="Q6" s="1848">
        <f>Q15+Q16</f>
        <v>781.12</v>
      </c>
      <c r="R6" s="434">
        <f>R15+R16+R17</f>
        <v>748.59046519999993</v>
      </c>
      <c r="S6" s="1840">
        <f>S15+S16+S17</f>
        <v>898.99018699999999</v>
      </c>
      <c r="T6" s="1849">
        <f>(S6-Q6)/Q6*100</f>
        <v>15.089894894510444</v>
      </c>
      <c r="U6" s="1849">
        <f>(S6-R6)/R6*100</f>
        <v>20.091054961515969</v>
      </c>
      <c r="V6" s="12">
        <f>G6+'OCT-23'!S6</f>
        <v>799.2305472999999</v>
      </c>
      <c r="W6" s="11">
        <f>(S6-P6)/P6*100</f>
        <v>-15.486995102140583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  <c r="AJ6" s="1203">
        <v>1</v>
      </c>
      <c r="AK6" s="1179" t="s">
        <v>290</v>
      </c>
      <c r="AL6" s="1425">
        <v>1063.73</v>
      </c>
      <c r="AM6" s="1446">
        <f>'TARGET 23-24'!D18</f>
        <v>681.56</v>
      </c>
      <c r="AN6" s="434">
        <v>657.16742699999998</v>
      </c>
      <c r="AO6" s="434">
        <v>791.00769752222209</v>
      </c>
      <c r="AT6" s="1203">
        <v>1</v>
      </c>
      <c r="AU6" s="1179" t="s">
        <v>290</v>
      </c>
      <c r="AV6" s="1185">
        <v>1024.2159494</v>
      </c>
      <c r="AW6" s="1835">
        <f>'TARGET 23-24'!D88</f>
        <v>1119.72</v>
      </c>
      <c r="AX6" s="1848">
        <f>AX15+AX16</f>
        <v>816.99</v>
      </c>
      <c r="AY6" s="434">
        <f>AY15+AY16+AY17</f>
        <v>748.59046519999993</v>
      </c>
      <c r="AZ6" s="1840">
        <f>AZ15+AZ16+AZ17</f>
        <v>898.99018699999999</v>
      </c>
      <c r="BA6" s="1849">
        <f>(AZ6-AX6)/AX6*100</f>
        <v>10.036865445109484</v>
      </c>
      <c r="BB6" s="1849">
        <f>(AZ6-AY6)/AY6*100</f>
        <v>20.091054961515969</v>
      </c>
    </row>
    <row r="7" spans="1:57" ht="26.25" customHeight="1" x14ac:dyDescent="0.35">
      <c r="A7" s="1230">
        <v>2</v>
      </c>
      <c r="B7" s="1154" t="s">
        <v>291</v>
      </c>
      <c r="C7" s="1518">
        <v>403.10200000000003</v>
      </c>
      <c r="D7" s="1425">
        <v>444.7</v>
      </c>
      <c r="E7" s="1842">
        <f>'TARGET 23-24'!E81</f>
        <v>40.64</v>
      </c>
      <c r="F7" s="434">
        <f>F20+F21+F22+F23+F24+F25+F26</f>
        <v>36.830000000000005</v>
      </c>
      <c r="G7" s="1840">
        <f>G20+G21+G22+G23+G24+G25+G26</f>
        <v>40.694000000000003</v>
      </c>
      <c r="H7" s="1846">
        <f>(G7-E7)/E7*100</f>
        <v>0.13287401574803653</v>
      </c>
      <c r="I7" s="1837">
        <f>(G7-F7)/F7*100</f>
        <v>10.491447189790923</v>
      </c>
      <c r="J7" s="82">
        <f t="shared" ref="J7:J8" si="0">G7/27</f>
        <v>1.5071851851851852</v>
      </c>
      <c r="K7" s="323">
        <f t="shared" ref="K7:K8" si="1">J7*30</f>
        <v>45.215555555555554</v>
      </c>
      <c r="L7" s="491">
        <f>K7+'OCT-23'!S7</f>
        <v>301.67255555555556</v>
      </c>
      <c r="M7" s="1204">
        <v>2</v>
      </c>
      <c r="N7" s="1154" t="s">
        <v>291</v>
      </c>
      <c r="O7" s="1186">
        <v>403.10200000000003</v>
      </c>
      <c r="P7" s="1425">
        <v>485.81999999999994</v>
      </c>
      <c r="Q7" s="1842">
        <f>E7+'NOV-2023'!Q7</f>
        <v>373.58</v>
      </c>
      <c r="R7" s="434">
        <f>R20+R21+R22+R23+R24+R25+R26</f>
        <v>313.13021639999994</v>
      </c>
      <c r="S7" s="1840">
        <f>S20+S21+S22+S23+S24+S25+S26</f>
        <v>328.56099999999998</v>
      </c>
      <c r="T7" s="1846">
        <f>(S7-Q7)/Q7*100</f>
        <v>-12.050698645537771</v>
      </c>
      <c r="U7" s="1849">
        <f>(S7-R7)/R7*100</f>
        <v>4.9279126675812064</v>
      </c>
      <c r="V7" s="12">
        <f>G7+'OCT-23'!S7</f>
        <v>297.15100000000001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  <c r="AJ7" s="1204">
        <v>2</v>
      </c>
      <c r="AK7" s="1154" t="s">
        <v>291</v>
      </c>
      <c r="AL7" s="1425">
        <v>485.81999999999994</v>
      </c>
      <c r="AM7" s="1446">
        <f>'TARGET 23-24'!E18</f>
        <v>332.94</v>
      </c>
      <c r="AN7" s="434">
        <v>276.28809999999999</v>
      </c>
      <c r="AO7" s="434">
        <v>286.65699999999998</v>
      </c>
      <c r="AT7" s="1204">
        <v>2</v>
      </c>
      <c r="AU7" s="1154" t="s">
        <v>291</v>
      </c>
      <c r="AV7" s="1186">
        <v>403.10200000000003</v>
      </c>
      <c r="AW7" s="1425">
        <f>'TARGET 23-24'!E88</f>
        <v>444.7</v>
      </c>
      <c r="AX7" s="1842">
        <f>'TARGET 23-24'!E82</f>
        <v>345.4</v>
      </c>
      <c r="AY7" s="434">
        <f>AY20+AY21+AY22+AY23+AY24+AY25+AY26</f>
        <v>313.13021639999994</v>
      </c>
      <c r="AZ7" s="1840">
        <f>AZ20+AZ21+AZ22+AZ23+AZ24+AZ25+AZ26</f>
        <v>328.56099999999998</v>
      </c>
      <c r="BA7" s="1846">
        <f>(AZ7-AX7)/AX7*100</f>
        <v>-4.8752171395483499</v>
      </c>
      <c r="BB7" s="1849">
        <f>(AZ7-AY7)/AY7*100</f>
        <v>4.9279126675812064</v>
      </c>
    </row>
    <row r="8" spans="1:57" ht="32.25" customHeight="1" x14ac:dyDescent="0.35">
      <c r="A8" s="1231">
        <v>3</v>
      </c>
      <c r="B8" s="1155" t="s">
        <v>292</v>
      </c>
      <c r="C8" s="1518">
        <v>106.68749520000001</v>
      </c>
      <c r="D8" s="1425">
        <v>124.03</v>
      </c>
      <c r="E8" s="1842">
        <f>'TARGET 23-24'!F81</f>
        <v>9.76</v>
      </c>
      <c r="F8" s="1314">
        <f>F31+F32+F33+F35+F36+F37+F38</f>
        <v>9.0796395000000008</v>
      </c>
      <c r="G8" s="1840">
        <f>G31+G34+G35+G36+G37+G38</f>
        <v>9.3030171999999993</v>
      </c>
      <c r="H8" s="1846">
        <f>(G8-E8)/E8*100</f>
        <v>-4.6822008196721363</v>
      </c>
      <c r="I8" s="1837">
        <f>(G8-F8)/F8*100</f>
        <v>2.4602045048154011</v>
      </c>
      <c r="J8" s="82">
        <f t="shared" si="0"/>
        <v>0.34455619259259257</v>
      </c>
      <c r="K8" s="323">
        <f t="shared" si="1"/>
        <v>10.336685777777777</v>
      </c>
      <c r="L8" s="491">
        <f>K8+'OCT-23'!S8</f>
        <v>80.202072633777789</v>
      </c>
      <c r="M8" s="1205">
        <v>3</v>
      </c>
      <c r="N8" s="1155" t="s">
        <v>292</v>
      </c>
      <c r="O8" s="1187">
        <v>106.68749520000001</v>
      </c>
      <c r="P8" s="1425">
        <v>150.59</v>
      </c>
      <c r="Q8" s="1842">
        <f>E8+'NOV-2023'!Q8</f>
        <v>115.45</v>
      </c>
      <c r="R8" s="1314">
        <f>R31+R32+R33+R35+R36+R37+R38</f>
        <v>82.348355899999987</v>
      </c>
      <c r="S8" s="1840">
        <f>S31+S32+S33+S35+S36+S37+S38</f>
        <v>90.391258556000011</v>
      </c>
      <c r="T8" s="1846">
        <f>(S8-Q8)/Q8*100</f>
        <v>-21.705276261585094</v>
      </c>
      <c r="U8" s="1849">
        <f>(S8-R8)/R8*100</f>
        <v>9.7669256029433669</v>
      </c>
      <c r="V8" s="12">
        <f>G8+'OCT-23'!S8</f>
        <v>79.168404056000014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  <c r="AJ8" s="1205">
        <v>3</v>
      </c>
      <c r="AK8" s="1155" t="s">
        <v>292</v>
      </c>
      <c r="AL8" s="1425">
        <v>150.59</v>
      </c>
      <c r="AM8" s="1446">
        <f>'TARGET 23-24'!F18</f>
        <v>105.69</v>
      </c>
      <c r="AN8" s="1314">
        <v>73.268227600000003</v>
      </c>
      <c r="AO8" s="1314">
        <v>80.325848300444463</v>
      </c>
      <c r="AT8" s="1205">
        <v>3</v>
      </c>
      <c r="AU8" s="1155" t="s">
        <v>292</v>
      </c>
      <c r="AV8" s="1187">
        <v>106.68749520000001</v>
      </c>
      <c r="AW8" s="1425">
        <f>'TARGET 23-24'!F88</f>
        <v>124.03</v>
      </c>
      <c r="AX8" s="1842">
        <f>'TARGET 23-24'!F82</f>
        <v>96.83</v>
      </c>
      <c r="AY8" s="1314">
        <f>AY31+AY32+AY33+AY35+AY36+AY37+AY38</f>
        <v>82.348355899999987</v>
      </c>
      <c r="AZ8" s="1840">
        <f>AZ31+AZ32+AZ33+AZ35+AZ36+AZ37+AZ38</f>
        <v>90.391258556000011</v>
      </c>
      <c r="BA8" s="1846">
        <f>(AZ8-AX8)/AX8*100</f>
        <v>-6.6495315955798686</v>
      </c>
      <c r="BB8" s="1849">
        <f>(AZ8-AY8)/AY8*100</f>
        <v>9.7669256029433669</v>
      </c>
    </row>
    <row r="9" spans="1:57" ht="34.5" customHeight="1" x14ac:dyDescent="0.35">
      <c r="A9" s="1230">
        <v>4</v>
      </c>
      <c r="B9" s="1156" t="s">
        <v>293</v>
      </c>
      <c r="C9" s="1518">
        <v>17.701250099999996</v>
      </c>
      <c r="D9" s="1425">
        <v>19.989999999999995</v>
      </c>
      <c r="E9" s="1843">
        <v>1.67</v>
      </c>
      <c r="F9" s="434">
        <f>F40+F41+F42+F44+F45</f>
        <v>1.946761</v>
      </c>
      <c r="G9" s="1840">
        <f>G40+G41+G42+G44+G45</f>
        <v>1.9896362000000001</v>
      </c>
      <c r="H9" s="1849">
        <f>(G9-E9)/E9*100</f>
        <v>19.139892215568871</v>
      </c>
      <c r="I9" s="1837">
        <f>(G9-F9)/F9*100</f>
        <v>2.202386425452334</v>
      </c>
      <c r="K9" s="84">
        <f>K10*31</f>
        <v>225.44381156363636</v>
      </c>
      <c r="M9" s="1204">
        <v>4</v>
      </c>
      <c r="N9" s="1156" t="s">
        <v>293</v>
      </c>
      <c r="O9" s="1185">
        <v>17.701250099999996</v>
      </c>
      <c r="P9" s="1425">
        <f>P40+P41+P42</f>
        <v>19.149999999999999</v>
      </c>
      <c r="Q9" s="1843">
        <f>E9+'NOV-2023'!Q9</f>
        <v>14.44</v>
      </c>
      <c r="R9" s="434">
        <f>R40+R41+R42+R44+R45</f>
        <v>12.4201845</v>
      </c>
      <c r="S9" s="1840">
        <f>S40+S41+S42+S44+S45</f>
        <v>14.328843799999998</v>
      </c>
      <c r="T9" s="1846">
        <f>(S9-Q9)/Q9*100</f>
        <v>-0.76977977839336365</v>
      </c>
      <c r="U9" s="1849">
        <f>(S9-R9)/R9*100</f>
        <v>15.367398930345988</v>
      </c>
      <c r="V9" s="12">
        <f>G9+'OCT-23'!S9</f>
        <v>12.676451800000001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  <c r="AJ9" s="1204">
        <v>4</v>
      </c>
      <c r="AK9" s="1156" t="s">
        <v>293</v>
      </c>
      <c r="AL9" s="1425">
        <v>19.149999999999999</v>
      </c>
      <c r="AM9" s="1425">
        <f>'TARGET 23-24'!O45</f>
        <v>13.326666666666666</v>
      </c>
      <c r="AN9" s="434">
        <v>10.473413500000001</v>
      </c>
      <c r="AO9" s="434">
        <f>AO40+AO41+AO42+AO44+AO45</f>
        <v>0</v>
      </c>
      <c r="AT9" s="1204">
        <v>4</v>
      </c>
      <c r="AU9" s="1156" t="s">
        <v>293</v>
      </c>
      <c r="AV9" s="1185">
        <v>17.701250099999996</v>
      </c>
      <c r="AW9" s="1425">
        <f>'TARGET 23-24'!H88</f>
        <v>19.989999999999995</v>
      </c>
      <c r="AX9" s="1843">
        <f>'TARGET 23-24'!H82</f>
        <v>14.9925</v>
      </c>
      <c r="AY9" s="434">
        <f>AY40+AY41+AY42+AY44+AY45</f>
        <v>12.4201845</v>
      </c>
      <c r="AZ9" s="1840">
        <f>AZ40+AZ41+AZ42+AZ44+AZ45</f>
        <v>14.328843799999998</v>
      </c>
      <c r="BA9" s="1846">
        <f>(AZ9-AX9)/AX9*100</f>
        <v>-4.4265879606470024</v>
      </c>
      <c r="BB9" s="1849">
        <f>(AZ9-AY9)/AY9*100</f>
        <v>15.367398930345988</v>
      </c>
    </row>
    <row r="10" spans="1:57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321">
        <f t="shared" ref="D10" si="2">D6+D7+D8+D9</f>
        <v>1708.44</v>
      </c>
      <c r="E10" s="1844">
        <f>E6+E7+E8+E9</f>
        <v>151.62999999999997</v>
      </c>
      <c r="F10" s="321">
        <f>SUM(F6:F9)</f>
        <v>139.27692450000004</v>
      </c>
      <c r="G10" s="1841">
        <f>SUM(G6:G9)</f>
        <v>159.9923824</v>
      </c>
      <c r="H10" s="1850">
        <f>(G10-E10)/E10*100</f>
        <v>5.5149920200488234</v>
      </c>
      <c r="I10" s="1838">
        <f>(G10-F10)/F10*100</f>
        <v>14.873575055141281</v>
      </c>
      <c r="K10" s="84">
        <f>G10/22</f>
        <v>7.272381018181818</v>
      </c>
      <c r="M10" s="1205">
        <v>5</v>
      </c>
      <c r="N10" s="1157" t="s">
        <v>294</v>
      </c>
      <c r="O10" s="1185">
        <v>1551.7066947000001</v>
      </c>
      <c r="P10" s="321">
        <f t="shared" ref="P10" si="3">P6+P7+P8+P9</f>
        <v>1719.29</v>
      </c>
      <c r="Q10" s="445">
        <f>Q6+Q7+Q8+Q9</f>
        <v>1284.5900000000001</v>
      </c>
      <c r="R10" s="321">
        <f>R6+R7+R8+R9</f>
        <v>1156.4892219999997</v>
      </c>
      <c r="S10" s="1841">
        <f>S6+S7+S8+S9</f>
        <v>1332.2712893559999</v>
      </c>
      <c r="T10" s="1850">
        <f>(S10-Q10)/Q10*100</f>
        <v>3.7117904822550187</v>
      </c>
      <c r="U10" s="1850">
        <f>(S10-R10)/R10*100</f>
        <v>15.199628670296439</v>
      </c>
      <c r="V10" s="12">
        <f>SUM(V6:V9)</f>
        <v>1188.2264031560001</v>
      </c>
      <c r="X10" s="12">
        <f>SUM(X6:X9)</f>
        <v>389.94179218299996</v>
      </c>
      <c r="Y10" s="12">
        <f>SUM(Y6:Y9)</f>
        <v>752.12112639999998</v>
      </c>
      <c r="Z10" s="12">
        <f>S10-Y10</f>
        <v>580.15016295599992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  <c r="AJ10" s="1205">
        <v>5</v>
      </c>
      <c r="AK10" s="1157" t="s">
        <v>294</v>
      </c>
      <c r="AL10" s="321">
        <f t="shared" ref="AL10" si="4">AL6+AL7+AL8+AL9</f>
        <v>1719.29</v>
      </c>
      <c r="AM10" s="321">
        <f>AM6+AM7+AM8+AM9</f>
        <v>1133.5166666666667</v>
      </c>
      <c r="AN10" s="321">
        <f>AN6+AN7+AN8+AN9</f>
        <v>1017.1971681</v>
      </c>
      <c r="AO10" s="321">
        <f>AO6+AO7+AO8+AO9</f>
        <v>1157.9905458226665</v>
      </c>
      <c r="AT10" s="1205">
        <v>5</v>
      </c>
      <c r="AU10" s="1157" t="s">
        <v>294</v>
      </c>
      <c r="AV10" s="1185">
        <v>1551.7066947000001</v>
      </c>
      <c r="AW10" s="321">
        <f t="shared" ref="AW10" si="5">AW6+AW7+AW8+AW9</f>
        <v>1708.44</v>
      </c>
      <c r="AX10" s="445">
        <f>AX6+AX7+AX8+AX9</f>
        <v>1274.2124999999999</v>
      </c>
      <c r="AY10" s="321">
        <f>AY6+AY7+AY8+AY9</f>
        <v>1156.4892219999997</v>
      </c>
      <c r="AZ10" s="1841">
        <f>AZ6+AZ7+AZ8+AZ9</f>
        <v>1332.2712893559999</v>
      </c>
      <c r="BA10" s="1850">
        <f>(AZ10-AX10)/AX10*100</f>
        <v>4.5564448124626029</v>
      </c>
      <c r="BB10" s="1850">
        <f>(AZ10-AY10)/AY10*100</f>
        <v>15.199628670296439</v>
      </c>
    </row>
    <row r="11" spans="1:57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  <c r="AJ11" s="2061"/>
      <c r="AK11" s="2062"/>
      <c r="AL11" s="2062"/>
      <c r="AM11" s="2062"/>
      <c r="AN11" s="2062"/>
      <c r="AO11" s="2062"/>
      <c r="AT11" s="2061"/>
      <c r="AU11" s="2062"/>
      <c r="AV11" s="2062"/>
      <c r="AW11" s="2062"/>
      <c r="AX11" s="2062"/>
      <c r="AY11" s="2062"/>
      <c r="AZ11" s="2062"/>
      <c r="BA11" s="2062"/>
      <c r="BB11" s="2063"/>
    </row>
    <row r="12" spans="1:57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845">
        <f>E47+E48</f>
        <v>5.9399999999999995</v>
      </c>
      <c r="F12" s="1294">
        <f>F47+F48+F49</f>
        <v>4.4721069999999994</v>
      </c>
      <c r="G12" s="1294">
        <f>G47+G48+G49</f>
        <v>4.6761079999999993</v>
      </c>
      <c r="H12" s="1847">
        <f>(G12-E12)/E12*100</f>
        <v>-21.277643097643104</v>
      </c>
      <c r="I12" s="1839">
        <f>(G12-F12)/F12*100</f>
        <v>4.5616305692149117</v>
      </c>
      <c r="L12" s="1476"/>
      <c r="M12" s="1204">
        <v>6.3</v>
      </c>
      <c r="N12" s="1316" t="s">
        <v>814</v>
      </c>
      <c r="O12" s="1185">
        <v>47.027382000000003</v>
      </c>
      <c r="P12" s="332">
        <v>55.06</v>
      </c>
      <c r="Q12" s="1129">
        <f>Q47+Q48</f>
        <v>39.900000000000006</v>
      </c>
      <c r="R12" s="1294">
        <f>R47+R48+R49</f>
        <v>34.361595999999999</v>
      </c>
      <c r="S12" s="1294">
        <f>S47+S48+S49</f>
        <v>41.883353</v>
      </c>
      <c r="T12" s="1852">
        <f>(S12-Q12)/Q12*100</f>
        <v>4.9708095238095078</v>
      </c>
      <c r="U12" s="1851">
        <f>(S12-R12)/R12*100</f>
        <v>21.890010580416583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  <c r="AJ12" s="1204">
        <v>6.3</v>
      </c>
      <c r="AK12" s="1293" t="s">
        <v>778</v>
      </c>
      <c r="AL12" s="332">
        <v>55.06</v>
      </c>
      <c r="AM12" s="307">
        <f>'TARGET 23-24'!D45</f>
        <v>34.68</v>
      </c>
      <c r="AN12" s="1294">
        <v>29.16</v>
      </c>
      <c r="AO12" s="1294">
        <f>AO47+AO48+AO49</f>
        <v>0</v>
      </c>
      <c r="AT12" s="1204">
        <v>6.3</v>
      </c>
      <c r="AU12" s="1316" t="s">
        <v>814</v>
      </c>
      <c r="AV12" s="1185">
        <v>47.027382000000003</v>
      </c>
      <c r="AW12" s="332">
        <v>55.06</v>
      </c>
      <c r="AX12" s="1129">
        <f>AX47+AX48</f>
        <v>39.900000000000006</v>
      </c>
      <c r="AY12" s="1294">
        <f>AY47+AY48+AY49</f>
        <v>34.361595999999999</v>
      </c>
      <c r="AZ12" s="1294">
        <f>AZ47+AZ48+AZ49</f>
        <v>41.883353</v>
      </c>
      <c r="BA12" s="1852">
        <f>(AZ12-AX12)/AX12*100</f>
        <v>4.9708095238095078</v>
      </c>
      <c r="BB12" s="1851">
        <f>(AZ12-AY12)/AY12*100</f>
        <v>21.890010580416583</v>
      </c>
    </row>
    <row r="13" spans="1:57" s="1310" customFormat="1" ht="13.5" customHeight="1" x14ac:dyDescent="0.35">
      <c r="A13" s="1309"/>
      <c r="B13" s="2352" t="s">
        <v>229</v>
      </c>
      <c r="C13" s="2353"/>
      <c r="D13" s="2353"/>
      <c r="E13" s="2353"/>
      <c r="F13" s="2353"/>
      <c r="G13" s="2353"/>
      <c r="H13" s="2353"/>
      <c r="I13" s="2354"/>
      <c r="L13" s="1311"/>
      <c r="M13" s="1309"/>
      <c r="N13" s="2355" t="s">
        <v>229</v>
      </c>
      <c r="O13" s="2356"/>
      <c r="P13" s="2356"/>
      <c r="Q13" s="2356"/>
      <c r="R13" s="2356"/>
      <c r="S13" s="2356"/>
      <c r="T13" s="2356"/>
      <c r="U13" s="2357"/>
      <c r="X13" s="1311"/>
      <c r="AJ13" s="5"/>
      <c r="AK13" s="5"/>
      <c r="AL13" s="5"/>
      <c r="AM13" s="5"/>
      <c r="AN13" s="5"/>
      <c r="AT13" s="1309"/>
      <c r="AU13" s="2355" t="s">
        <v>229</v>
      </c>
      <c r="AV13" s="2356"/>
      <c r="AW13" s="2356"/>
      <c r="AX13" s="2356"/>
      <c r="AY13" s="2356"/>
      <c r="AZ13" s="2356"/>
      <c r="BA13" s="2356"/>
      <c r="BB13" s="2357"/>
    </row>
    <row r="14" spans="1:57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2368">
        <v>1</v>
      </c>
      <c r="N14" s="2021" t="s">
        <v>278</v>
      </c>
      <c r="O14" s="2022"/>
      <c r="P14" s="2022"/>
      <c r="Q14" s="2022"/>
      <c r="R14" s="2022"/>
      <c r="S14" s="2022"/>
      <c r="T14" s="2022"/>
      <c r="U14" s="2023"/>
      <c r="AT14" s="2368">
        <v>1</v>
      </c>
      <c r="AU14" s="2021" t="s">
        <v>278</v>
      </c>
      <c r="AV14" s="2022"/>
      <c r="AW14" s="2022"/>
      <c r="AX14" s="2022"/>
      <c r="AY14" s="2022"/>
      <c r="AZ14" s="2022"/>
      <c r="BA14" s="2022"/>
      <c r="BB14" s="2023"/>
    </row>
    <row r="15" spans="1:57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f>'TARGET 23-24'!B81</f>
        <v>1.22</v>
      </c>
      <c r="F15" s="315">
        <v>1.0631889000000001</v>
      </c>
      <c r="G15" s="315">
        <f>'ACTUAL- 23-24'!E11/10000000</f>
        <v>1.0960202000000001</v>
      </c>
      <c r="H15" s="1859">
        <f>(G15-E15)/E15*100</f>
        <v>-10.162278688524578</v>
      </c>
      <c r="I15" s="1853">
        <f>(G15-F15)/F15*100</f>
        <v>3.0880025177087536</v>
      </c>
      <c r="J15" s="1860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12.6</v>
      </c>
      <c r="Q15" s="307">
        <f>E15+'NOV-2023'!Q15</f>
        <v>9.2900000000000009</v>
      </c>
      <c r="R15" s="315">
        <f>F15+'NOV-2023'!R15</f>
        <v>8.4577744000000017</v>
      </c>
      <c r="S15" s="315">
        <f>G15+'NOV-2023'!S15</f>
        <v>10.435250399999999</v>
      </c>
      <c r="T15" s="1856">
        <f>(S15-Q15)/Q15*100</f>
        <v>12.327776103336904</v>
      </c>
      <c r="U15" s="1853">
        <f>(S15-R15)/R15*100</f>
        <v>23.380571607585054</v>
      </c>
      <c r="V15" s="5">
        <f>S15/153</f>
        <v>6.820425098039215E-2</v>
      </c>
      <c r="Y15" s="12">
        <f>R16+R17</f>
        <v>740.13269079999986</v>
      </c>
      <c r="Z15" s="12">
        <f>S16+S17</f>
        <v>888.55493660000002</v>
      </c>
      <c r="AA15" s="5">
        <f>(Z15-Y15)/Y15*100</f>
        <v>20.053464418599383</v>
      </c>
      <c r="AT15" s="2369"/>
      <c r="AU15" s="378" t="s">
        <v>816</v>
      </c>
      <c r="AV15" s="1282">
        <v>11.460276500000001</v>
      </c>
      <c r="AW15" s="1428">
        <v>12.6</v>
      </c>
      <c r="AX15" s="307">
        <f>'TARGET 23-24'!B82</f>
        <v>9.7100000000000009</v>
      </c>
      <c r="AY15" s="315">
        <f>R15</f>
        <v>8.4577744000000017</v>
      </c>
      <c r="AZ15" s="315">
        <f>S15</f>
        <v>10.435250399999999</v>
      </c>
      <c r="BA15" s="1856">
        <f>(AZ15-AX15)/AX15*100</f>
        <v>7.469108135942311</v>
      </c>
      <c r="BB15" s="1853">
        <f>(AZ15-AY15)/AY15*100</f>
        <v>23.380571607585054</v>
      </c>
      <c r="BC15" s="5">
        <f>AZ15/153</f>
        <v>6.820425098039215E-2</v>
      </c>
    </row>
    <row r="16" spans="1:57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f>'TARGET 23-24'!C81</f>
        <v>98.34</v>
      </c>
      <c r="F16" s="315">
        <v>15.189975199999999</v>
      </c>
      <c r="G16" s="315">
        <f>'ACTUAL- 23-24'!F11/10000000</f>
        <v>16.351091700000001</v>
      </c>
      <c r="H16" s="2529">
        <f>L16</f>
        <v>8.714367297132398</v>
      </c>
      <c r="I16" s="1853">
        <f>(G16-F16)/F16*100</f>
        <v>7.643965738666922</v>
      </c>
      <c r="J16" s="323">
        <f>F16+F17</f>
        <v>90.3573351</v>
      </c>
      <c r="K16" s="323">
        <f>G16+G17</f>
        <v>106.9097088</v>
      </c>
      <c r="L16" s="1476">
        <f>(K16-E16)/E16*100</f>
        <v>8.714367297132398</v>
      </c>
      <c r="M16" s="2369"/>
      <c r="N16" s="1281" t="s">
        <v>817</v>
      </c>
      <c r="O16" s="1282">
        <v>126.72018780000001</v>
      </c>
      <c r="P16" s="2379">
        <v>1051.1300000000001</v>
      </c>
      <c r="Q16" s="2065">
        <f>E16+'NOV-2023'!Q16</f>
        <v>771.83</v>
      </c>
      <c r="R16" s="315">
        <f>F16+'NOV-2023'!R16</f>
        <v>83.715687199999991</v>
      </c>
      <c r="S16" s="315">
        <f>G16+'NOV-2023'!S16</f>
        <v>150.8790118</v>
      </c>
      <c r="T16" s="2529">
        <f>X16</f>
        <v>15.123140665690627</v>
      </c>
      <c r="U16" s="1853">
        <f>(S16-R16)/R16*100</f>
        <v>80.227884219052342</v>
      </c>
      <c r="V16" s="12">
        <f>R16+R17</f>
        <v>740.13269079999986</v>
      </c>
      <c r="W16" s="12">
        <f>S16+S17</f>
        <v>888.55493660000002</v>
      </c>
      <c r="X16" s="1151">
        <f>(W16-Q16)/Q16*100</f>
        <v>15.123140665690627</v>
      </c>
      <c r="AT16" s="2369"/>
      <c r="AU16" s="1281" t="s">
        <v>817</v>
      </c>
      <c r="AV16" s="1282">
        <v>126.72018780000001</v>
      </c>
      <c r="AW16" s="2379">
        <v>1051.1300000000001</v>
      </c>
      <c r="AX16" s="2065">
        <f>'TARGET 23-24'!C82</f>
        <v>807.28</v>
      </c>
      <c r="AY16" s="315">
        <f t="shared" ref="AY16:AY17" si="6">R16</f>
        <v>83.715687199999991</v>
      </c>
      <c r="AZ16" s="315">
        <f t="shared" ref="AZ16:AZ17" si="7">S16</f>
        <v>150.8790118</v>
      </c>
      <c r="BA16" s="2529">
        <f>BE16</f>
        <v>10.067750545040141</v>
      </c>
      <c r="BB16" s="1853">
        <f>(AZ16-AY16)/AY16*100</f>
        <v>80.227884219052342</v>
      </c>
      <c r="BC16" s="12">
        <f>AY16+AY17</f>
        <v>740.13269079999986</v>
      </c>
      <c r="BD16" s="12">
        <f>AZ16+AZ17</f>
        <v>888.55493660000002</v>
      </c>
      <c r="BE16" s="1151">
        <f>(BD16-AX16)/AX16*100</f>
        <v>10.067750545040141</v>
      </c>
    </row>
    <row r="17" spans="1:54" ht="15.75" x14ac:dyDescent="0.45">
      <c r="A17" s="2375"/>
      <c r="B17" s="1606" t="s">
        <v>1018</v>
      </c>
      <c r="C17" s="1519">
        <v>886.03548510000007</v>
      </c>
      <c r="D17" s="2380"/>
      <c r="E17" s="2066"/>
      <c r="F17" s="315">
        <v>75.167359899999994</v>
      </c>
      <c r="G17" s="315">
        <f>'ACTUAL- 23-24'!G11/10000000</f>
        <v>90.558617100000006</v>
      </c>
      <c r="H17" s="2530"/>
      <c r="I17" s="1853">
        <f>(G17-F17)/F17*100</f>
        <v>20.475984816383068</v>
      </c>
      <c r="J17" s="323"/>
      <c r="L17" s="1477">
        <f>(K16-J16)/J16*100</f>
        <v>18.318793578497207</v>
      </c>
      <c r="M17" s="2245"/>
      <c r="N17" s="1606" t="s">
        <v>931</v>
      </c>
      <c r="O17" s="1282">
        <v>886.03548510000007</v>
      </c>
      <c r="P17" s="2380"/>
      <c r="Q17" s="2066"/>
      <c r="R17" s="315">
        <f>F17+'NOV-2023'!R17</f>
        <v>656.41700359999993</v>
      </c>
      <c r="S17" s="315">
        <f>G17+'NOV-2023'!S17</f>
        <v>737.67592479999996</v>
      </c>
      <c r="T17" s="2530"/>
      <c r="U17" s="1853">
        <f>(S17-R17)/R17*100</f>
        <v>12.37916153212824</v>
      </c>
      <c r="V17" s="84"/>
      <c r="W17" s="1198"/>
      <c r="X17" s="1477">
        <f>(W16-V16)/V16*100</f>
        <v>20.053464418599383</v>
      </c>
      <c r="AT17" s="2245"/>
      <c r="AU17" s="1606" t="s">
        <v>931</v>
      </c>
      <c r="AV17" s="1282">
        <v>886.03548510000007</v>
      </c>
      <c r="AW17" s="2380"/>
      <c r="AX17" s="2066"/>
      <c r="AY17" s="315">
        <f t="shared" si="6"/>
        <v>656.41700359999993</v>
      </c>
      <c r="AZ17" s="315">
        <f t="shared" si="7"/>
        <v>737.67592479999996</v>
      </c>
      <c r="BA17" s="2530"/>
      <c r="BB17" s="1853">
        <f>(AZ17-AY17)/AY17*100</f>
        <v>12.37916153212824</v>
      </c>
    </row>
    <row r="18" spans="1:54" ht="16.5" customHeight="1" x14ac:dyDescent="0.4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J18" s="323">
        <f>F16+F15</f>
        <v>16.253164099999999</v>
      </c>
      <c r="K18" s="323">
        <f>G16+G15</f>
        <v>17.447111900000003</v>
      </c>
      <c r="L18" s="314">
        <f>(K18-J18)/J18*100</f>
        <v>7.3459407205517833</v>
      </c>
      <c r="M18" s="2368">
        <v>2</v>
      </c>
      <c r="N18" s="1155" t="s">
        <v>678</v>
      </c>
      <c r="O18" s="2370" t="s">
        <v>680</v>
      </c>
      <c r="P18" s="2371"/>
      <c r="Q18" s="2372"/>
      <c r="R18" s="2370" t="s">
        <v>684</v>
      </c>
      <c r="S18" s="2371"/>
      <c r="T18" s="2371"/>
      <c r="U18" s="2372"/>
      <c r="V18" s="323">
        <f>R16+R15</f>
        <v>92.173461599999996</v>
      </c>
      <c r="W18" s="323">
        <f>S16+S15</f>
        <v>161.3142622</v>
      </c>
      <c r="X18" s="314">
        <f>(W18-V18)/V18*100</f>
        <v>75.011613321029941</v>
      </c>
      <c r="AT18" s="2368">
        <v>2</v>
      </c>
      <c r="AU18" s="1155" t="s">
        <v>678</v>
      </c>
      <c r="AV18" s="2370" t="s">
        <v>680</v>
      </c>
      <c r="AW18" s="2371"/>
      <c r="AX18" s="2372"/>
      <c r="AY18" s="2370" t="s">
        <v>684</v>
      </c>
      <c r="AZ18" s="2371"/>
      <c r="BA18" s="2371"/>
      <c r="BB18" s="2372"/>
    </row>
    <row r="19" spans="1:54" ht="26.25" customHeight="1" x14ac:dyDescent="0.35">
      <c r="A19" s="1983"/>
      <c r="B19" s="1531" t="s">
        <v>230</v>
      </c>
      <c r="C19" s="1788" t="str">
        <f>F19</f>
        <v xml:space="preserve"> DEC-22</v>
      </c>
      <c r="D19" s="1788" t="str">
        <f>G19</f>
        <v xml:space="preserve"> DEC-23</v>
      </c>
      <c r="E19" s="1531" t="s">
        <v>681</v>
      </c>
      <c r="F19" s="1788" t="str">
        <f>F4</f>
        <v xml:space="preserve"> DEC-22</v>
      </c>
      <c r="G19" s="1788" t="str">
        <f>G4</f>
        <v xml:space="preserve"> DEC-23</v>
      </c>
      <c r="H19" s="1528" t="s">
        <v>682</v>
      </c>
      <c r="I19" s="1530" t="s">
        <v>681</v>
      </c>
      <c r="L19" s="1476"/>
      <c r="M19" s="2369"/>
      <c r="N19" s="1514" t="s">
        <v>230</v>
      </c>
      <c r="O19" s="1527" t="str">
        <f>R4</f>
        <v>UPTO
 DEC-22</v>
      </c>
      <c r="P19" s="1788" t="str">
        <f>S4</f>
        <v>UPTO
 DEC-23</v>
      </c>
      <c r="Q19" s="1864" t="s">
        <v>681</v>
      </c>
      <c r="R19" s="1788" t="str">
        <f>R4</f>
        <v>UPTO
 DEC-22</v>
      </c>
      <c r="S19" s="1788" t="str">
        <f>S4</f>
        <v>UPTO
 DEC-23</v>
      </c>
      <c r="T19" s="1528" t="s">
        <v>682</v>
      </c>
      <c r="U19" s="1526" t="s">
        <v>681</v>
      </c>
      <c r="AT19" s="2369"/>
      <c r="AU19" s="1514" t="s">
        <v>230</v>
      </c>
      <c r="AV19" s="1527" t="str">
        <f>AY4</f>
        <v>UPTO
 DEC-22</v>
      </c>
      <c r="AW19" s="1788" t="str">
        <f>AZ4</f>
        <v>UPTO
 DEC-23</v>
      </c>
      <c r="AX19" s="1864" t="s">
        <v>681</v>
      </c>
      <c r="AY19" s="1788" t="str">
        <f>AY4</f>
        <v>UPTO
 DEC-22</v>
      </c>
      <c r="AZ19" s="1788" t="str">
        <f>AZ4</f>
        <v>UPTO
 DEC-23</v>
      </c>
      <c r="BA19" s="1528" t="s">
        <v>682</v>
      </c>
      <c r="BB19" s="1526" t="s">
        <v>681</v>
      </c>
    </row>
    <row r="20" spans="1:54" ht="18.75" customHeight="1" x14ac:dyDescent="0.45">
      <c r="A20" s="1983"/>
      <c r="B20" s="1055" t="s">
        <v>231</v>
      </c>
      <c r="C20" s="85">
        <v>62516</v>
      </c>
      <c r="D20" s="1409">
        <v>64236</v>
      </c>
      <c r="E20" s="1744">
        <f>(D20-C20)/C20*100</f>
        <v>2.7512956683089129</v>
      </c>
      <c r="F20" s="315">
        <v>10.25</v>
      </c>
      <c r="G20" s="315">
        <v>18.997</v>
      </c>
      <c r="H20" s="1060">
        <f>G20/G7*100</f>
        <v>46.682557625202733</v>
      </c>
      <c r="I20" s="1853">
        <f>(G20-F20)/F20*100</f>
        <v>85.336585365853651</v>
      </c>
      <c r="L20" s="1476"/>
      <c r="M20" s="2369"/>
      <c r="N20" s="1055" t="s">
        <v>231</v>
      </c>
      <c r="O20" s="833">
        <f>C20+'NOV-2023'!O20</f>
        <v>805576</v>
      </c>
      <c r="P20" s="833">
        <f>D20+'NOV-2023'!P20</f>
        <v>490413</v>
      </c>
      <c r="Q20" s="314">
        <f>(P20-O20)/O20*100</f>
        <v>-39.122689851733419</v>
      </c>
      <c r="R20" s="315">
        <f>F20+'NOV-2023'!R20</f>
        <v>147.98321099999998</v>
      </c>
      <c r="S20" s="315">
        <f>G20+'NOV-2023'!S20</f>
        <v>137.137</v>
      </c>
      <c r="T20" s="1060">
        <f>S20/S7*100</f>
        <v>41.738672575259997</v>
      </c>
      <c r="U20" s="1858">
        <f>(S20-R20)/R20*100</f>
        <v>-7.3293523817374018</v>
      </c>
      <c r="W20" s="12">
        <f>R20/9</f>
        <v>16.442578999999999</v>
      </c>
      <c r="X20" s="491">
        <f>S20/9</f>
        <v>15.237444444444444</v>
      </c>
      <c r="AT20" s="2369"/>
      <c r="AU20" s="1055" t="s">
        <v>231</v>
      </c>
      <c r="AV20" s="833">
        <f>O20</f>
        <v>805576</v>
      </c>
      <c r="AW20" s="833">
        <f>P20</f>
        <v>490413</v>
      </c>
      <c r="AX20" s="314">
        <f>(AW20-AV20)/AV20*100</f>
        <v>-39.122689851733419</v>
      </c>
      <c r="AY20" s="833">
        <f>R20</f>
        <v>147.98321099999998</v>
      </c>
      <c r="AZ20" s="833">
        <f>S20</f>
        <v>137.137</v>
      </c>
      <c r="BA20" s="1060">
        <f>AZ20/AZ7*100</f>
        <v>41.738672575259997</v>
      </c>
      <c r="BB20" s="1858">
        <f>(AZ20-AY20)/AY20*100</f>
        <v>-7.3293523817374018</v>
      </c>
    </row>
    <row r="21" spans="1:54" ht="18.75" customHeight="1" x14ac:dyDescent="0.45">
      <c r="A21" s="1983"/>
      <c r="B21" s="1055" t="s">
        <v>232</v>
      </c>
      <c r="C21" s="85">
        <v>92934</v>
      </c>
      <c r="D21" s="1410">
        <v>84827</v>
      </c>
      <c r="E21" s="1744">
        <f>(D21-C21)/C21*100</f>
        <v>-8.7233950975961445</v>
      </c>
      <c r="F21" s="315">
        <v>11.82</v>
      </c>
      <c r="G21" s="315">
        <v>6.24</v>
      </c>
      <c r="H21" s="1060">
        <f>G21/G7*100</f>
        <v>15.333955865729591</v>
      </c>
      <c r="I21" s="1858">
        <f>(G21-F21)/F21*100</f>
        <v>-47.208121827411162</v>
      </c>
      <c r="L21" s="1476"/>
      <c r="M21" s="2369"/>
      <c r="N21" s="1055" t="s">
        <v>232</v>
      </c>
      <c r="O21" s="833">
        <f>C21+'NOV-2023'!O21</f>
        <v>747405</v>
      </c>
      <c r="P21" s="833">
        <f>D21+'NOV-2023'!P21</f>
        <v>734992</v>
      </c>
      <c r="Q21" s="314">
        <f>(P21-O21)/O21*100</f>
        <v>-1.6608130799232008</v>
      </c>
      <c r="R21" s="315">
        <v>75.38</v>
      </c>
      <c r="S21" s="315">
        <f>G21+'NOV-2023'!S21</f>
        <v>71.61</v>
      </c>
      <c r="T21" s="1060">
        <f>S21/S7*100</f>
        <v>21.795039581691071</v>
      </c>
      <c r="U21" s="1858">
        <f>(S21-R21)/R21*100</f>
        <v>-5.0013266118333721</v>
      </c>
      <c r="W21" s="12">
        <f t="shared" ref="W21:W23" si="8">R21/9</f>
        <v>8.3755555555555556</v>
      </c>
      <c r="X21" s="491">
        <f t="shared" ref="X21:X23" si="9">S21/9</f>
        <v>7.956666666666667</v>
      </c>
      <c r="Y21" s="5">
        <f>(X21-W21)/W21*100</f>
        <v>-5.0013266118333748</v>
      </c>
      <c r="AT21" s="2369"/>
      <c r="AU21" s="1055" t="s">
        <v>232</v>
      </c>
      <c r="AV21" s="833">
        <f t="shared" ref="AV21:AV26" si="10">O21</f>
        <v>747405</v>
      </c>
      <c r="AW21" s="833">
        <f t="shared" ref="AW21:AW26" si="11">P21</f>
        <v>734992</v>
      </c>
      <c r="AX21" s="314">
        <f>(AW21-AV21)/AV21*100</f>
        <v>-1.6608130799232008</v>
      </c>
      <c r="AY21" s="833">
        <f t="shared" ref="AY21:AY26" si="12">R21</f>
        <v>75.38</v>
      </c>
      <c r="AZ21" s="833">
        <f t="shared" ref="AZ21:AZ26" si="13">S21</f>
        <v>71.61</v>
      </c>
      <c r="BA21" s="1060">
        <f>AZ21/AZ7*100</f>
        <v>21.795039581691071</v>
      </c>
      <c r="BB21" s="1858">
        <f>(AZ21-AY21)/AY21*100</f>
        <v>-5.0013266118333721</v>
      </c>
    </row>
    <row r="22" spans="1:54" ht="18.75" customHeight="1" x14ac:dyDescent="0.45">
      <c r="A22" s="1983"/>
      <c r="B22" s="1055" t="s">
        <v>239</v>
      </c>
      <c r="C22" s="85">
        <v>112412</v>
      </c>
      <c r="D22" s="1410">
        <v>106923</v>
      </c>
      <c r="E22" s="1744">
        <f>(D22-C22)/C22*100</f>
        <v>-4.8829306479735264</v>
      </c>
      <c r="F22" s="315">
        <v>13.81</v>
      </c>
      <c r="G22" s="315">
        <v>14.367000000000001</v>
      </c>
      <c r="H22" s="1060">
        <f>G22/G7*100</f>
        <v>35.304958962009145</v>
      </c>
      <c r="I22" s="314">
        <f>(G22-F22)/F22*100</f>
        <v>4.0333091962346153</v>
      </c>
      <c r="J22" s="1486"/>
      <c r="L22" s="1476"/>
      <c r="M22" s="2369"/>
      <c r="N22" s="1055" t="s">
        <v>239</v>
      </c>
      <c r="O22" s="833">
        <f>C22+'NOV-2023'!O22</f>
        <v>669144.5</v>
      </c>
      <c r="P22" s="833">
        <f>D22+'NOV-2023'!P22</f>
        <v>756796</v>
      </c>
      <c r="Q22" s="314">
        <f>(P22-O22)/O22*100</f>
        <v>13.099039146253164</v>
      </c>
      <c r="R22" s="315">
        <f>F22+'NOV-2023'!R22</f>
        <v>81.787634600000004</v>
      </c>
      <c r="S22" s="315">
        <f>G22+'NOV-2023'!S22</f>
        <v>110.78700000000001</v>
      </c>
      <c r="T22" s="1060">
        <f>S22/S7*100</f>
        <v>33.718852815763292</v>
      </c>
      <c r="U22" s="1853">
        <f>(S22-R22)/R22*100</f>
        <v>35.456906831732724</v>
      </c>
      <c r="W22" s="12">
        <f t="shared" si="8"/>
        <v>9.0875149555555552</v>
      </c>
      <c r="X22" s="491">
        <f t="shared" si="9"/>
        <v>12.309666666666667</v>
      </c>
      <c r="AT22" s="2369"/>
      <c r="AU22" s="1055" t="s">
        <v>239</v>
      </c>
      <c r="AV22" s="833">
        <f t="shared" si="10"/>
        <v>669144.5</v>
      </c>
      <c r="AW22" s="833">
        <f t="shared" si="11"/>
        <v>756796</v>
      </c>
      <c r="AX22" s="314">
        <f>(AW22-AV22)/AV22*100</f>
        <v>13.099039146253164</v>
      </c>
      <c r="AY22" s="833">
        <f t="shared" si="12"/>
        <v>81.787634600000004</v>
      </c>
      <c r="AZ22" s="833">
        <f t="shared" si="13"/>
        <v>110.78700000000001</v>
      </c>
      <c r="BA22" s="1060">
        <f>AZ22/AZ7*100</f>
        <v>33.718852815763292</v>
      </c>
      <c r="BB22" s="1853">
        <f>(AZ22-AY22)/AY22*100</f>
        <v>35.456906831732724</v>
      </c>
    </row>
    <row r="23" spans="1:54" ht="18.75" customHeight="1" x14ac:dyDescent="0.45">
      <c r="A23" s="1983"/>
      <c r="B23" s="1055" t="s">
        <v>233</v>
      </c>
      <c r="C23" s="85">
        <v>18394</v>
      </c>
      <c r="D23" s="1410">
        <v>27094</v>
      </c>
      <c r="E23" s="1744">
        <f>(D23-C23)/C23*100</f>
        <v>47.298031966945743</v>
      </c>
      <c r="F23" s="315">
        <v>0.95</v>
      </c>
      <c r="G23" s="315">
        <v>0.96</v>
      </c>
      <c r="H23" s="1060">
        <f>G23/G7*100</f>
        <v>2.3590701331891677</v>
      </c>
      <c r="I23" s="314">
        <f>(G23-F23)/F23*100</f>
        <v>1.0526315789473695</v>
      </c>
      <c r="J23" s="1486"/>
      <c r="L23" s="1476"/>
      <c r="M23" s="2369"/>
      <c r="N23" s="1055" t="s">
        <v>233</v>
      </c>
      <c r="O23" s="833">
        <f>C23+'NOV-2023'!O23</f>
        <v>208513</v>
      </c>
      <c r="P23" s="833">
        <f>D23+'NOV-2023'!P23</f>
        <v>222806</v>
      </c>
      <c r="Q23" s="314">
        <f>(P23-O23)/O23*100</f>
        <v>6.8547284821569878</v>
      </c>
      <c r="R23" s="315">
        <f>F23+'NOV-2023'!R23</f>
        <v>7.5490008</v>
      </c>
      <c r="S23" s="315">
        <f>G23+'NOV-2023'!S23</f>
        <v>8.1999999999999993</v>
      </c>
      <c r="T23" s="1060">
        <f>S23/S7*100</f>
        <v>2.4957313862570421</v>
      </c>
      <c r="U23" s="1853">
        <f>(S23-R23)/R23*100</f>
        <v>8.6236472514349103</v>
      </c>
      <c r="W23" s="12">
        <f t="shared" si="8"/>
        <v>0.83877786666666665</v>
      </c>
      <c r="X23" s="491">
        <f t="shared" si="9"/>
        <v>0.91111111111111098</v>
      </c>
      <c r="Z23" s="5">
        <f>25.63+0.96</f>
        <v>26.59</v>
      </c>
      <c r="AT23" s="2369"/>
      <c r="AU23" s="1055" t="s">
        <v>233</v>
      </c>
      <c r="AV23" s="833">
        <f t="shared" si="10"/>
        <v>208513</v>
      </c>
      <c r="AW23" s="833">
        <f t="shared" si="11"/>
        <v>222806</v>
      </c>
      <c r="AX23" s="314">
        <f>(AW23-AV23)/AV23*100</f>
        <v>6.8547284821569878</v>
      </c>
      <c r="AY23" s="833">
        <f t="shared" si="12"/>
        <v>7.5490008</v>
      </c>
      <c r="AZ23" s="833">
        <f t="shared" si="13"/>
        <v>8.1999999999999993</v>
      </c>
      <c r="BA23" s="1060">
        <f>AZ23/AZ7*100</f>
        <v>2.4957313862570421</v>
      </c>
      <c r="BB23" s="1853">
        <f>(AZ23-AY23)/AY23*100</f>
        <v>8.6236472514349103</v>
      </c>
    </row>
    <row r="24" spans="1:54" ht="18.75" customHeight="1" x14ac:dyDescent="0.45">
      <c r="A24" s="1983"/>
      <c r="B24" s="1055" t="s">
        <v>739</v>
      </c>
      <c r="C24" s="85">
        <v>0</v>
      </c>
      <c r="D24" s="1409">
        <v>0</v>
      </c>
      <c r="E24" s="1793">
        <v>0</v>
      </c>
      <c r="F24" s="833">
        <v>0</v>
      </c>
      <c r="G24" s="833">
        <v>0</v>
      </c>
      <c r="H24" s="1651">
        <f>G24/G7*100</f>
        <v>0</v>
      </c>
      <c r="I24" s="836">
        <v>0</v>
      </c>
      <c r="L24" s="1476"/>
      <c r="M24" s="2369"/>
      <c r="N24" s="1055" t="s">
        <v>739</v>
      </c>
      <c r="O24" s="833">
        <f>C24+'NOV-2023'!O24</f>
        <v>2661</v>
      </c>
      <c r="P24" s="833">
        <f>D24+'NOV-2023'!P24</f>
        <v>0</v>
      </c>
      <c r="Q24" s="836">
        <v>0</v>
      </c>
      <c r="R24" s="315">
        <f>F24+'NOV-2023'!R24</f>
        <v>4.1799999999999997E-2</v>
      </c>
      <c r="S24" s="315">
        <f>G24+'NOV-2023'!S24</f>
        <v>0.03</v>
      </c>
      <c r="T24" s="1060">
        <f>S24/S7*100</f>
        <v>9.1307245838672287E-3</v>
      </c>
      <c r="U24" s="314">
        <v>0</v>
      </c>
      <c r="AT24" s="2369"/>
      <c r="AU24" s="1055" t="s">
        <v>739</v>
      </c>
      <c r="AV24" s="833">
        <f t="shared" si="10"/>
        <v>2661</v>
      </c>
      <c r="AW24" s="833">
        <f t="shared" si="11"/>
        <v>0</v>
      </c>
      <c r="AX24" s="836">
        <v>0</v>
      </c>
      <c r="AY24" s="833">
        <f t="shared" si="12"/>
        <v>4.1799999999999997E-2</v>
      </c>
      <c r="AZ24" s="833">
        <f t="shared" si="13"/>
        <v>0.03</v>
      </c>
      <c r="BA24" s="1060">
        <f>AZ24/AZ7*100</f>
        <v>9.1307245838672287E-3</v>
      </c>
      <c r="BB24" s="314">
        <v>0</v>
      </c>
    </row>
    <row r="25" spans="1:54" ht="18.75" customHeight="1" x14ac:dyDescent="0.45">
      <c r="A25" s="1983"/>
      <c r="B25" s="1055" t="s">
        <v>235</v>
      </c>
      <c r="C25" s="85">
        <v>0</v>
      </c>
      <c r="D25" s="1409">
        <v>0</v>
      </c>
      <c r="E25" s="1793">
        <v>0</v>
      </c>
      <c r="F25" s="833">
        <v>0</v>
      </c>
      <c r="G25" s="833">
        <v>0</v>
      </c>
      <c r="H25" s="1651">
        <f>G25/G7*100</f>
        <v>0</v>
      </c>
      <c r="I25" s="836">
        <v>0</v>
      </c>
      <c r="L25" s="1476"/>
      <c r="M25" s="2369"/>
      <c r="N25" s="1055" t="s">
        <v>235</v>
      </c>
      <c r="O25" s="833">
        <f>C25+'NOV-2023'!O25</f>
        <v>1368</v>
      </c>
      <c r="P25" s="833">
        <f>D25+'NOV-2023'!P25</f>
        <v>0</v>
      </c>
      <c r="Q25" s="836">
        <v>0</v>
      </c>
      <c r="R25" s="315">
        <f>F25+'NOV-2023'!R25</f>
        <v>4.3999999999999997E-2</v>
      </c>
      <c r="S25" s="315">
        <f>G25+'NOV-2023'!S25</f>
        <v>0</v>
      </c>
      <c r="T25" s="1060">
        <f>S25/S7*100</f>
        <v>0</v>
      </c>
      <c r="U25" s="314">
        <v>0</v>
      </c>
      <c r="AT25" s="2369"/>
      <c r="AU25" s="1055" t="s">
        <v>235</v>
      </c>
      <c r="AV25" s="833">
        <f t="shared" si="10"/>
        <v>1368</v>
      </c>
      <c r="AW25" s="833">
        <f t="shared" si="11"/>
        <v>0</v>
      </c>
      <c r="AX25" s="836">
        <v>0</v>
      </c>
      <c r="AY25" s="833">
        <f t="shared" si="12"/>
        <v>4.3999999999999997E-2</v>
      </c>
      <c r="AZ25" s="833">
        <f t="shared" si="13"/>
        <v>0</v>
      </c>
      <c r="BA25" s="1060">
        <f>AZ25/AZ7*100</f>
        <v>0</v>
      </c>
      <c r="BB25" s="314">
        <v>0</v>
      </c>
    </row>
    <row r="26" spans="1:54" ht="15.75" x14ac:dyDescent="0.45">
      <c r="A26" s="1984"/>
      <c r="B26" s="1056" t="s">
        <v>693</v>
      </c>
      <c r="C26" s="1520">
        <v>0</v>
      </c>
      <c r="D26" s="1411">
        <v>0</v>
      </c>
      <c r="E26" s="1793">
        <v>0</v>
      </c>
      <c r="F26" s="833">
        <v>0</v>
      </c>
      <c r="G26" s="315">
        <v>0.13</v>
      </c>
      <c r="H26" s="1060" t="s">
        <v>221</v>
      </c>
      <c r="I26" s="314" t="s">
        <v>221</v>
      </c>
      <c r="L26" s="1476"/>
      <c r="M26" s="2245"/>
      <c r="N26" s="1056" t="s">
        <v>693</v>
      </c>
      <c r="O26" s="833">
        <f>C26+'NOV-2023'!O26</f>
        <v>1380</v>
      </c>
      <c r="P26" s="833">
        <f>D26+'NOV-2023'!P26</f>
        <v>3883</v>
      </c>
      <c r="Q26" s="836">
        <v>0</v>
      </c>
      <c r="R26" s="315">
        <f>F26+'NOV-2023'!R26</f>
        <v>0.34457000000000004</v>
      </c>
      <c r="S26" s="315">
        <f>G26+'NOV-2023'!S26</f>
        <v>0.79700000000000004</v>
      </c>
      <c r="T26" s="1060">
        <f>S26/S7*100</f>
        <v>0.24257291644473938</v>
      </c>
      <c r="U26" s="1853">
        <f>(S26-R26)/R26*100</f>
        <v>131.30278317903472</v>
      </c>
      <c r="V26" s="5">
        <f>0.48+0.04+0.23</f>
        <v>0.75</v>
      </c>
      <c r="AJ26" s="26"/>
      <c r="AK26" s="26"/>
      <c r="AL26" s="26"/>
      <c r="AM26" s="26"/>
      <c r="AN26" s="26"/>
      <c r="AT26" s="2245"/>
      <c r="AU26" s="1056" t="s">
        <v>693</v>
      </c>
      <c r="AV26" s="833">
        <f t="shared" si="10"/>
        <v>1380</v>
      </c>
      <c r="AW26" s="833">
        <f t="shared" si="11"/>
        <v>3883</v>
      </c>
      <c r="AX26" s="836">
        <v>0</v>
      </c>
      <c r="AY26" s="833">
        <f t="shared" si="12"/>
        <v>0.34457000000000004</v>
      </c>
      <c r="AZ26" s="833">
        <f t="shared" si="13"/>
        <v>0.79700000000000004</v>
      </c>
      <c r="BA26" s="1060">
        <f>AZ26/AZ7*100</f>
        <v>0.24257291644473938</v>
      </c>
      <c r="BB26" s="1853">
        <f>(AZ26-AY26)/AY26*100</f>
        <v>131.30278317903472</v>
      </c>
    </row>
    <row r="27" spans="1:54" s="26" customFormat="1" ht="19.5" customHeight="1" x14ac:dyDescent="0.4">
      <c r="A27" s="1216"/>
      <c r="B27" s="1063" t="s">
        <v>683</v>
      </c>
      <c r="C27" s="1513">
        <f>SUM(C20:C26)</f>
        <v>286256</v>
      </c>
      <c r="D27" s="1412">
        <f>SUM(D20:D26)</f>
        <v>283080</v>
      </c>
      <c r="E27" s="1794">
        <f>(D27-C27)/C27*100</f>
        <v>-1.109496394835392</v>
      </c>
      <c r="F27" s="1054">
        <f>SUM(F20:F26)</f>
        <v>36.830000000000005</v>
      </c>
      <c r="G27" s="1054">
        <f>G20+G21+G22+G23+G24+G25+G26</f>
        <v>40.694000000000003</v>
      </c>
      <c r="H27" s="1066">
        <f>SUM(H20:H26)</f>
        <v>99.680542586130628</v>
      </c>
      <c r="I27" s="1854">
        <f>(G27-F27)/F27*100</f>
        <v>10.491447189790923</v>
      </c>
      <c r="J27" s="762"/>
      <c r="K27" s="762"/>
      <c r="L27" s="1475"/>
      <c r="M27" s="1202"/>
      <c r="N27" s="1063" t="s">
        <v>683</v>
      </c>
      <c r="O27" s="1259">
        <f>SUM(O20:O26)</f>
        <v>2436047.5</v>
      </c>
      <c r="P27" s="1259">
        <f>SUM(P20:P26)</f>
        <v>2208890</v>
      </c>
      <c r="Q27" s="394">
        <f>(P27-O27)/O27*100</f>
        <v>-9.3248386987527958</v>
      </c>
      <c r="R27" s="1054">
        <f>SUM(R20:R26)</f>
        <v>313.13021639999994</v>
      </c>
      <c r="S27" s="1054">
        <f>SUM(S20:S26)</f>
        <v>328.56099999999998</v>
      </c>
      <c r="T27" s="1066">
        <f>SUM(T20:T26)</f>
        <v>100.00000000000003</v>
      </c>
      <c r="U27" s="1854">
        <f>(S27-R27)/R27*100</f>
        <v>4.9279126675812064</v>
      </c>
      <c r="V27" s="26">
        <f>76.54+0.12</f>
        <v>76.660000000000011</v>
      </c>
      <c r="W27" s="26">
        <f>P27/1000000</f>
        <v>2.2088899999999998</v>
      </c>
      <c r="X27" s="432"/>
      <c r="AJ27" s="5"/>
      <c r="AK27" s="5"/>
      <c r="AL27" s="5"/>
      <c r="AM27" s="5"/>
      <c r="AN27" s="5"/>
      <c r="AT27" s="1202"/>
      <c r="AU27" s="1063" t="s">
        <v>683</v>
      </c>
      <c r="AV27" s="1259">
        <f>SUM(AV20:AV26)</f>
        <v>2436047.5</v>
      </c>
      <c r="AW27" s="1259">
        <f>SUM(AW20:AW26)</f>
        <v>2208890</v>
      </c>
      <c r="AX27" s="394">
        <f>(AW27-AV27)/AV27*100</f>
        <v>-9.3248386987527958</v>
      </c>
      <c r="AY27" s="1054">
        <f>SUM(AY20:AY26)</f>
        <v>313.13021639999994</v>
      </c>
      <c r="AZ27" s="1054">
        <f>SUM(AZ20:AZ26)</f>
        <v>328.56099999999998</v>
      </c>
      <c r="BA27" s="1066">
        <f>SUM(BA20:BA26)</f>
        <v>100.00000000000003</v>
      </c>
      <c r="BB27" s="1854">
        <f>(AZ27-AY27)/AY27*100</f>
        <v>4.9279126675812064</v>
      </c>
    </row>
    <row r="28" spans="1:54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  <c r="AT28" s="1201"/>
      <c r="AU28" s="2313" t="s">
        <v>7</v>
      </c>
      <c r="AV28" s="2313"/>
      <c r="AW28" s="2314" t="s">
        <v>8</v>
      </c>
      <c r="AX28" s="2314"/>
      <c r="AY28" s="2314" t="s">
        <v>10</v>
      </c>
      <c r="AZ28" s="2314"/>
      <c r="BA28" s="2315" t="s">
        <v>11</v>
      </c>
      <c r="BB28" s="2315"/>
    </row>
    <row r="29" spans="1:54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  <c r="AT29" s="606"/>
      <c r="AU29" s="2313"/>
      <c r="AV29" s="2313"/>
      <c r="AW29" s="272" t="s">
        <v>9</v>
      </c>
      <c r="AX29" s="1057">
        <f>AZ29</f>
        <v>44652</v>
      </c>
      <c r="AY29" s="1057">
        <v>44287</v>
      </c>
      <c r="AZ29" s="1057">
        <v>44652</v>
      </c>
      <c r="BA29" s="1065" t="s">
        <v>12</v>
      </c>
      <c r="BB29" s="1065" t="s">
        <v>13</v>
      </c>
    </row>
    <row r="30" spans="1:54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4">
        <v>3</v>
      </c>
      <c r="N30" s="2021" t="s">
        <v>623</v>
      </c>
      <c r="O30" s="2022"/>
      <c r="P30" s="2022"/>
      <c r="Q30" s="2022"/>
      <c r="R30" s="2022"/>
      <c r="S30" s="2022"/>
      <c r="T30" s="2022"/>
      <c r="U30" s="2023"/>
      <c r="AT30" s="2384">
        <v>3</v>
      </c>
      <c r="AU30" s="2021" t="s">
        <v>623</v>
      </c>
      <c r="AV30" s="2022"/>
      <c r="AW30" s="2022"/>
      <c r="AX30" s="2022"/>
      <c r="AY30" s="2022"/>
      <c r="AZ30" s="2022"/>
      <c r="BA30" s="2022"/>
      <c r="BB30" s="2023"/>
    </row>
    <row r="31" spans="1:54" ht="15.4" x14ac:dyDescent="0.4">
      <c r="A31" s="2382"/>
      <c r="B31" s="378" t="s">
        <v>2</v>
      </c>
      <c r="C31" s="1521">
        <v>24.66</v>
      </c>
      <c r="D31" s="1429">
        <v>22.5</v>
      </c>
      <c r="E31" s="307">
        <v>1.6</v>
      </c>
      <c r="F31" s="134">
        <v>1.6995965</v>
      </c>
      <c r="G31" s="134">
        <f>'ACTUAL- 23-24'!P11/10000000</f>
        <v>1.6328241999999999</v>
      </c>
      <c r="H31" s="1853">
        <f>(G31-E31)/E31*100</f>
        <v>2.0515124999999914</v>
      </c>
      <c r="I31" s="1858">
        <f>(G31-F31)/F31*100</f>
        <v>-3.9287148449646732</v>
      </c>
      <c r="J31" s="84">
        <v>1.52</v>
      </c>
      <c r="K31" s="1128">
        <f>11596205/10000000</f>
        <v>1.1596204999999999</v>
      </c>
      <c r="L31" s="1749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f>E31+'NOV-2023'!Q31</f>
        <v>17.05</v>
      </c>
      <c r="R31" s="315">
        <f>F31+'NOV-2023'!R31</f>
        <v>18.329596499999997</v>
      </c>
      <c r="S31" s="315">
        <f>G31+'NOV-2023'!S31</f>
        <v>21.558870200000001</v>
      </c>
      <c r="T31" s="1853">
        <f>(S31-Q31)/Q31*100</f>
        <v>26.444986510263931</v>
      </c>
      <c r="U31" s="1853">
        <f>(S31-R31)/R31*100</f>
        <v>17.617811172220861</v>
      </c>
      <c r="W31" s="5">
        <f>(Q31*10000000)/100000</f>
        <v>1705</v>
      </c>
      <c r="AT31" s="2385"/>
      <c r="AU31" s="378" t="s">
        <v>2</v>
      </c>
      <c r="AV31" s="1283">
        <v>24.66</v>
      </c>
      <c r="AW31" s="1429">
        <f>P31</f>
        <v>22.5</v>
      </c>
      <c r="AX31" s="1429">
        <f>Q31</f>
        <v>17.05</v>
      </c>
      <c r="AY31" s="315">
        <f>R31</f>
        <v>18.329596499999997</v>
      </c>
      <c r="AZ31" s="315">
        <f>S31</f>
        <v>21.558870200000001</v>
      </c>
      <c r="BA31" s="1853">
        <f>(AZ31-AX31)/AX31*100</f>
        <v>26.444986510263931</v>
      </c>
      <c r="BB31" s="1853">
        <f>(AZ31-AY31)/AY31*100</f>
        <v>17.617811172220861</v>
      </c>
    </row>
    <row r="32" spans="1:54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07">
        <v>2.81</v>
      </c>
      <c r="F32" s="134">
        <v>2.0981466000000002</v>
      </c>
      <c r="G32" s="134">
        <f>'ACTUAL- 23-24'!Q11/10000000</f>
        <v>2.2831901000000001</v>
      </c>
      <c r="H32" s="1858">
        <f>(G32-E32)/E32*100</f>
        <v>-18.747683274021352</v>
      </c>
      <c r="I32" s="1853">
        <f>(G32-F32)/F32*100</f>
        <v>8.8193789699918916</v>
      </c>
      <c r="J32" s="1128">
        <v>2.3697997000000002</v>
      </c>
      <c r="K32" s="84">
        <f>0.58-0.12</f>
        <v>0.45999999999999996</v>
      </c>
      <c r="L32" s="1749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f>E32+'NOV-2023'!Q32</f>
        <v>29.78</v>
      </c>
      <c r="R32" s="315">
        <f>F32+'NOV-2023'!R32</f>
        <v>22.267837799999999</v>
      </c>
      <c r="S32" s="315">
        <f>G32+'NOV-2023'!S32</f>
        <v>22.243950100000003</v>
      </c>
      <c r="T32" s="1858">
        <f>(S32-Q32)/Q32*100</f>
        <v>-25.305741773002012</v>
      </c>
      <c r="U32" s="314">
        <f t="shared" ref="U32:U38" si="14">(S32-R32)/R32*100</f>
        <v>-0.10727444763404896</v>
      </c>
      <c r="W32" s="5">
        <f>(Q32*10000000)/100000</f>
        <v>2978</v>
      </c>
      <c r="AT32" s="2385"/>
      <c r="AU32" s="378" t="s">
        <v>23</v>
      </c>
      <c r="AV32" s="1283">
        <v>27.693304099999999</v>
      </c>
      <c r="AW32" s="1429">
        <f t="shared" ref="AW32:AX33" si="15">P32</f>
        <v>37.010000000000005</v>
      </c>
      <c r="AX32" s="1429">
        <f t="shared" si="15"/>
        <v>29.78</v>
      </c>
      <c r="AY32" s="315">
        <f t="shared" ref="AY32:AY33" si="16">R32</f>
        <v>22.267837799999999</v>
      </c>
      <c r="AZ32" s="315">
        <f t="shared" ref="AZ32:AZ33" si="17">S32</f>
        <v>22.243950100000003</v>
      </c>
      <c r="BA32" s="1858">
        <f>(AZ32-AX32)/AX32*100</f>
        <v>-25.305741773002012</v>
      </c>
      <c r="BB32" s="314">
        <f t="shared" ref="BB32:BB33" si="18">(AZ32-AY32)/AY32*100</f>
        <v>-0.10727444763404896</v>
      </c>
    </row>
    <row r="33" spans="1:57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07">
        <v>0.26</v>
      </c>
      <c r="F33" s="134">
        <v>8.3564200000000005E-2</v>
      </c>
      <c r="G33" s="134">
        <f>'ACTUAL- 23-24'!R11/10000000</f>
        <v>9.2753699999999994E-2</v>
      </c>
      <c r="H33" s="1858">
        <f>(G33-E33)/E33*100</f>
        <v>-64.325500000000005</v>
      </c>
      <c r="I33" s="1853">
        <f>(G33-F33)/F33*100</f>
        <v>10.99693409378656</v>
      </c>
      <c r="J33" s="1128">
        <v>7.7621999999999997E-2</v>
      </c>
      <c r="L33" s="1749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f>E33+'NOV-2023'!Q33</f>
        <v>2.67</v>
      </c>
      <c r="R33" s="315">
        <f>F33+'NOV-2023'!R33</f>
        <v>0.81308849999999988</v>
      </c>
      <c r="S33" s="315">
        <f>G33+'NOV-2023'!S33</f>
        <v>0.89119735599999994</v>
      </c>
      <c r="T33" s="1858">
        <f>(S33-Q33)/Q33*100</f>
        <v>-66.621821872659183</v>
      </c>
      <c r="U33" s="1853">
        <f t="shared" si="14"/>
        <v>9.6064396434090593</v>
      </c>
      <c r="W33" s="5">
        <f>(Q33*10000000)/100000</f>
        <v>267</v>
      </c>
      <c r="AT33" s="2385"/>
      <c r="AU33" s="378" t="s">
        <v>1</v>
      </c>
      <c r="AV33" s="1283">
        <v>1.0446717999999999</v>
      </c>
      <c r="AW33" s="1429">
        <f t="shared" si="15"/>
        <v>3.4</v>
      </c>
      <c r="AX33" s="1429">
        <f t="shared" si="15"/>
        <v>2.67</v>
      </c>
      <c r="AY33" s="315">
        <f t="shared" si="16"/>
        <v>0.81308849999999988</v>
      </c>
      <c r="AZ33" s="315">
        <f t="shared" si="17"/>
        <v>0.89119735599999994</v>
      </c>
      <c r="BA33" s="1858">
        <f>(AZ33-AX33)/AX33*100</f>
        <v>-66.621821872659183</v>
      </c>
      <c r="BB33" s="1853">
        <f t="shared" si="18"/>
        <v>9.6064396434090593</v>
      </c>
    </row>
    <row r="34" spans="1:57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3.0700000000000003</v>
      </c>
      <c r="F34" s="1483">
        <f>SUM(F32:F33)</f>
        <v>2.1817108000000003</v>
      </c>
      <c r="G34" s="1483">
        <f>SUM(G32:G33)</f>
        <v>2.3759437999999999</v>
      </c>
      <c r="H34" s="1857">
        <f>(G34-E34)/E34*100</f>
        <v>-22.607693811074927</v>
      </c>
      <c r="I34" s="1855">
        <f>(G34-F34)/F34*100</f>
        <v>8.902783998685786</v>
      </c>
      <c r="L34" s="1749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32.450000000000003</v>
      </c>
      <c r="R34" s="1814">
        <f>SUM(R32:R33)</f>
        <v>23.080926299999998</v>
      </c>
      <c r="S34" s="1814">
        <f>SUM(S32:S33)</f>
        <v>23.135147456000002</v>
      </c>
      <c r="T34" s="1857">
        <f>(S34-Q34)/Q34*100</f>
        <v>-28.705246668721106</v>
      </c>
      <c r="U34" s="1855">
        <f>(S34-R34)/R34*100</f>
        <v>0.23491759080745434</v>
      </c>
      <c r="AT34" s="2385"/>
      <c r="AU34" s="1055" t="s">
        <v>904</v>
      </c>
      <c r="AV34" s="1505">
        <f>AV33+AV32</f>
        <v>28.737975899999999</v>
      </c>
      <c r="AW34" s="1483">
        <f>AW33+AW32</f>
        <v>40.410000000000004</v>
      </c>
      <c r="AX34" s="1483">
        <f>AX33+AX32</f>
        <v>32.450000000000003</v>
      </c>
      <c r="AY34" s="1814">
        <f>SUM(AY32:AY33)</f>
        <v>23.080926299999998</v>
      </c>
      <c r="AZ34" s="1814">
        <f>SUM(AZ32:AZ33)</f>
        <v>23.135147456000002</v>
      </c>
      <c r="BA34" s="1857">
        <f>(AZ34-AX34)/AX34*100</f>
        <v>-28.705246668721106</v>
      </c>
      <c r="BB34" s="1855">
        <f>(AZ34-AY34)/AY34*100</f>
        <v>0.23491759080745434</v>
      </c>
    </row>
    <row r="35" spans="1:57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v>0.258797</v>
      </c>
      <c r="G35" s="313">
        <f>'ACTUAL- 23-24'!T11/10000000</f>
        <v>0.26993400000000001</v>
      </c>
      <c r="H35" s="517" t="s">
        <v>221</v>
      </c>
      <c r="I35" s="1853">
        <f>(G35-F35)/F35*100</f>
        <v>4.3033729139054966</v>
      </c>
      <c r="J35" s="84">
        <v>0.21881</v>
      </c>
      <c r="L35" s="1749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f>F35+'NOV-2023'!R35</f>
        <v>2.4423109999999997</v>
      </c>
      <c r="S35" s="315">
        <f>G35+'NOV-2023'!S35</f>
        <v>2.4420199999999999</v>
      </c>
      <c r="T35" s="316" t="s">
        <v>221</v>
      </c>
      <c r="U35" s="314">
        <f t="shared" si="14"/>
        <v>-1.191494449313864E-2</v>
      </c>
      <c r="W35" s="5" t="e">
        <f>(Q35*10000000)/100000</f>
        <v>#VALUE!</v>
      </c>
      <c r="AT35" s="2385"/>
      <c r="AU35" s="378" t="s">
        <v>24</v>
      </c>
      <c r="AV35" s="1283">
        <v>3.1600820000000001</v>
      </c>
      <c r="AW35" s="603" t="s">
        <v>221</v>
      </c>
      <c r="AX35" s="315" t="s">
        <v>221</v>
      </c>
      <c r="AY35" s="315">
        <f>R35</f>
        <v>2.4423109999999997</v>
      </c>
      <c r="AZ35" s="315">
        <f>S35</f>
        <v>2.4420199999999999</v>
      </c>
      <c r="BA35" s="316" t="s">
        <v>221</v>
      </c>
      <c r="BB35" s="314">
        <f t="shared" ref="BB35:BB38" si="19">(AZ35-AY35)/AY35*100</f>
        <v>-1.191494449313864E-2</v>
      </c>
    </row>
    <row r="36" spans="1:57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v>0.73338990000000004</v>
      </c>
      <c r="G36" s="313">
        <f>'ACTUAL- 23-24'!S11/10000000</f>
        <v>8.5415000000000005E-2</v>
      </c>
      <c r="H36" s="517" t="s">
        <v>221</v>
      </c>
      <c r="I36" s="1853">
        <v>0</v>
      </c>
      <c r="J36" s="84">
        <v>3.63459E-2</v>
      </c>
      <c r="L36" s="1749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f>F36+'NOV-2023'!R36</f>
        <v>5.6331691999999993</v>
      </c>
      <c r="S36" s="315">
        <f>G36+'NOV-2023'!S36</f>
        <v>4.8751863999999996</v>
      </c>
      <c r="T36" s="316" t="s">
        <v>221</v>
      </c>
      <c r="U36" s="1858">
        <f t="shared" si="14"/>
        <v>-13.455708023114232</v>
      </c>
      <c r="AT36" s="2385"/>
      <c r="AU36" s="1278" t="s">
        <v>25</v>
      </c>
      <c r="AV36" s="1284">
        <v>6.2230024999999998</v>
      </c>
      <c r="AW36" s="603" t="s">
        <v>221</v>
      </c>
      <c r="AX36" s="315" t="s">
        <v>221</v>
      </c>
      <c r="AY36" s="315">
        <f>R36</f>
        <v>5.6331691999999993</v>
      </c>
      <c r="AZ36" s="315">
        <f>S36</f>
        <v>4.8751863999999996</v>
      </c>
      <c r="BA36" s="316" t="s">
        <v>221</v>
      </c>
      <c r="BB36" s="1858">
        <f t="shared" si="19"/>
        <v>-13.455708023114232</v>
      </c>
    </row>
    <row r="37" spans="1:57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v>4.1403211000000004</v>
      </c>
      <c r="G37" s="313">
        <f>'ACTUAL- 23-24'!O11/10000000</f>
        <v>4.8470469999999999</v>
      </c>
      <c r="H37" s="517" t="s">
        <v>221</v>
      </c>
      <c r="I37" s="1853">
        <f>(G37-F37)/F37*100</f>
        <v>17.06935000766002</v>
      </c>
      <c r="J37" s="84">
        <v>3.210709</v>
      </c>
      <c r="K37" s="323">
        <f>(20880+ 10612529)/10000000</f>
        <v>1.0633409</v>
      </c>
      <c r="L37" s="1749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f>F37+'NOV-2023'!R37</f>
        <v>32.234488399999996</v>
      </c>
      <c r="S37" s="315">
        <f>G37+'NOV-2023'!S37</f>
        <v>37.574133400000008</v>
      </c>
      <c r="T37" s="316" t="s">
        <v>221</v>
      </c>
      <c r="U37" s="1853">
        <f t="shared" si="14"/>
        <v>16.565006193800834</v>
      </c>
      <c r="AT37" s="2385"/>
      <c r="AU37" s="1279" t="s">
        <v>241</v>
      </c>
      <c r="AV37" s="1284">
        <v>43.050880200000002</v>
      </c>
      <c r="AW37" s="540" t="s">
        <v>221</v>
      </c>
      <c r="AX37" s="315" t="s">
        <v>221</v>
      </c>
      <c r="AY37" s="315">
        <f t="shared" ref="AY37:AY38" si="20">R37</f>
        <v>32.234488399999996</v>
      </c>
      <c r="AZ37" s="315">
        <f t="shared" ref="AZ37:AZ38" si="21">S37</f>
        <v>37.574133400000008</v>
      </c>
      <c r="BA37" s="316" t="s">
        <v>221</v>
      </c>
      <c r="BB37" s="1853">
        <f t="shared" si="19"/>
        <v>16.565006193800834</v>
      </c>
    </row>
    <row r="38" spans="1:57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313">
        <v>6.5824199999999999E-2</v>
      </c>
      <c r="G38" s="313">
        <f>'ACTUAL- 23-24'!U11/10000000</f>
        <v>9.1853199999999996E-2</v>
      </c>
      <c r="H38" s="413"/>
      <c r="I38" s="1853">
        <v>0</v>
      </c>
      <c r="J38" s="84">
        <v>6.4195500000000003E-2</v>
      </c>
      <c r="L38" s="1749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f>F38+'NOV-2023'!R38</f>
        <v>0.62786450000000005</v>
      </c>
      <c r="S38" s="315">
        <f>G38+'NOV-2023'!S38</f>
        <v>0.80590109999999993</v>
      </c>
      <c r="T38" s="413"/>
      <c r="U38" s="1853">
        <f t="shared" si="14"/>
        <v>28.355895260840498</v>
      </c>
      <c r="AT38" s="2386"/>
      <c r="AU38" s="378" t="s">
        <v>260</v>
      </c>
      <c r="AV38" s="1283">
        <v>0.85555460000000005</v>
      </c>
      <c r="AW38" s="540" t="s">
        <v>221</v>
      </c>
      <c r="AX38" s="315" t="s">
        <v>221</v>
      </c>
      <c r="AY38" s="315">
        <f t="shared" si="20"/>
        <v>0.62786450000000005</v>
      </c>
      <c r="AZ38" s="315">
        <f t="shared" si="21"/>
        <v>0.80590109999999993</v>
      </c>
      <c r="BA38" s="413"/>
      <c r="BB38" s="1853">
        <f t="shared" si="19"/>
        <v>28.355895260840498</v>
      </c>
    </row>
    <row r="39" spans="1:57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J39" s="323">
        <v>9.68218E-2</v>
      </c>
      <c r="L39" s="1749"/>
      <c r="M39" s="1286">
        <v>4</v>
      </c>
      <c r="N39" s="2021" t="s">
        <v>622</v>
      </c>
      <c r="O39" s="2022"/>
      <c r="P39" s="2022"/>
      <c r="Q39" s="2022"/>
      <c r="R39" s="2022"/>
      <c r="S39" s="2022"/>
      <c r="T39" s="2022"/>
      <c r="U39" s="2023"/>
      <c r="AT39" s="1286">
        <v>4</v>
      </c>
      <c r="AU39" s="2021" t="s">
        <v>622</v>
      </c>
      <c r="AV39" s="2022"/>
      <c r="AW39" s="2022"/>
      <c r="AX39" s="2022"/>
      <c r="AY39" s="2022"/>
      <c r="AZ39" s="2022"/>
      <c r="BA39" s="2022"/>
      <c r="BB39" s="2023"/>
    </row>
    <row r="40" spans="1:57" ht="15.4" x14ac:dyDescent="0.4">
      <c r="A40" s="2387"/>
      <c r="B40" s="378" t="s">
        <v>27</v>
      </c>
      <c r="C40" s="1521">
        <v>12.02</v>
      </c>
      <c r="D40" s="1429">
        <v>14.04</v>
      </c>
      <c r="E40" s="307">
        <v>1.17</v>
      </c>
      <c r="F40" s="313">
        <v>1.0860209000000001</v>
      </c>
      <c r="G40" s="313">
        <f>'ACTUAL- 23-24'!O28/10000000</f>
        <v>1.2633582999999999</v>
      </c>
      <c r="H40" s="1853">
        <f>(G40-E40)/E40*100</f>
        <v>7.979341880341881</v>
      </c>
      <c r="I40" s="1853">
        <f>(G40-F40)/F40*100</f>
        <v>16.329096428991363</v>
      </c>
      <c r="K40" s="1128">
        <v>0.5185746</v>
      </c>
      <c r="L40" s="1476"/>
      <c r="M40" s="1286"/>
      <c r="N40" s="378" t="s">
        <v>27</v>
      </c>
      <c r="O40" s="1283">
        <v>12.02</v>
      </c>
      <c r="P40" s="1429">
        <v>13.95</v>
      </c>
      <c r="Q40" s="307">
        <v>9.3000000000000007</v>
      </c>
      <c r="R40" s="315">
        <f>F40+'NOV-2023'!R40</f>
        <v>8.1035249</v>
      </c>
      <c r="S40" s="315">
        <f>G40+'NOV-2023'!S40</f>
        <v>9.4796768999999994</v>
      </c>
      <c r="T40" s="1853">
        <f>(S40-Q40)/Q40*100</f>
        <v>1.9320096774193405</v>
      </c>
      <c r="U40" s="1853">
        <f>(S40-R40)/R40*100</f>
        <v>16.982140697809164</v>
      </c>
      <c r="W40" s="12">
        <v>6.8847902000000003</v>
      </c>
      <c r="X40" s="491">
        <v>1.5093639999999999</v>
      </c>
      <c r="Y40" s="12">
        <v>0.98931259999999999</v>
      </c>
      <c r="Z40" s="12">
        <v>0.63322219999999996</v>
      </c>
      <c r="AA40" s="12">
        <v>0.67428080000000001</v>
      </c>
      <c r="AL40" s="5" t="s">
        <v>27</v>
      </c>
      <c r="AM40" s="12">
        <f>S40</f>
        <v>9.4796768999999994</v>
      </c>
      <c r="AT40" s="1286"/>
      <c r="AU40" s="378" t="s">
        <v>27</v>
      </c>
      <c r="AV40" s="1283">
        <v>12.02</v>
      </c>
      <c r="AW40" s="1429">
        <f>'TARGET 23-24'!R88</f>
        <v>14.04</v>
      </c>
      <c r="AX40" s="307">
        <f>'TARGET 23-24'!R82</f>
        <v>10.53</v>
      </c>
      <c r="AY40" s="315">
        <f>R40</f>
        <v>8.1035249</v>
      </c>
      <c r="AZ40" s="315">
        <f>S40</f>
        <v>9.4796768999999994</v>
      </c>
      <c r="BA40" s="1853">
        <f>(AZ40-AX40)/AX40*100</f>
        <v>-9.9745783475783476</v>
      </c>
      <c r="BB40" s="1853">
        <f>(AZ40-AY40)/AY40*100</f>
        <v>16.982140697809164</v>
      </c>
    </row>
    <row r="41" spans="1:57" ht="15.4" x14ac:dyDescent="0.4">
      <c r="A41" s="2387"/>
      <c r="B41" s="378" t="s">
        <v>28</v>
      </c>
      <c r="C41" s="1521">
        <v>1.94</v>
      </c>
      <c r="D41" s="1429">
        <v>2.7</v>
      </c>
      <c r="E41" s="307">
        <v>0.22500000000000001</v>
      </c>
      <c r="F41" s="313">
        <v>0.45795809999999998</v>
      </c>
      <c r="G41" s="313">
        <f>'ACTUAL- 23-24'!P28/10000000</f>
        <v>0.54881800000000003</v>
      </c>
      <c r="H41" s="1853">
        <f>(G41-E41)/E41*100</f>
        <v>143.91911111111114</v>
      </c>
      <c r="I41" s="1853">
        <f>(G41-F41)/F41*100</f>
        <v>19.840221190541243</v>
      </c>
      <c r="J41" s="84">
        <f t="shared" ref="J41:J46" si="22">E40*8</f>
        <v>9.36</v>
      </c>
      <c r="K41" s="1128">
        <v>1.5909099999999999E-2</v>
      </c>
      <c r="L41" s="1476">
        <v>2.1361249999999998</v>
      </c>
      <c r="M41" s="1286"/>
      <c r="N41" s="378" t="s">
        <v>28</v>
      </c>
      <c r="O41" s="1283">
        <v>1.94</v>
      </c>
      <c r="P41" s="1429">
        <v>1.95</v>
      </c>
      <c r="Q41" s="307">
        <v>1.3</v>
      </c>
      <c r="R41" s="315">
        <f>F41+'NOV-2023'!R41</f>
        <v>1.2482728999999999</v>
      </c>
      <c r="S41" s="315">
        <f>G41+'NOV-2023'!S41</f>
        <v>2.1486071999999998</v>
      </c>
      <c r="T41" s="1853">
        <f t="shared" ref="T41:T42" si="23">(S41-Q41)/Q41*100</f>
        <v>65.277476923076904</v>
      </c>
      <c r="U41" s="1853">
        <f>(S41-R41)/R41*100</f>
        <v>72.126399603804586</v>
      </c>
      <c r="W41" s="5">
        <f>(E41*10000000)/100000</f>
        <v>22.5</v>
      </c>
      <c r="X41" s="172">
        <v>19.73</v>
      </c>
      <c r="Y41" s="5">
        <v>3.12</v>
      </c>
      <c r="Z41" s="11">
        <f t="shared" ref="Z41:Z45" si="24">(X41-W41)/W41*100</f>
        <v>-12.311111111111108</v>
      </c>
      <c r="AA41" s="11">
        <f t="shared" ref="AA41:AA45" si="25">(X41-Y41)/Y41*100</f>
        <v>532.3717948717948</v>
      </c>
      <c r="AL41" s="5" t="str">
        <f>N41</f>
        <v>Pay &amp; Park</v>
      </c>
      <c r="AM41" s="12">
        <f t="shared" ref="AM41:AM45" si="26">S41</f>
        <v>2.1486071999999998</v>
      </c>
      <c r="AT41" s="1286"/>
      <c r="AU41" s="378" t="s">
        <v>28</v>
      </c>
      <c r="AV41" s="1283">
        <v>1.94</v>
      </c>
      <c r="AW41" s="1429">
        <f>'TARGET 23-24'!S88</f>
        <v>2.7000000000000006</v>
      </c>
      <c r="AX41" s="307">
        <f>'TARGET 23-24'!S82</f>
        <v>2.0250000000000004</v>
      </c>
      <c r="AY41" s="315">
        <f t="shared" ref="AY41:AY45" si="27">R41</f>
        <v>1.2482728999999999</v>
      </c>
      <c r="AZ41" s="315">
        <f t="shared" ref="AZ41:AZ45" si="28">S41</f>
        <v>2.1486071999999998</v>
      </c>
      <c r="BA41" s="1853">
        <f t="shared" ref="BA41:BA42" si="29">(AZ41-AX41)/AX41*100</f>
        <v>6.1040592592592322</v>
      </c>
      <c r="BB41" s="1853">
        <f>(AZ41-AY41)/AY41*100</f>
        <v>72.126399603804586</v>
      </c>
    </row>
    <row r="42" spans="1:57" ht="15.4" x14ac:dyDescent="0.4">
      <c r="A42" s="2387"/>
      <c r="B42" s="378" t="s">
        <v>224</v>
      </c>
      <c r="C42" s="1521">
        <v>1.96</v>
      </c>
      <c r="D42" s="1429">
        <v>3.25</v>
      </c>
      <c r="E42" s="307">
        <v>0.27</v>
      </c>
      <c r="F42" s="313">
        <v>0.26538270000000003</v>
      </c>
      <c r="G42" s="313">
        <f>'ACTUAL- 23-24'!Q28/10000000</f>
        <v>0.10845630000000001</v>
      </c>
      <c r="H42" s="1858">
        <f>(G42-E42)/E42*100</f>
        <v>-59.831000000000003</v>
      </c>
      <c r="I42" s="1858">
        <f>(G42-F42)/F42*100</f>
        <v>-59.132113736125227</v>
      </c>
      <c r="J42" s="84">
        <f t="shared" si="22"/>
        <v>1.8</v>
      </c>
      <c r="K42" s="1128">
        <v>7.9338400000000003E-2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7">
        <v>2.16</v>
      </c>
      <c r="R42" s="315">
        <f>F42+'NOV-2023'!R42</f>
        <v>1.5131146999999998</v>
      </c>
      <c r="S42" s="315">
        <f>G42+'NOV-2023'!S42</f>
        <v>1.2383451000000001</v>
      </c>
      <c r="T42" s="1858">
        <f t="shared" si="23"/>
        <v>-42.66920833333333</v>
      </c>
      <c r="U42" s="1858">
        <f>(S42-R42)/R42*100</f>
        <v>-18.159204982940143</v>
      </c>
      <c r="W42" s="11">
        <f>(E42*10000000)/100000</f>
        <v>27</v>
      </c>
      <c r="X42" s="172">
        <v>45.45</v>
      </c>
      <c r="Y42" s="5">
        <v>0</v>
      </c>
      <c r="Z42" s="11">
        <f t="shared" si="24"/>
        <v>68.333333333333343</v>
      </c>
      <c r="AA42" s="11" t="e">
        <f t="shared" si="25"/>
        <v>#DIV/0!</v>
      </c>
      <c r="AL42" s="5" t="s">
        <v>3</v>
      </c>
      <c r="AM42" s="12">
        <f t="shared" si="26"/>
        <v>1.2383451000000001</v>
      </c>
      <c r="AT42" s="1286"/>
      <c r="AU42" s="378" t="s">
        <v>224</v>
      </c>
      <c r="AV42" s="1283">
        <v>1.96</v>
      </c>
      <c r="AW42" s="1429">
        <v>3.25</v>
      </c>
      <c r="AX42" s="307">
        <v>2.4300000000000002</v>
      </c>
      <c r="AY42" s="315">
        <f t="shared" si="27"/>
        <v>1.5131146999999998</v>
      </c>
      <c r="AZ42" s="315">
        <f t="shared" si="28"/>
        <v>1.2383451000000001</v>
      </c>
      <c r="BA42" s="1858">
        <f t="shared" si="29"/>
        <v>-49.0392962962963</v>
      </c>
      <c r="BB42" s="1858">
        <f>(AZ42-AY42)/AY42*100</f>
        <v>-18.159204982940143</v>
      </c>
    </row>
    <row r="43" spans="1:57" ht="15.4" hidden="1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>
        <v>0</v>
      </c>
      <c r="H43" s="314" t="e">
        <f>(G43-E43)/E43*100</f>
        <v>#VALUE!</v>
      </c>
      <c r="I43" s="314" t="e">
        <f t="shared" ref="I43" si="30">(G43-F43)/F43*100</f>
        <v>#DIV/0!</v>
      </c>
      <c r="J43" s="323">
        <f t="shared" si="22"/>
        <v>2.16</v>
      </c>
      <c r="K43" s="1128">
        <v>0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15">
        <f>F43+'NOV-2023'!R43</f>
        <v>0</v>
      </c>
      <c r="S43" s="315">
        <f>G43+'NOV-2023'!S43</f>
        <v>0</v>
      </c>
      <c r="T43" s="314" t="s">
        <v>221</v>
      </c>
      <c r="U43" s="314">
        <v>0</v>
      </c>
      <c r="W43" s="5" t="e">
        <f>(E43*10000000)/100000</f>
        <v>#VALUE!</v>
      </c>
      <c r="Z43" s="11" t="e">
        <f t="shared" si="24"/>
        <v>#VALUE!</v>
      </c>
      <c r="AA43" s="11" t="e">
        <f t="shared" si="25"/>
        <v>#DIV/0!</v>
      </c>
      <c r="AM43" s="12">
        <f t="shared" si="26"/>
        <v>0</v>
      </c>
      <c r="AT43" s="1286"/>
      <c r="AU43" s="378" t="s">
        <v>30</v>
      </c>
      <c r="AV43" s="1283">
        <v>0</v>
      </c>
      <c r="AW43" s="540" t="s">
        <v>221</v>
      </c>
      <c r="AX43" s="307" t="s">
        <v>221</v>
      </c>
      <c r="AY43" s="315">
        <f t="shared" si="27"/>
        <v>0</v>
      </c>
      <c r="AZ43" s="315">
        <f t="shared" si="28"/>
        <v>0</v>
      </c>
      <c r="BA43" s="314" t="s">
        <v>221</v>
      </c>
      <c r="BB43" s="314">
        <v>0</v>
      </c>
    </row>
    <row r="44" spans="1:57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0</v>
      </c>
      <c r="G44" s="405">
        <f>'ACTUAL- 23-24'!R28/10000000</f>
        <v>1.6489E-3</v>
      </c>
      <c r="H44" s="314"/>
      <c r="I44" s="314" t="s">
        <v>221</v>
      </c>
      <c r="J44" s="84" t="e">
        <f t="shared" si="22"/>
        <v>#VALUE!</v>
      </c>
      <c r="K44" s="1128">
        <v>6.3045000000000002E-3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15">
        <f>F44+'NOV-2023'!R44</f>
        <v>0.20511170000000001</v>
      </c>
      <c r="S44" s="315">
        <f>G44+'NOV-2023'!S44</f>
        <v>0.63487110000000002</v>
      </c>
      <c r="T44" s="314" t="s">
        <v>221</v>
      </c>
      <c r="U44" s="1853">
        <f>(S44-R44)/R44*100</f>
        <v>209.52456637042158</v>
      </c>
      <c r="X44" s="172">
        <v>0</v>
      </c>
      <c r="Y44" s="5">
        <v>0.06</v>
      </c>
      <c r="Z44" s="11" t="e">
        <f t="shared" si="24"/>
        <v>#DIV/0!</v>
      </c>
      <c r="AA44" s="11">
        <f t="shared" si="25"/>
        <v>-100</v>
      </c>
      <c r="AL44" s="5" t="s">
        <v>1016</v>
      </c>
      <c r="AM44" s="12">
        <f t="shared" si="26"/>
        <v>0.63487110000000002</v>
      </c>
      <c r="AT44" s="1286"/>
      <c r="AU44" s="378" t="s">
        <v>4</v>
      </c>
      <c r="AV44" s="1283">
        <v>0.211532</v>
      </c>
      <c r="AW44" s="540" t="s">
        <v>221</v>
      </c>
      <c r="AX44" s="307" t="s">
        <v>221</v>
      </c>
      <c r="AY44" s="315">
        <f t="shared" si="27"/>
        <v>0.20511170000000001</v>
      </c>
      <c r="AZ44" s="315">
        <f t="shared" si="28"/>
        <v>0.63487110000000002</v>
      </c>
      <c r="BA44" s="314" t="s">
        <v>221</v>
      </c>
      <c r="BB44" s="1853">
        <f>(AZ44-AY44)/AY44*100</f>
        <v>209.52456637042158</v>
      </c>
    </row>
    <row r="45" spans="1:57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0.1373993</v>
      </c>
      <c r="G45" s="313">
        <f>'ACTUAL- 23-24'!S28/10000000</f>
        <v>6.7354700000000003E-2</v>
      </c>
      <c r="H45" s="314"/>
      <c r="I45" s="1858">
        <f>(G45-F45)/F45*100</f>
        <v>-50.978862337726603</v>
      </c>
      <c r="J45" s="84" t="e">
        <f t="shared" si="22"/>
        <v>#VALUE!</v>
      </c>
      <c r="K45" s="1128">
        <v>7.3470099999999997E-2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15">
        <f>F45+'NOV-2023'!R45</f>
        <v>1.3501603</v>
      </c>
      <c r="S45" s="315">
        <f>G45+'NOV-2023'!S45</f>
        <v>0.82734350000000001</v>
      </c>
      <c r="T45" s="407" t="s">
        <v>221</v>
      </c>
      <c r="U45" s="1858">
        <f>(S45-R45)/R45*100</f>
        <v>-38.722572423437427</v>
      </c>
      <c r="W45" s="595">
        <f>W40+W41+W42+W44</f>
        <v>56.384790199999998</v>
      </c>
      <c r="X45" s="172">
        <f>X40+X41+X42+X44</f>
        <v>66.689364000000012</v>
      </c>
      <c r="Y45" s="172">
        <f>Y40+Y41+Y42+Y44</f>
        <v>4.1693125999999996</v>
      </c>
      <c r="Z45" s="11">
        <f t="shared" si="24"/>
        <v>18.27544939592595</v>
      </c>
      <c r="AA45" s="11">
        <f t="shared" si="25"/>
        <v>1499.528996698401</v>
      </c>
      <c r="AL45" s="5" t="s">
        <v>1017</v>
      </c>
      <c r="AM45" s="12">
        <f t="shared" si="26"/>
        <v>0.82734350000000001</v>
      </c>
      <c r="AT45" s="1204"/>
      <c r="AU45" s="378" t="s">
        <v>259</v>
      </c>
      <c r="AV45" s="1283">
        <v>1.5697181</v>
      </c>
      <c r="AW45" s="540" t="s">
        <v>221</v>
      </c>
      <c r="AX45" s="315" t="s">
        <v>221</v>
      </c>
      <c r="AY45" s="315">
        <f t="shared" si="27"/>
        <v>1.3501603</v>
      </c>
      <c r="AZ45" s="315">
        <f t="shared" si="28"/>
        <v>0.82734350000000001</v>
      </c>
      <c r="BA45" s="407" t="s">
        <v>221</v>
      </c>
      <c r="BB45" s="1858">
        <f>(AZ45-AY45)/AY45*100</f>
        <v>-38.722572423437427</v>
      </c>
    </row>
    <row r="46" spans="1:57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22"/>
        <v>#VALUE!</v>
      </c>
      <c r="L46" s="1476">
        <v>0.93056630000000007</v>
      </c>
      <c r="M46" s="2388"/>
      <c r="N46" s="2021" t="s">
        <v>419</v>
      </c>
      <c r="O46" s="2022"/>
      <c r="P46" s="2022"/>
      <c r="Q46" s="2022"/>
      <c r="R46" s="2022"/>
      <c r="S46" s="2022"/>
      <c r="T46" s="2022"/>
      <c r="U46" s="2023"/>
      <c r="AT46" s="2388"/>
      <c r="AU46" s="2021" t="s">
        <v>419</v>
      </c>
      <c r="AV46" s="2022"/>
      <c r="AW46" s="2022"/>
      <c r="AX46" s="2022"/>
      <c r="AY46" s="2022"/>
      <c r="AZ46" s="2022"/>
      <c r="BA46" s="2022"/>
      <c r="BB46" s="2023"/>
    </row>
    <row r="47" spans="1:57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07">
        <v>2.8</v>
      </c>
      <c r="F47" s="315">
        <v>1.7716099999999999</v>
      </c>
      <c r="G47" s="315">
        <f>'ACTUAL- 23-24'!E28/1000000</f>
        <v>1.716467</v>
      </c>
      <c r="H47" s="1859">
        <f>(G47-E47)/E47*100</f>
        <v>-38.697607142857137</v>
      </c>
      <c r="I47" s="314">
        <f>(G47-F47)/F47*100</f>
        <v>-3.1125925006067896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v>16.12</v>
      </c>
      <c r="R47" s="315">
        <f>F47+'NOV-2023'!R47</f>
        <v>13.879745</v>
      </c>
      <c r="S47" s="315">
        <f>G47+'NOV-2023'!S47</f>
        <v>16.326495999999999</v>
      </c>
      <c r="T47" s="1856">
        <f>(S47-Q47)/Q47*100</f>
        <v>1.2809925558312518</v>
      </c>
      <c r="U47" s="1853">
        <f>(S47-R47)/R47*100</f>
        <v>17.628212910251587</v>
      </c>
      <c r="V47" s="5">
        <f>S47/153</f>
        <v>0.10670912418300653</v>
      </c>
      <c r="AT47" s="2388"/>
      <c r="AU47" s="378" t="s">
        <v>794</v>
      </c>
      <c r="AV47" s="1283">
        <v>18.824966</v>
      </c>
      <c r="AW47" s="331">
        <v>22.9</v>
      </c>
      <c r="AX47" s="307">
        <f>Q47</f>
        <v>16.12</v>
      </c>
      <c r="AY47" s="315">
        <f>R47</f>
        <v>13.879745</v>
      </c>
      <c r="AZ47" s="315">
        <f>S47</f>
        <v>16.326495999999999</v>
      </c>
      <c r="BA47" s="1856">
        <f>(AZ47-AX47)/AX47*100</f>
        <v>1.2809925558312518</v>
      </c>
      <c r="BB47" s="1853">
        <f>(AZ47-AY47)/AY47*100</f>
        <v>17.628212910251587</v>
      </c>
      <c r="BC47" s="5">
        <f>AZ47/153</f>
        <v>0.10670912418300653</v>
      </c>
    </row>
    <row r="48" spans="1:57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065">
        <v>3.14</v>
      </c>
      <c r="F48" s="315">
        <v>1.674131</v>
      </c>
      <c r="G48" s="315">
        <f>'ACTUAL- 23-24'!F28/1000000</f>
        <v>1.760205</v>
      </c>
      <c r="H48" s="2533">
        <f>L48</f>
        <v>-5.7439171974522338</v>
      </c>
      <c r="I48" s="1853">
        <f>(G48-F48)/F48*100</f>
        <v>5.1414136647610009</v>
      </c>
      <c r="J48" s="12">
        <f>F48+F49</f>
        <v>2.7004969999999999</v>
      </c>
      <c r="K48" s="12">
        <f>G48+G49</f>
        <v>2.959641</v>
      </c>
      <c r="L48" s="1151">
        <f>(K48-E48)/E48*100</f>
        <v>-5.7439171974522338</v>
      </c>
      <c r="M48" s="2388"/>
      <c r="N48" s="1280" t="s">
        <v>792</v>
      </c>
      <c r="O48" s="1285">
        <v>15.344440000000001</v>
      </c>
      <c r="P48" s="2067">
        <v>32.97</v>
      </c>
      <c r="Q48" s="2065">
        <f>'NOV-2023'!Q48+'DEC-2023'!E48</f>
        <v>23.78</v>
      </c>
      <c r="R48" s="315">
        <f>F48+'NOV-2023'!R48</f>
        <v>10.801124999999999</v>
      </c>
      <c r="S48" s="315">
        <f>G48+'NOV-2023'!S48</f>
        <v>15.594919000000001</v>
      </c>
      <c r="T48" s="2527">
        <f>X48</f>
        <v>7.4720647603027741</v>
      </c>
      <c r="U48" s="1853">
        <f>(S48-R48)/R48*100</f>
        <v>44.382358319156587</v>
      </c>
      <c r="V48" s="12">
        <f>R48+R49</f>
        <v>20.481850999999999</v>
      </c>
      <c r="W48" s="12">
        <f>S48+S49</f>
        <v>25.556857000000001</v>
      </c>
      <c r="X48" s="1151">
        <f>(W48-Q48)/Q48*100</f>
        <v>7.4720647603027741</v>
      </c>
      <c r="AT48" s="2388"/>
      <c r="AU48" s="1280" t="s">
        <v>792</v>
      </c>
      <c r="AV48" s="1285">
        <v>15.344440000000001</v>
      </c>
      <c r="AW48" s="2067">
        <v>32.97</v>
      </c>
      <c r="AX48" s="2065">
        <f>Q48</f>
        <v>23.78</v>
      </c>
      <c r="AY48" s="315">
        <f t="shared" ref="AY48:AY49" si="31">R48</f>
        <v>10.801124999999999</v>
      </c>
      <c r="AZ48" s="315">
        <f t="shared" ref="AZ48:AZ49" si="32">S48</f>
        <v>15.594919000000001</v>
      </c>
      <c r="BA48" s="2527">
        <f>BE48</f>
        <v>7.4720647603027741</v>
      </c>
      <c r="BB48" s="1853">
        <f>(AZ48-AY48)/AY48*100</f>
        <v>44.382358319156587</v>
      </c>
      <c r="BC48" s="12">
        <f>AY48+AY49</f>
        <v>20.481850999999999</v>
      </c>
      <c r="BD48" s="12">
        <f>AZ48+AZ49</f>
        <v>25.556857000000001</v>
      </c>
      <c r="BE48" s="1151">
        <f>(BD48-AX48)/AX48*100</f>
        <v>7.4720647603027741</v>
      </c>
    </row>
    <row r="49" spans="1:54" ht="15.75" x14ac:dyDescent="0.45">
      <c r="A49" s="2387"/>
      <c r="B49" s="1606" t="s">
        <v>934</v>
      </c>
      <c r="C49" s="1524">
        <v>12.857975999999999</v>
      </c>
      <c r="D49" s="2066"/>
      <c r="E49" s="2066"/>
      <c r="F49" s="315">
        <v>1.0263659999999999</v>
      </c>
      <c r="G49" s="315">
        <f>'ACTUAL- 23-24'!G28/1000000</f>
        <v>1.1994359999999999</v>
      </c>
      <c r="H49" s="2534"/>
      <c r="I49" s="1853">
        <f>(G49-F49)/F49*100</f>
        <v>16.862405808454302</v>
      </c>
      <c r="J49" s="84">
        <v>31105</v>
      </c>
      <c r="K49" s="1198"/>
      <c r="L49" s="1477">
        <f>(K48-J48)/J48*100</f>
        <v>9.5961595217472961</v>
      </c>
      <c r="M49" s="2388"/>
      <c r="N49" s="320" t="s">
        <v>931</v>
      </c>
      <c r="O49" s="1285">
        <v>12.857975999999999</v>
      </c>
      <c r="P49" s="2068"/>
      <c r="Q49" s="2066"/>
      <c r="R49" s="315">
        <f>F49+'NOV-2023'!R49</f>
        <v>9.6807259999999999</v>
      </c>
      <c r="S49" s="315">
        <f>G49+'NOV-2023'!S49</f>
        <v>9.961938</v>
      </c>
      <c r="T49" s="2528"/>
      <c r="U49" s="1853">
        <f>(S49-R49)/R49*100</f>
        <v>2.9048647797696168</v>
      </c>
      <c r="V49" s="84"/>
      <c r="W49" s="1198"/>
      <c r="X49" s="1477">
        <f>(W48-V48)/V48*100</f>
        <v>24.778063271722864</v>
      </c>
      <c r="AT49" s="2388"/>
      <c r="AU49" s="320" t="s">
        <v>931</v>
      </c>
      <c r="AV49" s="1285">
        <v>12.857975999999999</v>
      </c>
      <c r="AW49" s="2068"/>
      <c r="AX49" s="2066"/>
      <c r="AY49" s="315">
        <f t="shared" si="31"/>
        <v>9.6807259999999999</v>
      </c>
      <c r="AZ49" s="315">
        <f t="shared" si="32"/>
        <v>9.961938</v>
      </c>
      <c r="BA49" s="2528"/>
      <c r="BB49" s="1853">
        <f>(AZ49-AY49)/AY49*100</f>
        <v>2.9048647797696168</v>
      </c>
    </row>
    <row r="50" spans="1:54" ht="16.5" customHeight="1" x14ac:dyDescent="0.45">
      <c r="A50" s="2387">
        <v>6</v>
      </c>
      <c r="B50" s="2021" t="s">
        <v>1040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8">
        <v>6</v>
      </c>
      <c r="N50" s="2021" t="s">
        <v>1040</v>
      </c>
      <c r="O50" s="2022"/>
      <c r="P50" s="2022"/>
      <c r="Q50" s="2022"/>
      <c r="R50" s="2022"/>
      <c r="S50" s="2022"/>
      <c r="T50" s="2022"/>
      <c r="U50" s="2023"/>
      <c r="V50" s="323">
        <f>R48+R47</f>
        <v>24.680869999999999</v>
      </c>
      <c r="W50" s="323">
        <f>S48+S47</f>
        <v>31.921415</v>
      </c>
      <c r="X50" s="314">
        <f>(W50-V50)/V50*100</f>
        <v>29.336668439969909</v>
      </c>
      <c r="AT50" s="2388">
        <v>6</v>
      </c>
      <c r="AU50" s="2021" t="s">
        <v>1040</v>
      </c>
      <c r="AV50" s="2022"/>
      <c r="AW50" s="2022"/>
      <c r="AX50" s="2022"/>
      <c r="AY50" s="2022"/>
      <c r="AZ50" s="2022"/>
      <c r="BA50" s="2022"/>
      <c r="BB50" s="2023"/>
    </row>
    <row r="51" spans="1:54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203.68</v>
      </c>
      <c r="G51" s="313">
        <v>418.9</v>
      </c>
      <c r="H51" s="2027" t="s">
        <v>221</v>
      </c>
      <c r="I51" s="1853">
        <f>(G51-F51)/F51*100</f>
        <v>105.66575019638647</v>
      </c>
      <c r="K51" s="84">
        <v>1.4243969999999999</v>
      </c>
      <c r="M51" s="2388"/>
      <c r="N51" s="2006" t="s">
        <v>36</v>
      </c>
      <c r="O51" s="2007"/>
      <c r="P51" s="2368">
        <v>0.55000000000000004</v>
      </c>
      <c r="Q51" s="2024" t="s">
        <v>221</v>
      </c>
      <c r="R51" s="313">
        <v>203.68</v>
      </c>
      <c r="S51" s="313">
        <v>418.9</v>
      </c>
      <c r="T51" s="2027"/>
      <c r="U51" s="1853">
        <f>(S51-R51)/R51*100</f>
        <v>105.66575019638647</v>
      </c>
      <c r="AT51" s="2388"/>
      <c r="AU51" s="2006" t="s">
        <v>36</v>
      </c>
      <c r="AV51" s="2007"/>
      <c r="AW51" s="2368">
        <v>0.55000000000000004</v>
      </c>
      <c r="AX51" s="2024" t="s">
        <v>221</v>
      </c>
      <c r="AY51" s="313">
        <v>203.68</v>
      </c>
      <c r="AZ51" s="313">
        <v>418.9</v>
      </c>
      <c r="BA51" s="2027"/>
      <c r="BB51" s="1853">
        <f>(AZ51-AY51)/AY51*100</f>
        <v>105.66575019638647</v>
      </c>
    </row>
    <row r="52" spans="1:54" ht="15.4" x14ac:dyDescent="0.4">
      <c r="A52" s="2387"/>
      <c r="B52" s="378" t="s">
        <v>37</v>
      </c>
      <c r="C52" s="1525"/>
      <c r="D52" s="2369"/>
      <c r="E52" s="2025"/>
      <c r="F52" s="313">
        <v>36.24</v>
      </c>
      <c r="G52" s="313">
        <v>23.52</v>
      </c>
      <c r="H52" s="2028"/>
      <c r="I52" s="314">
        <f>(G52-F52)/F52*100</f>
        <v>-35.099337748344375</v>
      </c>
      <c r="K52" s="84">
        <v>1.1149039999999999</v>
      </c>
      <c r="M52" s="2388"/>
      <c r="N52" s="2006" t="s">
        <v>37</v>
      </c>
      <c r="O52" s="2007"/>
      <c r="P52" s="2369"/>
      <c r="Q52" s="2025"/>
      <c r="R52" s="313">
        <v>36.24</v>
      </c>
      <c r="S52" s="313">
        <v>23.52</v>
      </c>
      <c r="T52" s="2028"/>
      <c r="U52" s="1858">
        <f>(S52-R52)/R52*100</f>
        <v>-35.099337748344375</v>
      </c>
      <c r="AT52" s="2388"/>
      <c r="AU52" s="2006" t="s">
        <v>37</v>
      </c>
      <c r="AV52" s="2007"/>
      <c r="AW52" s="2369"/>
      <c r="AX52" s="2025"/>
      <c r="AY52" s="313">
        <v>36.24</v>
      </c>
      <c r="AZ52" s="313">
        <v>23.52</v>
      </c>
      <c r="BA52" s="2028"/>
      <c r="BB52" s="1858">
        <f>(AZ52-AY52)/AY52*100</f>
        <v>-35.099337748344375</v>
      </c>
    </row>
    <row r="53" spans="1:54" ht="15.4" x14ac:dyDescent="0.4">
      <c r="A53" s="2387"/>
      <c r="B53" s="378" t="s">
        <v>38</v>
      </c>
      <c r="C53" s="1525"/>
      <c r="D53" s="2245"/>
      <c r="E53" s="2026"/>
      <c r="F53" s="313">
        <f>F52+F51</f>
        <v>239.92000000000002</v>
      </c>
      <c r="G53" s="313">
        <f>SUM(G51:G52)</f>
        <v>442.41999999999996</v>
      </c>
      <c r="H53" s="2029"/>
      <c r="I53" s="1853">
        <f>(G53-F53)/F53*100</f>
        <v>84.403134378126012</v>
      </c>
      <c r="K53" s="84">
        <v>1.0979049999999999</v>
      </c>
      <c r="M53" s="2388"/>
      <c r="N53" s="2006" t="s">
        <v>38</v>
      </c>
      <c r="O53" s="2007"/>
      <c r="P53" s="2245"/>
      <c r="Q53" s="2026"/>
      <c r="R53" s="313">
        <f>R52+R51</f>
        <v>239.92000000000002</v>
      </c>
      <c r="S53" s="313">
        <f>SUM(S51:S52)</f>
        <v>442.41999999999996</v>
      </c>
      <c r="T53" s="2029"/>
      <c r="U53" s="1853">
        <f>(S53-R53)/R53*100</f>
        <v>84.403134378126012</v>
      </c>
      <c r="AT53" s="2388"/>
      <c r="AU53" s="2006" t="s">
        <v>38</v>
      </c>
      <c r="AV53" s="2007"/>
      <c r="AW53" s="2245"/>
      <c r="AX53" s="2026"/>
      <c r="AY53" s="313">
        <f>AY52+AY51</f>
        <v>239.92000000000002</v>
      </c>
      <c r="AZ53" s="313">
        <f>SUM(AZ51:AZ52)</f>
        <v>442.41999999999996</v>
      </c>
      <c r="BA53" s="2029"/>
      <c r="BB53" s="1853">
        <f>(AZ53-AY53)/AY53*100</f>
        <v>84.403134378126012</v>
      </c>
    </row>
    <row r="54" spans="1:54" x14ac:dyDescent="0.4">
      <c r="B54" s="1748"/>
      <c r="C54" s="1810" t="s">
        <v>195</v>
      </c>
      <c r="D54" s="1810" t="s">
        <v>227</v>
      </c>
      <c r="E54" s="1811" t="s">
        <v>494</v>
      </c>
      <c r="F54" s="1740"/>
      <c r="G54" s="1810" t="s">
        <v>195</v>
      </c>
      <c r="H54" s="1810" t="s">
        <v>227</v>
      </c>
      <c r="I54" s="1811" t="s">
        <v>494</v>
      </c>
      <c r="N54" s="1740"/>
      <c r="O54" s="1810" t="s">
        <v>195</v>
      </c>
      <c r="P54" s="1810" t="s">
        <v>227</v>
      </c>
      <c r="Q54" s="1811" t="s">
        <v>494</v>
      </c>
      <c r="R54" s="1810"/>
      <c r="S54" s="1810" t="s">
        <v>195</v>
      </c>
      <c r="T54" s="1810" t="s">
        <v>227</v>
      </c>
      <c r="U54" s="1811" t="s">
        <v>494</v>
      </c>
      <c r="AT54" s="1209"/>
      <c r="AU54" s="1740"/>
      <c r="AV54" s="1810" t="s">
        <v>195</v>
      </c>
      <c r="AW54" s="1810" t="s">
        <v>227</v>
      </c>
      <c r="AX54" s="1811" t="s">
        <v>494</v>
      </c>
      <c r="AY54" s="1810"/>
      <c r="AZ54" s="1810" t="s">
        <v>195</v>
      </c>
      <c r="BA54" s="1810" t="s">
        <v>227</v>
      </c>
      <c r="BB54" s="1811" t="s">
        <v>494</v>
      </c>
    </row>
    <row r="55" spans="1:54" ht="15.75" x14ac:dyDescent="0.45">
      <c r="B55" s="1742" t="s">
        <v>989</v>
      </c>
      <c r="C55" s="1743">
        <f>F15+F16</f>
        <v>16.253164099999999</v>
      </c>
      <c r="D55" s="1743">
        <f>G15+G16</f>
        <v>17.447111900000003</v>
      </c>
      <c r="E55" s="1744">
        <f>(D55-C55)/C55*100</f>
        <v>7.3459407205517833</v>
      </c>
      <c r="F55" s="1745" t="s">
        <v>991</v>
      </c>
      <c r="G55" s="1745">
        <f>F48+F47</f>
        <v>3.4457409999999999</v>
      </c>
      <c r="H55" s="1745">
        <f>G48+G47</f>
        <v>3.4766719999999998</v>
      </c>
      <c r="I55" s="1744">
        <f>(H55-G55)/G55*100</f>
        <v>0.89765887801781452</v>
      </c>
      <c r="N55" s="1742" t="s">
        <v>989</v>
      </c>
      <c r="O55" s="1743">
        <f>R15+R16</f>
        <v>92.173461599999996</v>
      </c>
      <c r="P55" s="1743">
        <f>S15+S16</f>
        <v>161.3142622</v>
      </c>
      <c r="Q55" s="1744">
        <f>(P55-O55)/O55*100</f>
        <v>75.011613321029941</v>
      </c>
      <c r="R55" s="1745" t="s">
        <v>991</v>
      </c>
      <c r="S55" s="1745">
        <f>R48+R47</f>
        <v>24.680869999999999</v>
      </c>
      <c r="T55" s="1745">
        <f>S48+S47</f>
        <v>31.921415</v>
      </c>
      <c r="U55" s="1744">
        <f>(T55-S55)/S55*100</f>
        <v>29.336668439969909</v>
      </c>
      <c r="W55" s="12" t="e">
        <f>R56+R57</f>
        <v>#VALUE!</v>
      </c>
      <c r="X55" s="12">
        <f>S56+S57</f>
        <v>20.481850999999999</v>
      </c>
      <c r="Z55" s="314" t="e">
        <f>(X55-W55)/W55*100</f>
        <v>#VALUE!</v>
      </c>
      <c r="AT55" s="1209"/>
      <c r="AU55" s="1742" t="s">
        <v>989</v>
      </c>
      <c r="AV55" s="1743">
        <f>AY15+AY16</f>
        <v>92.173461599999996</v>
      </c>
      <c r="AW55" s="1743">
        <f>AZ15+AZ16</f>
        <v>161.3142622</v>
      </c>
      <c r="AX55" s="1744">
        <f>(AW55-AV55)/AV55*100</f>
        <v>75.011613321029941</v>
      </c>
      <c r="AY55" s="1745" t="s">
        <v>991</v>
      </c>
      <c r="AZ55" s="1745">
        <f>AY48+AY47</f>
        <v>24.680869999999999</v>
      </c>
      <c r="BA55" s="1745">
        <f>AZ48+AZ47</f>
        <v>31.921415</v>
      </c>
      <c r="BB55" s="1744">
        <f>(BA55-AZ55)/AZ55*100</f>
        <v>29.336668439969909</v>
      </c>
    </row>
    <row r="56" spans="1:54" ht="15.75" x14ac:dyDescent="0.45">
      <c r="B56" s="1742" t="s">
        <v>990</v>
      </c>
      <c r="C56" s="1743">
        <f>F16+F17</f>
        <v>90.3573351</v>
      </c>
      <c r="D56" s="1743">
        <f>G16+G17</f>
        <v>106.9097088</v>
      </c>
      <c r="E56" s="1744">
        <f>(D56-C56)/C56*100</f>
        <v>18.318793578497207</v>
      </c>
      <c r="F56" s="1746" t="s">
        <v>992</v>
      </c>
      <c r="G56" s="1747">
        <f>F48+F49</f>
        <v>2.7004969999999999</v>
      </c>
      <c r="H56" s="1747">
        <f>G48+G49</f>
        <v>2.959641</v>
      </c>
      <c r="I56" s="1744">
        <f>(H56-G56)/G56*100</f>
        <v>9.5961595217472961</v>
      </c>
      <c r="J56" s="314"/>
      <c r="K56" s="5"/>
      <c r="N56" s="1742" t="s">
        <v>990</v>
      </c>
      <c r="O56" s="1743">
        <f>R16+R17</f>
        <v>740.13269079999986</v>
      </c>
      <c r="P56" s="1743">
        <f>S16+S17</f>
        <v>888.55493660000002</v>
      </c>
      <c r="Q56" s="1744">
        <f>(P56-O56)/O56*100</f>
        <v>20.053464418599383</v>
      </c>
      <c r="R56" s="1746" t="s">
        <v>992</v>
      </c>
      <c r="S56" s="1747">
        <f>R48+R49</f>
        <v>20.481850999999999</v>
      </c>
      <c r="T56" s="1747">
        <f>S48+S49</f>
        <v>25.556857000000001</v>
      </c>
      <c r="U56" s="1744">
        <f>(T56-S56)/S56*100</f>
        <v>24.778063271722864</v>
      </c>
      <c r="AT56" s="1209"/>
      <c r="AU56" s="1742" t="s">
        <v>990</v>
      </c>
      <c r="AV56" s="1743">
        <f>AY16+AY17</f>
        <v>740.13269079999986</v>
      </c>
      <c r="AW56" s="1743">
        <f>AZ16+AZ17</f>
        <v>888.55493660000002</v>
      </c>
      <c r="AX56" s="1744">
        <f>(AW56-AV56)/AV56*100</f>
        <v>20.053464418599383</v>
      </c>
      <c r="AY56" s="1746" t="s">
        <v>992</v>
      </c>
      <c r="AZ56" s="1747">
        <f>AY48+AY49</f>
        <v>20.481850999999999</v>
      </c>
      <c r="BA56" s="1747">
        <f>AZ48+AZ49</f>
        <v>25.556857000000001</v>
      </c>
      <c r="BB56" s="1744">
        <f>(BA56-AZ56)/AZ56*100</f>
        <v>24.778063271722864</v>
      </c>
    </row>
    <row r="57" spans="1:54" ht="15.75" x14ac:dyDescent="0.45">
      <c r="J57" s="35"/>
      <c r="L57" s="35"/>
      <c r="Q57" s="229"/>
      <c r="R57" s="12"/>
      <c r="S57" s="12"/>
      <c r="U57" s="314"/>
    </row>
    <row r="58" spans="1:54" x14ac:dyDescent="0.4">
      <c r="D58" s="1407"/>
      <c r="E58" s="1192">
        <v>44917</v>
      </c>
      <c r="F58" s="1192">
        <v>45283</v>
      </c>
      <c r="H58" s="1192">
        <f>E58</f>
        <v>44917</v>
      </c>
      <c r="I58" s="1192">
        <f>F58</f>
        <v>45283</v>
      </c>
      <c r="K58" s="84">
        <v>2.94</v>
      </c>
      <c r="R58" s="12">
        <f>SUM(R55:R57)</f>
        <v>0</v>
      </c>
      <c r="S58" s="12">
        <f>SUM(S55:S57)</f>
        <v>45.162720999999998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54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Q59" s="12"/>
      <c r="S59" s="9" t="s">
        <v>152</v>
      </c>
      <c r="T59" s="1291">
        <f>E58</f>
        <v>44917</v>
      </c>
      <c r="U59" s="1291">
        <f>F58</f>
        <v>45283</v>
      </c>
      <c r="V59" s="26"/>
      <c r="W59" s="1291">
        <v>44958</v>
      </c>
      <c r="X59" s="1291">
        <v>44958</v>
      </c>
      <c r="Y59" s="26"/>
      <c r="Z59" s="1291">
        <f>T59</f>
        <v>44917</v>
      </c>
      <c r="AA59" s="1291">
        <f>X59</f>
        <v>44958</v>
      </c>
      <c r="AC59" s="5">
        <v>57578</v>
      </c>
      <c r="AD59" s="5">
        <v>76550</v>
      </c>
    </row>
    <row r="60" spans="1:54" ht="15.4" x14ac:dyDescent="0.45">
      <c r="D60" s="1407" t="s">
        <v>94</v>
      </c>
      <c r="E60" s="1193">
        <f>H60/10000000</f>
        <v>0.83037729999999998</v>
      </c>
      <c r="F60" s="1193">
        <f>I60/10000000</f>
        <v>0.84228420000000004</v>
      </c>
      <c r="H60" s="598">
        <f>E152</f>
        <v>8303773</v>
      </c>
      <c r="I60" s="598">
        <f>E115</f>
        <v>8422842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54" ht="15.4" x14ac:dyDescent="0.45">
      <c r="D61" s="1407" t="s">
        <v>502</v>
      </c>
      <c r="E61" s="1193">
        <f>H61/10000000</f>
        <v>11.860859400000001</v>
      </c>
      <c r="F61" s="1193">
        <f t="shared" ref="E61:F62" si="33">I61/10000000</f>
        <v>12.760276599999999</v>
      </c>
      <c r="H61" s="598">
        <f>G152</f>
        <v>118608594</v>
      </c>
      <c r="I61" s="598">
        <f>G115</f>
        <v>127602766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54" ht="16.149999999999999" thickBot="1" x14ac:dyDescent="0.5">
      <c r="D62" s="1407" t="s">
        <v>767</v>
      </c>
      <c r="E62" s="1193">
        <f t="shared" si="33"/>
        <v>58.470815199999997</v>
      </c>
      <c r="F62" s="1193">
        <f>I62/10000000</f>
        <v>70.922575199999997</v>
      </c>
      <c r="H62" s="1496">
        <f>I152</f>
        <v>584708152</v>
      </c>
      <c r="I62" s="1496">
        <f>I115</f>
        <v>709225752</v>
      </c>
      <c r="J62" s="1320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54" ht="15.75" x14ac:dyDescent="0.45">
      <c r="E63" s="428"/>
      <c r="F63" s="428"/>
      <c r="J63" s="1215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54" ht="15.4" x14ac:dyDescent="0.4">
      <c r="E64" s="428"/>
      <c r="F64" s="428"/>
      <c r="I64" s="82">
        <f>J65/1000000</f>
        <v>0.23699999999999999</v>
      </c>
      <c r="K64" s="212"/>
      <c r="L64" s="1217"/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5.4" x14ac:dyDescent="0.45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>
        <f>SUM(T60:T64)</f>
        <v>665125</v>
      </c>
      <c r="U65" s="26">
        <f t="shared" ref="U65:AA65" si="34">SUM(U60:U64)</f>
        <v>3363834</v>
      </c>
      <c r="W65" s="9">
        <f>SUM(W60:W64)</f>
        <v>1174725</v>
      </c>
      <c r="X65" s="9">
        <f t="shared" si="34"/>
        <v>7176648</v>
      </c>
      <c r="Y65" s="26"/>
      <c r="Z65" s="9">
        <f t="shared" si="34"/>
        <v>403700</v>
      </c>
      <c r="AA65" s="9">
        <f t="shared" si="34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5.4" x14ac:dyDescent="0.45">
      <c r="D66" s="1407" t="s">
        <v>94</v>
      </c>
      <c r="E66" s="1193">
        <f>H66/1000000</f>
        <v>1.4131959999999999</v>
      </c>
      <c r="F66" s="1193">
        <f>I66/1000000</f>
        <v>1.3391420000000001</v>
      </c>
      <c r="H66" s="598">
        <f>D152</f>
        <v>1413196</v>
      </c>
      <c r="I66" s="598">
        <f>D115</f>
        <v>1339142</v>
      </c>
      <c r="J66" s="323">
        <f>H66/100000</f>
        <v>14.131959999999999</v>
      </c>
      <c r="K66" s="323">
        <f t="shared" ref="K66:K68" si="35">I66/100000</f>
        <v>13.39142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5.4" x14ac:dyDescent="0.45">
      <c r="D67" s="1407" t="s">
        <v>502</v>
      </c>
      <c r="E67" s="1193">
        <f t="shared" ref="E67:F68" si="36">H67/1000000</f>
        <v>1.328233</v>
      </c>
      <c r="F67" s="1193">
        <f t="shared" si="36"/>
        <v>1.3876459999999999</v>
      </c>
      <c r="H67" s="598">
        <f>F152</f>
        <v>1328233</v>
      </c>
      <c r="I67" s="598">
        <f>F115</f>
        <v>1387646</v>
      </c>
      <c r="J67" s="323">
        <f>H67/100000</f>
        <v>13.28233</v>
      </c>
      <c r="K67" s="323">
        <f t="shared" si="35"/>
        <v>13.87646</v>
      </c>
      <c r="L67" s="491">
        <f>K66/100000</f>
        <v>1.3391419999999999E-4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5.4" x14ac:dyDescent="0.45">
      <c r="D68" s="1407" t="s">
        <v>767</v>
      </c>
      <c r="E68" s="1193">
        <f t="shared" si="36"/>
        <v>0.80608999999999997</v>
      </c>
      <c r="F68" s="1193">
        <f>I68/1000000</f>
        <v>0.95572299999999999</v>
      </c>
      <c r="H68" s="1496">
        <f>H152</f>
        <v>806090</v>
      </c>
      <c r="I68" s="1496">
        <f>H115</f>
        <v>955723</v>
      </c>
      <c r="J68" s="323">
        <f>H68/100000</f>
        <v>8.0609000000000002</v>
      </c>
      <c r="K68" s="323">
        <f t="shared" si="35"/>
        <v>9.5572300000000006</v>
      </c>
      <c r="L68" s="491">
        <f>K67/100000</f>
        <v>1.387646E-4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J69" s="323"/>
      <c r="K69" s="212"/>
      <c r="L69" s="491">
        <f>K68/100000</f>
        <v>9.5572300000000007E-5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5.4" x14ac:dyDescent="0.45">
      <c r="D71" s="1418" t="s">
        <v>436</v>
      </c>
      <c r="E71" s="134">
        <f>H71</f>
        <v>1.1907479999999999</v>
      </c>
      <c r="F71" s="134">
        <f>I71</f>
        <v>0.99317599999999995</v>
      </c>
      <c r="H71" s="1372">
        <f>J71/10000000</f>
        <v>1.1907479999999999</v>
      </c>
      <c r="I71" s="1372">
        <f>K71/10000000</f>
        <v>0.99317599999999995</v>
      </c>
      <c r="J71" s="802">
        <v>11907480</v>
      </c>
      <c r="K71">
        <v>9931760</v>
      </c>
      <c r="L71" s="1217"/>
      <c r="N71" s="755">
        <v>185546505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5">
        <f>66.07-3.11</f>
        <v>62.959999999999994</v>
      </c>
      <c r="D72" s="1418" t="s">
        <v>769</v>
      </c>
      <c r="E72" s="134">
        <f>J79/100</f>
        <v>1.6237000000000001</v>
      </c>
      <c r="F72" s="134">
        <f>K79/100</f>
        <v>1.8367999999999998</v>
      </c>
      <c r="H72" s="1263"/>
      <c r="I72" s="1263"/>
      <c r="J72" s="85"/>
      <c r="K72" s="134"/>
      <c r="L72" s="1217"/>
      <c r="N72" s="5">
        <v>8209935</v>
      </c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6.0299999999999999E-2</v>
      </c>
      <c r="F73" s="283">
        <f>K77/100</f>
        <v>7.7100000000000002E-2</v>
      </c>
      <c r="H73" s="1263"/>
      <c r="I73" s="1263"/>
      <c r="J73" s="283"/>
      <c r="K73" s="283"/>
      <c r="L73" s="1217"/>
      <c r="U73" s="1239"/>
      <c r="AB73" s="1239"/>
    </row>
    <row r="74" spans="3:30" ht="15.4" x14ac:dyDescent="0.45">
      <c r="D74" s="1418" t="s">
        <v>196</v>
      </c>
      <c r="E74" s="134">
        <f>H74/10000000</f>
        <v>0.19834399999999999</v>
      </c>
      <c r="F74" s="134">
        <f>I74/10000000</f>
        <v>0.209205</v>
      </c>
      <c r="H74" s="1578">
        <f>J152</f>
        <v>1983440</v>
      </c>
      <c r="I74" s="1578">
        <f>J115</f>
        <v>2092050</v>
      </c>
      <c r="J74" s="598"/>
      <c r="K74" s="210">
        <f>J116</f>
        <v>92080</v>
      </c>
      <c r="L74" s="1217"/>
      <c r="M74" s="1210"/>
      <c r="N74" s="12"/>
      <c r="O74" s="1132">
        <v>0.41666666666666669</v>
      </c>
      <c r="P74" s="1132">
        <v>0.61805555555555558</v>
      </c>
      <c r="Q74" s="1132">
        <f>P74-O74</f>
        <v>0.2013888888888889</v>
      </c>
      <c r="X74" s="5"/>
    </row>
    <row r="75" spans="3:30" ht="15.4" x14ac:dyDescent="0.45">
      <c r="D75" s="1418" t="s">
        <v>123</v>
      </c>
      <c r="E75" s="425">
        <f>H75</f>
        <v>0.69250849999999997</v>
      </c>
      <c r="F75" s="425">
        <f>I75</f>
        <v>4.5686999999999998E-2</v>
      </c>
      <c r="H75" s="1372">
        <f>J75/10000000</f>
        <v>0.69250849999999997</v>
      </c>
      <c r="I75" s="1372">
        <f>K75/10000000</f>
        <v>4.5686999999999998E-2</v>
      </c>
      <c r="J75" s="210">
        <f>L152</f>
        <v>6925085</v>
      </c>
      <c r="K75" s="1498">
        <f>L115</f>
        <v>456870</v>
      </c>
    </row>
    <row r="76" spans="3:30" ht="15.4" x14ac:dyDescent="0.45">
      <c r="D76" s="1418" t="s">
        <v>435</v>
      </c>
      <c r="E76" s="134">
        <f>H76/10000000</f>
        <v>3.2047327000000001</v>
      </c>
      <c r="F76" s="134">
        <f>I76/10000000</f>
        <v>3.7362441999999998</v>
      </c>
      <c r="H76" s="1578">
        <f>K152</f>
        <v>32047327</v>
      </c>
      <c r="I76" s="1578">
        <f>K115</f>
        <v>37362442</v>
      </c>
      <c r="J76" s="1498"/>
      <c r="K76" s="1499"/>
      <c r="N76" s="755"/>
    </row>
    <row r="77" spans="3:30" x14ac:dyDescent="0.4">
      <c r="D77" s="1417" t="s">
        <v>266</v>
      </c>
      <c r="E77" s="134">
        <f>H77/10000000</f>
        <v>5.4324999999999998E-3</v>
      </c>
      <c r="F77" s="134">
        <f>I77/10000000</f>
        <v>6.1449E-3</v>
      </c>
      <c r="H77" s="1224">
        <f>200+200+6975+225+45875+850</f>
        <v>54325</v>
      </c>
      <c r="I77" s="1224">
        <f>2000+7770+39695+8019+3150+815</f>
        <v>61449</v>
      </c>
      <c r="J77" s="85">
        <v>6.03</v>
      </c>
      <c r="K77" s="134">
        <v>7.71</v>
      </c>
    </row>
    <row r="78" spans="3:30" x14ac:dyDescent="0.4">
      <c r="E78" s="428"/>
      <c r="F78" s="428"/>
      <c r="J78" s="85">
        <v>168.4</v>
      </c>
      <c r="K78" s="85">
        <v>191.39</v>
      </c>
      <c r="L78" s="172">
        <f>J77/100</f>
        <v>6.0299999999999999E-2</v>
      </c>
    </row>
    <row r="79" spans="3:30" x14ac:dyDescent="0.4">
      <c r="E79" s="428"/>
      <c r="F79" s="428"/>
      <c r="J79" s="85">
        <f>J78-J77</f>
        <v>162.37</v>
      </c>
      <c r="K79" s="134">
        <f>K78-K77</f>
        <v>183.67999999999998</v>
      </c>
    </row>
    <row r="80" spans="3:30" x14ac:dyDescent="0.4">
      <c r="E80" s="428"/>
      <c r="F80" s="428"/>
      <c r="L80" s="172">
        <f>J79/100</f>
        <v>1.6237000000000001</v>
      </c>
    </row>
    <row r="81" spans="3:21" x14ac:dyDescent="0.4">
      <c r="C81" s="9"/>
      <c r="D81" s="235" t="s">
        <v>164</v>
      </c>
      <c r="E81" s="265" t="s">
        <v>710</v>
      </c>
      <c r="F81" s="29" t="s">
        <v>164</v>
      </c>
      <c r="G81" s="265" t="s">
        <v>710</v>
      </c>
      <c r="H81" s="29" t="s">
        <v>164</v>
      </c>
      <c r="I81" s="265" t="s">
        <v>710</v>
      </c>
      <c r="J81" s="29"/>
      <c r="K81" s="29"/>
      <c r="L81" s="1596"/>
    </row>
    <row r="82" spans="3:21" x14ac:dyDescent="0.4">
      <c r="C82" s="9"/>
      <c r="D82" s="235">
        <v>23</v>
      </c>
      <c r="E82" s="29">
        <v>23</v>
      </c>
      <c r="F82" s="29">
        <v>23</v>
      </c>
      <c r="G82" s="29">
        <v>23</v>
      </c>
      <c r="H82" s="29">
        <v>23</v>
      </c>
      <c r="I82" s="29">
        <v>23</v>
      </c>
      <c r="J82" s="29" t="s">
        <v>196</v>
      </c>
      <c r="K82" s="780">
        <v>23</v>
      </c>
      <c r="L82" s="1596"/>
    </row>
    <row r="83" spans="3:21" x14ac:dyDescent="0.4">
      <c r="C83" s="9"/>
      <c r="D83" s="1939" t="s">
        <v>795</v>
      </c>
      <c r="E83" s="1939"/>
      <c r="F83" s="1939" t="s">
        <v>796</v>
      </c>
      <c r="G83" s="1939"/>
      <c r="H83" s="1939" t="s">
        <v>797</v>
      </c>
      <c r="I83" s="1939"/>
      <c r="J83" s="29">
        <v>23</v>
      </c>
      <c r="K83" s="9" t="s">
        <v>882</v>
      </c>
      <c r="L83" s="1596" t="s">
        <v>123</v>
      </c>
      <c r="O83" s="5" t="s">
        <v>195</v>
      </c>
      <c r="P83" s="5" t="s">
        <v>227</v>
      </c>
    </row>
    <row r="84" spans="3:21" ht="15.4" x14ac:dyDescent="0.45">
      <c r="C84" s="1239">
        <v>45261</v>
      </c>
      <c r="D84" s="1599"/>
      <c r="E84" s="1600"/>
      <c r="F84" s="224"/>
      <c r="G84" s="224"/>
      <c r="H84" s="1601"/>
      <c r="I84" s="1602"/>
      <c r="J84" s="1575"/>
      <c r="K84" s="1602"/>
      <c r="L84" s="1577"/>
      <c r="N84" s="378" t="s">
        <v>27</v>
      </c>
      <c r="O84" s="1449"/>
      <c r="P84" s="476">
        <v>905484</v>
      </c>
      <c r="Q84" s="27">
        <f>P84/10000000</f>
        <v>9.0548400000000001E-2</v>
      </c>
      <c r="R84" s="7"/>
      <c r="S84" s="1453"/>
      <c r="T84" s="828"/>
      <c r="U84" s="85"/>
    </row>
    <row r="85" spans="3:21" x14ac:dyDescent="0.4">
      <c r="C85" s="1239">
        <v>45262</v>
      </c>
      <c r="D85" s="1451"/>
      <c r="E85" s="476"/>
      <c r="F85" s="7"/>
      <c r="G85" s="7"/>
      <c r="H85" s="224"/>
      <c r="I85" s="1576"/>
      <c r="J85" s="1576"/>
      <c r="K85" s="1575"/>
      <c r="L85" s="1577"/>
      <c r="N85" s="378" t="s">
        <v>28</v>
      </c>
      <c r="O85" s="1451"/>
      <c r="P85" s="476">
        <v>358386</v>
      </c>
      <c r="Q85" s="27">
        <f t="shared" ref="Q85:Q86" si="37">P85/10000000</f>
        <v>3.5838599999999998E-2</v>
      </c>
      <c r="R85" s="7"/>
      <c r="S85" s="224"/>
      <c r="T85" s="1576"/>
      <c r="U85" s="1576"/>
    </row>
    <row r="86" spans="3:21" x14ac:dyDescent="0.4">
      <c r="C86" s="1239">
        <v>45263</v>
      </c>
      <c r="D86" s="1451"/>
      <c r="E86" s="476"/>
      <c r="F86" s="7"/>
      <c r="G86" s="7"/>
      <c r="H86" s="7"/>
      <c r="I86" s="210"/>
      <c r="J86" s="210"/>
      <c r="K86" s="85"/>
      <c r="L86" s="1297"/>
      <c r="N86" s="378" t="s">
        <v>224</v>
      </c>
      <c r="O86" s="1451"/>
      <c r="P86" s="476">
        <v>1459000</v>
      </c>
      <c r="Q86" s="27">
        <f t="shared" si="37"/>
        <v>0.1459</v>
      </c>
      <c r="R86" s="7"/>
      <c r="S86" s="7"/>
      <c r="T86" s="210"/>
      <c r="U86" s="210"/>
    </row>
    <row r="87" spans="3:21" x14ac:dyDescent="0.4">
      <c r="C87" s="1239">
        <v>45264</v>
      </c>
      <c r="D87" s="1451"/>
      <c r="E87" s="476"/>
      <c r="F87" s="7"/>
      <c r="G87" s="7"/>
      <c r="H87" s="7"/>
      <c r="I87" s="210"/>
      <c r="J87" s="210"/>
      <c r="K87" s="85"/>
      <c r="L87" s="1297"/>
      <c r="N87" s="378" t="s">
        <v>30</v>
      </c>
      <c r="O87" s="1451"/>
      <c r="P87" s="476"/>
      <c r="Q87" s="7"/>
      <c r="R87" s="7"/>
      <c r="S87" s="7"/>
      <c r="T87" s="210"/>
      <c r="U87" s="210"/>
    </row>
    <row r="88" spans="3:21" ht="15.75" thickBot="1" x14ac:dyDescent="0.5">
      <c r="C88" s="1239">
        <v>45265</v>
      </c>
      <c r="D88" s="1451"/>
      <c r="E88" s="476"/>
      <c r="F88" s="7"/>
      <c r="G88" s="7"/>
      <c r="H88" s="824"/>
      <c r="I88" s="755"/>
      <c r="J88" s="1604"/>
      <c r="K88" s="755"/>
      <c r="L88" s="1297"/>
      <c r="N88" s="378" t="s">
        <v>4</v>
      </c>
      <c r="O88" s="1451"/>
      <c r="P88" s="476"/>
      <c r="Q88" s="7"/>
      <c r="R88" s="7"/>
      <c r="S88" s="7"/>
      <c r="T88" s="210"/>
      <c r="U88" s="210"/>
    </row>
    <row r="89" spans="3:21" ht="15.75" thickBot="1" x14ac:dyDescent="0.5">
      <c r="C89" s="1239">
        <v>45266</v>
      </c>
      <c r="D89" s="1451"/>
      <c r="E89" s="476"/>
      <c r="F89" s="6"/>
      <c r="G89" s="6"/>
      <c r="H89" s="1255"/>
      <c r="I89" s="828"/>
      <c r="J89" s="1604"/>
      <c r="K89" s="755"/>
      <c r="L89" s="1297"/>
      <c r="O89" s="1451"/>
      <c r="P89" s="476"/>
      <c r="Q89" s="6"/>
      <c r="R89" s="6"/>
      <c r="S89" s="824"/>
      <c r="T89" s="755"/>
      <c r="U89" s="210"/>
    </row>
    <row r="90" spans="3:21" x14ac:dyDescent="0.4">
      <c r="C90" s="1239">
        <v>45267</v>
      </c>
      <c r="D90" s="1451"/>
      <c r="E90" s="476"/>
      <c r="F90" s="6"/>
      <c r="G90" s="6"/>
      <c r="H90" s="1461"/>
      <c r="I90" s="1460"/>
      <c r="J90" s="1593"/>
      <c r="K90" s="85"/>
      <c r="L90" s="1594"/>
    </row>
    <row r="91" spans="3:21" x14ac:dyDescent="0.4">
      <c r="C91" s="1239">
        <v>45268</v>
      </c>
      <c r="D91" s="1451"/>
      <c r="E91" s="476"/>
      <c r="F91" s="6"/>
      <c r="G91" s="6"/>
      <c r="H91" s="31"/>
      <c r="I91" s="79"/>
      <c r="J91" s="1593"/>
      <c r="K91" s="85"/>
      <c r="L91" s="1594"/>
    </row>
    <row r="92" spans="3:21" x14ac:dyDescent="0.4">
      <c r="C92" s="1239">
        <v>45269</v>
      </c>
      <c r="D92" s="1451"/>
      <c r="E92" s="476"/>
      <c r="F92" s="6"/>
      <c r="G92" s="6"/>
      <c r="H92" s="31"/>
      <c r="I92" s="79"/>
      <c r="J92" s="1593"/>
      <c r="K92" s="85"/>
      <c r="L92" s="1594"/>
    </row>
    <row r="93" spans="3:21" ht="15.4" x14ac:dyDescent="0.45">
      <c r="C93" s="1239">
        <v>45270</v>
      </c>
      <c r="D93" s="1451">
        <v>577401</v>
      </c>
      <c r="E93" s="476">
        <v>3597020</v>
      </c>
      <c r="F93" s="6">
        <v>564624</v>
      </c>
      <c r="G93" s="6">
        <v>50005871</v>
      </c>
      <c r="H93" s="755">
        <v>413048</v>
      </c>
      <c r="I93" s="1319">
        <v>287009217</v>
      </c>
      <c r="J93" s="1593">
        <v>890330</v>
      </c>
      <c r="K93" s="84">
        <v>14356225</v>
      </c>
      <c r="L93" s="1594">
        <v>283380</v>
      </c>
      <c r="O93" s="41"/>
      <c r="P93" s="41"/>
      <c r="Q93" s="41"/>
      <c r="R93" s="41"/>
    </row>
    <row r="94" spans="3:21" ht="15.75" thickBot="1" x14ac:dyDescent="0.5">
      <c r="C94" s="1239">
        <v>45271</v>
      </c>
      <c r="D94" s="1451"/>
      <c r="E94" s="476"/>
      <c r="F94" s="6"/>
      <c r="G94" s="6"/>
      <c r="H94" s="1255"/>
      <c r="I94" s="828"/>
      <c r="J94" s="1593"/>
      <c r="K94" s="910"/>
      <c r="L94" s="1594"/>
      <c r="O94" s="41">
        <f>D103+F103</f>
        <v>1147559</v>
      </c>
      <c r="P94" s="41">
        <f>E103+G103</f>
        <v>57043308</v>
      </c>
      <c r="Q94" s="5">
        <f>H103</f>
        <v>0</v>
      </c>
      <c r="R94" s="5">
        <f>I103</f>
        <v>0</v>
      </c>
    </row>
    <row r="95" spans="3:21" x14ac:dyDescent="0.4">
      <c r="C95" s="1239">
        <v>45272</v>
      </c>
      <c r="D95" s="1451"/>
      <c r="E95" s="476"/>
      <c r="F95" s="6"/>
      <c r="G95" s="6"/>
      <c r="H95" s="1255"/>
      <c r="I95" s="1453"/>
      <c r="J95" s="1593"/>
      <c r="K95" s="85"/>
      <c r="L95" s="1594"/>
      <c r="O95" s="41">
        <f>D116+F116</f>
        <v>113291</v>
      </c>
      <c r="P95" s="41">
        <f>E116+G116</f>
        <v>6476265</v>
      </c>
      <c r="Q95" s="41">
        <f>H116</f>
        <v>581268</v>
      </c>
      <c r="R95" s="41">
        <f>I116</f>
        <v>452927600</v>
      </c>
    </row>
    <row r="96" spans="3:21" ht="15.4" x14ac:dyDescent="0.45">
      <c r="C96" s="1239">
        <v>45273</v>
      </c>
      <c r="D96" s="1451"/>
      <c r="E96" s="476"/>
      <c r="F96" s="6"/>
      <c r="G96" s="6"/>
      <c r="H96" s="828"/>
      <c r="I96" s="828"/>
      <c r="J96" s="1593"/>
      <c r="K96" s="1255"/>
      <c r="L96" s="1594"/>
    </row>
    <row r="97" spans="3:21" ht="15.75" thickBot="1" x14ac:dyDescent="0.5">
      <c r="C97" s="1239">
        <v>45274</v>
      </c>
      <c r="D97" s="1451"/>
      <c r="E97" s="1796"/>
      <c r="F97" s="234"/>
      <c r="G97" s="234"/>
      <c r="H97" s="755"/>
      <c r="I97" s="824"/>
      <c r="J97" s="1593"/>
      <c r="K97" s="755"/>
      <c r="L97" s="1594"/>
      <c r="O97" s="1599">
        <v>52681</v>
      </c>
      <c r="P97" s="1600">
        <v>314216</v>
      </c>
      <c r="Q97" s="224">
        <v>47645</v>
      </c>
      <c r="R97" s="224">
        <v>4894612</v>
      </c>
      <c r="S97" s="1601"/>
      <c r="T97" s="1602"/>
      <c r="U97" s="1575">
        <v>84820</v>
      </c>
    </row>
    <row r="98" spans="3:21" ht="15.75" thickBot="1" x14ac:dyDescent="0.5">
      <c r="C98" s="1239">
        <v>45275</v>
      </c>
      <c r="D98" s="1451"/>
      <c r="E98" s="476"/>
      <c r="F98" s="6"/>
      <c r="G98" s="6"/>
      <c r="H98" s="755"/>
      <c r="I98" s="755"/>
      <c r="J98" s="1593"/>
      <c r="K98" s="824"/>
      <c r="L98" s="1594"/>
      <c r="O98" s="1451">
        <v>53821</v>
      </c>
      <c r="P98" s="476">
        <v>323700</v>
      </c>
      <c r="Q98" s="7">
        <v>47979</v>
      </c>
      <c r="R98" s="7">
        <v>4746125</v>
      </c>
      <c r="S98" s="224"/>
      <c r="T98" s="1576"/>
      <c r="U98" s="1576">
        <v>82840</v>
      </c>
    </row>
    <row r="99" spans="3:21" ht="15.4" x14ac:dyDescent="0.45">
      <c r="C99" s="1239">
        <v>45276</v>
      </c>
      <c r="D99" s="1451"/>
      <c r="E99" s="476"/>
      <c r="F99" s="6"/>
      <c r="G99" s="6"/>
      <c r="H99" s="828"/>
      <c r="I99" s="1453"/>
      <c r="J99" s="1593"/>
      <c r="K99" s="85"/>
      <c r="L99" s="1594"/>
      <c r="O99" s="1451">
        <v>56005</v>
      </c>
      <c r="P99" s="476">
        <v>337697</v>
      </c>
      <c r="Q99" s="7">
        <v>49409</v>
      </c>
      <c r="R99" s="7">
        <v>5129181</v>
      </c>
      <c r="S99" s="7"/>
      <c r="T99" s="210"/>
      <c r="U99" s="210">
        <v>78420</v>
      </c>
    </row>
    <row r="100" spans="3:21" ht="15.75" thickBot="1" x14ac:dyDescent="0.5">
      <c r="C100" s="1239">
        <v>45277</v>
      </c>
      <c r="D100" s="1451"/>
      <c r="E100" s="476"/>
      <c r="F100" s="6"/>
      <c r="G100" s="6"/>
      <c r="H100" s="824"/>
      <c r="I100" s="755"/>
      <c r="J100" s="1593"/>
      <c r="K100" s="755"/>
      <c r="L100" s="1594"/>
      <c r="O100" s="1451">
        <v>52127</v>
      </c>
      <c r="P100" s="476">
        <v>353318</v>
      </c>
      <c r="Q100" s="7">
        <v>54219</v>
      </c>
      <c r="R100" s="7">
        <v>5651697</v>
      </c>
      <c r="S100" s="7"/>
      <c r="T100" s="210"/>
      <c r="U100" s="210">
        <v>88230</v>
      </c>
    </row>
    <row r="101" spans="3:21" ht="15.75" thickBot="1" x14ac:dyDescent="0.5">
      <c r="C101" s="1239">
        <v>45278</v>
      </c>
      <c r="D101" s="1451"/>
      <c r="E101" s="476"/>
      <c r="F101" s="6"/>
      <c r="G101" s="6"/>
      <c r="H101" s="1255"/>
      <c r="I101" s="828"/>
      <c r="J101" s="1593"/>
      <c r="K101" s="828"/>
      <c r="L101" s="1594"/>
      <c r="O101" s="1451">
        <v>48621</v>
      </c>
      <c r="P101" s="476">
        <v>364051</v>
      </c>
      <c r="Q101" s="7">
        <v>54944</v>
      </c>
      <c r="R101" s="7">
        <v>6404635</v>
      </c>
      <c r="S101" s="824"/>
      <c r="T101" s="755"/>
      <c r="U101" s="1604">
        <v>104850</v>
      </c>
    </row>
    <row r="102" spans="3:21" x14ac:dyDescent="0.4">
      <c r="C102" s="1239">
        <v>45279</v>
      </c>
      <c r="D102" s="234"/>
      <c r="E102" s="476"/>
      <c r="F102" s="6"/>
      <c r="G102" s="6"/>
      <c r="H102" s="31"/>
      <c r="I102" s="79"/>
      <c r="J102" s="1593"/>
      <c r="K102" s="85"/>
      <c r="L102" s="1594"/>
    </row>
    <row r="103" spans="3:21" ht="15.75" thickBot="1" x14ac:dyDescent="0.5">
      <c r="C103" s="1239">
        <v>45280</v>
      </c>
      <c r="D103" s="1451">
        <v>572722</v>
      </c>
      <c r="E103" s="210">
        <v>3515264</v>
      </c>
      <c r="F103" s="7">
        <v>574837</v>
      </c>
      <c r="G103" s="7">
        <v>53528044</v>
      </c>
      <c r="H103" s="824"/>
      <c r="I103" s="755"/>
      <c r="J103" s="1593">
        <v>840180</v>
      </c>
      <c r="K103" s="755"/>
      <c r="L103" s="1594">
        <v>173490</v>
      </c>
    </row>
    <row r="104" spans="3:21" ht="15.75" thickBot="1" x14ac:dyDescent="0.5">
      <c r="C104" s="1239">
        <v>45281</v>
      </c>
      <c r="D104" s="1478">
        <v>60031</v>
      </c>
      <c r="E104" s="1479">
        <v>366544</v>
      </c>
      <c r="F104" s="1603">
        <v>56351</v>
      </c>
      <c r="G104" s="1603">
        <v>4866286</v>
      </c>
      <c r="H104" s="755"/>
      <c r="I104" s="755"/>
      <c r="J104" s="1593">
        <v>84750</v>
      </c>
      <c r="K104" s="824"/>
      <c r="L104" s="1594"/>
      <c r="O104" s="1449">
        <v>87082</v>
      </c>
      <c r="P104" s="476">
        <v>455322</v>
      </c>
      <c r="Q104" s="6"/>
      <c r="R104" s="6"/>
      <c r="S104" s="755"/>
      <c r="T104" s="755"/>
      <c r="U104" s="85">
        <v>97840</v>
      </c>
    </row>
    <row r="105" spans="3:21" ht="15.75" thickBot="1" x14ac:dyDescent="0.5">
      <c r="C105" s="1239">
        <v>45282</v>
      </c>
      <c r="D105" s="1451">
        <v>54767</v>
      </c>
      <c r="E105" s="476">
        <v>346939</v>
      </c>
      <c r="F105" s="85">
        <v>61440</v>
      </c>
      <c r="G105" s="85">
        <v>5877619</v>
      </c>
      <c r="H105" s="755"/>
      <c r="I105" s="824"/>
      <c r="J105" s="85">
        <v>79050</v>
      </c>
      <c r="K105" s="755"/>
      <c r="L105" s="1594"/>
      <c r="O105" s="1451">
        <v>71382</v>
      </c>
      <c r="P105" s="476">
        <v>391850</v>
      </c>
      <c r="Q105" s="6"/>
      <c r="R105" s="6"/>
      <c r="S105" s="31"/>
      <c r="T105" s="79"/>
      <c r="U105" s="85">
        <v>89880</v>
      </c>
    </row>
    <row r="106" spans="3:21" x14ac:dyDescent="0.4">
      <c r="C106" s="1239">
        <v>45283</v>
      </c>
      <c r="D106" s="1451">
        <v>47484</v>
      </c>
      <c r="E106" s="476">
        <v>344089</v>
      </c>
      <c r="F106" s="476">
        <v>68949</v>
      </c>
      <c r="G106" s="85">
        <v>6822178</v>
      </c>
      <c r="H106" s="31"/>
      <c r="I106" s="79"/>
      <c r="J106" s="85">
        <v>97970</v>
      </c>
      <c r="K106" s="85"/>
      <c r="L106" s="1297"/>
      <c r="O106" s="1451">
        <v>72756</v>
      </c>
      <c r="P106" s="476">
        <v>386616</v>
      </c>
      <c r="Q106" s="6"/>
      <c r="R106" s="6"/>
      <c r="S106" s="31"/>
      <c r="T106" s="79"/>
      <c r="U106" s="85">
        <v>91220</v>
      </c>
    </row>
    <row r="107" spans="3:21" ht="15.75" thickBot="1" x14ac:dyDescent="0.5">
      <c r="C107" s="1239">
        <v>45284</v>
      </c>
      <c r="D107" s="1451">
        <v>26737</v>
      </c>
      <c r="E107" s="476">
        <v>252986</v>
      </c>
      <c r="F107" s="85">
        <v>61445</v>
      </c>
      <c r="G107" s="85">
        <v>6502768</v>
      </c>
      <c r="H107" s="824">
        <v>542675</v>
      </c>
      <c r="I107" s="755">
        <v>422216535</v>
      </c>
      <c r="J107" s="85">
        <v>99770</v>
      </c>
      <c r="K107" s="755">
        <v>23006217</v>
      </c>
      <c r="L107" s="1297"/>
      <c r="O107" s="1451">
        <v>57734</v>
      </c>
      <c r="P107" s="476">
        <v>327554</v>
      </c>
      <c r="Q107" s="6"/>
      <c r="R107" s="6"/>
      <c r="S107" s="31"/>
      <c r="T107" s="79"/>
      <c r="U107" s="85">
        <v>83100</v>
      </c>
    </row>
    <row r="108" spans="3:21" ht="15.75" thickBot="1" x14ac:dyDescent="0.5">
      <c r="C108" s="1239">
        <v>45285</v>
      </c>
      <c r="D108" s="1454"/>
      <c r="E108" s="1243"/>
      <c r="F108" s="1243"/>
      <c r="G108" s="1243"/>
      <c r="H108" s="755"/>
      <c r="I108" s="1228"/>
      <c r="J108" s="85"/>
      <c r="K108" s="755"/>
      <c r="L108" s="1297"/>
      <c r="O108" s="1451">
        <v>51377</v>
      </c>
      <c r="P108" s="476">
        <v>343313</v>
      </c>
      <c r="Q108" s="6"/>
      <c r="R108" s="6"/>
      <c r="S108" s="824"/>
      <c r="T108" s="755"/>
      <c r="U108" s="85">
        <v>100280</v>
      </c>
    </row>
    <row r="109" spans="3:21" x14ac:dyDescent="0.4">
      <c r="C109" s="1239">
        <v>45286</v>
      </c>
      <c r="D109" s="1407"/>
      <c r="E109" s="476"/>
      <c r="F109" s="85"/>
      <c r="G109" s="85"/>
      <c r="H109" s="31"/>
      <c r="I109" s="79"/>
      <c r="J109" s="1243"/>
      <c r="K109" s="85"/>
      <c r="L109" s="1297"/>
    </row>
    <row r="110" spans="3:21" ht="15.4" x14ac:dyDescent="0.45">
      <c r="C110" s="1239">
        <v>45287</v>
      </c>
      <c r="D110" s="1407"/>
      <c r="E110" s="476"/>
      <c r="F110" s="85"/>
      <c r="G110" s="85"/>
      <c r="H110" s="755"/>
      <c r="I110" s="755"/>
      <c r="J110" s="85"/>
      <c r="K110" s="755"/>
      <c r="L110" s="1297"/>
    </row>
    <row r="111" spans="3:21" ht="15.75" thickBot="1" x14ac:dyDescent="0.5">
      <c r="C111" s="1239">
        <v>45288</v>
      </c>
      <c r="D111" s="1407"/>
      <c r="E111" s="476"/>
      <c r="F111" s="6"/>
      <c r="G111" s="6"/>
      <c r="H111" s="824"/>
      <c r="I111" s="910"/>
      <c r="J111" s="85"/>
      <c r="K111" s="755"/>
      <c r="L111" s="1297"/>
    </row>
    <row r="112" spans="3:21" x14ac:dyDescent="0.4">
      <c r="C112" s="1239">
        <v>45289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40" ht="15.4" thickBot="1" x14ac:dyDescent="0.45">
      <c r="C113" s="1239">
        <v>45290</v>
      </c>
      <c r="D113" s="1407"/>
      <c r="E113" s="476"/>
      <c r="F113" s="6"/>
      <c r="G113" s="6"/>
      <c r="H113" s="824"/>
      <c r="I113" s="824"/>
      <c r="J113" s="85"/>
      <c r="K113" s="824"/>
      <c r="L113" s="1297"/>
    </row>
    <row r="114" spans="1:40" x14ac:dyDescent="0.4">
      <c r="C114" s="1239">
        <v>45291</v>
      </c>
      <c r="D114" s="1455"/>
      <c r="E114" s="277"/>
      <c r="F114" s="44"/>
      <c r="G114" s="44"/>
      <c r="H114" s="1456"/>
      <c r="I114" s="278"/>
      <c r="J114" s="85"/>
      <c r="K114" s="1448"/>
      <c r="L114" s="1297"/>
    </row>
    <row r="115" spans="1:40" ht="13.9" x14ac:dyDescent="0.35">
      <c r="C115" s="1239">
        <v>45292</v>
      </c>
      <c r="D115" s="1462">
        <f>SUM(D84:D114)</f>
        <v>1339142</v>
      </c>
      <c r="E115" s="1462">
        <f t="shared" ref="E115:K115" si="38">SUM(E84:E114)</f>
        <v>8422842</v>
      </c>
      <c r="F115" s="1462">
        <f t="shared" si="38"/>
        <v>1387646</v>
      </c>
      <c r="G115" s="1462">
        <f>SUM(G84:G114)</f>
        <v>127602766</v>
      </c>
      <c r="H115" s="1462">
        <f>SUM(H84:H114)</f>
        <v>955723</v>
      </c>
      <c r="I115" s="1462">
        <f>SUM(I84:I114)</f>
        <v>709225752</v>
      </c>
      <c r="J115" s="1462">
        <f>SUM(J84:J114)</f>
        <v>2092050</v>
      </c>
      <c r="K115" s="1462">
        <f t="shared" si="38"/>
        <v>37362442</v>
      </c>
      <c r="L115" s="1462">
        <f>SUM(L84:L114)</f>
        <v>456870</v>
      </c>
      <c r="M115" s="1462">
        <f t="shared" ref="M115" si="39">SUM(M84:M114)</f>
        <v>0</v>
      </c>
      <c r="P115" s="41">
        <f>E115+G115</f>
        <v>136025608</v>
      </c>
    </row>
    <row r="116" spans="1:40" ht="15.4" x14ac:dyDescent="0.45">
      <c r="C116" s="1239">
        <v>45224</v>
      </c>
      <c r="D116" s="1454">
        <v>49558</v>
      </c>
      <c r="E116" s="1243">
        <v>357231</v>
      </c>
      <c r="F116" s="1243">
        <v>63733</v>
      </c>
      <c r="G116" s="1243">
        <v>6119034</v>
      </c>
      <c r="H116" s="755">
        <v>581268</v>
      </c>
      <c r="I116" s="1228">
        <v>452927600</v>
      </c>
      <c r="J116" s="85">
        <v>92080</v>
      </c>
      <c r="K116" s="755">
        <v>24600921</v>
      </c>
    </row>
    <row r="117" spans="1:40" x14ac:dyDescent="0.4">
      <c r="L117" s="1297"/>
      <c r="AJ117" s="172"/>
      <c r="AK117" s="172"/>
      <c r="AL117" s="172"/>
      <c r="AM117" s="172"/>
      <c r="AN117" s="172"/>
    </row>
    <row r="118" spans="1:40" s="172" customFormat="1" x14ac:dyDescent="0.4">
      <c r="A118" s="1235"/>
      <c r="B118" s="300"/>
      <c r="C118" s="9"/>
      <c r="D118" s="235" t="s">
        <v>164</v>
      </c>
      <c r="E118" s="265" t="s">
        <v>710</v>
      </c>
      <c r="F118" s="29" t="s">
        <v>164</v>
      </c>
      <c r="G118" s="265" t="s">
        <v>710</v>
      </c>
      <c r="H118" s="29" t="s">
        <v>164</v>
      </c>
      <c r="I118" s="265" t="s">
        <v>710</v>
      </c>
      <c r="J118" s="29" t="s">
        <v>196</v>
      </c>
      <c r="K118" s="1592"/>
      <c r="L118" s="1596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40" s="172" customFormat="1" x14ac:dyDescent="0.4">
      <c r="A119" s="1235"/>
      <c r="B119" s="300"/>
      <c r="C119" s="9"/>
      <c r="D119" s="235">
        <v>22</v>
      </c>
      <c r="E119" s="29">
        <v>22</v>
      </c>
      <c r="F119" s="29">
        <v>22</v>
      </c>
      <c r="G119" s="29">
        <v>22</v>
      </c>
      <c r="H119" s="29">
        <v>22</v>
      </c>
      <c r="I119" s="29">
        <v>22</v>
      </c>
      <c r="J119" s="29">
        <v>22</v>
      </c>
      <c r="K119" s="1597">
        <v>22</v>
      </c>
      <c r="L119" s="1596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40" s="172" customFormat="1" x14ac:dyDescent="0.4">
      <c r="A120" s="1235"/>
      <c r="B120" s="300"/>
      <c r="C120" s="9"/>
      <c r="D120" s="1939" t="s">
        <v>795</v>
      </c>
      <c r="E120" s="1939"/>
      <c r="F120" s="1939" t="s">
        <v>796</v>
      </c>
      <c r="G120" s="1939"/>
      <c r="H120" s="1939" t="s">
        <v>797</v>
      </c>
      <c r="I120" s="1939"/>
      <c r="J120" s="9" t="s">
        <v>196</v>
      </c>
      <c r="K120" s="1598" t="s">
        <v>435</v>
      </c>
      <c r="L120" s="1596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40" s="172" customFormat="1" ht="15.4" x14ac:dyDescent="0.45">
      <c r="A121" s="1235"/>
      <c r="B121" s="300"/>
      <c r="C121" s="1261">
        <v>44835</v>
      </c>
      <c r="D121" s="1449"/>
      <c r="E121" s="476"/>
      <c r="F121" s="6"/>
      <c r="G121" s="6"/>
      <c r="H121" s="755"/>
      <c r="I121" s="755"/>
      <c r="J121" s="85"/>
      <c r="K121" s="1255"/>
      <c r="L121" s="1297"/>
      <c r="M121" s="1209"/>
      <c r="N121" s="5"/>
      <c r="O121" s="1449">
        <v>64100</v>
      </c>
      <c r="P121" s="476">
        <v>352606</v>
      </c>
      <c r="Q121" s="6">
        <v>50287</v>
      </c>
      <c r="R121" s="6">
        <v>3243776</v>
      </c>
      <c r="S121" s="755"/>
      <c r="T121" s="755"/>
      <c r="U121" s="85">
        <v>72390</v>
      </c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40" s="172" customFormat="1" x14ac:dyDescent="0.4">
      <c r="A122" s="1235"/>
      <c r="B122" s="300"/>
      <c r="C122" s="1261">
        <v>44836</v>
      </c>
      <c r="D122" s="1451"/>
      <c r="E122" s="476"/>
      <c r="F122" s="6"/>
      <c r="G122" s="6"/>
      <c r="H122" s="31"/>
      <c r="I122" s="79"/>
      <c r="J122" s="85"/>
      <c r="K122" s="85"/>
      <c r="L122" s="1297"/>
      <c r="M122" s="1209"/>
      <c r="N122" s="5"/>
      <c r="O122" s="1451">
        <v>47455</v>
      </c>
      <c r="P122" s="476">
        <v>274841</v>
      </c>
      <c r="Q122" s="6">
        <v>37882</v>
      </c>
      <c r="R122" s="6">
        <v>2992313</v>
      </c>
      <c r="S122" s="31"/>
      <c r="T122" s="79"/>
      <c r="U122" s="85">
        <v>71700</v>
      </c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40" s="172" customFormat="1" x14ac:dyDescent="0.4">
      <c r="A123" s="1235"/>
      <c r="B123" s="300"/>
      <c r="C123" s="1261">
        <v>44837</v>
      </c>
      <c r="D123" s="1451"/>
      <c r="E123" s="476"/>
      <c r="F123" s="6"/>
      <c r="G123" s="6"/>
      <c r="H123" s="31"/>
      <c r="I123" s="79"/>
      <c r="J123" s="85"/>
      <c r="K123" s="85"/>
      <c r="L123" s="1297"/>
      <c r="M123" s="1209"/>
      <c r="N123" s="5"/>
      <c r="O123" s="1451">
        <v>51343</v>
      </c>
      <c r="P123" s="476">
        <v>284320</v>
      </c>
      <c r="Q123" s="6">
        <v>35510</v>
      </c>
      <c r="R123" s="6">
        <v>2980113</v>
      </c>
      <c r="S123" s="31"/>
      <c r="T123" s="79"/>
      <c r="U123" s="85">
        <v>70770</v>
      </c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40" s="172" customFormat="1" x14ac:dyDescent="0.4">
      <c r="A124" s="1235"/>
      <c r="B124" s="300"/>
      <c r="C124" s="1261">
        <v>44838</v>
      </c>
      <c r="D124" s="1451"/>
      <c r="E124" s="476"/>
      <c r="F124" s="6"/>
      <c r="G124" s="6"/>
      <c r="H124" s="31"/>
      <c r="I124" s="79"/>
      <c r="J124" s="85"/>
      <c r="K124" s="85"/>
      <c r="L124" s="1297"/>
      <c r="M124" s="1209"/>
      <c r="N124" s="5"/>
      <c r="O124" s="1451">
        <v>50716</v>
      </c>
      <c r="P124" s="476">
        <v>287532</v>
      </c>
      <c r="Q124" s="6">
        <v>39138</v>
      </c>
      <c r="R124" s="6">
        <v>2848582</v>
      </c>
      <c r="S124" s="31"/>
      <c r="T124" s="79"/>
      <c r="U124" s="85">
        <v>70340</v>
      </c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40" s="172" customFormat="1" ht="15.75" thickBot="1" x14ac:dyDescent="0.5">
      <c r="A125" s="1235"/>
      <c r="B125" s="300"/>
      <c r="C125" s="1261">
        <v>44839</v>
      </c>
      <c r="D125" s="1451"/>
      <c r="E125" s="476"/>
      <c r="F125" s="6"/>
      <c r="G125" s="6"/>
      <c r="H125" s="824"/>
      <c r="I125" s="755"/>
      <c r="J125" s="85"/>
      <c r="K125" s="755"/>
      <c r="L125" s="1297"/>
      <c r="M125" s="1209"/>
      <c r="N125" s="5"/>
      <c r="O125" s="1451">
        <v>46074</v>
      </c>
      <c r="P125" s="476">
        <v>269365</v>
      </c>
      <c r="Q125" s="6">
        <v>35823</v>
      </c>
      <c r="R125" s="6">
        <v>3069600</v>
      </c>
      <c r="S125" s="31"/>
      <c r="T125" s="79"/>
      <c r="U125" s="85">
        <v>61840</v>
      </c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40" s="172" customFormat="1" ht="15.75" thickBot="1" x14ac:dyDescent="0.5">
      <c r="A126" s="1235"/>
      <c r="B126" s="300"/>
      <c r="C126" s="1261">
        <v>44840</v>
      </c>
      <c r="D126" s="1451"/>
      <c r="E126" s="476"/>
      <c r="F126" s="6"/>
      <c r="G126" s="6"/>
      <c r="H126" s="1255"/>
      <c r="I126" s="828"/>
      <c r="J126" s="85"/>
      <c r="K126" s="1255"/>
      <c r="L126" s="1297"/>
      <c r="M126" s="1209"/>
      <c r="N126" s="5"/>
      <c r="O126" s="1451">
        <v>44550</v>
      </c>
      <c r="P126" s="476">
        <v>324802</v>
      </c>
      <c r="Q126" s="6">
        <v>36929</v>
      </c>
      <c r="R126" s="6">
        <v>3450395</v>
      </c>
      <c r="S126" s="824"/>
      <c r="T126" s="755"/>
      <c r="U126" s="85">
        <v>79260</v>
      </c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40" s="172" customFormat="1" x14ac:dyDescent="0.4">
      <c r="A127" s="1235"/>
      <c r="B127" s="300"/>
      <c r="C127" s="1261">
        <v>44841</v>
      </c>
      <c r="D127" s="1451"/>
      <c r="E127" s="476"/>
      <c r="F127" s="6"/>
      <c r="G127" s="6"/>
      <c r="H127" s="7"/>
      <c r="I127" s="1459"/>
      <c r="J127" s="85"/>
      <c r="K127" s="1277"/>
      <c r="L127" s="1594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40" s="172" customFormat="1" x14ac:dyDescent="0.4">
      <c r="A128" s="1235"/>
      <c r="B128" s="300"/>
      <c r="C128" s="1261">
        <v>44842</v>
      </c>
      <c r="D128" s="1451"/>
      <c r="E128" s="476"/>
      <c r="F128" s="6"/>
      <c r="G128" s="6"/>
      <c r="H128" s="31"/>
      <c r="I128" s="79"/>
      <c r="J128" s="85"/>
      <c r="K128" s="85"/>
      <c r="L128" s="1594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261">
        <v>44843</v>
      </c>
      <c r="D129" s="1451"/>
      <c r="E129" s="476"/>
      <c r="F129" s="6"/>
      <c r="G129" s="6"/>
      <c r="H129" s="31"/>
      <c r="I129" s="79"/>
      <c r="J129" s="85"/>
      <c r="K129" s="85"/>
      <c r="L129" s="1594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5.75" thickBot="1" x14ac:dyDescent="0.5">
      <c r="A130" s="1235"/>
      <c r="B130" s="300"/>
      <c r="C130" s="1261">
        <v>44844</v>
      </c>
      <c r="D130" s="1451">
        <v>630644</v>
      </c>
      <c r="E130" s="476">
        <v>3643512</v>
      </c>
      <c r="F130" s="6">
        <v>553192</v>
      </c>
      <c r="G130" s="6">
        <v>46308964</v>
      </c>
      <c r="H130" s="755">
        <v>345083</v>
      </c>
      <c r="I130" s="1821">
        <v>239709360</v>
      </c>
      <c r="J130" s="85">
        <v>806890</v>
      </c>
      <c r="K130" s="824">
        <v>12419491</v>
      </c>
      <c r="L130" s="1297">
        <v>1156230</v>
      </c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5.4" x14ac:dyDescent="0.45">
      <c r="A131" s="1235"/>
      <c r="B131" s="300"/>
      <c r="C131" s="1261">
        <v>44845</v>
      </c>
      <c r="D131" s="1451"/>
      <c r="E131" s="476"/>
      <c r="F131" s="6"/>
      <c r="G131" s="6"/>
      <c r="H131" s="1255"/>
      <c r="I131" s="1255"/>
      <c r="J131" s="1593"/>
      <c r="K131" s="755"/>
      <c r="L131" s="1297"/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5.4" x14ac:dyDescent="0.45">
      <c r="A132" s="1235"/>
      <c r="B132" s="300"/>
      <c r="C132" s="1261">
        <v>44846</v>
      </c>
      <c r="D132" s="1451"/>
      <c r="E132" s="476"/>
      <c r="F132" s="6"/>
      <c r="G132" s="6"/>
      <c r="H132" s="828"/>
      <c r="I132" s="828"/>
      <c r="J132" s="1593"/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x14ac:dyDescent="0.4">
      <c r="A133" s="1235"/>
      <c r="B133" s="300"/>
      <c r="C133" s="1261">
        <v>44847</v>
      </c>
      <c r="D133" s="1451"/>
      <c r="E133" s="476"/>
      <c r="F133" s="6"/>
      <c r="G133" s="6"/>
      <c r="H133" s="1255"/>
      <c r="I133" s="1255"/>
      <c r="J133" s="1593"/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5.75" thickBot="1" x14ac:dyDescent="0.5">
      <c r="A134" s="1235"/>
      <c r="B134" s="300"/>
      <c r="C134" s="1261">
        <v>44848</v>
      </c>
      <c r="D134" s="1451"/>
      <c r="E134" s="476"/>
      <c r="F134" s="6"/>
      <c r="G134" s="6"/>
      <c r="H134" s="910"/>
      <c r="I134" s="755"/>
      <c r="J134" s="1593"/>
      <c r="K134" s="824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ht="15.75" thickBot="1" x14ac:dyDescent="0.5">
      <c r="A135" s="1235"/>
      <c r="B135" s="300"/>
      <c r="C135" s="1261">
        <v>44849</v>
      </c>
      <c r="D135" s="1452"/>
      <c r="E135" s="476"/>
      <c r="F135" s="6"/>
      <c r="G135" s="6"/>
      <c r="H135" s="824"/>
      <c r="I135" s="755"/>
      <c r="J135" s="1593"/>
      <c r="K135" s="755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5.4" x14ac:dyDescent="0.45">
      <c r="A136" s="1235"/>
      <c r="B136" s="300"/>
      <c r="C136" s="1261">
        <v>44850</v>
      </c>
      <c r="D136" s="1452"/>
      <c r="E136" s="476"/>
      <c r="F136" s="6"/>
      <c r="G136" s="6"/>
      <c r="H136" s="828"/>
      <c r="I136" s="828"/>
      <c r="J136" s="1593"/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261">
        <v>44851</v>
      </c>
      <c r="D137" s="1452"/>
      <c r="E137" s="476"/>
      <c r="F137" s="6"/>
      <c r="G137" s="6"/>
      <c r="H137" s="31"/>
      <c r="I137" s="79"/>
      <c r="J137" s="85"/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5.4" x14ac:dyDescent="0.45">
      <c r="A138" s="1235"/>
      <c r="B138" s="300"/>
      <c r="C138" s="1261">
        <v>44852</v>
      </c>
      <c r="D138" s="1452"/>
      <c r="E138" s="476"/>
      <c r="F138" s="6"/>
      <c r="G138" s="6"/>
      <c r="H138" s="1255"/>
      <c r="I138" s="828"/>
      <c r="J138" s="85"/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x14ac:dyDescent="0.4">
      <c r="A139" s="1235"/>
      <c r="B139" s="300"/>
      <c r="C139" s="1261">
        <v>44853</v>
      </c>
      <c r="D139" s="1452"/>
      <c r="E139" s="476"/>
      <c r="F139" s="6"/>
      <c r="G139" s="6"/>
      <c r="H139" s="186"/>
      <c r="I139" s="1591"/>
      <c r="J139" s="85"/>
      <c r="K139" s="1488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ht="15.75" thickBot="1" x14ac:dyDescent="0.5">
      <c r="A140" s="1235"/>
      <c r="B140" s="300"/>
      <c r="C140" s="1261">
        <v>44854</v>
      </c>
      <c r="D140" s="1451">
        <v>592087</v>
      </c>
      <c r="E140" s="210">
        <v>3489875</v>
      </c>
      <c r="F140" s="7">
        <v>577070</v>
      </c>
      <c r="G140" s="7">
        <v>52840346</v>
      </c>
      <c r="H140" s="755">
        <v>337294</v>
      </c>
      <c r="I140" s="755">
        <v>246257082</v>
      </c>
      <c r="J140" s="210">
        <v>842520</v>
      </c>
      <c r="K140" s="910">
        <v>13501609</v>
      </c>
      <c r="L140" s="1488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5.4" x14ac:dyDescent="0.45">
      <c r="A141" s="1235"/>
      <c r="B141" s="300"/>
      <c r="C141" s="1261">
        <v>44855</v>
      </c>
      <c r="D141" s="1451">
        <v>57896</v>
      </c>
      <c r="E141" s="210">
        <v>329828</v>
      </c>
      <c r="F141" s="7">
        <v>52217</v>
      </c>
      <c r="G141" s="7">
        <v>4748752</v>
      </c>
      <c r="H141" s="755"/>
      <c r="I141" s="755"/>
      <c r="J141" s="1593">
        <v>81010</v>
      </c>
      <c r="K141" s="755"/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5.4" x14ac:dyDescent="0.45">
      <c r="A142" s="1235"/>
      <c r="B142" s="300"/>
      <c r="C142" s="1261">
        <v>44856</v>
      </c>
      <c r="D142" s="1407">
        <v>53661</v>
      </c>
      <c r="E142" s="33">
        <v>302239</v>
      </c>
      <c r="F142" s="6">
        <v>45894</v>
      </c>
      <c r="G142" s="6">
        <v>4530912</v>
      </c>
      <c r="H142" s="755"/>
      <c r="I142" s="755"/>
      <c r="J142" s="1593">
        <v>85900</v>
      </c>
      <c r="K142" s="755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261">
        <v>44857</v>
      </c>
      <c r="D143" s="1407">
        <v>36318</v>
      </c>
      <c r="E143" s="33">
        <v>231329</v>
      </c>
      <c r="F143" s="6">
        <v>47777</v>
      </c>
      <c r="G143" s="6">
        <v>4727711</v>
      </c>
      <c r="H143" s="31"/>
      <c r="I143" s="79"/>
      <c r="J143" s="1593">
        <v>73310</v>
      </c>
      <c r="K143" s="1488"/>
      <c r="L143" s="1297">
        <v>5768855</v>
      </c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ht="15.75" thickBot="1" x14ac:dyDescent="0.5">
      <c r="A144" s="1235"/>
      <c r="B144" s="300"/>
      <c r="C144" s="1261">
        <v>44858</v>
      </c>
      <c r="D144" s="1454">
        <v>42590</v>
      </c>
      <c r="E144" s="1243">
        <v>306990</v>
      </c>
      <c r="F144" s="1246">
        <v>52083</v>
      </c>
      <c r="G144" s="1246">
        <v>5451909</v>
      </c>
      <c r="H144" s="755">
        <v>123713</v>
      </c>
      <c r="I144" s="755">
        <v>98741710</v>
      </c>
      <c r="J144" s="1595">
        <v>93810</v>
      </c>
      <c r="K144" s="824">
        <v>6126227</v>
      </c>
      <c r="L144" s="1297">
        <v>0</v>
      </c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40" s="172" customFormat="1" ht="15.75" thickBot="1" x14ac:dyDescent="0.5">
      <c r="A145" s="1235"/>
      <c r="B145" s="300"/>
      <c r="C145" s="1261">
        <v>44859</v>
      </c>
      <c r="D145" s="1407"/>
      <c r="E145" s="33"/>
      <c r="F145" s="6"/>
      <c r="G145" s="6"/>
      <c r="H145" s="824"/>
      <c r="I145" s="824"/>
      <c r="J145" s="1593"/>
      <c r="K145" s="755"/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J145" s="5"/>
      <c r="AK145" s="5"/>
      <c r="AL145" s="5"/>
      <c r="AM145" s="5"/>
      <c r="AN145" s="5"/>
    </row>
    <row r="146" spans="1:40" x14ac:dyDescent="0.4">
      <c r="C146" s="1261">
        <v>44860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40" x14ac:dyDescent="0.4">
      <c r="C147" s="1261">
        <v>44861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40" x14ac:dyDescent="0.4">
      <c r="C148" s="1261">
        <v>44862</v>
      </c>
      <c r="D148" s="1407"/>
      <c r="E148" s="33"/>
      <c r="F148" s="6"/>
      <c r="G148" s="6"/>
      <c r="H148" s="31"/>
      <c r="I148" s="79"/>
      <c r="J148" s="85"/>
      <c r="K148" s="1488"/>
      <c r="L148" s="1297"/>
    </row>
    <row r="149" spans="1:40" x14ac:dyDescent="0.4">
      <c r="C149" s="1261">
        <v>44863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40" x14ac:dyDescent="0.4">
      <c r="C150" s="1261">
        <v>44864</v>
      </c>
      <c r="D150" s="1407"/>
      <c r="E150" s="33"/>
      <c r="F150" s="6"/>
      <c r="G150" s="6"/>
      <c r="H150" s="31"/>
      <c r="I150" s="79"/>
      <c r="J150" s="85"/>
      <c r="K150" s="1488"/>
    </row>
    <row r="151" spans="1:40" ht="15.4" x14ac:dyDescent="0.45">
      <c r="C151" s="1261">
        <v>44865</v>
      </c>
      <c r="D151" s="1407"/>
      <c r="E151" s="33"/>
      <c r="F151" s="6"/>
      <c r="G151" s="6"/>
      <c r="H151" s="755"/>
      <c r="I151" s="755"/>
      <c r="J151" s="1462"/>
      <c r="K151" s="755"/>
    </row>
    <row r="152" spans="1:40" ht="13.9" x14ac:dyDescent="0.35">
      <c r="D152" s="1462">
        <f t="shared" ref="D152:L152" si="40">SUM(D121:D151)</f>
        <v>1413196</v>
      </c>
      <c r="E152" s="1462">
        <f t="shared" si="40"/>
        <v>8303773</v>
      </c>
      <c r="F152" s="1462">
        <f t="shared" si="40"/>
        <v>1328233</v>
      </c>
      <c r="G152" s="1462">
        <f t="shared" si="40"/>
        <v>118608594</v>
      </c>
      <c r="H152" s="1462">
        <f t="shared" si="40"/>
        <v>806090</v>
      </c>
      <c r="I152" s="1462">
        <f t="shared" si="40"/>
        <v>584708152</v>
      </c>
      <c r="J152" s="1462">
        <f t="shared" si="40"/>
        <v>1983440</v>
      </c>
      <c r="K152" s="1462">
        <f t="shared" si="40"/>
        <v>32047327</v>
      </c>
      <c r="L152" s="1462">
        <f t="shared" si="40"/>
        <v>6925085</v>
      </c>
      <c r="M152" s="1462">
        <f t="shared" ref="M152" si="41">SUM(M121:M151)</f>
        <v>0</v>
      </c>
    </row>
    <row r="153" spans="1:40" ht="15.75" thickBot="1" x14ac:dyDescent="0.5">
      <c r="C153" s="1239">
        <v>44859</v>
      </c>
      <c r="D153" s="1407">
        <v>46855</v>
      </c>
      <c r="E153" s="33">
        <v>362715</v>
      </c>
      <c r="F153" s="6">
        <v>51464</v>
      </c>
      <c r="G153" s="6">
        <v>5449405</v>
      </c>
      <c r="H153" s="824">
        <v>146085</v>
      </c>
      <c r="I153" s="824">
        <v>116036641</v>
      </c>
      <c r="J153" s="1593">
        <v>100850</v>
      </c>
      <c r="K153" s="755">
        <v>7454237</v>
      </c>
      <c r="L153" s="1297"/>
    </row>
  </sheetData>
  <mergeCells count="133">
    <mergeCell ref="AJ2:AO2"/>
    <mergeCell ref="A1:I1"/>
    <mergeCell ref="M1:U1"/>
    <mergeCell ref="A2:I2"/>
    <mergeCell ref="M2:U2"/>
    <mergeCell ref="AC2:AH2"/>
    <mergeCell ref="AL5:AM5"/>
    <mergeCell ref="A11:I11"/>
    <mergeCell ref="M11:U11"/>
    <mergeCell ref="AJ11:AO11"/>
    <mergeCell ref="A3:A5"/>
    <mergeCell ref="B13:I13"/>
    <mergeCell ref="N13:U13"/>
    <mergeCell ref="AK3:AK5"/>
    <mergeCell ref="AL3:AM3"/>
    <mergeCell ref="AN3:AO3"/>
    <mergeCell ref="C4:C5"/>
    <mergeCell ref="O4:O5"/>
    <mergeCell ref="T4:T5"/>
    <mergeCell ref="U4:U5"/>
    <mergeCell ref="AJ3:AJ5"/>
    <mergeCell ref="P5:Q5"/>
    <mergeCell ref="B3:B5"/>
    <mergeCell ref="D3:E3"/>
    <mergeCell ref="F3:G3"/>
    <mergeCell ref="H3:I3"/>
    <mergeCell ref="M3:M5"/>
    <mergeCell ref="N3:N5"/>
    <mergeCell ref="P3:Q3"/>
    <mergeCell ref="R3:S3"/>
    <mergeCell ref="T3:U3"/>
    <mergeCell ref="AC3:AH3"/>
    <mergeCell ref="R18:U18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A18:A26"/>
    <mergeCell ref="C18:E18"/>
    <mergeCell ref="F18:I18"/>
    <mergeCell ref="M18:M26"/>
    <mergeCell ref="O18:Q18"/>
    <mergeCell ref="R28:S28"/>
    <mergeCell ref="T28:U28"/>
    <mergeCell ref="A30:A37"/>
    <mergeCell ref="B30:I30"/>
    <mergeCell ref="M30:M38"/>
    <mergeCell ref="N30:U30"/>
    <mergeCell ref="B28:C29"/>
    <mergeCell ref="D28:E28"/>
    <mergeCell ref="F28:G28"/>
    <mergeCell ref="H28:I28"/>
    <mergeCell ref="N28:O29"/>
    <mergeCell ref="P28:Q28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P48:P49"/>
    <mergeCell ref="Q48:Q49"/>
    <mergeCell ref="T48:T49"/>
    <mergeCell ref="N50:U50"/>
    <mergeCell ref="D51:D53"/>
    <mergeCell ref="E51:E53"/>
    <mergeCell ref="H51:H53"/>
    <mergeCell ref="N51:O51"/>
    <mergeCell ref="P51:P53"/>
    <mergeCell ref="Q51:Q53"/>
    <mergeCell ref="T51:T53"/>
    <mergeCell ref="N52:O52"/>
    <mergeCell ref="N53:O53"/>
    <mergeCell ref="D83:E83"/>
    <mergeCell ref="F83:G83"/>
    <mergeCell ref="H83:I83"/>
    <mergeCell ref="D120:E120"/>
    <mergeCell ref="F120:G120"/>
    <mergeCell ref="H120:I120"/>
    <mergeCell ref="A50:A53"/>
    <mergeCell ref="B50:I50"/>
    <mergeCell ref="M50:M53"/>
    <mergeCell ref="AT1:BB1"/>
    <mergeCell ref="AT2:BB2"/>
    <mergeCell ref="AT3:AT5"/>
    <mergeCell ref="AU3:AU5"/>
    <mergeCell ref="AW3:AX3"/>
    <mergeCell ref="AY3:AZ3"/>
    <mergeCell ref="BA3:BB3"/>
    <mergeCell ref="AV4:AV5"/>
    <mergeCell ref="BA4:BA5"/>
    <mergeCell ref="BB4:BB5"/>
    <mergeCell ref="AW5:AX5"/>
    <mergeCell ref="AT18:AT26"/>
    <mergeCell ref="AV18:AX18"/>
    <mergeCell ref="AY18:BB18"/>
    <mergeCell ref="AU28:AV29"/>
    <mergeCell ref="AW28:AX28"/>
    <mergeCell ref="AY28:AZ28"/>
    <mergeCell ref="BA28:BB28"/>
    <mergeCell ref="AT11:BB11"/>
    <mergeCell ref="AU13:BB13"/>
    <mergeCell ref="AT14:AT17"/>
    <mergeCell ref="AU14:BB14"/>
    <mergeCell ref="AW16:AW17"/>
    <mergeCell ref="AX16:AX17"/>
    <mergeCell ref="BA16:BA17"/>
    <mergeCell ref="AT50:AT53"/>
    <mergeCell ref="AU50:BB50"/>
    <mergeCell ref="AU51:AV51"/>
    <mergeCell ref="AW51:AW53"/>
    <mergeCell ref="AX51:AX53"/>
    <mergeCell ref="BA51:BA53"/>
    <mergeCell ref="AU52:AV52"/>
    <mergeCell ref="AU53:AV53"/>
    <mergeCell ref="AT30:AT38"/>
    <mergeCell ref="AU30:BB30"/>
    <mergeCell ref="AU39:BB39"/>
    <mergeCell ref="AT46:AT49"/>
    <mergeCell ref="AU46:BB46"/>
    <mergeCell ref="AW48:AW49"/>
    <mergeCell ref="AX48:AX49"/>
    <mergeCell ref="BA48:BA49"/>
  </mergeCells>
  <pageMargins left="0.2" right="0.2" top="0.42" bottom="0.24" header="0.3" footer="0.3"/>
  <pageSetup paperSize="9" scale="20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67204-92BD-4838-A1F8-AA7EF2E23E5D}">
  <sheetPr>
    <tabColor rgb="FF7030A0"/>
    <pageSetUpPr fitToPage="1"/>
  </sheetPr>
  <dimension ref="A1:AP175"/>
  <sheetViews>
    <sheetView zoomScale="90" zoomScaleNormal="90" workbookViewId="0">
      <selection activeCell="S21" sqref="S21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0.86328125" style="5" customWidth="1"/>
    <col min="16" max="16" width="12.265625" style="5" customWidth="1"/>
    <col min="17" max="17" width="14.265625" style="5" customWidth="1"/>
    <col min="18" max="18" width="11.73046875" style="5" customWidth="1"/>
    <col min="19" max="19" width="11.59765625" style="5" customWidth="1"/>
    <col min="20" max="20" width="11.59765625" style="5" hidden="1" customWidth="1"/>
    <col min="21" max="21" width="10.265625" style="5" customWidth="1"/>
    <col min="22" max="22" width="10.59765625" style="5" customWidth="1"/>
    <col min="23" max="23" width="9.1328125" style="5"/>
    <col min="24" max="24" width="12.3984375" style="5" bestFit="1" customWidth="1"/>
    <col min="25" max="25" width="13.3984375" style="172" hidden="1" customWidth="1"/>
    <col min="26" max="26" width="11.265625" style="5" hidden="1" customWidth="1"/>
    <col min="27" max="27" width="10.265625" style="5" hidden="1" customWidth="1"/>
    <col min="28" max="28" width="10.59765625" style="5" hidden="1" customWidth="1"/>
    <col min="29" max="29" width="0" style="5" hidden="1" customWidth="1"/>
    <col min="30" max="30" width="37.3984375" style="5" hidden="1" customWidth="1"/>
    <col min="31" max="31" width="16.59765625" style="5" hidden="1" customWidth="1"/>
    <col min="32" max="32" width="16.86328125" style="5" hidden="1" customWidth="1"/>
    <col min="33" max="33" width="17.59765625" style="5" hidden="1" customWidth="1"/>
    <col min="34" max="34" width="16.3984375" style="5" hidden="1" customWidth="1"/>
    <col min="35" max="35" width="15.1328125" style="5" hidden="1" customWidth="1"/>
    <col min="36" max="36" width="0" style="5" hidden="1" customWidth="1"/>
    <col min="37" max="37" width="8.265625" style="5" customWidth="1"/>
    <col min="38" max="38" width="32" style="5" bestFit="1" customWidth="1"/>
    <col min="39" max="39" width="14.86328125" style="5" customWidth="1"/>
    <col min="40" max="40" width="17.86328125" style="5" customWidth="1"/>
    <col min="41" max="41" width="15.3984375" style="5" customWidth="1"/>
    <col min="42" max="42" width="14.59765625" style="5" customWidth="1"/>
    <col min="43" max="16384" width="9.1328125" style="5"/>
  </cols>
  <sheetData>
    <row r="1" spans="1:42" ht="21.75" customHeight="1" x14ac:dyDescent="0.35">
      <c r="A1" s="2156" t="s">
        <v>1061</v>
      </c>
      <c r="B1" s="2156"/>
      <c r="C1" s="2156"/>
      <c r="D1" s="2156"/>
      <c r="E1" s="2156"/>
      <c r="F1" s="2156"/>
      <c r="G1" s="2156"/>
      <c r="H1" s="2156"/>
      <c r="I1" s="2156"/>
      <c r="M1" s="2345" t="s">
        <v>1062</v>
      </c>
      <c r="N1" s="2345"/>
      <c r="O1" s="2345"/>
      <c r="P1" s="2345"/>
      <c r="Q1" s="2345"/>
      <c r="R1" s="2345"/>
      <c r="S1" s="2345"/>
      <c r="T1" s="2345"/>
      <c r="U1" s="2345"/>
      <c r="V1" s="2345"/>
    </row>
    <row r="2" spans="1:42" s="301" customFormat="1" ht="20.25" customHeight="1" thickBot="1" x14ac:dyDescent="0.4">
      <c r="A2" s="2346" t="s">
        <v>986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1019</v>
      </c>
      <c r="N2" s="2093"/>
      <c r="O2" s="2093"/>
      <c r="P2" s="2093"/>
      <c r="Q2" s="2093"/>
      <c r="R2" s="2093"/>
      <c r="S2" s="2093"/>
      <c r="T2" s="2093"/>
      <c r="U2" s="2093"/>
      <c r="V2" s="2094"/>
      <c r="Y2" s="1149"/>
      <c r="AD2" s="2326" t="s">
        <v>781</v>
      </c>
      <c r="AE2" s="2326"/>
      <c r="AF2" s="2326"/>
      <c r="AG2" s="2326"/>
      <c r="AH2" s="2326"/>
      <c r="AI2" s="2326"/>
      <c r="AK2" s="2092" t="s">
        <v>1011</v>
      </c>
      <c r="AL2" s="2093"/>
      <c r="AM2" s="2093"/>
      <c r="AN2" s="2093"/>
      <c r="AO2" s="2093"/>
      <c r="AP2" s="2093"/>
    </row>
    <row r="3" spans="1:42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1906"/>
      <c r="U3" s="2109" t="s">
        <v>813</v>
      </c>
      <c r="V3" s="2110"/>
      <c r="AD3" s="2341" t="s">
        <v>854</v>
      </c>
      <c r="AE3" s="2341"/>
      <c r="AF3" s="2341"/>
      <c r="AG3" s="2341"/>
      <c r="AH3" s="2341"/>
      <c r="AI3" s="2341"/>
      <c r="AK3" s="2358" t="s">
        <v>757</v>
      </c>
      <c r="AL3" s="2342" t="s">
        <v>353</v>
      </c>
      <c r="AM3" s="2107" t="s">
        <v>8</v>
      </c>
      <c r="AN3" s="2108"/>
      <c r="AO3" s="2107" t="s">
        <v>10</v>
      </c>
      <c r="AP3" s="2108"/>
    </row>
    <row r="4" spans="1:42" s="35" customFormat="1" ht="28.5" customHeight="1" x14ac:dyDescent="0.35">
      <c r="A4" s="2360"/>
      <c r="B4" s="2343"/>
      <c r="C4" s="2333" t="s">
        <v>666</v>
      </c>
      <c r="D4" s="434" t="s">
        <v>879</v>
      </c>
      <c r="E4" s="434" t="str">
        <f>G4</f>
        <v xml:space="preserve"> JAN-24</v>
      </c>
      <c r="F4" s="434" t="s">
        <v>1045</v>
      </c>
      <c r="G4" s="434" t="s">
        <v>1046</v>
      </c>
      <c r="H4" s="1832" t="s">
        <v>12</v>
      </c>
      <c r="I4" s="1832" t="s">
        <v>13</v>
      </c>
      <c r="J4" s="323"/>
      <c r="K4" s="323"/>
      <c r="L4" s="1574"/>
      <c r="M4" s="2358"/>
      <c r="N4" s="2343"/>
      <c r="O4" s="2337" t="s">
        <v>666</v>
      </c>
      <c r="P4" s="1834" t="s">
        <v>9</v>
      </c>
      <c r="Q4" s="1836" t="str">
        <f>S4</f>
        <v>UPTO
 JAN-24</v>
      </c>
      <c r="R4" s="1836" t="s">
        <v>1048</v>
      </c>
      <c r="S4" s="1836" t="s">
        <v>1047</v>
      </c>
      <c r="T4" s="1907"/>
      <c r="U4" s="2331" t="s">
        <v>12</v>
      </c>
      <c r="V4" s="2331" t="s">
        <v>13</v>
      </c>
      <c r="Y4" s="1150"/>
      <c r="AD4" s="1294" t="s">
        <v>353</v>
      </c>
      <c r="AE4" s="1294" t="s">
        <v>77</v>
      </c>
      <c r="AF4" s="1294" t="s">
        <v>249</v>
      </c>
      <c r="AG4" s="1365" t="s">
        <v>853</v>
      </c>
      <c r="AH4" s="1294" t="s">
        <v>438</v>
      </c>
      <c r="AI4" s="1294" t="s">
        <v>701</v>
      </c>
      <c r="AK4" s="2358"/>
      <c r="AL4" s="2343"/>
      <c r="AM4" s="421" t="s">
        <v>9</v>
      </c>
      <c r="AN4" s="1057" t="s">
        <v>1009</v>
      </c>
      <c r="AO4" s="1057" t="s">
        <v>1010</v>
      </c>
      <c r="AP4" s="1057" t="s">
        <v>1009</v>
      </c>
    </row>
    <row r="5" spans="1:42" ht="18.75" hidden="1" customHeight="1" x14ac:dyDescent="0.5">
      <c r="A5" s="2361"/>
      <c r="B5" s="2344"/>
      <c r="C5" s="2334"/>
      <c r="D5" s="434" t="s">
        <v>249</v>
      </c>
      <c r="E5" s="434"/>
      <c r="F5" s="434" t="s">
        <v>249</v>
      </c>
      <c r="G5" s="434" t="s">
        <v>438</v>
      </c>
      <c r="H5" s="434"/>
      <c r="I5" s="434"/>
      <c r="M5" s="2359"/>
      <c r="N5" s="2344"/>
      <c r="O5" s="2338"/>
      <c r="P5" s="2531" t="s">
        <v>249</v>
      </c>
      <c r="Q5" s="2532"/>
      <c r="R5" s="602" t="s">
        <v>249</v>
      </c>
      <c r="S5" s="602" t="s">
        <v>438</v>
      </c>
      <c r="T5" s="1908"/>
      <c r="U5" s="2332"/>
      <c r="V5" s="2332"/>
      <c r="AD5" s="6"/>
      <c r="AE5" s="6"/>
      <c r="AF5" s="1363"/>
      <c r="AG5" s="1366"/>
      <c r="AH5" s="602" t="s">
        <v>249</v>
      </c>
      <c r="AI5" s="602" t="s">
        <v>438</v>
      </c>
      <c r="AK5" s="2359"/>
      <c r="AL5" s="2344"/>
      <c r="AM5" s="2157" t="s">
        <v>249</v>
      </c>
      <c r="AN5" s="2158"/>
      <c r="AO5" s="602" t="s">
        <v>249</v>
      </c>
      <c r="AP5" s="602" t="s">
        <v>438</v>
      </c>
    </row>
    <row r="6" spans="1:42" ht="30" customHeight="1" x14ac:dyDescent="0.35">
      <c r="A6" s="1229">
        <v>1</v>
      </c>
      <c r="B6" s="1191" t="s">
        <v>290</v>
      </c>
      <c r="C6" s="1518">
        <v>1024.2159494</v>
      </c>
      <c r="D6" s="1835">
        <v>1119.72</v>
      </c>
      <c r="E6" s="1842">
        <v>103.42</v>
      </c>
      <c r="F6" s="434">
        <f>F15+F16+F17</f>
        <v>94.480579800000001</v>
      </c>
      <c r="G6" s="1840">
        <f>G15+G16+G17</f>
        <v>106.66701310000001</v>
      </c>
      <c r="H6" s="1849">
        <f>(G6-E6)/E6*100</f>
        <v>3.1396374975826764</v>
      </c>
      <c r="I6" s="1837">
        <f>(G6-F6)/F6*100</f>
        <v>12.898347285544498</v>
      </c>
      <c r="J6" s="82">
        <f>G6/27</f>
        <v>3.9506301148148149</v>
      </c>
      <c r="K6" s="323">
        <f>J6*30</f>
        <v>118.51890344444445</v>
      </c>
      <c r="L6" s="491">
        <f>K6+'OCT-23'!S6</f>
        <v>809.74372174444443</v>
      </c>
      <c r="M6" s="1203">
        <v>1</v>
      </c>
      <c r="N6" s="1179" t="s">
        <v>290</v>
      </c>
      <c r="O6" s="1185">
        <v>1024.2159494</v>
      </c>
      <c r="P6" s="1835">
        <v>1119.72</v>
      </c>
      <c r="Q6" s="1848">
        <v>920.41</v>
      </c>
      <c r="R6" s="434">
        <f>R15+R16+R17</f>
        <v>843.07104499999991</v>
      </c>
      <c r="S6" s="1840">
        <f>S15+S16+S17</f>
        <v>1005.6572001</v>
      </c>
      <c r="T6" s="1840"/>
      <c r="U6" s="1849">
        <f>(S6-Q6)/Q6*100</f>
        <v>9.2618724372833832</v>
      </c>
      <c r="V6" s="1849">
        <f>(S6-R6)/R6*100</f>
        <v>19.284988621569855</v>
      </c>
      <c r="W6" s="12">
        <f>G6+'OCT-23'!S6</f>
        <v>797.89183139999989</v>
      </c>
      <c r="X6" s="11">
        <f>(S6-P6)/P6*100</f>
        <v>-10.18672524381096</v>
      </c>
      <c r="Y6" s="491">
        <f>'APRIL-22'!F6+'MAY-22'!F6+'JUNE-22'!F6+'JULY 22'!F6+'AUG-22'!F6+'SEP-2022'!F6</f>
        <v>234.29859418299998</v>
      </c>
      <c r="Z6" s="491">
        <f>'APRIL-22'!G6+'MAY-22'!G6+'JUNE-22'!G6+'JULY 22'!G6+'AUG-22'!G6+'SEP-2022'!G6</f>
        <v>486.57014339999995</v>
      </c>
      <c r="AD6" s="1191" t="s">
        <v>855</v>
      </c>
      <c r="AE6" s="434">
        <v>873.14</v>
      </c>
      <c r="AF6" s="434">
        <v>615.09889696200003</v>
      </c>
      <c r="AG6" s="1315">
        <v>950.59</v>
      </c>
      <c r="AH6" s="434">
        <v>950.59</v>
      </c>
      <c r="AI6" s="434">
        <v>1024.2159494</v>
      </c>
      <c r="AK6" s="1203">
        <v>1</v>
      </c>
      <c r="AL6" s="1179" t="s">
        <v>290</v>
      </c>
      <c r="AM6" s="1425">
        <v>1063.73</v>
      </c>
      <c r="AN6" s="1446">
        <f>'TARGET 23-24'!D18</f>
        <v>681.56</v>
      </c>
      <c r="AO6" s="434">
        <v>657.16742699999998</v>
      </c>
      <c r="AP6" s="434">
        <v>791.00769752222209</v>
      </c>
    </row>
    <row r="7" spans="1:42" ht="26.25" customHeight="1" x14ac:dyDescent="0.35">
      <c r="A7" s="1230">
        <v>2</v>
      </c>
      <c r="B7" s="1154" t="s">
        <v>291</v>
      </c>
      <c r="C7" s="1518">
        <v>403.10200000000003</v>
      </c>
      <c r="D7" s="1425">
        <v>444.7</v>
      </c>
      <c r="E7" s="1842">
        <v>31.64</v>
      </c>
      <c r="F7" s="434">
        <f>F20+F21+F22+F23+F24+F25+F26</f>
        <v>28.77</v>
      </c>
      <c r="G7" s="1840">
        <f>G20+G21+G22+G23+G24+G25+G26</f>
        <v>28.049092999999999</v>
      </c>
      <c r="H7" s="1846">
        <f>(G7-E7)/E7*100</f>
        <v>-11.349263590391914</v>
      </c>
      <c r="I7" s="1879">
        <f>(G7-F7)/F7*100</f>
        <v>-2.5057594716718818</v>
      </c>
      <c r="J7" s="82">
        <f t="shared" ref="J7:J8" si="0">G7/27</f>
        <v>1.0388552962962962</v>
      </c>
      <c r="K7" s="323">
        <f t="shared" ref="K7:K8" si="1">J7*30</f>
        <v>31.165658888888888</v>
      </c>
      <c r="L7" s="491">
        <f>K7+'OCT-23'!S7</f>
        <v>287.62265888888891</v>
      </c>
      <c r="M7" s="1204">
        <v>2</v>
      </c>
      <c r="N7" s="1154" t="s">
        <v>291</v>
      </c>
      <c r="O7" s="1186">
        <v>403.10200000000003</v>
      </c>
      <c r="P7" s="1425">
        <v>444.7</v>
      </c>
      <c r="Q7" s="1842">
        <v>377.03999999999996</v>
      </c>
      <c r="R7" s="434">
        <f>R20+R21+R22+R23+R24+R25+R26</f>
        <v>341.90021639999992</v>
      </c>
      <c r="S7" s="1840">
        <f>S20+S21+S22+S23+S24+S25+S26</f>
        <v>356.61009299999995</v>
      </c>
      <c r="T7" s="1840"/>
      <c r="U7" s="1846">
        <f>(S7-Q7)/Q7*100</f>
        <v>-5.4184985677912207</v>
      </c>
      <c r="V7" s="1849">
        <f>(S7-R7)/R7*100</f>
        <v>4.3023887948612698</v>
      </c>
      <c r="W7" s="12">
        <f>G7+'OCT-23'!S7</f>
        <v>284.50609299999996</v>
      </c>
      <c r="Y7" s="491">
        <f>'APRIL-22'!F7+'MAY-22'!F7+'JUNE-22'!F7+'JULY 22'!F7+'AUG-22'!F7+'SEP-2022'!F7</f>
        <v>124.89550630000001</v>
      </c>
      <c r="Z7" s="491">
        <f>'APRIL-22'!G7+'MAY-22'!G7+'JUNE-22'!G7+'JULY 22'!G7+'AUG-22'!G7+'SEP-2022'!G7</f>
        <v>203.11230660000001</v>
      </c>
      <c r="AD7" s="606" t="s">
        <v>856</v>
      </c>
      <c r="AE7" s="434">
        <v>194.94915280000004</v>
      </c>
      <c r="AF7" s="434">
        <v>275.33999999999997</v>
      </c>
      <c r="AG7" s="1315">
        <v>341.23</v>
      </c>
      <c r="AH7" s="434">
        <v>341.23</v>
      </c>
      <c r="AI7" s="434">
        <v>403.10200000000003</v>
      </c>
      <c r="AK7" s="1204">
        <v>2</v>
      </c>
      <c r="AL7" s="1154" t="s">
        <v>291</v>
      </c>
      <c r="AM7" s="1425">
        <v>485.81999999999994</v>
      </c>
      <c r="AN7" s="1446">
        <f>'TARGET 23-24'!E18</f>
        <v>332.94</v>
      </c>
      <c r="AO7" s="434">
        <v>276.28809999999999</v>
      </c>
      <c r="AP7" s="434">
        <v>286.65699999999998</v>
      </c>
    </row>
    <row r="8" spans="1:42" ht="32.25" customHeight="1" x14ac:dyDescent="0.35">
      <c r="A8" s="1231">
        <v>3</v>
      </c>
      <c r="B8" s="1155" t="s">
        <v>292</v>
      </c>
      <c r="C8" s="1518">
        <v>106.68749520000001</v>
      </c>
      <c r="D8" s="1425">
        <v>124.03</v>
      </c>
      <c r="E8" s="1842">
        <v>9.2100000000000009</v>
      </c>
      <c r="F8" s="1314">
        <f>F31+F32+F33+F35+F36+F37+F38</f>
        <v>7.7300867000000002</v>
      </c>
      <c r="G8" s="1840">
        <f>G31+G34+G35+G36+G37+G38</f>
        <v>9.774374400000001</v>
      </c>
      <c r="H8" s="1849">
        <f>(G8-E8)/E8*100</f>
        <v>6.1278436482084704</v>
      </c>
      <c r="I8" s="1837">
        <f>(G8-F8)/F8*100</f>
        <v>26.445857327835675</v>
      </c>
      <c r="J8" s="82">
        <f t="shared" si="0"/>
        <v>0.36201386666666668</v>
      </c>
      <c r="K8" s="323">
        <f t="shared" si="1"/>
        <v>10.860416000000001</v>
      </c>
      <c r="L8" s="491">
        <f>K8+'OCT-23'!S8</f>
        <v>80.725802856000016</v>
      </c>
      <c r="M8" s="1205">
        <v>3</v>
      </c>
      <c r="N8" s="1155" t="s">
        <v>292</v>
      </c>
      <c r="O8" s="1187">
        <v>106.68749520000001</v>
      </c>
      <c r="P8" s="1425">
        <v>124.03</v>
      </c>
      <c r="Q8" s="1842">
        <v>106.03999999999999</v>
      </c>
      <c r="R8" s="1314">
        <f>R31+R32+R33+R35+R36+R37+R38</f>
        <v>90.375612899999993</v>
      </c>
      <c r="S8" s="1840">
        <f>S31+S32+S33+S35+S36+S37+S38</f>
        <v>100.16563295600002</v>
      </c>
      <c r="T8" s="1840"/>
      <c r="U8" s="1846">
        <f>(S8-Q8)/Q8*100</f>
        <v>-5.5397652244435758</v>
      </c>
      <c r="V8" s="1849">
        <f>(S8-R8)/R8*100</f>
        <v>10.832590498537058</v>
      </c>
      <c r="W8" s="12">
        <f>G8+'OCT-23'!S8</f>
        <v>79.639761256000014</v>
      </c>
      <c r="Y8" s="491">
        <f>'APRIL-22'!F8+'MAY-22'!F8+'JUNE-22'!F8+'JULY 22'!F8+'AUG-22'!F8+'SEP-2022'!F8</f>
        <v>27.944966799999996</v>
      </c>
      <c r="Z8" s="491">
        <f>'APRIL-22'!G8+'MAY-22'!G8+'JUNE-22'!G8+'JULY 22'!G8+'AUG-22'!G8+'SEP-2022'!G8</f>
        <v>55.066350600000007</v>
      </c>
      <c r="AD8" s="1361" t="s">
        <v>857</v>
      </c>
      <c r="AE8" s="434">
        <v>85.182228199999997</v>
      </c>
      <c r="AF8" s="434">
        <v>71.674099700000014</v>
      </c>
      <c r="AG8" s="1315">
        <v>102.46000000000001</v>
      </c>
      <c r="AH8" s="434">
        <v>102.46000000000001</v>
      </c>
      <c r="AI8" s="434">
        <v>106.68749520000001</v>
      </c>
      <c r="AK8" s="1205">
        <v>3</v>
      </c>
      <c r="AL8" s="1155" t="s">
        <v>292</v>
      </c>
      <c r="AM8" s="1425">
        <v>150.59</v>
      </c>
      <c r="AN8" s="1446">
        <f>'TARGET 23-24'!F18</f>
        <v>105.69</v>
      </c>
      <c r="AO8" s="1314">
        <v>73.268227600000003</v>
      </c>
      <c r="AP8" s="1314">
        <v>80.325848300444463</v>
      </c>
    </row>
    <row r="9" spans="1:42" ht="34.5" customHeight="1" x14ac:dyDescent="0.35">
      <c r="A9" s="1230">
        <v>4</v>
      </c>
      <c r="B9" s="1156" t="s">
        <v>293</v>
      </c>
      <c r="C9" s="1518">
        <v>17.701250099999996</v>
      </c>
      <c r="D9" s="1425">
        <v>19.989999999999995</v>
      </c>
      <c r="E9" s="1843">
        <v>1.67</v>
      </c>
      <c r="F9" s="434">
        <f>F40+F41+F42+F44+F45</f>
        <v>1.0965029000000002</v>
      </c>
      <c r="G9" s="1840">
        <f>G40+G41+G42+G44+G45</f>
        <v>1.3346533999999999</v>
      </c>
      <c r="H9" s="1849">
        <f>(G9-E9)/E9*100</f>
        <v>-20.080634730538925</v>
      </c>
      <c r="I9" s="1837">
        <f>(G9-F9)/F9*100</f>
        <v>21.719094404583853</v>
      </c>
      <c r="K9" s="84">
        <f>K10*31</f>
        <v>205.48087049545455</v>
      </c>
      <c r="M9" s="1204">
        <v>4</v>
      </c>
      <c r="N9" s="1156" t="s">
        <v>293</v>
      </c>
      <c r="O9" s="1185">
        <v>17.701250099999996</v>
      </c>
      <c r="P9" s="1425">
        <v>19.989999999999995</v>
      </c>
      <c r="Q9" s="1842">
        <v>16.662500000000001</v>
      </c>
      <c r="R9" s="434">
        <f>R40+R41+R42+R44+R45</f>
        <v>12.4665117</v>
      </c>
      <c r="S9" s="1840">
        <f>S40+S41+S42+S44+S45</f>
        <v>15.663353299999999</v>
      </c>
      <c r="T9" s="1840"/>
      <c r="U9" s="1846">
        <f>(S9-Q9)/Q9*100</f>
        <v>-5.9963792948237202</v>
      </c>
      <c r="V9" s="1849">
        <f>(S9-R9)/R9*100</f>
        <v>25.643433198719084</v>
      </c>
      <c r="W9" s="12">
        <f>G9+'OCT-23'!S9</f>
        <v>12.021469000000002</v>
      </c>
      <c r="Y9" s="491">
        <f>'APRIL-22'!F9+'MAY-22'!F9+'JUNE-22'!F9+'JULY 22'!F9+'AUG-22'!F9+'SEP-2022'!F9</f>
        <v>2.8027249000000003</v>
      </c>
      <c r="Z9" s="491">
        <f>'APRIL-22'!G9+'MAY-22'!G9+'JUNE-22'!G9+'JULY 22'!G9+'AUG-22'!G9+'SEP-2022'!G9</f>
        <v>7.3723258000000005</v>
      </c>
      <c r="AD9" s="606" t="s">
        <v>858</v>
      </c>
      <c r="AE9" s="434">
        <v>9.3101146999999997</v>
      </c>
      <c r="AF9" s="434">
        <v>5.1459812999999999</v>
      </c>
      <c r="AG9" s="1315">
        <v>16.79</v>
      </c>
      <c r="AH9" s="434">
        <v>16.79</v>
      </c>
      <c r="AI9" s="434">
        <v>17.701250099999996</v>
      </c>
      <c r="AK9" s="1204">
        <v>4</v>
      </c>
      <c r="AL9" s="1156" t="s">
        <v>293</v>
      </c>
      <c r="AM9" s="1425">
        <v>19.149999999999999</v>
      </c>
      <c r="AN9" s="1425">
        <f>'TARGET 23-24'!O45</f>
        <v>13.326666666666666</v>
      </c>
      <c r="AO9" s="434">
        <v>10.473413500000001</v>
      </c>
      <c r="AP9" s="434">
        <f>AP40+AP41+AP42+AP44+AP45</f>
        <v>0</v>
      </c>
    </row>
    <row r="10" spans="1:42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1708.44</v>
      </c>
      <c r="E10" s="1844">
        <f>E6+E7+E8+E9</f>
        <v>145.94</v>
      </c>
      <c r="F10" s="321">
        <f>SUM(F6:F9)</f>
        <v>132.07716939999997</v>
      </c>
      <c r="G10" s="1841">
        <f>SUM(G6:G9)</f>
        <v>145.8251339</v>
      </c>
      <c r="H10" s="1850">
        <f>(G10-E10)/E10*100</f>
        <v>-7.8707756612306709E-2</v>
      </c>
      <c r="I10" s="1838">
        <f>(G10-F10)/F10*100</f>
        <v>10.409039323339728</v>
      </c>
      <c r="K10" s="84">
        <f>G10/22</f>
        <v>6.6284151772727276</v>
      </c>
      <c r="M10" s="1205">
        <v>5</v>
      </c>
      <c r="N10" s="1157" t="s">
        <v>294</v>
      </c>
      <c r="O10" s="1185">
        <v>1551.7066947000001</v>
      </c>
      <c r="P10" s="321">
        <f t="shared" ref="P10" si="2">P6+P7+P8+P9</f>
        <v>1708.44</v>
      </c>
      <c r="Q10" s="445">
        <f>Q6+Q7+Q8+Q9</f>
        <v>1420.1524999999997</v>
      </c>
      <c r="R10" s="321">
        <f>R6+R7+R8+R9</f>
        <v>1287.8133859999998</v>
      </c>
      <c r="S10" s="1841">
        <f>S6+S7+S8+S9</f>
        <v>1478.096279356</v>
      </c>
      <c r="T10" s="1841"/>
      <c r="U10" s="1850">
        <f>(S10-Q10)/Q10*100</f>
        <v>4.0801096611807735</v>
      </c>
      <c r="V10" s="1850">
        <f>(S10-R10)/R10*100</f>
        <v>14.775657360343681</v>
      </c>
      <c r="W10" s="12">
        <f>SUM(W6:W9)</f>
        <v>1174.0591546559997</v>
      </c>
      <c r="Y10" s="12">
        <f>SUM(Y6:Y9)</f>
        <v>389.94179218299996</v>
      </c>
      <c r="Z10" s="12">
        <f>SUM(Z6:Z9)</f>
        <v>752.12112639999998</v>
      </c>
      <c r="AA10" s="12">
        <f>S10-Z10</f>
        <v>725.97515295599999</v>
      </c>
      <c r="AD10" s="1362" t="s">
        <v>859</v>
      </c>
      <c r="AE10" s="1364">
        <f>SUM(AE6:AE9)</f>
        <v>1162.5814957</v>
      </c>
      <c r="AF10" s="1364">
        <f>SUM(AF6:AF9)</f>
        <v>967.25897796200002</v>
      </c>
      <c r="AG10" s="445">
        <f>SUM(AG6:AG9)</f>
        <v>1411.0700000000002</v>
      </c>
      <c r="AH10" s="321">
        <f>SUM(AH6:AH9)</f>
        <v>1411.0700000000002</v>
      </c>
      <c r="AI10" s="321">
        <f>SUM(AI6:AI9)</f>
        <v>1551.7066947000001</v>
      </c>
      <c r="AK10" s="1205">
        <v>5</v>
      </c>
      <c r="AL10" s="1157" t="s">
        <v>294</v>
      </c>
      <c r="AM10" s="321">
        <f t="shared" ref="AM10" si="3">AM6+AM7+AM8+AM9</f>
        <v>1719.29</v>
      </c>
      <c r="AN10" s="321">
        <f>AN6+AN7+AN8+AN9</f>
        <v>1133.5166666666667</v>
      </c>
      <c r="AO10" s="321">
        <f>AO6+AO7+AO8+AO9</f>
        <v>1017.1971681</v>
      </c>
      <c r="AP10" s="321">
        <f>AP6+AP7+AP8+AP9</f>
        <v>1157.9905458226665</v>
      </c>
    </row>
    <row r="11" spans="1:42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2"/>
      <c r="V11" s="2063"/>
      <c r="AD11" s="6"/>
      <c r="AE11" s="6"/>
      <c r="AF11" s="234"/>
      <c r="AG11" s="1297"/>
      <c r="AH11" s="6"/>
      <c r="AI11" s="6"/>
      <c r="AK11" s="2061"/>
      <c r="AL11" s="2062"/>
      <c r="AM11" s="2062"/>
      <c r="AN11" s="2062"/>
      <c r="AO11" s="2062"/>
      <c r="AP11" s="2062"/>
    </row>
    <row r="12" spans="1:42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845">
        <f>E47+E48</f>
        <v>5.27</v>
      </c>
      <c r="F12" s="1294">
        <f>F47+F48+F49</f>
        <v>4.218216</v>
      </c>
      <c r="G12" s="1294">
        <f>G47+G48+G49</f>
        <v>4.7497860000000003</v>
      </c>
      <c r="H12" s="1847">
        <f>(G12-E12)/E12*100</f>
        <v>-9.8712333965844277</v>
      </c>
      <c r="I12" s="1839">
        <f>(G12-F12)/F12*100</f>
        <v>12.601772882185273</v>
      </c>
      <c r="L12" s="1476"/>
      <c r="M12" s="1204">
        <v>6.3</v>
      </c>
      <c r="N12" s="1316" t="s">
        <v>814</v>
      </c>
      <c r="O12" s="1185">
        <v>47.027382000000003</v>
      </c>
      <c r="P12" s="332">
        <v>55.06</v>
      </c>
      <c r="Q12" s="1129">
        <f>Q47+Q48</f>
        <v>45.17</v>
      </c>
      <c r="R12" s="1294">
        <f>R47+R48+R49</f>
        <v>38.579811999999997</v>
      </c>
      <c r="S12" s="1294">
        <f>S47+S48+S49</f>
        <v>46.633139</v>
      </c>
      <c r="T12" s="1294"/>
      <c r="U12" s="1852">
        <f>(S12-Q12)/Q12*100</f>
        <v>3.2391830861191018</v>
      </c>
      <c r="V12" s="1851">
        <f>(S12-R12)/R12*100</f>
        <v>20.874458900940223</v>
      </c>
      <c r="AD12" s="1316" t="s">
        <v>814</v>
      </c>
      <c r="AE12" s="1294">
        <v>77.260000000000005</v>
      </c>
      <c r="AF12" s="1294">
        <v>16.61</v>
      </c>
      <c r="AG12" s="1367">
        <v>62.53</v>
      </c>
      <c r="AH12" s="1294">
        <v>16.611401999999998</v>
      </c>
      <c r="AI12" s="1294">
        <v>47.027382000000003</v>
      </c>
      <c r="AK12" s="1204">
        <v>6.3</v>
      </c>
      <c r="AL12" s="1293" t="s">
        <v>778</v>
      </c>
      <c r="AM12" s="332">
        <v>55.06</v>
      </c>
      <c r="AN12" s="307">
        <f>'TARGET 23-24'!D45</f>
        <v>34.68</v>
      </c>
      <c r="AO12" s="1294">
        <v>29.16</v>
      </c>
      <c r="AP12" s="1294">
        <f>AP47+AP48+AP49</f>
        <v>0</v>
      </c>
    </row>
    <row r="13" spans="1:42" s="1310" customFormat="1" ht="13.5" customHeight="1" x14ac:dyDescent="0.35">
      <c r="A13" s="1309"/>
      <c r="B13" s="2352" t="s">
        <v>229</v>
      </c>
      <c r="C13" s="2353"/>
      <c r="D13" s="2353"/>
      <c r="E13" s="2353"/>
      <c r="F13" s="2353"/>
      <c r="G13" s="2353"/>
      <c r="H13" s="2353"/>
      <c r="I13" s="2354"/>
      <c r="L13" s="1311"/>
      <c r="M13" s="1309"/>
      <c r="N13" s="2355" t="s">
        <v>229</v>
      </c>
      <c r="O13" s="2356"/>
      <c r="P13" s="2356"/>
      <c r="Q13" s="2356"/>
      <c r="R13" s="2356"/>
      <c r="S13" s="2356"/>
      <c r="T13" s="2356"/>
      <c r="U13" s="2356"/>
      <c r="V13" s="2357"/>
      <c r="Y13" s="1311"/>
      <c r="AK13" s="5"/>
      <c r="AL13" s="5"/>
      <c r="AM13" s="5"/>
      <c r="AN13" s="5"/>
      <c r="AO13" s="5"/>
    </row>
    <row r="14" spans="1:42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2368">
        <v>1</v>
      </c>
      <c r="N14" s="2021" t="s">
        <v>278</v>
      </c>
      <c r="O14" s="2022"/>
      <c r="P14" s="2022"/>
      <c r="Q14" s="2022"/>
      <c r="R14" s="2022"/>
      <c r="S14" s="2022"/>
      <c r="T14" s="2022"/>
      <c r="U14" s="2022"/>
      <c r="V14" s="2023"/>
    </row>
    <row r="15" spans="1:42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v>1.22</v>
      </c>
      <c r="F15" s="315">
        <f>E60</f>
        <v>1.0602129</v>
      </c>
      <c r="G15" s="315">
        <f>F60</f>
        <v>1.1306687</v>
      </c>
      <c r="H15" s="1859">
        <f>(G15-E15)/E15*100</f>
        <v>-7.3222377049180327</v>
      </c>
      <c r="I15" s="1853">
        <f>(G15-F15)/F15*100</f>
        <v>6.6454388547809549</v>
      </c>
      <c r="J15" s="1860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12.6</v>
      </c>
      <c r="Q15" s="307">
        <f>E15+'DEC-2023'!AX15</f>
        <v>10.930000000000001</v>
      </c>
      <c r="R15" s="315">
        <f>F15+'DEC-2023'!R15</f>
        <v>9.5179873000000015</v>
      </c>
      <c r="S15" s="315">
        <f>G15+'DEC-2023'!S15</f>
        <v>11.565919099999999</v>
      </c>
      <c r="T15" s="315"/>
      <c r="U15" s="1856">
        <f>(S15-Q15)/Q15*100</f>
        <v>5.8181070448307137</v>
      </c>
      <c r="V15" s="1853">
        <f>(S15-R15)/R15*100</f>
        <v>21.516437619117195</v>
      </c>
      <c r="W15" s="5">
        <f>S15/153</f>
        <v>7.5594242483660118E-2</v>
      </c>
      <c r="Z15" s="12">
        <f>R16+R17</f>
        <v>833.55305769999995</v>
      </c>
      <c r="AA15" s="12">
        <f>S16+S17</f>
        <v>994.09128099999998</v>
      </c>
      <c r="AB15" s="5">
        <f>(AA15-Z15)/Z15*100</f>
        <v>19.259508655989908</v>
      </c>
    </row>
    <row r="16" spans="1:42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v>102.2</v>
      </c>
      <c r="F16" s="315">
        <f t="shared" ref="F16:G16" si="4">E61</f>
        <v>14.918684799999999</v>
      </c>
      <c r="G16" s="315">
        <f t="shared" si="4"/>
        <v>16.494714200000001</v>
      </c>
      <c r="H16" s="2529">
        <f>L16</f>
        <v>3.2645248532289646</v>
      </c>
      <c r="I16" s="1853">
        <f>(G16-F16)/F16*100</f>
        <v>10.564130961463851</v>
      </c>
      <c r="J16" s="323">
        <f>F16+F17</f>
        <v>93.420366899999991</v>
      </c>
      <c r="K16" s="323">
        <f>G16+G17</f>
        <v>105.5363444</v>
      </c>
      <c r="L16" s="1476">
        <f>(K16-E16)/E16*100</f>
        <v>3.2645248532289646</v>
      </c>
      <c r="M16" s="2369"/>
      <c r="N16" s="1281" t="s">
        <v>817</v>
      </c>
      <c r="O16" s="1282">
        <v>126.72018780000001</v>
      </c>
      <c r="P16" s="2379">
        <v>1051.1300000000001</v>
      </c>
      <c r="Q16" s="2065">
        <f>E16+'DEC-2023'!AX16</f>
        <v>909.48</v>
      </c>
      <c r="R16" s="315">
        <f>F16+'DEC-2023'!R16</f>
        <v>98.634371999999985</v>
      </c>
      <c r="S16" s="315">
        <f>G16+'DEC-2023'!S16</f>
        <v>167.373726</v>
      </c>
      <c r="T16" s="1886"/>
      <c r="U16" s="2529">
        <f>Y16</f>
        <v>9.3032591150987329</v>
      </c>
      <c r="V16" s="1853">
        <f>(S16-R16)/R16*100</f>
        <v>69.691074831398552</v>
      </c>
      <c r="W16" s="12">
        <f>R16+R17</f>
        <v>833.55305769999995</v>
      </c>
      <c r="X16" s="12">
        <f>S16+S17</f>
        <v>994.09128099999998</v>
      </c>
      <c r="Y16" s="1151">
        <f>(X16-Q16)/Q16*100</f>
        <v>9.3032591150987329</v>
      </c>
    </row>
    <row r="17" spans="1:41" ht="15.75" x14ac:dyDescent="0.45">
      <c r="A17" s="2375"/>
      <c r="B17" s="1606" t="s">
        <v>1018</v>
      </c>
      <c r="C17" s="1519">
        <v>886.03548510000007</v>
      </c>
      <c r="D17" s="2380"/>
      <c r="E17" s="2066"/>
      <c r="F17" s="315">
        <f t="shared" ref="F17:G17" si="5">E62</f>
        <v>78.501682099999996</v>
      </c>
      <c r="G17" s="315">
        <f t="shared" si="5"/>
        <v>89.0416302</v>
      </c>
      <c r="H17" s="2530"/>
      <c r="I17" s="1853">
        <f>(G17-F17)/F17*100</f>
        <v>13.426397776513383</v>
      </c>
      <c r="J17" s="323"/>
      <c r="L17" s="1477">
        <f>(K16-J16)/J16*100</f>
        <v>12.969310549774789</v>
      </c>
      <c r="M17" s="2245"/>
      <c r="N17" s="1606" t="s">
        <v>931</v>
      </c>
      <c r="O17" s="1282">
        <v>886.03548510000007</v>
      </c>
      <c r="P17" s="2380"/>
      <c r="Q17" s="2066"/>
      <c r="R17" s="315">
        <f>F17+'DEC-2023'!R17</f>
        <v>734.91868569999997</v>
      </c>
      <c r="S17" s="315">
        <f>G17+'DEC-2023'!S17</f>
        <v>826.71755499999995</v>
      </c>
      <c r="T17" s="1887"/>
      <c r="U17" s="2530"/>
      <c r="V17" s="1853">
        <f>(S17-R17)/R17*100</f>
        <v>12.491023984859334</v>
      </c>
      <c r="W17" s="84"/>
      <c r="X17" s="1198"/>
      <c r="Y17" s="1477">
        <f>(X16-W16)/W16*100</f>
        <v>19.259508655989908</v>
      </c>
    </row>
    <row r="18" spans="1:41" ht="16.5" customHeight="1" x14ac:dyDescent="0.4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J18" s="323">
        <f>F16+F15</f>
        <v>15.978897699999999</v>
      </c>
      <c r="K18" s="323">
        <f>G16+G15</f>
        <v>17.625382900000002</v>
      </c>
      <c r="L18" s="314">
        <f>(K18-J18)/J18*100</f>
        <v>10.304122542820977</v>
      </c>
      <c r="M18" s="2368">
        <v>2</v>
      </c>
      <c r="N18" s="1155" t="s">
        <v>678</v>
      </c>
      <c r="O18" s="2370" t="s">
        <v>680</v>
      </c>
      <c r="P18" s="2371"/>
      <c r="Q18" s="2372"/>
      <c r="R18" s="2370" t="s">
        <v>684</v>
      </c>
      <c r="S18" s="2371"/>
      <c r="T18" s="2371"/>
      <c r="U18" s="2371"/>
      <c r="V18" s="2372"/>
      <c r="W18" s="323">
        <f>R16+R15</f>
        <v>108.15235929999999</v>
      </c>
      <c r="X18" s="323">
        <f>S16+S15</f>
        <v>178.93964510000001</v>
      </c>
      <c r="Y18" s="314">
        <f>(X18-W18)/W18*100</f>
        <v>65.451448547364265</v>
      </c>
    </row>
    <row r="19" spans="1:41" ht="26.25" customHeight="1" x14ac:dyDescent="0.35">
      <c r="A19" s="1983"/>
      <c r="B19" s="1531" t="s">
        <v>230</v>
      </c>
      <c r="C19" s="1788" t="str">
        <f>F19</f>
        <v xml:space="preserve"> JAN-23</v>
      </c>
      <c r="D19" s="1788" t="str">
        <f>G19</f>
        <v xml:space="preserve"> JAN-24</v>
      </c>
      <c r="E19" s="1531" t="s">
        <v>681</v>
      </c>
      <c r="F19" s="1788" t="str">
        <f>F4</f>
        <v xml:space="preserve"> JAN-23</v>
      </c>
      <c r="G19" s="1788" t="str">
        <f>G4</f>
        <v xml:space="preserve"> JAN-24</v>
      </c>
      <c r="H19" s="1528" t="s">
        <v>682</v>
      </c>
      <c r="I19" s="1530" t="s">
        <v>681</v>
      </c>
      <c r="L19" s="1476"/>
      <c r="M19" s="2369"/>
      <c r="N19" s="1514" t="s">
        <v>230</v>
      </c>
      <c r="O19" s="1527" t="str">
        <f>R4</f>
        <v>UPTO
 JAN-23</v>
      </c>
      <c r="P19" s="1788" t="str">
        <f>S4</f>
        <v>UPTO
 JAN-24</v>
      </c>
      <c r="Q19" s="1883" t="s">
        <v>681</v>
      </c>
      <c r="R19" s="1788" t="str">
        <f>R4</f>
        <v>UPTO
 JAN-23</v>
      </c>
      <c r="S19" s="1788" t="str">
        <f>S4</f>
        <v>UPTO
 JAN-24</v>
      </c>
      <c r="T19" s="1788"/>
      <c r="U19" s="1528" t="s">
        <v>682</v>
      </c>
      <c r="V19" s="1526" t="s">
        <v>681</v>
      </c>
    </row>
    <row r="20" spans="1:41" ht="18.75" customHeight="1" x14ac:dyDescent="0.45">
      <c r="A20" s="1983"/>
      <c r="B20" s="1055" t="s">
        <v>231</v>
      </c>
      <c r="C20" s="85">
        <v>44143</v>
      </c>
      <c r="D20" s="1409">
        <v>38984</v>
      </c>
      <c r="E20" s="1744">
        <f>(D20-C20)/C20*100</f>
        <v>-11.687017194119113</v>
      </c>
      <c r="F20" s="315">
        <v>11.98</v>
      </c>
      <c r="G20" s="315">
        <v>13.6283777</v>
      </c>
      <c r="H20" s="1060">
        <f>G20/G7*100</f>
        <v>48.587587841075646</v>
      </c>
      <c r="I20" s="1853">
        <f>(G20-F20)/F20*100</f>
        <v>13.75941318864774</v>
      </c>
      <c r="L20" s="1476"/>
      <c r="M20" s="2369"/>
      <c r="N20" s="1055" t="s">
        <v>231</v>
      </c>
      <c r="O20" s="833">
        <f>C20+'DEC-2023'!O20</f>
        <v>849719</v>
      </c>
      <c r="P20" s="833">
        <f>D20+'DEC-2023'!P20</f>
        <v>529397</v>
      </c>
      <c r="Q20" s="314">
        <f>(P20-O20)/O20*100</f>
        <v>-37.697403494567027</v>
      </c>
      <c r="R20" s="315">
        <f>F20+'DEC-2023'!R20</f>
        <v>159.96321099999997</v>
      </c>
      <c r="S20" s="315">
        <f>G20+'DEC-2023'!S20</f>
        <v>150.76537769999999</v>
      </c>
      <c r="T20" s="315"/>
      <c r="U20" s="1060">
        <f>S20/S7*100</f>
        <v>42.277372586871792</v>
      </c>
      <c r="V20" s="1858">
        <f>(S20-R20)/R20*100</f>
        <v>-5.7499679098089542</v>
      </c>
    </row>
    <row r="21" spans="1:41" ht="18.75" customHeight="1" x14ac:dyDescent="0.45">
      <c r="A21" s="1983"/>
      <c r="B21" s="1055" t="s">
        <v>232</v>
      </c>
      <c r="C21" s="85">
        <v>80413</v>
      </c>
      <c r="D21" s="1410">
        <v>57951</v>
      </c>
      <c r="E21" s="1744">
        <f>(D21-C21)/C21*100</f>
        <v>-27.9332943678261</v>
      </c>
      <c r="F21" s="315">
        <v>7.82</v>
      </c>
      <c r="G21" s="315">
        <v>3.1107152999999998</v>
      </c>
      <c r="H21" s="1060">
        <f>G21/G7*100</f>
        <v>11.090252722253799</v>
      </c>
      <c r="I21" s="1858">
        <f>(G21-F21)/F21*100</f>
        <v>-60.221031969309472</v>
      </c>
      <c r="L21" s="1476"/>
      <c r="M21" s="2369"/>
      <c r="N21" s="1055" t="s">
        <v>232</v>
      </c>
      <c r="O21" s="833">
        <f>C21+'DEC-2023'!O21</f>
        <v>827818</v>
      </c>
      <c r="P21" s="833">
        <f>D21+'DEC-2023'!P21</f>
        <v>792943</v>
      </c>
      <c r="Q21" s="314">
        <f>(P21-O21)/O21*100</f>
        <v>-4.2128825418147473</v>
      </c>
      <c r="R21" s="315">
        <f>F21+'DEC-2023'!R21</f>
        <v>83.199999999999989</v>
      </c>
      <c r="S21" s="315">
        <f>G21+'DEC-2023'!S21</f>
        <v>74.720715299999995</v>
      </c>
      <c r="T21" s="315"/>
      <c r="U21" s="1060">
        <f>S21/S7*100</f>
        <v>20.953056788552534</v>
      </c>
      <c r="V21" s="1858">
        <f>(S21-R21)/R21*100</f>
        <v>-10.191447956730764</v>
      </c>
      <c r="X21" s="5">
        <v>2.17</v>
      </c>
      <c r="Y21" s="172">
        <v>2.95</v>
      </c>
      <c r="Z21" s="5">
        <f>(Y21-X21)/X21*100</f>
        <v>35.944700460829502</v>
      </c>
    </row>
    <row r="22" spans="1:41" ht="18.75" customHeight="1" x14ac:dyDescent="0.45">
      <c r="A22" s="1983"/>
      <c r="B22" s="1055" t="s">
        <v>239</v>
      </c>
      <c r="C22" s="85">
        <v>52822</v>
      </c>
      <c r="D22" s="1410">
        <v>52671</v>
      </c>
      <c r="E22" s="1861">
        <f>(D22-C22)/C22*100</f>
        <v>-0.2858657377607815</v>
      </c>
      <c r="F22" s="315">
        <v>7.97</v>
      </c>
      <c r="G22" s="315">
        <v>10.31</v>
      </c>
      <c r="H22" s="1060">
        <f>G22/G7*100</f>
        <v>36.756981767645755</v>
      </c>
      <c r="I22" s="1858">
        <f>(G22-F22)/F22*100</f>
        <v>29.360100376411552</v>
      </c>
      <c r="J22" s="1486"/>
      <c r="L22" s="1476"/>
      <c r="M22" s="2369"/>
      <c r="N22" s="1055" t="s">
        <v>239</v>
      </c>
      <c r="O22" s="833">
        <f>C22+'DEC-2023'!O22</f>
        <v>721966.5</v>
      </c>
      <c r="P22" s="833">
        <f>D22+'DEC-2023'!P22</f>
        <v>809467</v>
      </c>
      <c r="Q22" s="314">
        <f>(P22-O22)/O22*100</f>
        <v>12.119745168231489</v>
      </c>
      <c r="R22" s="315">
        <f>F22+'DEC-2023'!R22</f>
        <v>89.757634600000003</v>
      </c>
      <c r="S22" s="315">
        <f>G22+'DEC-2023'!S22</f>
        <v>121.09700000000001</v>
      </c>
      <c r="T22" s="315"/>
      <c r="U22" s="1060">
        <f>S22/S7*100</f>
        <v>33.957816219183684</v>
      </c>
      <c r="V22" s="1853">
        <f>(S22-R22)/R22*100</f>
        <v>34.915542883524253</v>
      </c>
    </row>
    <row r="23" spans="1:41" ht="18.75" customHeight="1" x14ac:dyDescent="0.45">
      <c r="A23" s="1983"/>
      <c r="B23" s="1055" t="s">
        <v>233</v>
      </c>
      <c r="C23" s="85">
        <v>24177</v>
      </c>
      <c r="D23" s="1410">
        <v>22367</v>
      </c>
      <c r="E23" s="1861">
        <f>(D23-C23)/C23*100</f>
        <v>-7.4864540679157878</v>
      </c>
      <c r="F23" s="315">
        <v>1</v>
      </c>
      <c r="G23" s="315">
        <v>1</v>
      </c>
      <c r="H23" s="1060">
        <f>G23/G7*100</f>
        <v>3.5651776690248065</v>
      </c>
      <c r="I23" s="1858">
        <f>(G23-F23)/F23*100</f>
        <v>0</v>
      </c>
      <c r="J23" s="1486"/>
      <c r="L23" s="1476"/>
      <c r="M23" s="2369"/>
      <c r="N23" s="1055" t="s">
        <v>233</v>
      </c>
      <c r="O23" s="833">
        <f>C23+'DEC-2023'!O23</f>
        <v>232690</v>
      </c>
      <c r="P23" s="833">
        <f>D23+'DEC-2023'!P23</f>
        <v>245173</v>
      </c>
      <c r="Q23" s="314">
        <f>(P23-O23)/O23*100</f>
        <v>5.3646482444453998</v>
      </c>
      <c r="R23" s="315">
        <f>F23+'DEC-2023'!R23</f>
        <v>8.5490008</v>
      </c>
      <c r="S23" s="315">
        <f>G23+'DEC-2023'!S23</f>
        <v>9.1999999999999993</v>
      </c>
      <c r="T23" s="315"/>
      <c r="U23" s="1060">
        <f>S23/S7*100</f>
        <v>2.5798484621129334</v>
      </c>
      <c r="V23" s="1853">
        <f>(S23-R23)/R23*100</f>
        <v>7.6149156518969949</v>
      </c>
      <c r="AA23" s="5">
        <f>25.63+0.96</f>
        <v>26.59</v>
      </c>
    </row>
    <row r="24" spans="1:41" ht="18.75" customHeight="1" x14ac:dyDescent="0.45">
      <c r="A24" s="1983"/>
      <c r="B24" s="1055" t="s">
        <v>739</v>
      </c>
      <c r="C24" s="85">
        <v>0</v>
      </c>
      <c r="D24" s="1409">
        <v>0</v>
      </c>
      <c r="E24" s="1793">
        <v>0</v>
      </c>
      <c r="F24" s="833">
        <v>0</v>
      </c>
      <c r="G24" s="833">
        <v>0</v>
      </c>
      <c r="H24" s="1651">
        <f>G24/G7*100</f>
        <v>0</v>
      </c>
      <c r="I24" s="836">
        <v>0</v>
      </c>
      <c r="L24" s="1476"/>
      <c r="M24" s="2369"/>
      <c r="N24" s="1055" t="s">
        <v>739</v>
      </c>
      <c r="O24" s="833">
        <f>C24+'DEC-2023'!O24</f>
        <v>2661</v>
      </c>
      <c r="P24" s="833">
        <f>D24+'DEC-2023'!P24</f>
        <v>0</v>
      </c>
      <c r="Q24" s="836">
        <v>0</v>
      </c>
      <c r="R24" s="315">
        <f>F24+'DEC-2023'!R24</f>
        <v>4.1799999999999997E-2</v>
      </c>
      <c r="S24" s="315">
        <f>G24+'DEC-2023'!S24</f>
        <v>0.03</v>
      </c>
      <c r="T24" s="315"/>
      <c r="U24" s="1060">
        <f>S24/S7*100</f>
        <v>8.4125493329769551E-3</v>
      </c>
      <c r="V24" s="314">
        <v>0</v>
      </c>
    </row>
    <row r="25" spans="1:41" ht="18.75" customHeight="1" x14ac:dyDescent="0.45">
      <c r="A25" s="1983"/>
      <c r="B25" s="1055" t="s">
        <v>235</v>
      </c>
      <c r="C25" s="85">
        <v>0</v>
      </c>
      <c r="D25" s="1409">
        <v>0</v>
      </c>
      <c r="E25" s="1793">
        <v>0</v>
      </c>
      <c r="F25" s="833">
        <v>0</v>
      </c>
      <c r="G25" s="833">
        <v>0</v>
      </c>
      <c r="H25" s="1651">
        <f>G25/G7*100</f>
        <v>0</v>
      </c>
      <c r="I25" s="836">
        <v>0</v>
      </c>
      <c r="L25" s="1476"/>
      <c r="M25" s="2369"/>
      <c r="N25" s="1055" t="s">
        <v>235</v>
      </c>
      <c r="O25" s="833">
        <f>C25+'DEC-2023'!O25</f>
        <v>1368</v>
      </c>
      <c r="P25" s="833">
        <f>D25+'DEC-2023'!P25</f>
        <v>0</v>
      </c>
      <c r="Q25" s="836">
        <v>0</v>
      </c>
      <c r="R25" s="315">
        <f>F25+'DEC-2023'!R25</f>
        <v>4.3999999999999997E-2</v>
      </c>
      <c r="S25" s="315">
        <f>G25+'DEC-2023'!S25</f>
        <v>0</v>
      </c>
      <c r="T25" s="315"/>
      <c r="U25" s="1060">
        <f>S25/S7*100</f>
        <v>0</v>
      </c>
      <c r="V25" s="314">
        <v>0</v>
      </c>
    </row>
    <row r="26" spans="1:41" ht="15.75" x14ac:dyDescent="0.45">
      <c r="A26" s="1984"/>
      <c r="B26" s="1056" t="s">
        <v>693</v>
      </c>
      <c r="C26" s="1520">
        <v>4060</v>
      </c>
      <c r="D26" s="1411">
        <v>0</v>
      </c>
      <c r="E26" s="1793">
        <v>0</v>
      </c>
      <c r="F26" s="833">
        <v>0</v>
      </c>
      <c r="G26" s="833">
        <v>0</v>
      </c>
      <c r="H26" s="1060" t="s">
        <v>221</v>
      </c>
      <c r="I26" s="314" t="s">
        <v>221</v>
      </c>
      <c r="L26" s="1476"/>
      <c r="M26" s="2245"/>
      <c r="N26" s="1056" t="s">
        <v>693</v>
      </c>
      <c r="O26" s="833">
        <f>C26+'DEC-2023'!O26</f>
        <v>5440</v>
      </c>
      <c r="P26" s="833">
        <f>D26+'DEC-2023'!P26</f>
        <v>3883</v>
      </c>
      <c r="Q26" s="836">
        <v>0</v>
      </c>
      <c r="R26" s="315">
        <f>F26+'DEC-2023'!R26</f>
        <v>0.34457000000000004</v>
      </c>
      <c r="S26" s="315">
        <f>G26+'DEC-2023'!S26</f>
        <v>0.79700000000000004</v>
      </c>
      <c r="T26" s="315"/>
      <c r="U26" s="1060">
        <f>S26/S7*100</f>
        <v>0.2234933939460878</v>
      </c>
      <c r="V26" s="1853">
        <f>(S26-R26)/R26*100</f>
        <v>131.30278317903472</v>
      </c>
      <c r="W26" s="5">
        <f>0.48+0.04+0.23</f>
        <v>0.75</v>
      </c>
      <c r="AK26" s="26"/>
      <c r="AL26" s="26"/>
      <c r="AM26" s="26"/>
      <c r="AN26" s="26"/>
      <c r="AO26" s="26"/>
    </row>
    <row r="27" spans="1:41" s="26" customFormat="1" ht="19.5" customHeight="1" x14ac:dyDescent="0.4">
      <c r="A27" s="1216"/>
      <c r="B27" s="1063" t="s">
        <v>683</v>
      </c>
      <c r="C27" s="1513">
        <f>SUM(C20:C26)</f>
        <v>205615</v>
      </c>
      <c r="D27" s="1412">
        <f>SUM(D20:D26)</f>
        <v>171973</v>
      </c>
      <c r="E27" s="1862">
        <f>(D27-C27)/C27*100</f>
        <v>-16.361646767016026</v>
      </c>
      <c r="F27" s="1054">
        <f>F26+F25+F24+F23+F22+F21+F20</f>
        <v>28.77</v>
      </c>
      <c r="G27" s="1054">
        <f>G20+G21+G22+G23+G24+G25+G26</f>
        <v>28.049092999999999</v>
      </c>
      <c r="H27" s="1066">
        <f>SUM(H20:H26)</f>
        <v>100.00000000000001</v>
      </c>
      <c r="I27" s="1854">
        <f>(G27-F27)/F27*100</f>
        <v>-2.5057594716718818</v>
      </c>
      <c r="J27" s="762"/>
      <c r="K27" s="762"/>
      <c r="L27" s="1475"/>
      <c r="M27" s="1202"/>
      <c r="N27" s="1063" t="s">
        <v>683</v>
      </c>
      <c r="O27" s="1259">
        <f>SUM(O20:O26)</f>
        <v>2641662.5</v>
      </c>
      <c r="P27" s="1259">
        <f>SUM(P20:P26)</f>
        <v>2380863</v>
      </c>
      <c r="Q27" s="394">
        <f>(P27-O27)/O27*100</f>
        <v>-9.8725518494508666</v>
      </c>
      <c r="R27" s="1054">
        <f>SUM(R20:R26)</f>
        <v>341.90021639999992</v>
      </c>
      <c r="S27" s="1054">
        <f>SUM(S20:S26)</f>
        <v>356.61009299999995</v>
      </c>
      <c r="T27" s="1054"/>
      <c r="U27" s="1066">
        <f>SUM(U20:U26)</f>
        <v>100</v>
      </c>
      <c r="V27" s="1854">
        <f>(S27-R27)/R27*100</f>
        <v>4.3023887948612698</v>
      </c>
      <c r="W27" s="26">
        <f>76.54+0.12</f>
        <v>76.660000000000011</v>
      </c>
      <c r="X27" s="26">
        <f>P27/1000000</f>
        <v>2.3808630000000002</v>
      </c>
      <c r="Y27" s="432"/>
      <c r="AK27" s="5"/>
      <c r="AL27" s="5"/>
      <c r="AM27" s="5"/>
      <c r="AN27" s="5"/>
      <c r="AO27" s="5"/>
    </row>
    <row r="28" spans="1:41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1888"/>
      <c r="U28" s="2315" t="s">
        <v>11</v>
      </c>
      <c r="V28" s="2315"/>
    </row>
    <row r="29" spans="1:41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57"/>
      <c r="U29" s="1065" t="s">
        <v>12</v>
      </c>
      <c r="V29" s="1065" t="s">
        <v>13</v>
      </c>
    </row>
    <row r="30" spans="1:41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4">
        <v>3</v>
      </c>
      <c r="N30" s="2021" t="s">
        <v>623</v>
      </c>
      <c r="O30" s="2022"/>
      <c r="P30" s="2022"/>
      <c r="Q30" s="2022"/>
      <c r="R30" s="2022"/>
      <c r="S30" s="2022"/>
      <c r="T30" s="2022"/>
      <c r="U30" s="2022"/>
      <c r="V30" s="2023"/>
    </row>
    <row r="31" spans="1:41" ht="15.4" x14ac:dyDescent="0.4">
      <c r="A31" s="2382"/>
      <c r="B31" s="378" t="s">
        <v>2</v>
      </c>
      <c r="C31" s="1521">
        <v>24.66</v>
      </c>
      <c r="D31" s="1429">
        <v>22.5</v>
      </c>
      <c r="E31" s="307">
        <v>1.8</v>
      </c>
      <c r="F31" s="134">
        <v>2.0217269999999998</v>
      </c>
      <c r="G31" s="134">
        <f>'ACTUAL- 23-24'!P12/10000000</f>
        <v>1.7289965</v>
      </c>
      <c r="H31" s="1858">
        <f>(G31-E31)/E31*100</f>
        <v>-3.9446388888888886</v>
      </c>
      <c r="I31" s="1858">
        <f>(G31-F31)/F31*100</f>
        <v>-14.479229886131995</v>
      </c>
      <c r="J31" s="84">
        <v>1.52</v>
      </c>
      <c r="K31" s="1128">
        <f>11596205/10000000</f>
        <v>1.1596204999999999</v>
      </c>
      <c r="L31" s="1749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f>E31+'DEC-2023'!Q31</f>
        <v>18.850000000000001</v>
      </c>
      <c r="R31" s="315">
        <v>20.399999999999999</v>
      </c>
      <c r="S31" s="315">
        <f>G31+'DEC-2023'!S31</f>
        <v>23.287866700000002</v>
      </c>
      <c r="T31" s="315"/>
      <c r="U31" s="1853">
        <f>(S31-Q31)/Q31*100</f>
        <v>23.543059416445626</v>
      </c>
      <c r="V31" s="1853">
        <f>(S31-R31)/R31*100</f>
        <v>14.15620931372551</v>
      </c>
      <c r="X31" s="5">
        <f>(Q31*10000000)/100000</f>
        <v>1885</v>
      </c>
    </row>
    <row r="32" spans="1:41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07">
        <v>2.34</v>
      </c>
      <c r="F32" s="134">
        <v>1.75</v>
      </c>
      <c r="G32" s="134">
        <f>'ACTUAL- 23-24'!Q12/10000000</f>
        <v>1.8521304000000001</v>
      </c>
      <c r="H32" s="1858">
        <f>(G32-E32)/E32*100</f>
        <v>-20.849128205128199</v>
      </c>
      <c r="I32" s="1853">
        <f>(G32-F32)/F32*100</f>
        <v>5.8360228571428605</v>
      </c>
      <c r="J32" s="1128">
        <v>2.3697997000000002</v>
      </c>
      <c r="K32" s="84">
        <f>0.58-0.12</f>
        <v>0.45999999999999996</v>
      </c>
      <c r="L32" s="1749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f>E32+'DEC-2023'!Q32</f>
        <v>32.120000000000005</v>
      </c>
      <c r="R32" s="315">
        <f>F32+'DEC-2023'!R32</f>
        <v>24.017837799999999</v>
      </c>
      <c r="S32" s="315">
        <f>G32+'DEC-2023'!S32</f>
        <v>24.096080500000003</v>
      </c>
      <c r="T32" s="315"/>
      <c r="U32" s="1858">
        <f>(S32-Q32)/Q32*100</f>
        <v>-24.981069427148196</v>
      </c>
      <c r="V32" s="314">
        <f t="shared" ref="V32:V38" si="6">(S32-R32)/R32*100</f>
        <v>0.32576912481274273</v>
      </c>
      <c r="X32" s="5">
        <f>(Q32*10000000)/100000</f>
        <v>3212.0000000000005</v>
      </c>
    </row>
    <row r="33" spans="1:40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07">
        <v>0.26</v>
      </c>
      <c r="F33" s="134">
        <v>8.3000000000000004E-2</v>
      </c>
      <c r="G33" s="134">
        <f>'ACTUAL- 23-24'!R12/10000000</f>
        <v>9.0999200000000002E-2</v>
      </c>
      <c r="H33" s="1858">
        <f>(G33-E33)/E33*100</f>
        <v>-65.000307692307686</v>
      </c>
      <c r="I33" s="1853">
        <f>(G33-F33)/F33*100</f>
        <v>9.6375903614457812</v>
      </c>
      <c r="J33" s="1128">
        <v>7.7621999999999997E-2</v>
      </c>
      <c r="L33" s="1749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f>E33+'DEC-2023'!Q33</f>
        <v>2.9299999999999997</v>
      </c>
      <c r="R33" s="315">
        <f>F33+'DEC-2023'!R33</f>
        <v>0.89608849999999984</v>
      </c>
      <c r="S33" s="315">
        <f>G33+'DEC-2023'!S33</f>
        <v>0.98219655599999989</v>
      </c>
      <c r="T33" s="315"/>
      <c r="U33" s="1858">
        <f>(S33-Q33)/Q33*100</f>
        <v>-66.477933242320816</v>
      </c>
      <c r="V33" s="1853">
        <f t="shared" si="6"/>
        <v>9.6093249718080358</v>
      </c>
      <c r="X33" s="5">
        <f>(Q33*10000000)/100000</f>
        <v>292.99999999999994</v>
      </c>
    </row>
    <row r="34" spans="1:40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2.5999999999999996</v>
      </c>
      <c r="F34" s="1483">
        <f>SUM(F32:F33)</f>
        <v>1.833</v>
      </c>
      <c r="G34" s="1483">
        <f>SUM(G32:G33)</f>
        <v>1.9431296</v>
      </c>
      <c r="H34" s="1857">
        <f>(G34-E34)/E34*100</f>
        <v>-25.264246153846141</v>
      </c>
      <c r="I34" s="1855">
        <f>(G34-F34)/F34*100</f>
        <v>6.008161483906167</v>
      </c>
      <c r="L34" s="1749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35.050000000000004</v>
      </c>
      <c r="R34" s="1814">
        <f>SUM(R32:R33)</f>
        <v>24.9139263</v>
      </c>
      <c r="S34" s="1814">
        <f>SUM(S32:S33)</f>
        <v>25.078277056000005</v>
      </c>
      <c r="T34" s="1814"/>
      <c r="U34" s="1857">
        <f>(S34-Q34)/Q34*100</f>
        <v>-28.449994134094148</v>
      </c>
      <c r="V34" s="1855">
        <f>(S34-R34)/R34*100</f>
        <v>0.65967424813328035</v>
      </c>
    </row>
    <row r="35" spans="1:40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v>0.24177399999999999</v>
      </c>
      <c r="G35" s="313">
        <f>'ACTUAL- 23-24'!T12/10000000</f>
        <v>0.25942399999999999</v>
      </c>
      <c r="H35" s="517" t="s">
        <v>221</v>
      </c>
      <c r="I35" s="1853">
        <f>(G35-F35)/F35*100</f>
        <v>7.3002059774831043</v>
      </c>
      <c r="J35" s="84">
        <v>0.21881</v>
      </c>
      <c r="L35" s="1749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f>F35+'DEC-2023'!R35</f>
        <v>2.6840849999999996</v>
      </c>
      <c r="S35" s="315">
        <f>G35+'DEC-2023'!S35</f>
        <v>2.701444</v>
      </c>
      <c r="T35" s="315"/>
      <c r="U35" s="316" t="s">
        <v>221</v>
      </c>
      <c r="V35" s="314">
        <f t="shared" si="6"/>
        <v>0.64673808765371998</v>
      </c>
      <c r="X35" s="5" t="e">
        <f>(Q35*10000000)/100000</f>
        <v>#VALUE!</v>
      </c>
    </row>
    <row r="36" spans="1:40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v>0</v>
      </c>
      <c r="G36" s="313">
        <f>'ACTUAL- 23-24'!S12/10000000</f>
        <v>1.3921684999999999</v>
      </c>
      <c r="H36" s="517" t="s">
        <v>221</v>
      </c>
      <c r="I36" s="1853">
        <v>0</v>
      </c>
      <c r="J36" s="84">
        <v>3.63459E-2</v>
      </c>
      <c r="L36" s="1749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f>F36+'DEC-2023'!R36</f>
        <v>5.6331691999999993</v>
      </c>
      <c r="S36" s="315">
        <f>G36+'DEC-2023'!S36</f>
        <v>6.2673548999999991</v>
      </c>
      <c r="T36" s="315"/>
      <c r="U36" s="316" t="s">
        <v>221</v>
      </c>
      <c r="V36" s="1858">
        <f t="shared" si="6"/>
        <v>11.258062335496682</v>
      </c>
    </row>
    <row r="37" spans="1:40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v>3.5870177999999999</v>
      </c>
      <c r="G37" s="313">
        <f>'ACTUAL- 23-24'!O12/10000000</f>
        <v>4.3845327000000003</v>
      </c>
      <c r="H37" s="517" t="s">
        <v>221</v>
      </c>
      <c r="I37" s="1853">
        <f>(G37-F37)/F37*100</f>
        <v>22.233368900483303</v>
      </c>
      <c r="J37" s="84">
        <v>3.210709</v>
      </c>
      <c r="K37" s="323">
        <f>(20880+ 10612529)/10000000</f>
        <v>1.0633409</v>
      </c>
      <c r="L37" s="1749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v>36.07</v>
      </c>
      <c r="S37" s="315">
        <f>G37+'DEC-2023'!S37</f>
        <v>41.958666100000009</v>
      </c>
      <c r="T37" s="315"/>
      <c r="U37" s="316" t="s">
        <v>221</v>
      </c>
      <c r="V37" s="1853">
        <f t="shared" si="6"/>
        <v>16.325661491544246</v>
      </c>
    </row>
    <row r="38" spans="1:40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313">
        <v>4.6567900000000002E-2</v>
      </c>
      <c r="G38" s="313">
        <f>'ACTUAL- 23-24'!U12/10000000</f>
        <v>6.6123100000000004E-2</v>
      </c>
      <c r="H38" s="413"/>
      <c r="I38" s="1853">
        <v>0</v>
      </c>
      <c r="J38" s="84">
        <v>6.4195500000000003E-2</v>
      </c>
      <c r="L38" s="1749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f>F38+'DEC-2023'!R38</f>
        <v>0.67443240000000004</v>
      </c>
      <c r="S38" s="315">
        <f>G38+'DEC-2023'!S38</f>
        <v>0.87202419999999992</v>
      </c>
      <c r="T38" s="412"/>
      <c r="U38" s="413"/>
      <c r="V38" s="1853">
        <f t="shared" si="6"/>
        <v>29.297495197443048</v>
      </c>
    </row>
    <row r="39" spans="1:40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J39" s="323">
        <v>9.68218E-2</v>
      </c>
      <c r="L39" s="1749"/>
      <c r="M39" s="1286">
        <v>4</v>
      </c>
      <c r="N39" s="2021" t="s">
        <v>622</v>
      </c>
      <c r="O39" s="2022"/>
      <c r="P39" s="2022"/>
      <c r="Q39" s="2022"/>
      <c r="R39" s="2022"/>
      <c r="S39" s="2022"/>
      <c r="T39" s="2022"/>
      <c r="U39" s="2022"/>
      <c r="V39" s="2023"/>
    </row>
    <row r="40" spans="1:40" ht="15.4" x14ac:dyDescent="0.4">
      <c r="A40" s="2387"/>
      <c r="B40" s="378" t="s">
        <v>27</v>
      </c>
      <c r="C40" s="1521">
        <v>12.02</v>
      </c>
      <c r="D40" s="1429">
        <v>14.04</v>
      </c>
      <c r="E40" s="307">
        <v>1.17</v>
      </c>
      <c r="F40" s="313">
        <v>0.85167700000000002</v>
      </c>
      <c r="G40" s="313">
        <f>'ACTUAL- 23-24'!O29/10000000</f>
        <v>1.0028045999999999</v>
      </c>
      <c r="H40" s="1853">
        <f>(G40-E40)/E40*100</f>
        <v>-14.290205128205127</v>
      </c>
      <c r="I40" s="1853">
        <f>(G40-F40)/F40*100</f>
        <v>17.744708381229024</v>
      </c>
      <c r="K40" s="1128">
        <v>0.5185746</v>
      </c>
      <c r="L40" s="1476"/>
      <c r="M40" s="1286"/>
      <c r="N40" s="378" t="s">
        <v>27</v>
      </c>
      <c r="O40" s="1283">
        <v>12.02</v>
      </c>
      <c r="P40" s="1429">
        <v>14.04</v>
      </c>
      <c r="Q40" s="308">
        <f>E40+'DEC-2023'!AX40</f>
        <v>11.7</v>
      </c>
      <c r="R40" s="315">
        <v>8.1</v>
      </c>
      <c r="S40" s="315">
        <f>G40+'DEC-2023'!AZ40</f>
        <v>10.482481499999999</v>
      </c>
      <c r="T40" s="315"/>
      <c r="U40" s="1853">
        <v>-9.9745783475783476</v>
      </c>
      <c r="V40" s="1853">
        <v>16.982140697809164</v>
      </c>
      <c r="X40" s="12">
        <v>6.8847902000000003</v>
      </c>
      <c r="Y40" s="491">
        <v>1.5093639999999999</v>
      </c>
      <c r="Z40" s="12">
        <v>0.98931259999999999</v>
      </c>
      <c r="AA40" s="12">
        <v>0.63322219999999996</v>
      </c>
      <c r="AB40" s="12">
        <v>0.67428080000000001</v>
      </c>
      <c r="AM40" s="5" t="s">
        <v>27</v>
      </c>
      <c r="AN40" s="12">
        <f>S40</f>
        <v>10.482481499999999</v>
      </c>
    </row>
    <row r="41" spans="1:40" ht="15.4" x14ac:dyDescent="0.4">
      <c r="A41" s="2387"/>
      <c r="B41" s="378" t="s">
        <v>28</v>
      </c>
      <c r="C41" s="1521">
        <v>1.94</v>
      </c>
      <c r="D41" s="1429">
        <v>2.7000000000000006</v>
      </c>
      <c r="E41" s="307">
        <v>0.22500000000000001</v>
      </c>
      <c r="F41" s="313">
        <v>8.8081499999999993E-2</v>
      </c>
      <c r="G41" s="313">
        <f>'ACTUAL- 23-24'!P29/10000000</f>
        <v>4.1536700000000003E-2</v>
      </c>
      <c r="H41" s="1853">
        <f>(G41-E41)/E41*100</f>
        <v>-81.539244444444435</v>
      </c>
      <c r="I41" s="1853">
        <f>(G41-F41)/F41*100</f>
        <v>-52.842878470507429</v>
      </c>
      <c r="J41" s="84">
        <f t="shared" ref="J41:J46" si="7">E40*8</f>
        <v>9.36</v>
      </c>
      <c r="K41" s="1128">
        <v>1.5909099999999999E-2</v>
      </c>
      <c r="L41" s="1476">
        <v>2.1361249999999998</v>
      </c>
      <c r="M41" s="1286"/>
      <c r="N41" s="378" t="s">
        <v>28</v>
      </c>
      <c r="O41" s="1283">
        <v>1.94</v>
      </c>
      <c r="P41" s="1429">
        <v>2.7000000000000006</v>
      </c>
      <c r="Q41" s="307">
        <f>E41+'DEC-2023'!AX41</f>
        <v>2.2500000000000004</v>
      </c>
      <c r="R41" s="315">
        <v>1.29</v>
      </c>
      <c r="S41" s="315">
        <v>2.19</v>
      </c>
      <c r="T41" s="315"/>
      <c r="U41" s="1853">
        <v>6.1040592592592322</v>
      </c>
      <c r="V41" s="1853">
        <v>72.126399603804586</v>
      </c>
      <c r="X41" s="5">
        <f>(E41*10000000)/100000</f>
        <v>22.5</v>
      </c>
      <c r="Y41" s="172">
        <v>19.73</v>
      </c>
      <c r="Z41" s="5">
        <v>3.12</v>
      </c>
      <c r="AA41" s="11">
        <f t="shared" ref="AA41:AA45" si="8">(Y41-X41)/X41*100</f>
        <v>-12.311111111111108</v>
      </c>
      <c r="AB41" s="11">
        <f t="shared" ref="AB41:AB45" si="9">(Y41-Z41)/Z41*100</f>
        <v>532.3717948717948</v>
      </c>
      <c r="AM41" s="5" t="str">
        <f>N41</f>
        <v>Pay &amp; Park</v>
      </c>
      <c r="AN41" s="12">
        <f t="shared" ref="AN41:AN45" si="10">S41</f>
        <v>2.19</v>
      </c>
    </row>
    <row r="42" spans="1:40" ht="15.4" x14ac:dyDescent="0.4">
      <c r="A42" s="2387"/>
      <c r="B42" s="378" t="s">
        <v>224</v>
      </c>
      <c r="C42" s="1521">
        <v>1.96</v>
      </c>
      <c r="D42" s="1429">
        <v>3.25</v>
      </c>
      <c r="E42" s="307">
        <v>0.27</v>
      </c>
      <c r="F42" s="313">
        <v>9.7651100000000005E-2</v>
      </c>
      <c r="G42" s="313">
        <f>'ACTUAL- 23-24'!Q29/10000000</f>
        <v>0.10113129999999999</v>
      </c>
      <c r="H42" s="1858">
        <f>(G42-E42)/E42*100</f>
        <v>-62.543962962962972</v>
      </c>
      <c r="I42" s="1858">
        <f>(G42-F42)/F42*100</f>
        <v>3.5639127465025879</v>
      </c>
      <c r="J42" s="84">
        <f t="shared" si="7"/>
        <v>1.8</v>
      </c>
      <c r="K42" s="1128">
        <v>7.9338400000000003E-2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7">
        <f>E42+'DEC-2023'!AX42</f>
        <v>2.7</v>
      </c>
      <c r="R42" s="315">
        <v>1.52</v>
      </c>
      <c r="S42" s="315">
        <f>G42+'DEC-2023'!AZ42</f>
        <v>1.3394764000000001</v>
      </c>
      <c r="T42" s="315"/>
      <c r="U42" s="1858">
        <v>-42.66920833333333</v>
      </c>
      <c r="V42" s="1858">
        <v>-18.159204982940143</v>
      </c>
      <c r="X42" s="11">
        <f>(E42*10000000)/100000</f>
        <v>27</v>
      </c>
      <c r="Y42" s="172">
        <v>45.45</v>
      </c>
      <c r="Z42" s="5">
        <v>0</v>
      </c>
      <c r="AA42" s="11">
        <f t="shared" si="8"/>
        <v>68.333333333333343</v>
      </c>
      <c r="AB42" s="11" t="e">
        <f t="shared" si="9"/>
        <v>#DIV/0!</v>
      </c>
      <c r="AM42" s="5" t="s">
        <v>3</v>
      </c>
      <c r="AN42" s="12">
        <f t="shared" si="10"/>
        <v>1.3394764000000001</v>
      </c>
    </row>
    <row r="43" spans="1:40" ht="15.4" hidden="1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>
        <v>0</v>
      </c>
      <c r="H43" s="314" t="e">
        <f>(G43-E43)/E43*100</f>
        <v>#VALUE!</v>
      </c>
      <c r="I43" s="314" t="e">
        <f t="shared" ref="I43" si="11">(G43-F43)/F43*100</f>
        <v>#DIV/0!</v>
      </c>
      <c r="J43" s="323">
        <f t="shared" si="7"/>
        <v>2.16</v>
      </c>
      <c r="K43" s="1128">
        <v>0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15">
        <f>F43+'DEC-2023'!AY43</f>
        <v>0</v>
      </c>
      <c r="S43" s="315">
        <f>G43+'DEC-2023'!AZ43</f>
        <v>0</v>
      </c>
      <c r="T43" s="315"/>
      <c r="U43" s="314" t="s">
        <v>221</v>
      </c>
      <c r="V43" s="314">
        <v>0</v>
      </c>
      <c r="X43" s="5" t="e">
        <f>(E43*10000000)/100000</f>
        <v>#VALUE!</v>
      </c>
      <c r="AA43" s="11" t="e">
        <f t="shared" si="8"/>
        <v>#VALUE!</v>
      </c>
      <c r="AB43" s="11" t="e">
        <f t="shared" si="9"/>
        <v>#DIV/0!</v>
      </c>
      <c r="AN43" s="12">
        <f t="shared" si="10"/>
        <v>0</v>
      </c>
    </row>
    <row r="44" spans="1:40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1.4E-3</v>
      </c>
      <c r="G44" s="314">
        <f>'ACTUAL- 23-24'!R29/10000000</f>
        <v>0</v>
      </c>
      <c r="H44" s="314"/>
      <c r="I44" s="314" t="s">
        <v>221</v>
      </c>
      <c r="J44" s="84" t="e">
        <f t="shared" si="7"/>
        <v>#VALUE!</v>
      </c>
      <c r="K44" s="1128">
        <v>6.3045000000000002E-3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15">
        <f>F44+'DEC-2023'!AY44</f>
        <v>0.20651170000000002</v>
      </c>
      <c r="S44" s="315">
        <f>G44+'DEC-2023'!AZ44</f>
        <v>0.63487110000000002</v>
      </c>
      <c r="T44" s="315"/>
      <c r="U44" s="314" t="s">
        <v>221</v>
      </c>
      <c r="V44" s="1853">
        <v>209.52456637042158</v>
      </c>
      <c r="Y44" s="172">
        <v>0</v>
      </c>
      <c r="Z44" s="5">
        <v>0.06</v>
      </c>
      <c r="AA44" s="11" t="e">
        <f t="shared" si="8"/>
        <v>#DIV/0!</v>
      </c>
      <c r="AB44" s="11">
        <f t="shared" si="9"/>
        <v>-100</v>
      </c>
      <c r="AM44" s="5" t="s">
        <v>1016</v>
      </c>
      <c r="AN44" s="12">
        <f t="shared" si="10"/>
        <v>0.63487110000000002</v>
      </c>
    </row>
    <row r="45" spans="1:40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5.7693300000000003E-2</v>
      </c>
      <c r="G45" s="313">
        <f>'ACTUAL- 23-24'!S29/10000000</f>
        <v>0.18918080000000001</v>
      </c>
      <c r="H45" s="314"/>
      <c r="I45" s="1858">
        <f>(G45-F45)/F45*100</f>
        <v>227.90774665342423</v>
      </c>
      <c r="J45" s="84" t="e">
        <f t="shared" si="7"/>
        <v>#VALUE!</v>
      </c>
      <c r="K45" s="1128">
        <v>7.3470099999999997E-2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15">
        <v>1.35</v>
      </c>
      <c r="S45" s="315">
        <f>G45+'DEC-2023'!AZ45</f>
        <v>1.0165242999999999</v>
      </c>
      <c r="T45" s="412"/>
      <c r="U45" s="407" t="s">
        <v>221</v>
      </c>
      <c r="V45" s="1858">
        <v>-38.722572423437427</v>
      </c>
      <c r="X45" s="595">
        <f>X40+X41+X42+X44</f>
        <v>56.384790199999998</v>
      </c>
      <c r="Y45" s="172">
        <f>Y40+Y41+Y42+Y44</f>
        <v>66.689364000000012</v>
      </c>
      <c r="Z45" s="172">
        <f>Z40+Z41+Z42+Z44</f>
        <v>4.1693125999999996</v>
      </c>
      <c r="AA45" s="11">
        <f t="shared" si="8"/>
        <v>18.27544939592595</v>
      </c>
      <c r="AB45" s="11">
        <f t="shared" si="9"/>
        <v>1499.528996698401</v>
      </c>
      <c r="AM45" s="5" t="s">
        <v>1017</v>
      </c>
      <c r="AN45" s="12">
        <f t="shared" si="10"/>
        <v>1.0165242999999999</v>
      </c>
    </row>
    <row r="46" spans="1:40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7"/>
        <v>#VALUE!</v>
      </c>
      <c r="L46" s="1476">
        <v>0.93056630000000007</v>
      </c>
      <c r="M46" s="2388"/>
      <c r="N46" s="2021" t="s">
        <v>419</v>
      </c>
      <c r="O46" s="2022"/>
      <c r="P46" s="2022"/>
      <c r="Q46" s="2022"/>
      <c r="R46" s="2022"/>
      <c r="S46" s="2022"/>
      <c r="T46" s="2022"/>
      <c r="U46" s="2022"/>
      <c r="V46" s="2023"/>
    </row>
    <row r="47" spans="1:40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07">
        <v>2.06</v>
      </c>
      <c r="F47" s="315">
        <v>1.6421790000000001</v>
      </c>
      <c r="G47" s="315">
        <f>F66</f>
        <v>1.8555189999999999</v>
      </c>
      <c r="H47" s="1859">
        <f>(G47-E47)/E47*100</f>
        <v>-9.926262135922336</v>
      </c>
      <c r="I47" s="314">
        <f>(G47-F47)/F47*100</f>
        <v>12.991275616117356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f>E47+'DEC-2023'!Q47</f>
        <v>18.18</v>
      </c>
      <c r="R47" s="315">
        <f>F47+'DEC-2023'!R47</f>
        <v>15.521924</v>
      </c>
      <c r="S47" s="315">
        <f>G47+'DEC-2023'!S47</f>
        <v>18.182015</v>
      </c>
      <c r="T47" s="315"/>
      <c r="U47" s="1856">
        <f>(S47-Q47)/Q47*100</f>
        <v>1.1083608360836635E-2</v>
      </c>
      <c r="V47" s="1853">
        <f>(S47-R47)/R47*100</f>
        <v>17.137637060972594</v>
      </c>
      <c r="W47" s="5">
        <f>S47/153</f>
        <v>0.11883669934640523</v>
      </c>
    </row>
    <row r="48" spans="1:40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065">
        <v>3.21</v>
      </c>
      <c r="F48" s="315">
        <v>1.5502769999999999</v>
      </c>
      <c r="G48" s="315">
        <f t="shared" ref="G48:G49" si="12">F67</f>
        <v>1.725122</v>
      </c>
      <c r="H48" s="2533">
        <f>L48</f>
        <v>-9.8359190031152597</v>
      </c>
      <c r="I48" s="1853">
        <f>(G48-F48)/F48*100</f>
        <v>11.278307038032567</v>
      </c>
      <c r="J48" s="12">
        <f>F48+F49</f>
        <v>2.5760369999999999</v>
      </c>
      <c r="K48" s="12">
        <f>G48+G49</f>
        <v>2.8942670000000001</v>
      </c>
      <c r="L48" s="1151">
        <f>(K48-E48)/E48*100</f>
        <v>-9.8359190031152597</v>
      </c>
      <c r="M48" s="2388"/>
      <c r="N48" s="1280" t="s">
        <v>792</v>
      </c>
      <c r="O48" s="1285">
        <v>15.344440000000001</v>
      </c>
      <c r="P48" s="2067">
        <v>32.97</v>
      </c>
      <c r="Q48" s="2065">
        <f>E48+'DEC-2023'!Q48</f>
        <v>26.990000000000002</v>
      </c>
      <c r="R48" s="315">
        <f>F48+'DEC-2023'!R48</f>
        <v>12.351401999999998</v>
      </c>
      <c r="S48" s="315">
        <f>G48+'DEC-2023'!S48</f>
        <v>17.320041</v>
      </c>
      <c r="T48" s="1886"/>
      <c r="U48" s="2527">
        <f>Y48</f>
        <v>5.4135753982956576</v>
      </c>
      <c r="V48" s="1853">
        <f>(S48-R48)/R48*100</f>
        <v>40.227328039359435</v>
      </c>
      <c r="W48" s="12">
        <f>R48+R49</f>
        <v>23.057887999999998</v>
      </c>
      <c r="X48" s="12">
        <f>S48+S49</f>
        <v>28.451124</v>
      </c>
      <c r="Y48" s="1151">
        <f>(X48-Q48)/Q48*100</f>
        <v>5.4135753982956576</v>
      </c>
    </row>
    <row r="49" spans="1:34" ht="15.75" x14ac:dyDescent="0.45">
      <c r="A49" s="2387"/>
      <c r="B49" s="1606" t="s">
        <v>934</v>
      </c>
      <c r="C49" s="1524">
        <v>12.857975999999999</v>
      </c>
      <c r="D49" s="2066"/>
      <c r="E49" s="2066"/>
      <c r="F49" s="315">
        <v>1.02576</v>
      </c>
      <c r="G49" s="315">
        <f t="shared" si="12"/>
        <v>1.1691450000000001</v>
      </c>
      <c r="H49" s="2534"/>
      <c r="I49" s="1853">
        <f>(G49-F49)/F49*100</f>
        <v>13.978416003743574</v>
      </c>
      <c r="J49" s="84">
        <v>31105</v>
      </c>
      <c r="K49" s="1198"/>
      <c r="L49" s="1477">
        <f>(K48-J48)/J48*100</f>
        <v>12.353471631036365</v>
      </c>
      <c r="M49" s="2388"/>
      <c r="N49" s="320" t="s">
        <v>931</v>
      </c>
      <c r="O49" s="1285">
        <v>12.857975999999999</v>
      </c>
      <c r="P49" s="2068"/>
      <c r="Q49" s="2066"/>
      <c r="R49" s="315">
        <f>F49+'DEC-2023'!R49</f>
        <v>10.706486</v>
      </c>
      <c r="S49" s="315">
        <f>G49+'DEC-2023'!S49</f>
        <v>11.131083</v>
      </c>
      <c r="T49" s="1887"/>
      <c r="U49" s="2528"/>
      <c r="V49" s="1853">
        <f>(S49-R49)/R49*100</f>
        <v>3.9657923243910314</v>
      </c>
      <c r="W49" s="84"/>
      <c r="X49" s="1198"/>
      <c r="Y49" s="1477">
        <f>(X48-W48)/W48*100</f>
        <v>23.389982638479299</v>
      </c>
    </row>
    <row r="50" spans="1:34" ht="16.5" customHeight="1" x14ac:dyDescent="0.45">
      <c r="A50" s="2387">
        <v>6</v>
      </c>
      <c r="B50" s="2021" t="s">
        <v>1063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7">
        <v>6</v>
      </c>
      <c r="N50" s="2021" t="s">
        <v>1063</v>
      </c>
      <c r="O50" s="2022"/>
      <c r="P50" s="2022"/>
      <c r="Q50" s="2022"/>
      <c r="R50" s="2022"/>
      <c r="S50" s="2022"/>
      <c r="T50" s="2022"/>
      <c r="U50" s="2022"/>
      <c r="V50" s="2023"/>
      <c r="W50" s="323">
        <f>R48+R47</f>
        <v>27.873325999999999</v>
      </c>
      <c r="X50" s="323">
        <f>S48+S47</f>
        <v>35.502055999999996</v>
      </c>
      <c r="Y50" s="314">
        <f>(X50-W50)/W50*100</f>
        <v>27.369284885485136</v>
      </c>
    </row>
    <row r="51" spans="1:34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186.52</v>
      </c>
      <c r="G51" s="313">
        <v>361.66</v>
      </c>
      <c r="H51" s="2027" t="s">
        <v>221</v>
      </c>
      <c r="I51" s="1853">
        <f>(G51-F51)/F51*100</f>
        <v>93.898777610980062</v>
      </c>
      <c r="K51" s="84">
        <v>1.4243969999999999</v>
      </c>
      <c r="M51" s="2387"/>
      <c r="N51" s="378" t="s">
        <v>36</v>
      </c>
      <c r="O51" s="1525"/>
      <c r="P51" s="2368">
        <v>0.55000000000000004</v>
      </c>
      <c r="Q51" s="2024" t="s">
        <v>221</v>
      </c>
      <c r="R51" s="313">
        <v>186.52</v>
      </c>
      <c r="S51" s="313">
        <v>361.66</v>
      </c>
      <c r="T51" s="1909"/>
      <c r="U51" s="2027" t="s">
        <v>221</v>
      </c>
      <c r="V51" s="1853">
        <f>(S51-R51)/R51*100</f>
        <v>93.898777610980062</v>
      </c>
    </row>
    <row r="52" spans="1:34" ht="15.4" x14ac:dyDescent="0.4">
      <c r="A52" s="2387"/>
      <c r="B52" s="378" t="s">
        <v>37</v>
      </c>
      <c r="C52" s="1525"/>
      <c r="D52" s="2369"/>
      <c r="E52" s="2025"/>
      <c r="F52" s="313">
        <v>36.22</v>
      </c>
      <c r="G52" s="313">
        <v>25.01</v>
      </c>
      <c r="H52" s="2028"/>
      <c r="I52" s="314">
        <f>(G52-F52)/F52*100</f>
        <v>-30.949751518498058</v>
      </c>
      <c r="K52" s="84">
        <v>1.1149039999999999</v>
      </c>
      <c r="M52" s="2387"/>
      <c r="N52" s="378" t="s">
        <v>37</v>
      </c>
      <c r="O52" s="1525"/>
      <c r="P52" s="2369"/>
      <c r="Q52" s="2025"/>
      <c r="R52" s="313">
        <v>36.22</v>
      </c>
      <c r="S52" s="313">
        <v>25.01</v>
      </c>
      <c r="T52" s="1910"/>
      <c r="U52" s="2028"/>
      <c r="V52" s="314">
        <f>(S52-R52)/R52*100</f>
        <v>-30.949751518498058</v>
      </c>
    </row>
    <row r="53" spans="1:34" ht="15.4" x14ac:dyDescent="0.4">
      <c r="A53" s="2387"/>
      <c r="B53" s="378" t="s">
        <v>38</v>
      </c>
      <c r="C53" s="1525"/>
      <c r="D53" s="2245"/>
      <c r="E53" s="2026"/>
      <c r="F53" s="313">
        <f>F52+F51</f>
        <v>222.74</v>
      </c>
      <c r="G53" s="313">
        <f>SUM(G51:G52)</f>
        <v>386.67</v>
      </c>
      <c r="H53" s="2029"/>
      <c r="I53" s="1853">
        <f>(G53-F53)/F53*100</f>
        <v>73.597018945856149</v>
      </c>
      <c r="K53" s="84">
        <v>1.0979049999999999</v>
      </c>
      <c r="M53" s="2387"/>
      <c r="N53" s="378" t="s">
        <v>38</v>
      </c>
      <c r="O53" s="1525"/>
      <c r="P53" s="2245"/>
      <c r="Q53" s="2026"/>
      <c r="R53" s="313">
        <f>R52+R51</f>
        <v>222.74</v>
      </c>
      <c r="S53" s="313">
        <f>SUM(S51:S52)</f>
        <v>386.67</v>
      </c>
      <c r="T53" s="1911"/>
      <c r="U53" s="2029"/>
      <c r="V53" s="1853">
        <f>(S53-R53)/R53*100</f>
        <v>73.597018945856149</v>
      </c>
    </row>
    <row r="54" spans="1:34" x14ac:dyDescent="0.4">
      <c r="B54" s="1748"/>
      <c r="C54" s="1810" t="s">
        <v>195</v>
      </c>
      <c r="D54" s="1810" t="s">
        <v>227</v>
      </c>
      <c r="E54" s="1811" t="s">
        <v>494</v>
      </c>
      <c r="F54" s="1740"/>
      <c r="G54" s="1810" t="s">
        <v>195</v>
      </c>
      <c r="H54" s="1810" t="s">
        <v>227</v>
      </c>
      <c r="I54" s="1811" t="s">
        <v>494</v>
      </c>
      <c r="N54" s="1740"/>
      <c r="O54" s="1810" t="s">
        <v>195</v>
      </c>
      <c r="P54" s="1810" t="s">
        <v>227</v>
      </c>
      <c r="Q54" s="1811" t="s">
        <v>494</v>
      </c>
      <c r="R54" s="1810"/>
      <c r="S54" s="1810" t="s">
        <v>195</v>
      </c>
      <c r="T54" s="1810"/>
      <c r="U54" s="1810" t="s">
        <v>227</v>
      </c>
      <c r="V54" s="1811" t="s">
        <v>494</v>
      </c>
    </row>
    <row r="55" spans="1:34" ht="15.75" x14ac:dyDescent="0.45">
      <c r="B55" s="1742" t="s">
        <v>989</v>
      </c>
      <c r="C55" s="1743">
        <f>F15+F16</f>
        <v>15.978897699999999</v>
      </c>
      <c r="D55" s="1743">
        <f>G15+G16</f>
        <v>17.625382900000002</v>
      </c>
      <c r="E55" s="1744">
        <f>(D55-C55)/C55*100</f>
        <v>10.304122542820977</v>
      </c>
      <c r="F55" s="1745" t="s">
        <v>991</v>
      </c>
      <c r="G55" s="1745">
        <f>F48+F47</f>
        <v>3.192456</v>
      </c>
      <c r="H55" s="1745">
        <f>G48+G47</f>
        <v>3.580641</v>
      </c>
      <c r="I55" s="1744">
        <f>(H55-G55)/G55*100</f>
        <v>12.159447146648224</v>
      </c>
      <c r="N55" s="1742" t="s">
        <v>989</v>
      </c>
      <c r="O55" s="1743">
        <f>R15+R16</f>
        <v>108.15235929999999</v>
      </c>
      <c r="P55" s="1743">
        <f>S15+S16</f>
        <v>178.93964510000001</v>
      </c>
      <c r="Q55" s="1744">
        <f>(P55-O55)/O55*100</f>
        <v>65.451448547364265</v>
      </c>
      <c r="R55" s="1884" t="s">
        <v>991</v>
      </c>
      <c r="S55" s="1745">
        <f>R48+R47</f>
        <v>27.873325999999999</v>
      </c>
      <c r="T55" s="1745"/>
      <c r="U55" s="1745">
        <f>S48+S47</f>
        <v>35.502055999999996</v>
      </c>
      <c r="V55" s="1744">
        <f>(U55-S55)/S55*100</f>
        <v>27.369284885485136</v>
      </c>
      <c r="X55" s="12" t="e">
        <f>R56+R57</f>
        <v>#VALUE!</v>
      </c>
      <c r="Y55" s="12">
        <f>S56+S57</f>
        <v>23.057887999999998</v>
      </c>
      <c r="AA55" s="314" t="e">
        <f>(Y55-X55)/X55*100</f>
        <v>#VALUE!</v>
      </c>
    </row>
    <row r="56" spans="1:34" ht="15.75" x14ac:dyDescent="0.45">
      <c r="B56" s="1742" t="s">
        <v>990</v>
      </c>
      <c r="C56" s="1743">
        <f>F16+F17</f>
        <v>93.420366899999991</v>
      </c>
      <c r="D56" s="1743">
        <f>G16+G17</f>
        <v>105.5363444</v>
      </c>
      <c r="E56" s="1744">
        <f>(D56-C56)/C56*100</f>
        <v>12.969310549774789</v>
      </c>
      <c r="F56" s="1746" t="s">
        <v>992</v>
      </c>
      <c r="G56" s="1747">
        <f>F48+F49</f>
        <v>2.5760369999999999</v>
      </c>
      <c r="H56" s="1747">
        <f>G48+G49</f>
        <v>2.8942670000000001</v>
      </c>
      <c r="I56" s="1744">
        <f>(H56-G56)/G56*100</f>
        <v>12.353471631036365</v>
      </c>
      <c r="J56" s="314"/>
      <c r="K56" s="5"/>
      <c r="N56" s="1742" t="s">
        <v>990</v>
      </c>
      <c r="O56" s="1743">
        <f>R16+R17</f>
        <v>833.55305769999995</v>
      </c>
      <c r="P56" s="1743">
        <f>S16+S17</f>
        <v>994.09128099999998</v>
      </c>
      <c r="Q56" s="1744">
        <f>(P56-O56)/O56*100</f>
        <v>19.259508655989908</v>
      </c>
      <c r="R56" s="1885" t="s">
        <v>992</v>
      </c>
      <c r="S56" s="1747">
        <f>R48+R49</f>
        <v>23.057887999999998</v>
      </c>
      <c r="T56" s="1747"/>
      <c r="U56" s="1747">
        <f>S48+S49</f>
        <v>28.451124</v>
      </c>
      <c r="V56" s="1744">
        <f>(U56-S56)/S56*100</f>
        <v>23.389982638479299</v>
      </c>
    </row>
    <row r="57" spans="1:34" ht="15.75" x14ac:dyDescent="0.45">
      <c r="J57" s="35"/>
      <c r="L57" s="35"/>
      <c r="Q57" s="229"/>
      <c r="R57" s="12"/>
      <c r="S57" s="12"/>
      <c r="T57" s="12"/>
      <c r="V57" s="314"/>
    </row>
    <row r="58" spans="1:34" x14ac:dyDescent="0.4">
      <c r="D58" s="1407"/>
      <c r="E58" s="1192">
        <v>44949</v>
      </c>
      <c r="F58" s="1192">
        <v>45315</v>
      </c>
      <c r="H58" s="1192">
        <f>E58</f>
        <v>44949</v>
      </c>
      <c r="I58" s="1192">
        <f>F58</f>
        <v>45315</v>
      </c>
      <c r="K58" s="84">
        <v>2.94</v>
      </c>
      <c r="R58" s="12">
        <f>SUM(R55:R57)</f>
        <v>0</v>
      </c>
      <c r="S58" s="12">
        <f>SUM(S55:S57)</f>
        <v>50.931213999999997</v>
      </c>
      <c r="T58" s="12"/>
      <c r="U58" s="26" t="s">
        <v>156</v>
      </c>
      <c r="V58" s="26" t="s">
        <v>777</v>
      </c>
      <c r="X58" s="26" t="s">
        <v>156</v>
      </c>
      <c r="Y58" s="26" t="s">
        <v>777</v>
      </c>
      <c r="AA58" s="26" t="s">
        <v>181</v>
      </c>
    </row>
    <row r="59" spans="1:34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Q59" s="12"/>
      <c r="S59" s="9" t="s">
        <v>152</v>
      </c>
      <c r="T59" s="9"/>
      <c r="U59" s="1291">
        <f>E58</f>
        <v>44949</v>
      </c>
      <c r="V59" s="1291">
        <f>F58</f>
        <v>45315</v>
      </c>
      <c r="W59" s="26"/>
      <c r="X59" s="1291">
        <v>44958</v>
      </c>
      <c r="Y59" s="1291">
        <v>44958</v>
      </c>
      <c r="Z59" s="26"/>
      <c r="AA59" s="1291">
        <f>U59</f>
        <v>44949</v>
      </c>
      <c r="AB59" s="1291">
        <f>Y59</f>
        <v>44958</v>
      </c>
      <c r="AD59" s="5">
        <v>57578</v>
      </c>
      <c r="AE59" s="5">
        <v>76550</v>
      </c>
    </row>
    <row r="60" spans="1:34" ht="15.4" x14ac:dyDescent="0.45">
      <c r="D60" s="1407" t="s">
        <v>94</v>
      </c>
      <c r="E60" s="1193">
        <f>H60/10000000</f>
        <v>1.0602129</v>
      </c>
      <c r="F60" s="1193">
        <f>I60/10000000</f>
        <v>1.1306687</v>
      </c>
      <c r="H60" s="598">
        <v>10602129</v>
      </c>
      <c r="I60" s="598">
        <v>11306687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/>
      <c r="U60" s="6">
        <v>253264</v>
      </c>
      <c r="V60" s="6">
        <v>1192326</v>
      </c>
      <c r="X60" s="6">
        <v>289113</v>
      </c>
      <c r="Y60" s="1297">
        <v>1741576</v>
      </c>
      <c r="AA60" s="6">
        <v>125940</v>
      </c>
      <c r="AB60" s="6">
        <v>420680</v>
      </c>
      <c r="AD60" s="5">
        <v>53354</v>
      </c>
      <c r="AE60" s="5">
        <v>79370</v>
      </c>
    </row>
    <row r="61" spans="1:34" ht="15.4" x14ac:dyDescent="0.45">
      <c r="D61" s="1407" t="s">
        <v>502</v>
      </c>
      <c r="E61" s="1193">
        <f>H61/10000000</f>
        <v>14.918684799999999</v>
      </c>
      <c r="F61" s="1193">
        <f t="shared" ref="E61:F62" si="13">I61/10000000</f>
        <v>16.494714200000001</v>
      </c>
      <c r="H61" s="598">
        <v>149186848</v>
      </c>
      <c r="I61" s="598">
        <v>164947142</v>
      </c>
      <c r="J61" s="1320"/>
      <c r="K61" s="1320"/>
      <c r="L61" s="172">
        <f>K60/30</f>
        <v>1.3000000000000001E-2</v>
      </c>
      <c r="S61" s="1261" t="s">
        <v>789</v>
      </c>
      <c r="T61" s="1261"/>
      <c r="U61" s="6">
        <v>216619</v>
      </c>
      <c r="V61" s="6">
        <v>1148002</v>
      </c>
      <c r="W61" s="632"/>
      <c r="X61" s="6">
        <v>597322</v>
      </c>
      <c r="Y61" s="6">
        <v>3581375</v>
      </c>
      <c r="Z61" s="632"/>
      <c r="AA61" s="6">
        <v>149880</v>
      </c>
      <c r="AB61" s="6">
        <v>782160</v>
      </c>
      <c r="AD61" s="41">
        <v>50439</v>
      </c>
      <c r="AE61" s="5">
        <v>78160</v>
      </c>
      <c r="AF61" s="632"/>
      <c r="AG61" s="632"/>
      <c r="AH61" s="632"/>
    </row>
    <row r="62" spans="1:34" ht="16.149999999999999" thickBot="1" x14ac:dyDescent="0.5">
      <c r="D62" s="1407" t="s">
        <v>767</v>
      </c>
      <c r="E62" s="1193">
        <f t="shared" si="13"/>
        <v>78.501682099999996</v>
      </c>
      <c r="F62" s="1193">
        <f>I62/10000000</f>
        <v>89.0416302</v>
      </c>
      <c r="H62" s="1276">
        <v>785016821</v>
      </c>
      <c r="I62" s="824">
        <v>890416302</v>
      </c>
      <c r="J62" s="1320"/>
      <c r="K62" s="824"/>
      <c r="L62" s="172">
        <f>L61*16</f>
        <v>0.20800000000000002</v>
      </c>
      <c r="S62" s="1273">
        <v>44947</v>
      </c>
      <c r="T62" s="1273"/>
      <c r="U62" s="1274">
        <v>195242</v>
      </c>
      <c r="V62" s="6">
        <v>1023506</v>
      </c>
      <c r="X62" s="6">
        <v>288290</v>
      </c>
      <c r="Y62" s="1297">
        <v>1853697</v>
      </c>
      <c r="AA62" s="6">
        <v>127880</v>
      </c>
      <c r="AB62" s="6">
        <v>482050</v>
      </c>
      <c r="AC62" s="1239"/>
      <c r="AD62" s="41">
        <v>45071</v>
      </c>
      <c r="AE62" s="172">
        <v>70290</v>
      </c>
    </row>
    <row r="63" spans="1:34" ht="15.75" x14ac:dyDescent="0.45">
      <c r="E63" s="428"/>
      <c r="F63" s="428"/>
      <c r="J63" s="1215"/>
      <c r="K63" s="212"/>
      <c r="L63" s="1217"/>
      <c r="S63" s="1273">
        <v>44948</v>
      </c>
      <c r="T63" s="1273"/>
      <c r="U63" s="1274"/>
      <c r="V63" s="6"/>
      <c r="X63" s="6"/>
      <c r="Y63" s="1297"/>
      <c r="AA63" s="6"/>
      <c r="AB63" s="6"/>
      <c r="AC63" s="1239"/>
      <c r="AD63" s="41">
        <v>41360</v>
      </c>
      <c r="AE63" s="172">
        <v>83580</v>
      </c>
    </row>
    <row r="64" spans="1:34" ht="15.4" x14ac:dyDescent="0.4">
      <c r="E64" s="428"/>
      <c r="F64" s="428"/>
      <c r="I64" s="82">
        <f>J65/1000000</f>
        <v>0.23699999999999999</v>
      </c>
      <c r="K64" s="212"/>
      <c r="L64" s="1217"/>
      <c r="S64" s="1261"/>
      <c r="T64" s="1261"/>
      <c r="U64" s="331"/>
      <c r="V64" s="6"/>
      <c r="W64" s="26"/>
      <c r="X64" s="6"/>
      <c r="Y64" s="1297"/>
      <c r="AA64" s="6"/>
      <c r="AB64" s="6"/>
      <c r="AC64" s="1239"/>
      <c r="AD64" s="41">
        <v>40488</v>
      </c>
      <c r="AE64" s="172">
        <v>94100</v>
      </c>
    </row>
    <row r="65" spans="3:31" ht="15.4" x14ac:dyDescent="0.45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/>
      <c r="U65" s="26">
        <f>SUM(U60:U64)</f>
        <v>665125</v>
      </c>
      <c r="V65" s="26">
        <f t="shared" ref="V65:AB65" si="14">SUM(V60:V64)</f>
        <v>3363834</v>
      </c>
      <c r="X65" s="9">
        <f>SUM(X60:X64)</f>
        <v>1174725</v>
      </c>
      <c r="Y65" s="9">
        <f t="shared" si="14"/>
        <v>7176648</v>
      </c>
      <c r="Z65" s="26"/>
      <c r="AA65" s="9">
        <f t="shared" si="14"/>
        <v>403700</v>
      </c>
      <c r="AB65" s="9">
        <f t="shared" si="14"/>
        <v>1684890</v>
      </c>
      <c r="AC65" s="1262"/>
      <c r="AD65" s="41">
        <f>SUM(AD59:AD64)</f>
        <v>288290</v>
      </c>
      <c r="AE65" s="41">
        <f>SUM(AE59:AE64)</f>
        <v>482050</v>
      </c>
    </row>
    <row r="66" spans="3:31" ht="15.4" x14ac:dyDescent="0.45">
      <c r="D66" s="1407" t="s">
        <v>94</v>
      </c>
      <c r="E66" s="1193">
        <f>H66/1000000</f>
        <v>1.7631509999999999</v>
      </c>
      <c r="F66" s="1193">
        <f>I66/1000000</f>
        <v>1.8555189999999999</v>
      </c>
      <c r="H66" s="598">
        <v>1763151</v>
      </c>
      <c r="I66" s="598">
        <v>1855519</v>
      </c>
      <c r="J66" s="323">
        <f>H66/100000</f>
        <v>17.631509999999999</v>
      </c>
      <c r="K66" s="323">
        <f t="shared" ref="K66:K68" si="15">I66/100000</f>
        <v>18.55519</v>
      </c>
      <c r="L66" s="1217"/>
      <c r="S66" s="9" t="s">
        <v>783</v>
      </c>
      <c r="T66" s="9"/>
      <c r="U66" s="6"/>
      <c r="V66" s="1261"/>
      <c r="X66" s="6"/>
      <c r="Y66" s="1297"/>
      <c r="AA66" s="6"/>
      <c r="AB66" s="6"/>
      <c r="AC66" s="1239"/>
      <c r="AD66" s="41">
        <v>50768</v>
      </c>
      <c r="AE66" s="172"/>
    </row>
    <row r="67" spans="3:31" ht="15.4" x14ac:dyDescent="0.45">
      <c r="D67" s="1407" t="s">
        <v>502</v>
      </c>
      <c r="E67" s="1193">
        <f t="shared" ref="E67:F68" si="16">H67/1000000</f>
        <v>1.664164</v>
      </c>
      <c r="F67" s="1193">
        <f t="shared" si="16"/>
        <v>1.725122</v>
      </c>
      <c r="H67" s="598">
        <v>1664164</v>
      </c>
      <c r="I67" s="598">
        <v>1725122</v>
      </c>
      <c r="J67" s="323">
        <f>H67/100000</f>
        <v>16.641639999999999</v>
      </c>
      <c r="K67" s="323">
        <f t="shared" si="15"/>
        <v>17.25122</v>
      </c>
      <c r="L67" s="491">
        <f>K66/100000</f>
        <v>1.8555190000000001E-4</v>
      </c>
      <c r="S67" s="6" t="s">
        <v>782</v>
      </c>
      <c r="T67" s="6"/>
      <c r="U67" s="6">
        <v>58327</v>
      </c>
      <c r="V67" s="6">
        <v>1118200</v>
      </c>
      <c r="X67" s="6">
        <v>258000</v>
      </c>
      <c r="Y67" s="1297">
        <v>24681160</v>
      </c>
      <c r="AA67" s="6"/>
      <c r="AB67" s="6"/>
      <c r="AC67" s="1239"/>
      <c r="AD67" s="41">
        <v>45797</v>
      </c>
      <c r="AE67" s="172"/>
    </row>
    <row r="68" spans="3:31" ht="15.4" x14ac:dyDescent="0.45">
      <c r="D68" s="1407" t="s">
        <v>767</v>
      </c>
      <c r="E68" s="1193">
        <f t="shared" si="16"/>
        <v>1.0942190000000001</v>
      </c>
      <c r="F68" s="1193">
        <f>I68/1000000</f>
        <v>1.1691450000000001</v>
      </c>
      <c r="H68" s="598">
        <v>1094219</v>
      </c>
      <c r="I68" s="755">
        <v>1169145</v>
      </c>
      <c r="J68" s="323">
        <f>H68/100000</f>
        <v>10.94219</v>
      </c>
      <c r="K68" s="323">
        <f t="shared" si="15"/>
        <v>11.69145</v>
      </c>
      <c r="L68" s="491">
        <f>K67/100000</f>
        <v>1.725122E-4</v>
      </c>
      <c r="S68" s="1261" t="s">
        <v>789</v>
      </c>
      <c r="T68" s="1261"/>
      <c r="U68" s="6">
        <v>53742</v>
      </c>
      <c r="V68" s="6">
        <v>1266705</v>
      </c>
      <c r="X68" s="6">
        <v>552593</v>
      </c>
      <c r="Y68" s="1297">
        <v>55522320</v>
      </c>
      <c r="AA68" s="6"/>
      <c r="AB68" s="6"/>
      <c r="AC68" s="1239"/>
      <c r="AD68" s="41">
        <v>44590</v>
      </c>
      <c r="AE68" s="172"/>
    </row>
    <row r="69" spans="3:31" x14ac:dyDescent="0.4">
      <c r="E69" s="428"/>
      <c r="F69" s="323"/>
      <c r="H69" s="1224"/>
      <c r="I69" s="1225"/>
      <c r="J69" s="323"/>
      <c r="K69" s="212"/>
      <c r="L69" s="491">
        <f>K68/100000</f>
        <v>1.1691449999999999E-4</v>
      </c>
      <c r="S69" s="1273">
        <v>44947</v>
      </c>
      <c r="T69" s="1273"/>
      <c r="U69" s="6">
        <v>49346</v>
      </c>
      <c r="V69" s="6">
        <v>1081490</v>
      </c>
      <c r="X69" s="6">
        <v>281573</v>
      </c>
      <c r="Y69" s="1297">
        <v>29067783</v>
      </c>
      <c r="AA69" s="6"/>
      <c r="AB69" s="6"/>
      <c r="AC69" s="1239"/>
      <c r="AD69" s="5">
        <v>45433</v>
      </c>
      <c r="AE69" s="172"/>
    </row>
    <row r="70" spans="3:31" x14ac:dyDescent="0.4">
      <c r="E70" s="428"/>
      <c r="F70" s="323"/>
      <c r="H70" s="1224"/>
      <c r="I70" s="1225"/>
      <c r="K70" s="212"/>
      <c r="L70" s="1217"/>
      <c r="S70" s="1273">
        <v>44948</v>
      </c>
      <c r="T70" s="1273"/>
      <c r="U70" s="6"/>
      <c r="V70" s="6"/>
      <c r="X70" s="6"/>
      <c r="Y70" s="1297"/>
      <c r="AA70" s="6"/>
      <c r="AB70" s="6"/>
      <c r="AC70" s="1239"/>
      <c r="AD70" s="5">
        <v>46734</v>
      </c>
      <c r="AE70" s="172"/>
    </row>
    <row r="71" spans="3:31" ht="15.4" x14ac:dyDescent="0.45">
      <c r="D71" s="1418" t="s">
        <v>436</v>
      </c>
      <c r="E71" s="134">
        <f>H71</f>
        <v>1.6703429999999999</v>
      </c>
      <c r="F71" s="134">
        <f>I71</f>
        <v>1.3473701</v>
      </c>
      <c r="H71" s="1372">
        <f>J71/10000000</f>
        <v>1.6703429999999999</v>
      </c>
      <c r="I71" s="1372">
        <f>K71/10000000</f>
        <v>1.3473701</v>
      </c>
      <c r="J71" s="802">
        <v>16703430</v>
      </c>
      <c r="K71">
        <v>13473701</v>
      </c>
      <c r="L71" s="1217"/>
      <c r="N71" s="755">
        <v>185546505</v>
      </c>
      <c r="S71" s="1261"/>
      <c r="T71" s="1261"/>
      <c r="U71" s="6"/>
      <c r="V71" s="6"/>
      <c r="X71" s="6"/>
      <c r="Y71" s="1297"/>
      <c r="AA71" s="6"/>
      <c r="AB71" s="6"/>
      <c r="AC71" s="1239"/>
      <c r="AD71" s="5">
        <v>48251</v>
      </c>
    </row>
    <row r="72" spans="3:31" x14ac:dyDescent="0.4">
      <c r="C72" s="5">
        <f>66.07-3.11</f>
        <v>62.959999999999994</v>
      </c>
      <c r="D72" s="1418" t="s">
        <v>769</v>
      </c>
      <c r="E72" s="134">
        <f>J79/100</f>
        <v>1.4730000000000001</v>
      </c>
      <c r="F72" s="134">
        <f>K79/100</f>
        <v>1.6084000000000001</v>
      </c>
      <c r="H72" s="1263"/>
      <c r="I72" s="1263"/>
      <c r="J72" s="85"/>
      <c r="K72" s="134"/>
      <c r="L72" s="1217"/>
      <c r="N72" s="5">
        <v>8209935</v>
      </c>
      <c r="S72" s="9" t="s">
        <v>784</v>
      </c>
      <c r="T72" s="9"/>
      <c r="U72" s="9">
        <f>SUM(U67:U71)</f>
        <v>161415</v>
      </c>
      <c r="V72" s="9">
        <f>SUM(V67:V71)</f>
        <v>3466395</v>
      </c>
      <c r="W72" s="26"/>
      <c r="X72" s="9">
        <f>SUM(X67:X71)</f>
        <v>1092166</v>
      </c>
      <c r="Y72" s="9">
        <f>SUM(Y67:Y71)</f>
        <v>109271263</v>
      </c>
      <c r="Z72" s="26"/>
      <c r="AA72" s="9">
        <f>SUM(AA67:AA71)</f>
        <v>0</v>
      </c>
      <c r="AB72" s="9">
        <f>SUM(AB67:AB71)</f>
        <v>0</v>
      </c>
      <c r="AC72" s="1262"/>
      <c r="AD72" s="41">
        <f>SUM(AD66:AD71)</f>
        <v>281573</v>
      </c>
    </row>
    <row r="73" spans="3:31" x14ac:dyDescent="0.4">
      <c r="D73" s="1418" t="s">
        <v>125</v>
      </c>
      <c r="E73" s="283">
        <f>J77/100</f>
        <v>6.9099999999999995E-2</v>
      </c>
      <c r="F73" s="283">
        <f>K77/100</f>
        <v>6.9599999999999995E-2</v>
      </c>
      <c r="H73" s="1263"/>
      <c r="I73" s="1263"/>
      <c r="J73" s="283"/>
      <c r="K73" s="283"/>
      <c r="L73" s="1217"/>
      <c r="V73" s="1239"/>
      <c r="AC73" s="1239"/>
    </row>
    <row r="74" spans="3:31" ht="15.4" x14ac:dyDescent="0.45">
      <c r="D74" s="1418" t="s">
        <v>196</v>
      </c>
      <c r="E74" s="134">
        <f>H74/10000000</f>
        <v>0.23189699999999999</v>
      </c>
      <c r="F74" s="134">
        <f>I74/10000000</f>
        <v>0.23560900000000001</v>
      </c>
      <c r="H74" s="1578">
        <f>J152</f>
        <v>2318970</v>
      </c>
      <c r="I74" s="1578">
        <f>J115</f>
        <v>2356090</v>
      </c>
      <c r="J74" s="598"/>
      <c r="K74" s="210">
        <f>J116</f>
        <v>0</v>
      </c>
      <c r="L74" s="1217"/>
      <c r="M74" s="1210"/>
      <c r="N74" s="12"/>
      <c r="O74" s="1132">
        <v>0.41666666666666669</v>
      </c>
      <c r="P74" s="1132">
        <v>0.61805555555555558</v>
      </c>
      <c r="Q74" s="1132">
        <f>P74-O74</f>
        <v>0.2013888888888889</v>
      </c>
      <c r="Y74" s="5"/>
    </row>
    <row r="75" spans="3:31" ht="15.4" x14ac:dyDescent="0.45">
      <c r="D75" s="1418" t="s">
        <v>123</v>
      </c>
      <c r="E75" s="425">
        <f>H75</f>
        <v>0</v>
      </c>
      <c r="F75" s="425">
        <f>I75</f>
        <v>1.3921684999999999</v>
      </c>
      <c r="H75" s="1372">
        <f>J75/10000000</f>
        <v>0</v>
      </c>
      <c r="I75" s="1372">
        <f>K75/10000000</f>
        <v>1.3921684999999999</v>
      </c>
      <c r="J75" s="210">
        <f>L152</f>
        <v>0</v>
      </c>
      <c r="K75" s="1498">
        <f>L115</f>
        <v>13921685</v>
      </c>
    </row>
    <row r="76" spans="3:31" ht="15.4" x14ac:dyDescent="0.45">
      <c r="D76" s="1418" t="s">
        <v>435</v>
      </c>
      <c r="E76" s="134">
        <f>H76/10000000</f>
        <v>3.4741488999999999</v>
      </c>
      <c r="F76" s="134">
        <f>I76/10000000</f>
        <v>3.9760322000000001</v>
      </c>
      <c r="H76" s="1578">
        <f>K152</f>
        <v>34741489</v>
      </c>
      <c r="I76" s="1578">
        <f>K115</f>
        <v>39760322</v>
      </c>
      <c r="J76" s="1498"/>
      <c r="K76" s="1499"/>
      <c r="N76" s="755"/>
    </row>
    <row r="77" spans="3:31" x14ac:dyDescent="0.4">
      <c r="D77" s="1417" t="s">
        <v>266</v>
      </c>
      <c r="E77" s="134">
        <f>H77/10000000</f>
        <v>0</v>
      </c>
      <c r="F77" s="134">
        <f>I77/10000000</f>
        <v>0</v>
      </c>
      <c r="H77" s="1224"/>
      <c r="I77" s="1224"/>
      <c r="J77" s="85">
        <v>6.91</v>
      </c>
      <c r="K77" s="134">
        <v>6.96</v>
      </c>
    </row>
    <row r="78" spans="3:31" x14ac:dyDescent="0.4">
      <c r="E78" s="428"/>
      <c r="F78" s="428"/>
      <c r="J78" s="85">
        <v>154.21</v>
      </c>
      <c r="K78" s="85">
        <v>167.8</v>
      </c>
      <c r="L78" s="172">
        <f>J77/100</f>
        <v>6.9099999999999995E-2</v>
      </c>
    </row>
    <row r="79" spans="3:31" x14ac:dyDescent="0.4">
      <c r="E79" s="428"/>
      <c r="F79" s="428"/>
      <c r="J79" s="85">
        <f>J78-J77</f>
        <v>147.30000000000001</v>
      </c>
      <c r="K79" s="134">
        <f>K78-K77</f>
        <v>160.84</v>
      </c>
    </row>
    <row r="80" spans="3:31" x14ac:dyDescent="0.4">
      <c r="E80" s="428"/>
      <c r="F80" s="428"/>
      <c r="L80" s="172">
        <f>J79/100</f>
        <v>1.4730000000000001</v>
      </c>
    </row>
    <row r="81" spans="3:24" x14ac:dyDescent="0.4">
      <c r="C81" s="9"/>
      <c r="D81" s="235" t="s">
        <v>164</v>
      </c>
      <c r="E81" s="265" t="s">
        <v>710</v>
      </c>
      <c r="F81" s="29" t="s">
        <v>164</v>
      </c>
      <c r="G81" s="265" t="s">
        <v>710</v>
      </c>
      <c r="H81" s="29" t="s">
        <v>164</v>
      </c>
      <c r="I81" s="265" t="s">
        <v>710</v>
      </c>
      <c r="J81" s="29"/>
      <c r="K81" s="29"/>
      <c r="L81" s="1596"/>
    </row>
    <row r="82" spans="3:24" x14ac:dyDescent="0.4">
      <c r="C82" s="9"/>
      <c r="D82" s="235">
        <v>23</v>
      </c>
      <c r="E82" s="29">
        <v>23</v>
      </c>
      <c r="F82" s="29">
        <v>23</v>
      </c>
      <c r="G82" s="29">
        <v>23</v>
      </c>
      <c r="H82" s="29">
        <v>23</v>
      </c>
      <c r="I82" s="29">
        <v>23</v>
      </c>
      <c r="J82" s="29" t="s">
        <v>196</v>
      </c>
      <c r="K82" s="780">
        <v>23</v>
      </c>
      <c r="L82" s="1596"/>
    </row>
    <row r="83" spans="3:24" x14ac:dyDescent="0.4">
      <c r="C83" s="9"/>
      <c r="D83" s="1939" t="s">
        <v>795</v>
      </c>
      <c r="E83" s="1939"/>
      <c r="F83" s="1939" t="s">
        <v>796</v>
      </c>
      <c r="G83" s="1939"/>
      <c r="H83" s="1939" t="s">
        <v>797</v>
      </c>
      <c r="I83" s="1939"/>
      <c r="J83" s="29">
        <v>23</v>
      </c>
      <c r="K83" s="9" t="s">
        <v>882</v>
      </c>
      <c r="L83" s="1596" t="s">
        <v>123</v>
      </c>
      <c r="O83" s="5" t="s">
        <v>195</v>
      </c>
      <c r="P83" s="5" t="s">
        <v>227</v>
      </c>
    </row>
    <row r="84" spans="3:24" ht="15.4" x14ac:dyDescent="0.45">
      <c r="C84" s="1239">
        <v>45292</v>
      </c>
      <c r="D84" s="1449">
        <v>83004</v>
      </c>
      <c r="E84" s="476">
        <v>513259</v>
      </c>
      <c r="F84" s="7">
        <v>72273</v>
      </c>
      <c r="G84" s="7">
        <v>5766891</v>
      </c>
      <c r="H84" s="1453"/>
      <c r="I84" s="828"/>
      <c r="J84" s="85">
        <v>96690</v>
      </c>
      <c r="K84" s="828"/>
      <c r="L84" s="1297"/>
      <c r="N84" s="378" t="s">
        <v>27</v>
      </c>
      <c r="O84" s="1449"/>
      <c r="P84" s="476">
        <v>905484</v>
      </c>
      <c r="Q84" s="27">
        <f>P84/10000000</f>
        <v>9.0548400000000001E-2</v>
      </c>
      <c r="R84" s="7"/>
      <c r="S84" s="1453"/>
      <c r="T84" s="1453"/>
      <c r="U84" s="828"/>
      <c r="V84" s="85"/>
    </row>
    <row r="85" spans="3:24" x14ac:dyDescent="0.4">
      <c r="C85" s="1239">
        <v>45293</v>
      </c>
      <c r="D85" s="1451">
        <v>84638</v>
      </c>
      <c r="E85" s="476">
        <v>450929</v>
      </c>
      <c r="F85" s="7">
        <v>72411</v>
      </c>
      <c r="G85" s="7">
        <v>6056932</v>
      </c>
      <c r="H85" s="7"/>
      <c r="I85" s="210"/>
      <c r="J85" s="210">
        <v>97870</v>
      </c>
      <c r="K85" s="85"/>
      <c r="L85" s="1297"/>
      <c r="N85" s="378" t="s">
        <v>28</v>
      </c>
      <c r="O85" s="1451"/>
      <c r="P85" s="476">
        <v>358386</v>
      </c>
      <c r="Q85" s="27">
        <f t="shared" ref="Q85:Q86" si="17">P85/10000000</f>
        <v>3.5838599999999998E-2</v>
      </c>
      <c r="R85" s="7"/>
      <c r="S85" s="224"/>
      <c r="T85" s="224"/>
      <c r="U85" s="1576"/>
      <c r="V85" s="1576"/>
    </row>
    <row r="86" spans="3:24" x14ac:dyDescent="0.4">
      <c r="C86" s="1239">
        <v>45294</v>
      </c>
      <c r="D86" s="1451">
        <v>77870</v>
      </c>
      <c r="E86" s="476">
        <v>429382</v>
      </c>
      <c r="F86" s="7">
        <v>59429</v>
      </c>
      <c r="G86" s="7">
        <v>5249548</v>
      </c>
      <c r="H86" s="7"/>
      <c r="I86" s="210"/>
      <c r="J86" s="210">
        <v>85160</v>
      </c>
      <c r="K86" s="85"/>
      <c r="L86" s="1297"/>
      <c r="N86" s="378" t="s">
        <v>224</v>
      </c>
      <c r="O86" s="1451"/>
      <c r="P86" s="476">
        <v>1459000</v>
      </c>
      <c r="Q86" s="27">
        <f t="shared" si="17"/>
        <v>0.1459</v>
      </c>
      <c r="R86" s="7"/>
      <c r="S86" s="7"/>
      <c r="T86" s="7"/>
      <c r="U86" s="210"/>
      <c r="V86" s="210"/>
    </row>
    <row r="87" spans="3:24" x14ac:dyDescent="0.4">
      <c r="C87" s="1239">
        <v>45295</v>
      </c>
      <c r="D87" s="1451">
        <v>67056</v>
      </c>
      <c r="E87" s="476">
        <v>377216</v>
      </c>
      <c r="F87" s="7">
        <v>56733</v>
      </c>
      <c r="G87" s="7">
        <v>4612832</v>
      </c>
      <c r="H87" s="7"/>
      <c r="I87" s="210"/>
      <c r="J87" s="210">
        <v>82520</v>
      </c>
      <c r="K87" s="85"/>
      <c r="L87" s="1297"/>
      <c r="N87" s="378" t="s">
        <v>30</v>
      </c>
      <c r="O87" s="1451"/>
      <c r="P87" s="476"/>
      <c r="Q87" s="7"/>
      <c r="R87" s="7"/>
      <c r="S87" s="7"/>
      <c r="T87" s="7"/>
      <c r="U87" s="210"/>
      <c r="V87" s="210"/>
    </row>
    <row r="88" spans="3:24" ht="15.4" x14ac:dyDescent="0.45">
      <c r="C88" s="1239">
        <v>45296</v>
      </c>
      <c r="D88" s="1451">
        <v>59187</v>
      </c>
      <c r="E88" s="476">
        <v>341055</v>
      </c>
      <c r="F88" s="7">
        <v>53654</v>
      </c>
      <c r="G88" s="7">
        <v>4779329</v>
      </c>
      <c r="H88" s="1255"/>
      <c r="I88" s="828"/>
      <c r="J88" s="210">
        <v>75550</v>
      </c>
      <c r="K88" s="828"/>
      <c r="L88" s="1297">
        <v>8486085</v>
      </c>
      <c r="N88" s="378" t="s">
        <v>4</v>
      </c>
      <c r="O88" s="1451"/>
      <c r="P88" s="476"/>
      <c r="Q88" s="7"/>
      <c r="R88" s="7"/>
      <c r="S88" s="7"/>
      <c r="T88" s="7"/>
      <c r="U88" s="210"/>
      <c r="V88" s="210"/>
    </row>
    <row r="89" spans="3:24" ht="15.75" thickBot="1" x14ac:dyDescent="0.5">
      <c r="C89" s="1239">
        <v>45297</v>
      </c>
      <c r="D89" s="1451">
        <v>54068</v>
      </c>
      <c r="E89" s="476">
        <v>384519</v>
      </c>
      <c r="F89" s="6">
        <v>58607</v>
      </c>
      <c r="G89" s="6">
        <v>5200811</v>
      </c>
      <c r="H89" s="1255"/>
      <c r="I89" s="828"/>
      <c r="J89" s="210">
        <v>91610</v>
      </c>
      <c r="K89" s="828"/>
      <c r="L89" s="1297"/>
      <c r="O89" s="1451"/>
      <c r="P89" s="476"/>
      <c r="Q89" s="6"/>
      <c r="R89" s="6"/>
      <c r="S89" s="824"/>
      <c r="T89" s="1893"/>
      <c r="U89" s="755"/>
      <c r="V89" s="210"/>
    </row>
    <row r="90" spans="3:24" ht="15.75" thickBot="1" x14ac:dyDescent="0.5">
      <c r="C90" s="1239">
        <v>45298</v>
      </c>
      <c r="D90" s="1451">
        <v>30992</v>
      </c>
      <c r="E90" s="476">
        <v>256758</v>
      </c>
      <c r="F90" s="6">
        <v>57755</v>
      </c>
      <c r="G90" s="6">
        <v>5869246</v>
      </c>
      <c r="H90" s="828">
        <v>295791</v>
      </c>
      <c r="I90" s="828">
        <v>228108721</v>
      </c>
      <c r="J90" s="85">
        <v>108270</v>
      </c>
      <c r="K90" s="828">
        <v>10208389</v>
      </c>
      <c r="L90" s="1297"/>
      <c r="X90" s="824">
        <v>23597</v>
      </c>
    </row>
    <row r="91" spans="3:24" x14ac:dyDescent="0.4">
      <c r="C91" s="1239">
        <v>45299</v>
      </c>
      <c r="D91" s="1451">
        <v>92643</v>
      </c>
      <c r="E91" s="476">
        <v>485322</v>
      </c>
      <c r="F91" s="6">
        <v>73529</v>
      </c>
      <c r="G91" s="6">
        <v>5444026</v>
      </c>
      <c r="H91" s="31"/>
      <c r="I91" s="79"/>
      <c r="J91" s="85">
        <v>86670</v>
      </c>
      <c r="K91" s="85">
        <v>0</v>
      </c>
      <c r="L91" s="85">
        <v>5435600</v>
      </c>
      <c r="X91" s="41">
        <f>X90/306</f>
        <v>77.114379084967325</v>
      </c>
    </row>
    <row r="92" spans="3:24" x14ac:dyDescent="0.4">
      <c r="C92" s="1239">
        <v>45300</v>
      </c>
      <c r="D92" s="1451">
        <v>66013</v>
      </c>
      <c r="E92" s="476">
        <v>352432</v>
      </c>
      <c r="F92" s="6">
        <v>60322</v>
      </c>
      <c r="G92" s="6">
        <v>5450095</v>
      </c>
      <c r="H92" s="31"/>
      <c r="I92" s="79"/>
      <c r="J92" s="85">
        <v>80920</v>
      </c>
      <c r="K92" s="85"/>
      <c r="L92" s="1594"/>
    </row>
    <row r="93" spans="3:24" ht="15.75" thickBot="1" x14ac:dyDescent="0.5">
      <c r="C93" s="1239">
        <v>45301</v>
      </c>
      <c r="D93" s="1451">
        <v>66941</v>
      </c>
      <c r="E93" s="476">
        <v>361062</v>
      </c>
      <c r="F93" s="6">
        <v>54988</v>
      </c>
      <c r="G93" s="6">
        <v>6127179</v>
      </c>
      <c r="H93" s="755"/>
      <c r="I93" s="1821"/>
      <c r="J93" s="85">
        <v>85110</v>
      </c>
      <c r="K93" s="824"/>
      <c r="L93" s="1297"/>
      <c r="O93" s="41"/>
      <c r="P93" s="41"/>
      <c r="Q93" s="41"/>
      <c r="R93" s="41"/>
    </row>
    <row r="94" spans="3:24" ht="15.4" x14ac:dyDescent="0.45">
      <c r="C94" s="1239">
        <v>45302</v>
      </c>
      <c r="D94" s="1451">
        <v>65918</v>
      </c>
      <c r="E94" s="476">
        <v>348298</v>
      </c>
      <c r="F94" s="6">
        <v>57413</v>
      </c>
      <c r="G94" s="6">
        <v>6037264</v>
      </c>
      <c r="H94" s="1255"/>
      <c r="I94" s="1255"/>
      <c r="J94" s="1593">
        <v>85560</v>
      </c>
      <c r="K94" s="755"/>
      <c r="L94" s="1297"/>
      <c r="O94" s="41">
        <f>D103+F103</f>
        <v>109128</v>
      </c>
      <c r="P94" s="41">
        <f>E103+G103</f>
        <v>5793582</v>
      </c>
      <c r="Q94" s="5">
        <f>H103</f>
        <v>0</v>
      </c>
      <c r="R94" s="5">
        <f>I103</f>
        <v>0</v>
      </c>
    </row>
    <row r="95" spans="3:24" ht="15.4" x14ac:dyDescent="0.45">
      <c r="C95" s="1239">
        <v>45303</v>
      </c>
      <c r="D95" s="1451">
        <v>54316</v>
      </c>
      <c r="E95" s="476">
        <v>353279</v>
      </c>
      <c r="F95" s="6">
        <v>55516</v>
      </c>
      <c r="G95" s="6">
        <v>5923116</v>
      </c>
      <c r="H95" s="828"/>
      <c r="I95" s="828"/>
      <c r="J95" s="1593">
        <v>76050</v>
      </c>
      <c r="K95" s="1488"/>
      <c r="L95" s="1297"/>
      <c r="O95" s="41">
        <f>D116+F116</f>
        <v>0</v>
      </c>
      <c r="P95" s="41">
        <f>E116+G116</f>
        <v>0</v>
      </c>
      <c r="Q95" s="41">
        <f>H116</f>
        <v>0</v>
      </c>
      <c r="R95" s="41">
        <f>I116</f>
        <v>0</v>
      </c>
    </row>
    <row r="96" spans="3:24" x14ac:dyDescent="0.4">
      <c r="C96" s="1239">
        <v>45304</v>
      </c>
      <c r="D96" s="1451">
        <v>50257</v>
      </c>
      <c r="E96" s="476">
        <v>355979</v>
      </c>
      <c r="F96" s="6">
        <v>55041</v>
      </c>
      <c r="G96" s="6">
        <v>6114023</v>
      </c>
      <c r="H96" s="1255"/>
      <c r="I96" s="1255"/>
      <c r="J96" s="1593">
        <v>89960</v>
      </c>
      <c r="K96" s="1488"/>
      <c r="L96" s="1297"/>
    </row>
    <row r="97" spans="3:22" ht="15.75" thickBot="1" x14ac:dyDescent="0.5">
      <c r="C97" s="1239">
        <v>45305</v>
      </c>
      <c r="D97" s="1451">
        <v>27180</v>
      </c>
      <c r="E97" s="476">
        <v>241784</v>
      </c>
      <c r="F97" s="6">
        <v>48346</v>
      </c>
      <c r="G97" s="6">
        <v>5484324</v>
      </c>
      <c r="H97" s="824">
        <v>282093</v>
      </c>
      <c r="I97" s="824">
        <v>212343031</v>
      </c>
      <c r="J97" s="1593">
        <v>101840</v>
      </c>
      <c r="K97" s="755">
        <v>9904940</v>
      </c>
      <c r="L97" s="1297"/>
      <c r="O97" s="1599">
        <v>52681</v>
      </c>
      <c r="P97" s="1600">
        <v>314216</v>
      </c>
      <c r="Q97" s="224">
        <v>47645</v>
      </c>
      <c r="R97" s="224">
        <v>4894612</v>
      </c>
      <c r="S97" s="1601"/>
      <c r="T97" s="1601"/>
      <c r="U97" s="1602"/>
      <c r="V97" s="1575">
        <v>84820</v>
      </c>
    </row>
    <row r="98" spans="3:22" ht="15.4" x14ac:dyDescent="0.45">
      <c r="C98" s="1239">
        <v>45306</v>
      </c>
      <c r="D98" s="1451">
        <v>58308</v>
      </c>
      <c r="E98" s="476">
        <v>341641</v>
      </c>
      <c r="F98" s="6">
        <v>49689</v>
      </c>
      <c r="G98" s="6">
        <v>5067319</v>
      </c>
      <c r="H98" s="828"/>
      <c r="I98" s="828"/>
      <c r="J98" s="85">
        <v>80510</v>
      </c>
      <c r="K98" s="1255"/>
      <c r="L98" s="1297"/>
      <c r="O98" s="1451">
        <v>53821</v>
      </c>
      <c r="P98" s="476">
        <v>323700</v>
      </c>
      <c r="Q98" s="7">
        <v>47979</v>
      </c>
      <c r="R98" s="7">
        <v>4746125</v>
      </c>
      <c r="S98" s="224"/>
      <c r="T98" s="224"/>
      <c r="U98" s="1576"/>
      <c r="V98" s="1576">
        <v>82840</v>
      </c>
    </row>
    <row r="99" spans="3:22" ht="15.4" x14ac:dyDescent="0.45">
      <c r="C99" s="1239">
        <v>45307</v>
      </c>
      <c r="D99" s="1451">
        <v>66835</v>
      </c>
      <c r="E99" s="476">
        <v>358701</v>
      </c>
      <c r="F99" s="6">
        <v>49303</v>
      </c>
      <c r="G99" s="6">
        <v>4900355</v>
      </c>
      <c r="H99" s="828"/>
      <c r="I99" s="1453"/>
      <c r="J99" s="85">
        <v>75500</v>
      </c>
      <c r="K99" s="85"/>
      <c r="L99" s="1297"/>
      <c r="O99" s="1451">
        <v>56005</v>
      </c>
      <c r="P99" s="476">
        <v>337697</v>
      </c>
      <c r="Q99" s="7">
        <v>49409</v>
      </c>
      <c r="R99" s="7">
        <v>5129181</v>
      </c>
      <c r="S99" s="7"/>
      <c r="T99" s="7"/>
      <c r="U99" s="210"/>
      <c r="V99" s="210">
        <v>78420</v>
      </c>
    </row>
    <row r="100" spans="3:22" ht="15.4" x14ac:dyDescent="0.45">
      <c r="C100" s="1239">
        <v>45308</v>
      </c>
      <c r="D100" s="1451">
        <v>64379</v>
      </c>
      <c r="E100" s="476">
        <v>370610</v>
      </c>
      <c r="F100" s="6">
        <v>45853</v>
      </c>
      <c r="G100" s="6">
        <v>5085183</v>
      </c>
      <c r="H100" s="1255"/>
      <c r="I100" s="828"/>
      <c r="J100" s="85">
        <v>75820</v>
      </c>
      <c r="K100" s="828"/>
      <c r="L100" s="1297"/>
      <c r="O100" s="1451">
        <v>52127</v>
      </c>
      <c r="P100" s="476">
        <v>353318</v>
      </c>
      <c r="Q100" s="7">
        <v>54219</v>
      </c>
      <c r="R100" s="7">
        <v>5651697</v>
      </c>
      <c r="S100" s="7"/>
      <c r="T100" s="7"/>
      <c r="U100" s="210"/>
      <c r="V100" s="210">
        <v>88230</v>
      </c>
    </row>
    <row r="101" spans="3:22" ht="15.75" thickBot="1" x14ac:dyDescent="0.5">
      <c r="C101" s="1239">
        <v>45309</v>
      </c>
      <c r="D101" s="1451">
        <v>69664</v>
      </c>
      <c r="E101" s="476">
        <v>397730</v>
      </c>
      <c r="F101" s="6">
        <v>39634</v>
      </c>
      <c r="G101" s="6">
        <v>4212202</v>
      </c>
      <c r="H101" s="1255"/>
      <c r="I101" s="828"/>
      <c r="J101" s="85">
        <v>73000</v>
      </c>
      <c r="K101" s="828"/>
      <c r="L101" s="1297"/>
      <c r="O101" s="1451">
        <v>48621</v>
      </c>
      <c r="P101" s="476">
        <v>364051</v>
      </c>
      <c r="Q101" s="7">
        <v>54944</v>
      </c>
      <c r="R101" s="7">
        <v>6404635</v>
      </c>
      <c r="S101" s="824"/>
      <c r="T101" s="1893"/>
      <c r="U101" s="755"/>
      <c r="V101" s="1604">
        <v>104850</v>
      </c>
    </row>
    <row r="102" spans="3:22" x14ac:dyDescent="0.4">
      <c r="C102" s="1239">
        <v>45310</v>
      </c>
      <c r="D102" s="1407">
        <v>59207</v>
      </c>
      <c r="E102" s="476">
        <v>329162</v>
      </c>
      <c r="F102" s="6">
        <v>39829</v>
      </c>
      <c r="G102" s="6">
        <v>4041756</v>
      </c>
      <c r="H102" s="31"/>
      <c r="I102" s="79"/>
      <c r="J102" s="85">
        <v>65770</v>
      </c>
      <c r="K102" s="85"/>
      <c r="L102" s="1297"/>
    </row>
    <row r="103" spans="3:22" ht="15.4" x14ac:dyDescent="0.45">
      <c r="C103" s="1239">
        <v>45311</v>
      </c>
      <c r="D103" s="1451">
        <v>53993</v>
      </c>
      <c r="E103" s="210">
        <v>368012</v>
      </c>
      <c r="F103" s="7">
        <v>55135</v>
      </c>
      <c r="G103" s="7">
        <v>5425570</v>
      </c>
      <c r="H103" s="1255"/>
      <c r="I103" s="828"/>
      <c r="J103" s="85">
        <v>88550</v>
      </c>
      <c r="K103" s="828"/>
      <c r="L103" s="1297"/>
    </row>
    <row r="104" spans="3:22" ht="15.75" thickBot="1" x14ac:dyDescent="0.5">
      <c r="C104" s="1239">
        <v>45312</v>
      </c>
      <c r="D104" s="1478">
        <v>30353</v>
      </c>
      <c r="E104" s="1479">
        <v>271240</v>
      </c>
      <c r="F104" s="1603">
        <v>46571</v>
      </c>
      <c r="G104" s="1603">
        <v>5033613</v>
      </c>
      <c r="H104" s="1255">
        <v>245149</v>
      </c>
      <c r="I104" s="828">
        <v>190027036</v>
      </c>
      <c r="J104" s="85">
        <v>90360</v>
      </c>
      <c r="K104" s="824">
        <v>9526566</v>
      </c>
      <c r="L104" s="1297"/>
      <c r="O104" s="1449">
        <v>87082</v>
      </c>
      <c r="P104" s="476">
        <v>455322</v>
      </c>
      <c r="Q104" s="6"/>
      <c r="R104" s="6"/>
      <c r="S104" s="755"/>
      <c r="T104" s="755"/>
      <c r="U104" s="755"/>
      <c r="V104" s="85">
        <v>97840</v>
      </c>
    </row>
    <row r="105" spans="3:22" ht="15.4" x14ac:dyDescent="0.45">
      <c r="C105" s="1239">
        <v>45313</v>
      </c>
      <c r="D105" s="1451">
        <v>49431</v>
      </c>
      <c r="E105" s="476">
        <v>307075</v>
      </c>
      <c r="F105" s="85">
        <v>46122</v>
      </c>
      <c r="G105" s="85">
        <v>4319146</v>
      </c>
      <c r="H105" s="828"/>
      <c r="I105" s="1255"/>
      <c r="J105" s="85">
        <v>80050</v>
      </c>
      <c r="K105" s="828"/>
      <c r="L105" s="1297"/>
      <c r="O105" s="1451">
        <v>71382</v>
      </c>
      <c r="P105" s="476">
        <v>391850</v>
      </c>
      <c r="Q105" s="6"/>
      <c r="R105" s="6"/>
      <c r="S105" s="31"/>
      <c r="T105" s="31"/>
      <c r="U105" s="79"/>
      <c r="V105" s="85">
        <v>89880</v>
      </c>
    </row>
    <row r="106" spans="3:22" x14ac:dyDescent="0.4">
      <c r="C106" s="1239">
        <v>45314</v>
      </c>
      <c r="D106" s="1451">
        <v>72101</v>
      </c>
      <c r="E106" s="476">
        <v>389682</v>
      </c>
      <c r="F106" s="476">
        <v>61658</v>
      </c>
      <c r="G106" s="85">
        <v>5018996</v>
      </c>
      <c r="H106" s="31"/>
      <c r="I106" s="79"/>
      <c r="J106" s="85">
        <v>74530</v>
      </c>
      <c r="K106" s="85"/>
      <c r="L106" s="1297"/>
      <c r="O106" s="1451">
        <v>72756</v>
      </c>
      <c r="P106" s="476">
        <v>386616</v>
      </c>
      <c r="Q106" s="6"/>
      <c r="R106" s="6"/>
      <c r="S106" s="31"/>
      <c r="T106" s="31"/>
      <c r="U106" s="79"/>
      <c r="V106" s="85">
        <v>91220</v>
      </c>
    </row>
    <row r="107" spans="3:22" ht="15.4" x14ac:dyDescent="0.45">
      <c r="C107" s="1239">
        <v>45315</v>
      </c>
      <c r="D107" s="1451">
        <v>55420</v>
      </c>
      <c r="E107" s="476">
        <v>338061</v>
      </c>
      <c r="F107" s="85">
        <v>52896</v>
      </c>
      <c r="G107" s="85">
        <v>5214758</v>
      </c>
      <c r="H107" s="1255"/>
      <c r="I107" s="828"/>
      <c r="J107" s="85">
        <v>69490</v>
      </c>
      <c r="K107" s="828"/>
      <c r="L107" s="1297"/>
      <c r="O107" s="1451">
        <v>57734</v>
      </c>
      <c r="P107" s="476">
        <v>327554</v>
      </c>
      <c r="Q107" s="6"/>
      <c r="R107" s="6"/>
      <c r="S107" s="31"/>
      <c r="T107" s="31"/>
      <c r="U107" s="79"/>
      <c r="V107" s="85">
        <v>83100</v>
      </c>
    </row>
    <row r="108" spans="3:22" ht="15.75" thickBot="1" x14ac:dyDescent="0.5">
      <c r="C108" s="1239">
        <v>45316</v>
      </c>
      <c r="D108" s="1454">
        <v>53401</v>
      </c>
      <c r="E108" s="1243">
        <v>381100</v>
      </c>
      <c r="F108" s="1243">
        <v>61988</v>
      </c>
      <c r="G108" s="1243">
        <v>6439010</v>
      </c>
      <c r="H108" s="828"/>
      <c r="I108" s="1243"/>
      <c r="J108" s="85">
        <v>70840</v>
      </c>
      <c r="K108" s="828"/>
      <c r="L108" s="1297"/>
      <c r="O108" s="1451">
        <v>51377</v>
      </c>
      <c r="P108" s="476">
        <v>343313</v>
      </c>
      <c r="Q108" s="6"/>
      <c r="R108" s="6"/>
      <c r="S108" s="824"/>
      <c r="T108" s="1893"/>
      <c r="U108" s="755"/>
      <c r="V108" s="85">
        <v>100280</v>
      </c>
    </row>
    <row r="109" spans="3:22" x14ac:dyDescent="0.4">
      <c r="C109" s="1239">
        <v>45317</v>
      </c>
      <c r="D109" s="1407">
        <v>45251</v>
      </c>
      <c r="E109" s="476">
        <v>375848</v>
      </c>
      <c r="F109" s="85">
        <v>55266</v>
      </c>
      <c r="G109" s="85">
        <v>5843558</v>
      </c>
      <c r="H109" s="31"/>
      <c r="I109" s="79"/>
      <c r="J109" s="1243">
        <v>82070</v>
      </c>
      <c r="K109" s="85"/>
      <c r="L109" s="1297"/>
    </row>
    <row r="110" spans="3:22" ht="15.4" x14ac:dyDescent="0.45">
      <c r="C110" s="1239">
        <v>45318</v>
      </c>
      <c r="D110" s="1407">
        <v>50546</v>
      </c>
      <c r="E110" s="476">
        <v>364050</v>
      </c>
      <c r="F110" s="85">
        <v>51449</v>
      </c>
      <c r="G110" s="85">
        <v>5291196</v>
      </c>
      <c r="H110" s="1863"/>
      <c r="I110" s="1863"/>
      <c r="J110" s="85">
        <v>88890</v>
      </c>
      <c r="K110" s="1863"/>
      <c r="L110" s="1297"/>
    </row>
    <row r="111" spans="3:22" ht="15.75" thickBot="1" x14ac:dyDescent="0.5">
      <c r="C111" s="1239">
        <v>45319</v>
      </c>
      <c r="D111" s="1407">
        <v>30721</v>
      </c>
      <c r="E111" s="476">
        <v>274602</v>
      </c>
      <c r="F111" s="85">
        <v>58873</v>
      </c>
      <c r="G111" s="85">
        <v>5883535</v>
      </c>
      <c r="H111" s="824">
        <v>234720</v>
      </c>
      <c r="I111" s="755">
        <v>178808187</v>
      </c>
      <c r="J111" s="85">
        <v>96930</v>
      </c>
      <c r="K111" s="755">
        <v>10120427</v>
      </c>
      <c r="L111" s="1297"/>
    </row>
    <row r="112" spans="3:22" x14ac:dyDescent="0.4">
      <c r="C112" s="1239">
        <v>45320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41" x14ac:dyDescent="0.4">
      <c r="C113" s="1239">
        <v>45321</v>
      </c>
      <c r="D113" s="1407"/>
      <c r="E113" s="476"/>
      <c r="F113" s="6"/>
      <c r="G113" s="6"/>
      <c r="H113" s="1255"/>
      <c r="I113" s="1255"/>
      <c r="J113" s="85"/>
      <c r="K113" s="1255"/>
      <c r="L113" s="1297"/>
    </row>
    <row r="114" spans="1:41" x14ac:dyDescent="0.4">
      <c r="C114" s="1239">
        <v>45322</v>
      </c>
      <c r="D114" s="1407"/>
      <c r="E114" s="33"/>
      <c r="F114" s="6"/>
      <c r="G114" s="6"/>
      <c r="H114" s="31"/>
      <c r="I114" s="79"/>
      <c r="J114" s="85"/>
      <c r="K114" s="85"/>
      <c r="L114" s="1297"/>
    </row>
    <row r="115" spans="1:41" ht="13.9" x14ac:dyDescent="0.35">
      <c r="C115" s="1239" t="s">
        <v>548</v>
      </c>
      <c r="D115" s="1462">
        <f>SUM(D84:D114)</f>
        <v>1639693</v>
      </c>
      <c r="E115" s="1462">
        <f t="shared" ref="E115:K115" si="18">SUM(E84:E114)</f>
        <v>10118788</v>
      </c>
      <c r="F115" s="1462">
        <f t="shared" si="18"/>
        <v>1550283</v>
      </c>
      <c r="G115" s="1462">
        <f>SUM(G84:G114)</f>
        <v>149891813</v>
      </c>
      <c r="H115" s="1462">
        <f>SUM(H84:H114)</f>
        <v>1057753</v>
      </c>
      <c r="I115" s="1462">
        <f>SUM(I84:I114)</f>
        <v>809286975</v>
      </c>
      <c r="J115" s="1462">
        <f>SUM(J84:J114)</f>
        <v>2356090</v>
      </c>
      <c r="K115" s="1462">
        <f t="shared" si="18"/>
        <v>39760322</v>
      </c>
      <c r="L115" s="1462">
        <f>SUM(L84:L114)</f>
        <v>13921685</v>
      </c>
      <c r="M115" s="1462">
        <f t="shared" ref="M115" si="19">SUM(M84:M114)</f>
        <v>0</v>
      </c>
      <c r="P115" s="41">
        <f>E115+G115</f>
        <v>160010601</v>
      </c>
    </row>
    <row r="116" spans="1:41" ht="15.4" x14ac:dyDescent="0.45">
      <c r="C116" s="1239">
        <v>45224</v>
      </c>
      <c r="D116" s="1454"/>
      <c r="E116" s="1243"/>
      <c r="F116" s="1243"/>
      <c r="G116" s="1243"/>
      <c r="H116" s="755"/>
      <c r="I116" s="1228"/>
      <c r="J116" s="85"/>
      <c r="K116" s="755"/>
    </row>
    <row r="117" spans="1:41" x14ac:dyDescent="0.4">
      <c r="L117" s="1297"/>
      <c r="AK117" s="172"/>
      <c r="AL117" s="172"/>
      <c r="AM117" s="172"/>
      <c r="AN117" s="172"/>
      <c r="AO117" s="172"/>
    </row>
    <row r="118" spans="1:41" s="172" customFormat="1" x14ac:dyDescent="0.4">
      <c r="A118" s="1235"/>
      <c r="B118" s="300"/>
      <c r="C118" s="9"/>
      <c r="D118" s="235" t="s">
        <v>164</v>
      </c>
      <c r="E118" s="265" t="s">
        <v>710</v>
      </c>
      <c r="F118" s="29" t="s">
        <v>164</v>
      </c>
      <c r="G118" s="265" t="s">
        <v>710</v>
      </c>
      <c r="H118" s="29" t="s">
        <v>164</v>
      </c>
      <c r="I118" s="265" t="s">
        <v>710</v>
      </c>
      <c r="J118" s="29" t="s">
        <v>196</v>
      </c>
      <c r="K118" s="1592"/>
      <c r="L118" s="1596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41" s="172" customFormat="1" x14ac:dyDescent="0.4">
      <c r="A119" s="1235"/>
      <c r="B119" s="300"/>
      <c r="C119" s="9"/>
      <c r="D119" s="235">
        <v>22</v>
      </c>
      <c r="E119" s="29">
        <v>22</v>
      </c>
      <c r="F119" s="29">
        <v>22</v>
      </c>
      <c r="G119" s="29">
        <v>22</v>
      </c>
      <c r="H119" s="29">
        <v>22</v>
      </c>
      <c r="I119" s="29">
        <v>22</v>
      </c>
      <c r="J119" s="29">
        <v>22</v>
      </c>
      <c r="K119" s="1597">
        <v>22</v>
      </c>
      <c r="L119" s="1596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41" s="172" customFormat="1" x14ac:dyDescent="0.4">
      <c r="A120" s="1235"/>
      <c r="B120" s="300"/>
      <c r="C120" s="9"/>
      <c r="D120" s="1939" t="s">
        <v>795</v>
      </c>
      <c r="E120" s="1939"/>
      <c r="F120" s="1939" t="s">
        <v>796</v>
      </c>
      <c r="G120" s="1939"/>
      <c r="H120" s="1939" t="s">
        <v>797</v>
      </c>
      <c r="I120" s="1939"/>
      <c r="J120" s="9" t="s">
        <v>196</v>
      </c>
      <c r="K120" s="1598" t="s">
        <v>435</v>
      </c>
      <c r="L120" s="1596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41" s="172" customFormat="1" ht="15.4" x14ac:dyDescent="0.45">
      <c r="A121" s="1235"/>
      <c r="B121" s="300"/>
      <c r="C121" s="1261">
        <v>44927</v>
      </c>
      <c r="D121" s="1449">
        <v>54499</v>
      </c>
      <c r="E121" s="476">
        <v>420310</v>
      </c>
      <c r="F121" s="6">
        <v>58993</v>
      </c>
      <c r="G121" s="6">
        <v>5512703</v>
      </c>
      <c r="H121" s="755"/>
      <c r="I121" s="755"/>
      <c r="J121" s="85">
        <v>99350</v>
      </c>
      <c r="K121" s="1255"/>
      <c r="L121" s="1297"/>
      <c r="M121" s="1209"/>
      <c r="N121" s="5"/>
      <c r="O121" s="1449">
        <v>64100</v>
      </c>
      <c r="P121" s="476">
        <v>352606</v>
      </c>
      <c r="Q121" s="6">
        <v>50287</v>
      </c>
      <c r="R121" s="6">
        <v>3243776</v>
      </c>
      <c r="S121" s="755"/>
      <c r="T121" s="755"/>
      <c r="U121" s="755"/>
      <c r="V121" s="85">
        <v>72390</v>
      </c>
      <c r="W121" s="5"/>
      <c r="X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41" s="172" customFormat="1" x14ac:dyDescent="0.4">
      <c r="A122" s="1235"/>
      <c r="B122" s="300"/>
      <c r="C122" s="1261">
        <v>44928</v>
      </c>
      <c r="D122" s="1451">
        <v>94238</v>
      </c>
      <c r="E122" s="476">
        <v>507184</v>
      </c>
      <c r="F122" s="6">
        <v>75489</v>
      </c>
      <c r="G122" s="6">
        <v>5288935</v>
      </c>
      <c r="H122" s="31"/>
      <c r="I122" s="79"/>
      <c r="J122" s="85">
        <v>101310</v>
      </c>
      <c r="K122" s="85"/>
      <c r="L122" s="1297"/>
      <c r="M122" s="1209"/>
      <c r="N122" s="5"/>
      <c r="O122" s="1451">
        <v>47455</v>
      </c>
      <c r="P122" s="476">
        <v>274841</v>
      </c>
      <c r="Q122" s="6">
        <v>37882</v>
      </c>
      <c r="R122" s="6">
        <v>2992313</v>
      </c>
      <c r="S122" s="31"/>
      <c r="T122" s="31"/>
      <c r="U122" s="79"/>
      <c r="V122" s="85">
        <v>71700</v>
      </c>
      <c r="W122" s="5"/>
      <c r="X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41" s="172" customFormat="1" x14ac:dyDescent="0.4">
      <c r="A123" s="1235"/>
      <c r="B123" s="300"/>
      <c r="C123" s="1261">
        <v>44929</v>
      </c>
      <c r="D123" s="1451">
        <v>70412</v>
      </c>
      <c r="E123" s="476">
        <v>363525</v>
      </c>
      <c r="F123" s="6">
        <v>60451</v>
      </c>
      <c r="G123" s="6">
        <v>4489753</v>
      </c>
      <c r="H123" s="31"/>
      <c r="I123" s="79"/>
      <c r="J123" s="85">
        <v>82250</v>
      </c>
      <c r="K123" s="85"/>
      <c r="L123" s="1297"/>
      <c r="M123" s="1209"/>
      <c r="N123" s="5"/>
      <c r="O123" s="1451">
        <v>51343</v>
      </c>
      <c r="P123" s="476">
        <v>284320</v>
      </c>
      <c r="Q123" s="6">
        <v>35510</v>
      </c>
      <c r="R123" s="6">
        <v>2980113</v>
      </c>
      <c r="S123" s="31"/>
      <c r="T123" s="31"/>
      <c r="U123" s="79"/>
      <c r="V123" s="85">
        <v>70770</v>
      </c>
      <c r="W123" s="5"/>
      <c r="X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41" s="172" customFormat="1" x14ac:dyDescent="0.4">
      <c r="A124" s="1235"/>
      <c r="B124" s="300"/>
      <c r="C124" s="1261">
        <v>44930</v>
      </c>
      <c r="D124" s="1451">
        <v>63089</v>
      </c>
      <c r="E124" s="476">
        <v>341320</v>
      </c>
      <c r="F124" s="6">
        <v>52996</v>
      </c>
      <c r="G124" s="6">
        <v>4190727</v>
      </c>
      <c r="H124" s="31"/>
      <c r="I124" s="79"/>
      <c r="J124" s="85">
        <v>84150</v>
      </c>
      <c r="K124" s="85"/>
      <c r="L124" s="1297"/>
      <c r="M124" s="1209"/>
      <c r="N124" s="5"/>
      <c r="O124" s="1451">
        <v>50716</v>
      </c>
      <c r="P124" s="476">
        <v>287532</v>
      </c>
      <c r="Q124" s="6">
        <v>39138</v>
      </c>
      <c r="R124" s="6">
        <v>2848582</v>
      </c>
      <c r="S124" s="31"/>
      <c r="T124" s="31"/>
      <c r="U124" s="79"/>
      <c r="V124" s="85">
        <v>70340</v>
      </c>
      <c r="W124" s="5"/>
      <c r="X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41" s="172" customFormat="1" ht="15.75" thickBot="1" x14ac:dyDescent="0.5">
      <c r="A125" s="1235"/>
      <c r="B125" s="300"/>
      <c r="C125" s="1261">
        <v>44931</v>
      </c>
      <c r="D125" s="1451">
        <v>66918</v>
      </c>
      <c r="E125" s="476">
        <v>356276</v>
      </c>
      <c r="F125" s="6">
        <v>52427</v>
      </c>
      <c r="G125" s="6">
        <v>4319017</v>
      </c>
      <c r="H125" s="824"/>
      <c r="I125" s="755"/>
      <c r="J125" s="85">
        <v>83790</v>
      </c>
      <c r="K125" s="755"/>
      <c r="L125" s="1297"/>
      <c r="M125" s="1209"/>
      <c r="N125" s="5"/>
      <c r="O125" s="1451">
        <v>46074</v>
      </c>
      <c r="P125" s="476">
        <v>269365</v>
      </c>
      <c r="Q125" s="6">
        <v>35823</v>
      </c>
      <c r="R125" s="6">
        <v>3069600</v>
      </c>
      <c r="S125" s="31"/>
      <c r="T125" s="31"/>
      <c r="U125" s="79"/>
      <c r="V125" s="85">
        <v>61840</v>
      </c>
      <c r="W125" s="5"/>
      <c r="X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41" s="172" customFormat="1" ht="15.75" thickBot="1" x14ac:dyDescent="0.5">
      <c r="A126" s="1235"/>
      <c r="B126" s="300"/>
      <c r="C126" s="1261">
        <v>44932</v>
      </c>
      <c r="D126" s="1451">
        <v>58430</v>
      </c>
      <c r="E126" s="476">
        <v>328886</v>
      </c>
      <c r="F126" s="6">
        <v>50377</v>
      </c>
      <c r="G126" s="6">
        <v>4194093</v>
      </c>
      <c r="H126" s="1255"/>
      <c r="I126" s="828"/>
      <c r="J126" s="85">
        <v>73920</v>
      </c>
      <c r="K126" s="1255"/>
      <c r="L126" s="1297"/>
      <c r="M126" s="1209"/>
      <c r="N126" s="5"/>
      <c r="O126" s="1451">
        <v>44550</v>
      </c>
      <c r="P126" s="476">
        <v>324802</v>
      </c>
      <c r="Q126" s="6">
        <v>36929</v>
      </c>
      <c r="R126" s="6">
        <v>3450395</v>
      </c>
      <c r="S126" s="824"/>
      <c r="T126" s="1893"/>
      <c r="U126" s="755"/>
      <c r="V126" s="85">
        <v>79260</v>
      </c>
      <c r="W126" s="5"/>
      <c r="X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41" s="172" customFormat="1" ht="15.75" thickBot="1" x14ac:dyDescent="0.5">
      <c r="A127" s="1235"/>
      <c r="B127" s="300"/>
      <c r="C127" s="1261">
        <v>44933</v>
      </c>
      <c r="D127" s="1451">
        <v>53471</v>
      </c>
      <c r="E127" s="476">
        <v>334526</v>
      </c>
      <c r="F127" s="6">
        <v>50616</v>
      </c>
      <c r="G127" s="6">
        <v>4537758</v>
      </c>
      <c r="H127" s="824">
        <v>268057</v>
      </c>
      <c r="I127" s="755">
        <v>193934518</v>
      </c>
      <c r="J127" s="85">
        <v>86020</v>
      </c>
      <c r="K127" s="755">
        <v>8581757</v>
      </c>
      <c r="L127" s="1594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41" s="172" customFormat="1" x14ac:dyDescent="0.4">
      <c r="A128" s="1235"/>
      <c r="B128" s="300"/>
      <c r="C128" s="1261">
        <v>44934</v>
      </c>
      <c r="D128" s="1451">
        <v>48341</v>
      </c>
      <c r="E128" s="476">
        <v>366035</v>
      </c>
      <c r="F128" s="6">
        <v>51741</v>
      </c>
      <c r="G128" s="6">
        <v>5086494</v>
      </c>
      <c r="H128" s="31"/>
      <c r="I128" s="79"/>
      <c r="J128" s="85">
        <v>96900</v>
      </c>
      <c r="K128" s="85"/>
      <c r="L128" s="85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 s="172" customFormat="1" x14ac:dyDescent="0.4">
      <c r="A129" s="1235"/>
      <c r="B129" s="300"/>
      <c r="C129" s="1261">
        <v>44935</v>
      </c>
      <c r="D129" s="1451">
        <v>90071</v>
      </c>
      <c r="E129" s="476">
        <v>451637</v>
      </c>
      <c r="F129" s="6">
        <v>66492</v>
      </c>
      <c r="G129" s="6">
        <v>4652644</v>
      </c>
      <c r="H129" s="31"/>
      <c r="I129" s="79"/>
      <c r="J129" s="85">
        <v>82440</v>
      </c>
      <c r="K129" s="85"/>
      <c r="L129" s="1594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 s="172" customFormat="1" ht="15.75" thickBot="1" x14ac:dyDescent="0.5">
      <c r="A130" s="1235"/>
      <c r="B130" s="300"/>
      <c r="C130" s="1261">
        <v>44936</v>
      </c>
      <c r="D130" s="1451">
        <v>63173</v>
      </c>
      <c r="E130" s="476">
        <v>337237</v>
      </c>
      <c r="F130" s="6">
        <v>52465</v>
      </c>
      <c r="G130" s="6">
        <v>4566923</v>
      </c>
      <c r="H130" s="755"/>
      <c r="I130" s="1821"/>
      <c r="J130" s="85">
        <v>75880</v>
      </c>
      <c r="K130" s="824"/>
      <c r="L130" s="1297"/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 s="172" customFormat="1" ht="15.4" x14ac:dyDescent="0.45">
      <c r="A131" s="1235"/>
      <c r="B131" s="300"/>
      <c r="C131" s="1261">
        <v>44937</v>
      </c>
      <c r="D131" s="1451">
        <v>59136</v>
      </c>
      <c r="E131" s="476">
        <v>324576</v>
      </c>
      <c r="F131" s="6">
        <v>51229</v>
      </c>
      <c r="G131" s="6">
        <v>4739029</v>
      </c>
      <c r="H131" s="1255"/>
      <c r="I131" s="1255"/>
      <c r="J131" s="1593">
        <v>77710</v>
      </c>
      <c r="K131" s="755"/>
      <c r="L131" s="1297"/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 s="172" customFormat="1" ht="15.4" x14ac:dyDescent="0.45">
      <c r="A132" s="1235"/>
      <c r="B132" s="300"/>
      <c r="C132" s="1261">
        <v>44938</v>
      </c>
      <c r="D132" s="1451">
        <v>59807</v>
      </c>
      <c r="E132" s="476">
        <v>342377</v>
      </c>
      <c r="F132" s="6">
        <v>51427</v>
      </c>
      <c r="G132" s="6">
        <v>4907786</v>
      </c>
      <c r="H132" s="828"/>
      <c r="I132" s="828"/>
      <c r="J132" s="1593">
        <v>81000</v>
      </c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 s="172" customFormat="1" x14ac:dyDescent="0.4">
      <c r="A133" s="1235"/>
      <c r="B133" s="300"/>
      <c r="C133" s="1261">
        <v>44939</v>
      </c>
      <c r="D133" s="1451">
        <v>56452</v>
      </c>
      <c r="E133" s="476">
        <v>324179</v>
      </c>
      <c r="F133" s="6">
        <v>51975</v>
      </c>
      <c r="G133" s="6">
        <v>4807734</v>
      </c>
      <c r="H133" s="1255"/>
      <c r="I133" s="1255"/>
      <c r="J133" s="1593">
        <v>72450</v>
      </c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 s="172" customFormat="1" ht="15.75" thickBot="1" x14ac:dyDescent="0.5">
      <c r="A134" s="1235"/>
      <c r="B134" s="300"/>
      <c r="C134" s="1261">
        <v>44940</v>
      </c>
      <c r="D134" s="1451">
        <v>47804</v>
      </c>
      <c r="E134" s="476">
        <v>327155</v>
      </c>
      <c r="F134" s="6">
        <v>50168</v>
      </c>
      <c r="G134" s="6">
        <v>4760020</v>
      </c>
      <c r="H134" s="755">
        <v>263749</v>
      </c>
      <c r="I134" s="755">
        <v>183814418</v>
      </c>
      <c r="J134" s="1593">
        <v>81440</v>
      </c>
      <c r="K134" s="824">
        <v>8557307</v>
      </c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 s="172" customFormat="1" ht="15.75" thickBot="1" x14ac:dyDescent="0.5">
      <c r="A135" s="1235"/>
      <c r="B135" s="300"/>
      <c r="C135" s="1261">
        <v>44941</v>
      </c>
      <c r="D135" s="1451">
        <v>39500</v>
      </c>
      <c r="E135" s="476">
        <v>279682</v>
      </c>
      <c r="F135" s="6">
        <v>43833</v>
      </c>
      <c r="G135" s="6">
        <v>4594458</v>
      </c>
      <c r="H135" s="824"/>
      <c r="I135" s="755"/>
      <c r="J135" s="1593">
        <v>93730</v>
      </c>
      <c r="K135" s="755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 s="172" customFormat="1" ht="15.4" x14ac:dyDescent="0.45">
      <c r="A136" s="1235"/>
      <c r="B136" s="300"/>
      <c r="C136" s="1261">
        <v>44942</v>
      </c>
      <c r="D136" s="1451">
        <v>84772</v>
      </c>
      <c r="E136" s="476">
        <v>440579</v>
      </c>
      <c r="F136" s="6">
        <v>62555</v>
      </c>
      <c r="G136" s="6">
        <v>4769103</v>
      </c>
      <c r="H136" s="828"/>
      <c r="I136" s="828"/>
      <c r="J136" s="1593">
        <v>81960</v>
      </c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 s="172" customFormat="1" x14ac:dyDescent="0.4">
      <c r="A137" s="1235"/>
      <c r="B137" s="300"/>
      <c r="C137" s="1261">
        <v>44943</v>
      </c>
      <c r="D137" s="1451">
        <v>63417</v>
      </c>
      <c r="E137" s="476">
        <v>356649</v>
      </c>
      <c r="F137" s="6">
        <v>52575</v>
      </c>
      <c r="G137" s="6">
        <v>4679874</v>
      </c>
      <c r="H137" s="31"/>
      <c r="I137" s="79"/>
      <c r="J137" s="85">
        <v>75010</v>
      </c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 s="172" customFormat="1" ht="15.4" x14ac:dyDescent="0.45">
      <c r="A138" s="1235"/>
      <c r="B138" s="300"/>
      <c r="C138" s="1261">
        <v>44944</v>
      </c>
      <c r="D138" s="1451">
        <v>55259</v>
      </c>
      <c r="E138" s="476">
        <v>321613</v>
      </c>
      <c r="F138" s="6">
        <v>49560</v>
      </c>
      <c r="G138" s="6">
        <v>4578416</v>
      </c>
      <c r="H138" s="1255"/>
      <c r="I138" s="828"/>
      <c r="J138" s="85">
        <v>76910</v>
      </c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 s="172" customFormat="1" x14ac:dyDescent="0.4">
      <c r="A139" s="1235"/>
      <c r="B139" s="300"/>
      <c r="C139" s="1261">
        <v>44945</v>
      </c>
      <c r="D139" s="1451">
        <v>57292</v>
      </c>
      <c r="E139" s="476">
        <v>322691</v>
      </c>
      <c r="F139" s="6">
        <v>50901</v>
      </c>
      <c r="G139" s="6">
        <v>4411635</v>
      </c>
      <c r="H139" s="186"/>
      <c r="I139" s="1591"/>
      <c r="J139" s="85">
        <v>82660</v>
      </c>
      <c r="K139" s="1488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 s="172" customFormat="1" ht="15.75" thickBot="1" x14ac:dyDescent="0.5">
      <c r="A140" s="1235"/>
      <c r="B140" s="300"/>
      <c r="C140" s="1261">
        <v>44946</v>
      </c>
      <c r="D140" s="1451">
        <v>51060</v>
      </c>
      <c r="E140" s="210">
        <v>299474</v>
      </c>
      <c r="F140" s="7">
        <v>48407</v>
      </c>
      <c r="G140" s="7">
        <v>4940703</v>
      </c>
      <c r="H140" s="755"/>
      <c r="I140" s="755"/>
      <c r="J140" s="210">
        <v>71570</v>
      </c>
      <c r="K140" s="910"/>
      <c r="L140" s="1488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 s="172" customFormat="1" ht="15.4" thickBot="1" x14ac:dyDescent="0.45">
      <c r="A141" s="1235"/>
      <c r="B141" s="300"/>
      <c r="C141" s="1261">
        <v>44947</v>
      </c>
      <c r="D141" s="1451">
        <v>44900</v>
      </c>
      <c r="E141" s="210">
        <v>321711</v>
      </c>
      <c r="F141" s="7">
        <v>53843</v>
      </c>
      <c r="G141" s="7">
        <v>5332126</v>
      </c>
      <c r="H141" s="824">
        <v>248808</v>
      </c>
      <c r="I141" s="824">
        <v>177471732</v>
      </c>
      <c r="J141" s="1593">
        <v>85900</v>
      </c>
      <c r="K141" s="824">
        <v>8617418</v>
      </c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 s="172" customFormat="1" ht="15.4" x14ac:dyDescent="0.45">
      <c r="A142" s="1235"/>
      <c r="B142" s="300"/>
      <c r="C142" s="1261">
        <v>44948</v>
      </c>
      <c r="D142" s="1407">
        <v>30181</v>
      </c>
      <c r="E142" s="33">
        <v>254059</v>
      </c>
      <c r="F142" s="6">
        <v>52581</v>
      </c>
      <c r="G142" s="6">
        <v>5536923</v>
      </c>
      <c r="H142" s="755"/>
      <c r="I142" s="755"/>
      <c r="J142" s="1593">
        <v>96740</v>
      </c>
      <c r="K142" s="755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 s="172" customFormat="1" x14ac:dyDescent="0.4">
      <c r="A143" s="1235"/>
      <c r="B143" s="300"/>
      <c r="C143" s="1261">
        <v>44949</v>
      </c>
      <c r="D143" s="1407">
        <v>64465</v>
      </c>
      <c r="E143" s="33">
        <v>364927</v>
      </c>
      <c r="F143" s="6">
        <v>58457</v>
      </c>
      <c r="G143" s="6">
        <v>5088059</v>
      </c>
      <c r="H143" s="31"/>
      <c r="I143" s="79"/>
      <c r="J143" s="1593">
        <v>84990</v>
      </c>
      <c r="K143" s="1488"/>
      <c r="L143" s="1297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 s="172" customFormat="1" ht="15.75" thickBot="1" x14ac:dyDescent="0.5">
      <c r="A144" s="1235"/>
      <c r="B144" s="300"/>
      <c r="C144" s="1261">
        <v>44950</v>
      </c>
      <c r="D144" s="1454">
        <v>46672</v>
      </c>
      <c r="E144" s="1243">
        <v>283103</v>
      </c>
      <c r="F144" s="1246">
        <v>47420</v>
      </c>
      <c r="G144" s="1246">
        <v>4697397</v>
      </c>
      <c r="H144" s="755"/>
      <c r="I144" s="755"/>
      <c r="J144" s="1595">
        <v>75170</v>
      </c>
      <c r="K144" s="824"/>
      <c r="L144" s="1297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1:41" s="172" customFormat="1" ht="15.75" thickBot="1" x14ac:dyDescent="0.5">
      <c r="A145" s="1235"/>
      <c r="B145" s="300"/>
      <c r="C145" s="1261">
        <v>44951</v>
      </c>
      <c r="D145" s="1407">
        <v>44537</v>
      </c>
      <c r="E145" s="33">
        <v>290266</v>
      </c>
      <c r="F145" s="6">
        <v>52235</v>
      </c>
      <c r="G145" s="6">
        <v>5471982</v>
      </c>
      <c r="H145" s="824"/>
      <c r="I145" s="824"/>
      <c r="J145" s="1593">
        <v>70080</v>
      </c>
      <c r="K145" s="755"/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K145" s="5"/>
      <c r="AL145" s="5"/>
      <c r="AM145" s="5"/>
      <c r="AN145" s="5"/>
      <c r="AO145" s="5"/>
    </row>
    <row r="146" spans="1:41" x14ac:dyDescent="0.4">
      <c r="C146" s="1261">
        <v>44952</v>
      </c>
      <c r="D146" s="1407">
        <v>41361</v>
      </c>
      <c r="E146" s="33">
        <v>333259</v>
      </c>
      <c r="F146" s="6">
        <v>48510</v>
      </c>
      <c r="G146" s="6">
        <v>4912330</v>
      </c>
      <c r="H146" s="31"/>
      <c r="I146" s="79"/>
      <c r="J146" s="85">
        <v>88370</v>
      </c>
      <c r="K146" s="1488"/>
      <c r="L146" s="1297"/>
    </row>
    <row r="147" spans="1:41" x14ac:dyDescent="0.4">
      <c r="C147" s="1261">
        <v>44953</v>
      </c>
      <c r="D147" s="1407">
        <v>47232</v>
      </c>
      <c r="E147" s="33">
        <v>295574</v>
      </c>
      <c r="F147" s="6">
        <v>47448</v>
      </c>
      <c r="G147" s="6">
        <v>4303785</v>
      </c>
      <c r="H147" s="31"/>
      <c r="I147" s="79"/>
      <c r="J147" s="85">
        <v>70160</v>
      </c>
      <c r="K147" s="1488"/>
      <c r="L147" s="1297"/>
    </row>
    <row r="148" spans="1:41" ht="15.4" thickBot="1" x14ac:dyDescent="0.45">
      <c r="C148" s="1261">
        <v>44954</v>
      </c>
      <c r="D148" s="1407">
        <v>43810</v>
      </c>
      <c r="E148" s="33">
        <v>299723</v>
      </c>
      <c r="F148" s="6">
        <v>48708</v>
      </c>
      <c r="G148" s="6">
        <v>4853570</v>
      </c>
      <c r="H148" s="824">
        <v>217385</v>
      </c>
      <c r="I148" s="824">
        <v>162399872</v>
      </c>
      <c r="J148" s="85">
        <v>87110</v>
      </c>
      <c r="K148" s="910">
        <v>8985007</v>
      </c>
      <c r="L148" s="1297"/>
    </row>
    <row r="149" spans="1:41" x14ac:dyDescent="0.4">
      <c r="C149" s="1261">
        <v>44955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41" x14ac:dyDescent="0.4">
      <c r="C150" s="1261">
        <v>44956</v>
      </c>
      <c r="D150" s="1407"/>
      <c r="E150" s="33"/>
      <c r="F150" s="6"/>
      <c r="G150" s="6"/>
      <c r="H150" s="31"/>
      <c r="I150" s="79"/>
      <c r="J150" s="85"/>
      <c r="K150" s="1488"/>
    </row>
    <row r="151" spans="1:41" ht="15.4" x14ac:dyDescent="0.45">
      <c r="C151" s="1261">
        <v>44957</v>
      </c>
      <c r="D151" s="1407"/>
      <c r="E151" s="33"/>
      <c r="F151" s="6"/>
      <c r="G151" s="6"/>
      <c r="H151" s="755"/>
      <c r="I151" s="755"/>
      <c r="J151" s="1462"/>
      <c r="K151" s="755"/>
    </row>
    <row r="152" spans="1:41" ht="13.9" x14ac:dyDescent="0.35">
      <c r="D152" s="1462">
        <f>SUM(D121:D151)</f>
        <v>1600299</v>
      </c>
      <c r="E152" s="1462">
        <f t="shared" ref="E152:M152" si="20">SUM(E121:E151)</f>
        <v>9588533</v>
      </c>
      <c r="F152" s="1462">
        <f t="shared" si="20"/>
        <v>1493879</v>
      </c>
      <c r="G152" s="1462">
        <f>SUM(G121:G151)</f>
        <v>134223977</v>
      </c>
      <c r="H152" s="1462">
        <f t="shared" si="20"/>
        <v>997999</v>
      </c>
      <c r="I152" s="1462">
        <f>SUM(I121:I151)</f>
        <v>717620540</v>
      </c>
      <c r="J152" s="1462">
        <f>SUM(J121:J151)</f>
        <v>2318970</v>
      </c>
      <c r="K152" s="1462">
        <f>SUM(K121:K151)</f>
        <v>34741489</v>
      </c>
      <c r="L152" s="1462">
        <f t="shared" si="20"/>
        <v>0</v>
      </c>
      <c r="M152" s="1462">
        <f t="shared" si="20"/>
        <v>0</v>
      </c>
    </row>
    <row r="153" spans="1:41" ht="15.75" thickBot="1" x14ac:dyDescent="0.5">
      <c r="C153" s="1239">
        <v>44859</v>
      </c>
      <c r="D153" s="1407">
        <v>46855</v>
      </c>
      <c r="E153" s="33">
        <v>362715</v>
      </c>
      <c r="F153" s="6">
        <v>51464</v>
      </c>
      <c r="G153" s="6">
        <v>5449405</v>
      </c>
      <c r="H153" s="824">
        <v>146085</v>
      </c>
      <c r="I153" s="824">
        <v>116036641</v>
      </c>
      <c r="J153" s="1593">
        <v>100850</v>
      </c>
      <c r="K153" s="755">
        <v>7454237</v>
      </c>
      <c r="L153" s="1297"/>
    </row>
    <row r="158" spans="1:41" ht="20.65" x14ac:dyDescent="0.6">
      <c r="O158" s="1903"/>
      <c r="P158" s="1903"/>
      <c r="Q158" s="1903"/>
      <c r="R158" s="1903"/>
      <c r="S158" s="1903"/>
      <c r="T158" s="1912"/>
    </row>
    <row r="159" spans="1:41" ht="31.5" customHeight="1" x14ac:dyDescent="0.4">
      <c r="O159" s="1904"/>
      <c r="P159" s="1904"/>
      <c r="Q159" s="1904"/>
      <c r="R159" s="1904"/>
      <c r="S159" s="1904"/>
      <c r="T159" s="301"/>
    </row>
    <row r="160" spans="1:41" ht="31.5" customHeight="1" x14ac:dyDescent="0.4">
      <c r="O160" s="1904"/>
      <c r="P160" s="1904"/>
      <c r="Q160" s="1904"/>
      <c r="R160" s="1904"/>
      <c r="S160" s="1904"/>
      <c r="T160" s="301"/>
    </row>
    <row r="161" spans="15:23" ht="31.5" customHeight="1" x14ac:dyDescent="0.4">
      <c r="O161" s="33"/>
      <c r="P161" s="33"/>
      <c r="Q161" s="1901"/>
      <c r="R161" s="1901"/>
      <c r="S161" s="264"/>
      <c r="T161" s="428"/>
    </row>
    <row r="162" spans="15:23" ht="31.5" customHeight="1" x14ac:dyDescent="0.4">
      <c r="O162" s="33"/>
      <c r="P162" s="33"/>
      <c r="Q162" s="1902"/>
      <c r="R162" s="1901"/>
      <c r="S162" s="264"/>
      <c r="T162" s="428"/>
    </row>
    <row r="163" spans="15:23" x14ac:dyDescent="0.4">
      <c r="Q163" s="1977" t="s">
        <v>1072</v>
      </c>
      <c r="R163" s="9" t="s">
        <v>1071</v>
      </c>
      <c r="S163" s="9" t="s">
        <v>1073</v>
      </c>
      <c r="T163" s="1939" t="s">
        <v>847</v>
      </c>
      <c r="U163" s="9" t="s">
        <v>1071</v>
      </c>
      <c r="V163" s="9" t="s">
        <v>1073</v>
      </c>
      <c r="W163" s="1939" t="s">
        <v>847</v>
      </c>
    </row>
    <row r="164" spans="15:23" x14ac:dyDescent="0.4">
      <c r="Q164" s="1979"/>
      <c r="R164" s="29" t="s">
        <v>1070</v>
      </c>
      <c r="S164" s="29" t="s">
        <v>1070</v>
      </c>
      <c r="T164" s="1939"/>
      <c r="U164" s="29" t="s">
        <v>1069</v>
      </c>
      <c r="V164" s="29" t="s">
        <v>1069</v>
      </c>
      <c r="W164" s="1939"/>
    </row>
    <row r="165" spans="15:23" ht="15.4" x14ac:dyDescent="0.45">
      <c r="Q165" s="135" t="s">
        <v>131</v>
      </c>
      <c r="R165" s="828">
        <v>48382</v>
      </c>
      <c r="S165" s="1905">
        <v>32493</v>
      </c>
      <c r="T165" s="1913">
        <f>(R165-S165)/S165*10</f>
        <v>4.8899763025882494</v>
      </c>
      <c r="U165" s="1905">
        <v>5418</v>
      </c>
      <c r="V165" s="828">
        <v>1203</v>
      </c>
      <c r="W165" s="1913">
        <f>(U165-V165)/V165*10</f>
        <v>35.037406483790519</v>
      </c>
    </row>
    <row r="166" spans="15:23" ht="15.4" x14ac:dyDescent="0.45">
      <c r="Q166" s="135" t="s">
        <v>132</v>
      </c>
      <c r="R166" s="1905">
        <v>48747</v>
      </c>
      <c r="S166" s="828">
        <v>39493</v>
      </c>
      <c r="T166" s="1913">
        <f t="shared" ref="T166:T175" si="21">(R166-S166)/S166*10</f>
        <v>2.343200060770263</v>
      </c>
      <c r="U166" s="1905">
        <v>5331</v>
      </c>
      <c r="V166" s="828">
        <v>681</v>
      </c>
      <c r="W166" s="1913">
        <f t="shared" ref="W166:W175" si="22">(U166-V166)/V166*10</f>
        <v>68.281938325991192</v>
      </c>
    </row>
    <row r="167" spans="15:23" ht="15.4" x14ac:dyDescent="0.45">
      <c r="Q167" s="135" t="s">
        <v>133</v>
      </c>
      <c r="R167" s="1905">
        <v>47247</v>
      </c>
      <c r="S167" s="828">
        <v>42578</v>
      </c>
      <c r="T167" s="1913">
        <f t="shared" si="21"/>
        <v>1.0965756963690168</v>
      </c>
      <c r="U167" s="1905">
        <v>5446</v>
      </c>
      <c r="V167" s="1905">
        <v>586</v>
      </c>
      <c r="W167" s="1913">
        <f t="shared" si="22"/>
        <v>82.935153583617748</v>
      </c>
    </row>
    <row r="168" spans="15:23" ht="15.4" x14ac:dyDescent="0.45">
      <c r="Q168" s="135" t="s">
        <v>51</v>
      </c>
      <c r="R168" s="828">
        <v>47546</v>
      </c>
      <c r="S168" s="828">
        <v>43041</v>
      </c>
      <c r="T168" s="1913">
        <f t="shared" si="21"/>
        <v>1.0466764248042564</v>
      </c>
      <c r="U168" s="1905">
        <v>5695</v>
      </c>
      <c r="V168" s="828">
        <v>664</v>
      </c>
      <c r="W168" s="1913">
        <f t="shared" si="22"/>
        <v>75.768072289156635</v>
      </c>
    </row>
    <row r="169" spans="15:23" ht="15.4" x14ac:dyDescent="0.45">
      <c r="Q169" s="135" t="s">
        <v>134</v>
      </c>
      <c r="R169" s="828">
        <v>47190</v>
      </c>
      <c r="S169" s="828">
        <v>51273</v>
      </c>
      <c r="T169" s="1913">
        <f t="shared" si="21"/>
        <v>-0.79632555145983264</v>
      </c>
      <c r="U169" s="1905">
        <v>6544</v>
      </c>
      <c r="V169" s="1905">
        <v>426</v>
      </c>
      <c r="W169" s="1913">
        <f t="shared" si="22"/>
        <v>143.6150234741784</v>
      </c>
    </row>
    <row r="170" spans="15:23" ht="15.4" x14ac:dyDescent="0.45">
      <c r="Q170" s="135" t="s">
        <v>135</v>
      </c>
      <c r="R170" s="828">
        <v>46818</v>
      </c>
      <c r="S170" s="828">
        <v>57532</v>
      </c>
      <c r="T170" s="1913">
        <f t="shared" si="21"/>
        <v>-1.8622679552249184</v>
      </c>
      <c r="U170" s="1905">
        <v>6436</v>
      </c>
      <c r="V170" s="828">
        <v>959</v>
      </c>
      <c r="W170" s="1913">
        <f t="shared" si="22"/>
        <v>57.111574556830035</v>
      </c>
    </row>
    <row r="171" spans="15:23" ht="15.4" x14ac:dyDescent="0.45">
      <c r="Q171" s="135" t="s">
        <v>136</v>
      </c>
      <c r="R171" s="1905">
        <v>44695</v>
      </c>
      <c r="S171" s="828">
        <v>59708</v>
      </c>
      <c r="T171" s="1913">
        <f t="shared" si="21"/>
        <v>-2.5144034300261269</v>
      </c>
      <c r="U171" s="1905">
        <v>7297</v>
      </c>
      <c r="V171" s="1905">
        <v>826</v>
      </c>
      <c r="W171" s="1913">
        <f t="shared" si="22"/>
        <v>78.341404358353515</v>
      </c>
    </row>
    <row r="172" spans="15:23" ht="15.4" x14ac:dyDescent="0.45">
      <c r="Q172" s="135" t="s">
        <v>137</v>
      </c>
      <c r="R172" s="828">
        <v>41813</v>
      </c>
      <c r="S172" s="828">
        <v>63861</v>
      </c>
      <c r="T172" s="1913">
        <f t="shared" si="21"/>
        <v>-3.4524983949515353</v>
      </c>
      <c r="U172" s="1905">
        <v>6105</v>
      </c>
      <c r="V172" s="828">
        <v>982</v>
      </c>
      <c r="W172" s="1913">
        <f t="shared" si="22"/>
        <v>52.169042769857434</v>
      </c>
    </row>
    <row r="173" spans="15:23" ht="15.4" x14ac:dyDescent="0.45">
      <c r="Q173" s="135" t="s">
        <v>138</v>
      </c>
      <c r="R173" s="828">
        <v>42438</v>
      </c>
      <c r="S173" s="828">
        <v>60401</v>
      </c>
      <c r="T173" s="1913">
        <f t="shared" si="21"/>
        <v>-2.9739573848115097</v>
      </c>
      <c r="U173" s="828">
        <v>5508</v>
      </c>
      <c r="V173" s="828">
        <v>821</v>
      </c>
      <c r="W173" s="1913">
        <f t="shared" si="22"/>
        <v>57.088915956151034</v>
      </c>
    </row>
    <row r="174" spans="15:23" ht="15.4" x14ac:dyDescent="0.45">
      <c r="Q174" s="135" t="s">
        <v>872</v>
      </c>
      <c r="R174" s="1905">
        <v>45178</v>
      </c>
      <c r="S174" s="828">
        <v>59837</v>
      </c>
      <c r="T174" s="1913">
        <f t="shared" si="21"/>
        <v>-2.4498220164780986</v>
      </c>
      <c r="U174" s="1905">
        <v>5355</v>
      </c>
      <c r="V174" s="828">
        <v>1088</v>
      </c>
      <c r="W174" s="1913">
        <f t="shared" si="22"/>
        <v>39.21875</v>
      </c>
    </row>
    <row r="175" spans="15:23" ht="15.75" x14ac:dyDescent="0.4">
      <c r="Q175" s="135" t="s">
        <v>63</v>
      </c>
      <c r="R175" s="9">
        <f>SUM(R165:R174)</f>
        <v>460054</v>
      </c>
      <c r="S175" s="9">
        <f>SUM(S165:S174)</f>
        <v>510217</v>
      </c>
      <c r="T175" s="1914">
        <f t="shared" si="21"/>
        <v>-0.98316990613797661</v>
      </c>
      <c r="U175" s="9">
        <f>SUM(U165:U174)</f>
        <v>59135</v>
      </c>
      <c r="V175" s="9">
        <f>SUM(V165:V174)</f>
        <v>8236</v>
      </c>
      <c r="W175" s="1914">
        <f t="shared" si="22"/>
        <v>61.800631374453616</v>
      </c>
    </row>
  </sheetData>
  <mergeCells count="92">
    <mergeCell ref="AK2:AP2"/>
    <mergeCell ref="A1:I1"/>
    <mergeCell ref="M1:V1"/>
    <mergeCell ref="A2:I2"/>
    <mergeCell ref="M2:V2"/>
    <mergeCell ref="AD2:AI2"/>
    <mergeCell ref="A3:A5"/>
    <mergeCell ref="B3:B5"/>
    <mergeCell ref="D3:E3"/>
    <mergeCell ref="F3:G3"/>
    <mergeCell ref="H3:I3"/>
    <mergeCell ref="AL3:AL5"/>
    <mergeCell ref="AM3:AN3"/>
    <mergeCell ref="AO3:AP3"/>
    <mergeCell ref="C4:C5"/>
    <mergeCell ref="O4:O5"/>
    <mergeCell ref="U4:U5"/>
    <mergeCell ref="V4:V5"/>
    <mergeCell ref="P5:Q5"/>
    <mergeCell ref="AM5:AN5"/>
    <mergeCell ref="N3:N5"/>
    <mergeCell ref="P3:Q3"/>
    <mergeCell ref="R3:S3"/>
    <mergeCell ref="U3:V3"/>
    <mergeCell ref="AD3:AI3"/>
    <mergeCell ref="AK3:AK5"/>
    <mergeCell ref="M3:M5"/>
    <mergeCell ref="A14:A17"/>
    <mergeCell ref="B14:I14"/>
    <mergeCell ref="M14:M17"/>
    <mergeCell ref="N14:V14"/>
    <mergeCell ref="D16:D17"/>
    <mergeCell ref="E16:E17"/>
    <mergeCell ref="H16:H17"/>
    <mergeCell ref="P16:P17"/>
    <mergeCell ref="Q16:Q17"/>
    <mergeCell ref="U16:U17"/>
    <mergeCell ref="A11:I11"/>
    <mergeCell ref="M11:V11"/>
    <mergeCell ref="AK11:AP11"/>
    <mergeCell ref="B13:I13"/>
    <mergeCell ref="N13:V13"/>
    <mergeCell ref="A18:A26"/>
    <mergeCell ref="C18:E18"/>
    <mergeCell ref="F18:I18"/>
    <mergeCell ref="M18:M26"/>
    <mergeCell ref="O18:Q18"/>
    <mergeCell ref="R18:V18"/>
    <mergeCell ref="B28:C29"/>
    <mergeCell ref="D28:E28"/>
    <mergeCell ref="F28:G28"/>
    <mergeCell ref="H28:I28"/>
    <mergeCell ref="N28:O29"/>
    <mergeCell ref="P28:Q28"/>
    <mergeCell ref="R28:S28"/>
    <mergeCell ref="U28:V28"/>
    <mergeCell ref="A30:A37"/>
    <mergeCell ref="B30:I30"/>
    <mergeCell ref="M30:M38"/>
    <mergeCell ref="N30:V30"/>
    <mergeCell ref="A39:A44"/>
    <mergeCell ref="B39:I39"/>
    <mergeCell ref="N39:V39"/>
    <mergeCell ref="A46:A49"/>
    <mergeCell ref="B46:I46"/>
    <mergeCell ref="M46:M49"/>
    <mergeCell ref="N46:V46"/>
    <mergeCell ref="D48:D49"/>
    <mergeCell ref="E48:E49"/>
    <mergeCell ref="H48:H49"/>
    <mergeCell ref="P48:P49"/>
    <mergeCell ref="Q48:Q49"/>
    <mergeCell ref="U48:U49"/>
    <mergeCell ref="U51:U53"/>
    <mergeCell ref="D83:E83"/>
    <mergeCell ref="F83:G83"/>
    <mergeCell ref="H83:I83"/>
    <mergeCell ref="A50:A53"/>
    <mergeCell ref="B50:I50"/>
    <mergeCell ref="M50:M53"/>
    <mergeCell ref="N50:V50"/>
    <mergeCell ref="D51:D53"/>
    <mergeCell ref="E51:E53"/>
    <mergeCell ref="H51:H53"/>
    <mergeCell ref="P51:P53"/>
    <mergeCell ref="Q51:Q53"/>
    <mergeCell ref="T163:T164"/>
    <mergeCell ref="W163:W164"/>
    <mergeCell ref="Q163:Q164"/>
    <mergeCell ref="D120:E120"/>
    <mergeCell ref="F120:G120"/>
    <mergeCell ref="H120:I120"/>
  </mergeCells>
  <phoneticPr fontId="166" type="noConversion"/>
  <conditionalFormatting sqref="H8">
    <cfRule type="cellIs" dxfId="2" priority="1" operator="greaterThan">
      <formula>1.6</formula>
    </cfRule>
  </conditionalFormatting>
  <printOptions horizontalCentered="1"/>
  <pageMargins left="0.2" right="0.2" top="0.42" bottom="0.24" header="0.3" footer="0.3"/>
  <pageSetup paperSize="9" scale="24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pageSetUpPr fitToPage="1"/>
  </sheetPr>
  <dimension ref="A1:AG82"/>
  <sheetViews>
    <sheetView topLeftCell="A23" zoomScale="90" zoomScaleNormal="90" workbookViewId="0">
      <selection activeCell="E39" sqref="E39"/>
    </sheetView>
  </sheetViews>
  <sheetFormatPr defaultColWidth="9.1328125" defaultRowHeight="15" x14ac:dyDescent="0.4"/>
  <cols>
    <col min="1" max="1" width="3.73046875" style="1235" customWidth="1"/>
    <col min="2" max="2" width="36.1328125" style="300" customWidth="1"/>
    <col min="3" max="3" width="12" style="5" bestFit="1" customWidth="1"/>
    <col min="4" max="4" width="11.398437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86328125" style="11" customWidth="1"/>
    <col min="9" max="9" width="14.86328125" style="82" bestFit="1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59765625" style="1209" customWidth="1"/>
    <col min="14" max="14" width="40.3984375" style="5" customWidth="1"/>
    <col min="15" max="15" width="12.1328125" style="5" customWidth="1"/>
    <col min="16" max="16" width="11.3984375" style="5" bestFit="1" customWidth="1"/>
    <col min="17" max="17" width="11.265625" style="5" bestFit="1" customWidth="1"/>
    <col min="18" max="19" width="14" style="5" customWidth="1"/>
    <col min="20" max="21" width="11.1328125" style="5" customWidth="1"/>
    <col min="22" max="23" width="9.1328125" style="5"/>
    <col min="24" max="24" width="13.3984375" style="172" customWidth="1"/>
    <col min="25" max="25" width="11.265625" style="5" bestFit="1" customWidth="1"/>
    <col min="26" max="26" width="10.1328125" style="5" bestFit="1" customWidth="1"/>
    <col min="27" max="16384" width="9.1328125" style="5"/>
  </cols>
  <sheetData>
    <row r="1" spans="1:27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345"/>
      <c r="N1" s="2345"/>
      <c r="O1" s="2345"/>
      <c r="P1" s="2345"/>
      <c r="Q1" s="2345"/>
      <c r="R1" s="2345"/>
      <c r="S1" s="2345"/>
      <c r="T1" s="2345"/>
      <c r="U1" s="2345"/>
    </row>
    <row r="2" spans="1:27" s="301" customFormat="1" ht="17.25" thickBot="1" x14ac:dyDescent="0.4">
      <c r="A2" s="2346" t="s">
        <v>790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791</v>
      </c>
      <c r="N2" s="2093"/>
      <c r="O2" s="2446"/>
      <c r="P2" s="2093"/>
      <c r="Q2" s="2093"/>
      <c r="R2" s="2093"/>
      <c r="S2" s="2093"/>
      <c r="T2" s="2093"/>
      <c r="U2" s="2094"/>
      <c r="X2" s="1149"/>
    </row>
    <row r="3" spans="1:27" ht="17.25" customHeight="1" thickTop="1" x14ac:dyDescent="0.5">
      <c r="A3" s="2360" t="s">
        <v>144</v>
      </c>
      <c r="B3" s="2342" t="s">
        <v>353</v>
      </c>
      <c r="C3" s="1190" t="s">
        <v>763</v>
      </c>
      <c r="D3" s="2107" t="s">
        <v>8</v>
      </c>
      <c r="E3" s="2108"/>
      <c r="F3" s="2447" t="s">
        <v>10</v>
      </c>
      <c r="G3" s="2448"/>
      <c r="H3" s="2490" t="s">
        <v>11</v>
      </c>
      <c r="I3" s="2491"/>
      <c r="M3" s="2358" t="s">
        <v>757</v>
      </c>
      <c r="N3" s="2342" t="s">
        <v>353</v>
      </c>
      <c r="O3" s="1190" t="s">
        <v>763</v>
      </c>
      <c r="P3" s="2107" t="s">
        <v>8</v>
      </c>
      <c r="Q3" s="2108"/>
      <c r="R3" s="2107" t="s">
        <v>10</v>
      </c>
      <c r="S3" s="2108"/>
      <c r="T3" s="2109" t="s">
        <v>11</v>
      </c>
      <c r="U3" s="2110"/>
    </row>
    <row r="4" spans="1:27" s="35" customFormat="1" ht="25.5" customHeight="1" x14ac:dyDescent="0.35">
      <c r="A4" s="2360"/>
      <c r="B4" s="2343"/>
      <c r="C4" s="1183" t="s">
        <v>764</v>
      </c>
      <c r="D4" s="1064" t="s">
        <v>9</v>
      </c>
      <c r="E4" s="422">
        <f>G4</f>
        <v>44927</v>
      </c>
      <c r="F4" s="422">
        <v>44582</v>
      </c>
      <c r="G4" s="422">
        <v>44927</v>
      </c>
      <c r="H4" s="1980" t="s">
        <v>12</v>
      </c>
      <c r="I4" s="1980" t="s">
        <v>13</v>
      </c>
      <c r="J4" s="84"/>
      <c r="K4" s="84"/>
      <c r="L4" s="1150"/>
      <c r="M4" s="2358"/>
      <c r="N4" s="2343"/>
      <c r="O4" s="1183" t="s">
        <v>764</v>
      </c>
      <c r="P4" s="421" t="s">
        <v>9</v>
      </c>
      <c r="Q4" s="422">
        <f>E4</f>
        <v>44927</v>
      </c>
      <c r="R4" s="422">
        <f>F4</f>
        <v>44582</v>
      </c>
      <c r="S4" s="422">
        <f>G4</f>
        <v>44927</v>
      </c>
      <c r="T4" s="1980" t="s">
        <v>12</v>
      </c>
      <c r="U4" s="1980" t="s">
        <v>13</v>
      </c>
      <c r="X4" s="1150"/>
    </row>
    <row r="5" spans="1:27" ht="18.75" customHeight="1" x14ac:dyDescent="0.5">
      <c r="A5" s="2361"/>
      <c r="B5" s="2344"/>
      <c r="C5" s="1184"/>
      <c r="D5" s="2157" t="s">
        <v>249</v>
      </c>
      <c r="E5" s="2158"/>
      <c r="F5" s="1134" t="s">
        <v>249</v>
      </c>
      <c r="G5" s="1134" t="s">
        <v>438</v>
      </c>
      <c r="H5" s="1981"/>
      <c r="I5" s="1981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1981"/>
      <c r="U5" s="1981"/>
    </row>
    <row r="6" spans="1:27" ht="30" customHeight="1" x14ac:dyDescent="0.35">
      <c r="A6" s="1229">
        <v>1</v>
      </c>
      <c r="B6" s="1191" t="s">
        <v>290</v>
      </c>
      <c r="C6" s="1185">
        <v>615.09889696200003</v>
      </c>
      <c r="D6" s="304">
        <f>'target FY 22-23'!D56</f>
        <v>950.59</v>
      </c>
      <c r="E6" s="636">
        <f>E15+E16</f>
        <v>94.31</v>
      </c>
      <c r="F6" s="305">
        <f>F15+F16+F17</f>
        <v>52.103080999999996</v>
      </c>
      <c r="G6" s="305">
        <f>G15+G16+G17</f>
        <v>93.449934299999995</v>
      </c>
      <c r="H6" s="306">
        <f>(G6-E6)/E6*100</f>
        <v>-0.91195599618280865</v>
      </c>
      <c r="I6" s="306">
        <f>(G6-F6)/F6*100</f>
        <v>79.355870145183943</v>
      </c>
      <c r="K6" s="84">
        <v>842.04</v>
      </c>
      <c r="M6" s="1203">
        <v>1</v>
      </c>
      <c r="N6" s="1179" t="s">
        <v>290</v>
      </c>
      <c r="O6" s="1185">
        <v>615.09889696200003</v>
      </c>
      <c r="P6" s="304">
        <v>950.59</v>
      </c>
      <c r="Q6" s="305">
        <v>826.5</v>
      </c>
      <c r="R6" s="305">
        <f>R15+R16+R17</f>
        <v>474.82973898299997</v>
      </c>
      <c r="S6" s="305">
        <f>S15+S16+S17</f>
        <v>842.04219809999995</v>
      </c>
      <c r="T6" s="1160">
        <f>(S6-Q6)/Q6*100</f>
        <v>1.8804837386569813</v>
      </c>
      <c r="U6" s="1160">
        <f>(S6-R6)/R6*100</f>
        <v>77.335606633127725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</row>
    <row r="7" spans="1:27" ht="26.25" customHeight="1" x14ac:dyDescent="0.35">
      <c r="A7" s="1230">
        <v>2</v>
      </c>
      <c r="B7" s="1154" t="s">
        <v>291</v>
      </c>
      <c r="C7" s="1186">
        <v>275.33999999999997</v>
      </c>
      <c r="D7" s="307">
        <f>'target FY 22-23'!E56</f>
        <v>341.23</v>
      </c>
      <c r="E7" s="1129">
        <v>32.04</v>
      </c>
      <c r="F7" s="307">
        <f>F20+F21+F22+F23+F24+F25+F26</f>
        <v>25.841326500000001</v>
      </c>
      <c r="G7" s="307">
        <f>G20+G21+G22+G23+G24+G25+G26</f>
        <v>29.01</v>
      </c>
      <c r="H7" s="308">
        <f>(G7-E7)/E7*100</f>
        <v>-9.4569288389513027</v>
      </c>
      <c r="I7" s="308">
        <f>(G7-F7)/F7*100</f>
        <v>12.262038870179518</v>
      </c>
      <c r="K7" s="84">
        <v>342.13</v>
      </c>
      <c r="M7" s="1204">
        <v>2</v>
      </c>
      <c r="N7" s="1154" t="s">
        <v>291</v>
      </c>
      <c r="O7" s="1186">
        <v>275.33999999999997</v>
      </c>
      <c r="P7" s="307">
        <v>341.23</v>
      </c>
      <c r="Q7" s="307">
        <v>299.71000000000004</v>
      </c>
      <c r="R7" s="305">
        <f>R20+R21+R22+R23+R24+R25+R26</f>
        <v>241.67265650000002</v>
      </c>
      <c r="S7" s="305">
        <f>S20+S21+S22+S23+S24+S25+S26</f>
        <v>342.12809999999996</v>
      </c>
      <c r="T7" s="1161">
        <f>(S7-Q7)/Q7*100</f>
        <v>14.15304794634811</v>
      </c>
      <c r="U7" s="1161">
        <f>(S7-R7)/R7*100</f>
        <v>41.566739471000083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</row>
    <row r="8" spans="1:27" ht="32.25" customHeight="1" x14ac:dyDescent="0.35">
      <c r="A8" s="1231">
        <v>3</v>
      </c>
      <c r="B8" s="1155" t="s">
        <v>292</v>
      </c>
      <c r="C8" s="1187">
        <v>71.674099700000014</v>
      </c>
      <c r="D8" s="364">
        <f>'target FY 22-23'!F56</f>
        <v>102.46000000000001</v>
      </c>
      <c r="E8" s="636">
        <v>10.29</v>
      </c>
      <c r="F8" s="364">
        <f>F31+F32+F33+F34+F35+F36+F37</f>
        <v>7.2981416999999995</v>
      </c>
      <c r="G8" s="364">
        <v>7.97</v>
      </c>
      <c r="H8" s="306">
        <f>(G8-E8)/E8*100</f>
        <v>-22.546161321671519</v>
      </c>
      <c r="I8" s="306">
        <f>(G8-F8)/F8*100</f>
        <v>9.2058818205735893</v>
      </c>
      <c r="K8" s="84">
        <v>90.36</v>
      </c>
      <c r="M8" s="1205">
        <v>3</v>
      </c>
      <c r="N8" s="1155" t="s">
        <v>292</v>
      </c>
      <c r="O8" s="1187">
        <v>71.674099700000014</v>
      </c>
      <c r="P8" s="364">
        <v>102.46000000000001</v>
      </c>
      <c r="Q8" s="364">
        <v>79.400000000000006</v>
      </c>
      <c r="R8" s="364">
        <f>R31+R32+R33+R34+R35+R36+R37</f>
        <v>57.588009899999989</v>
      </c>
      <c r="S8" s="434">
        <f>S31+S32+S33+S34+S35+S36+S37</f>
        <v>97.528006000000005</v>
      </c>
      <c r="T8" s="1160">
        <f>(S8-Q8)/Q8*100</f>
        <v>22.831241813602013</v>
      </c>
      <c r="U8" s="1160">
        <f>(S8-R8)/R8*100</f>
        <v>69.354707984100742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</row>
    <row r="9" spans="1:27" ht="34.5" customHeight="1" x14ac:dyDescent="0.35">
      <c r="A9" s="1230">
        <v>4</v>
      </c>
      <c r="B9" s="1156" t="s">
        <v>293</v>
      </c>
      <c r="C9" s="1185">
        <v>5.1459812999999999</v>
      </c>
      <c r="D9" s="307">
        <f>D39+D40+D41</f>
        <v>17.53</v>
      </c>
      <c r="E9" s="1129">
        <v>1.4601666666666666</v>
      </c>
      <c r="F9" s="307">
        <f>F39+F40+F41+F42+F43+F44</f>
        <v>0.75910840000000002</v>
      </c>
      <c r="G9" s="307">
        <f>G39+G40+G41+G42+G43+G44</f>
        <v>1.0965029000000002</v>
      </c>
      <c r="H9" s="306">
        <f>(G9-E9)/E9*100</f>
        <v>-24.905634060038796</v>
      </c>
      <c r="I9" s="308">
        <f>(G9-F9)/F9*100</f>
        <v>44.446155516129203</v>
      </c>
      <c r="K9" s="84">
        <v>13.54</v>
      </c>
      <c r="M9" s="1204">
        <v>4</v>
      </c>
      <c r="N9" s="1156" t="s">
        <v>293</v>
      </c>
      <c r="O9" s="1185">
        <v>5.1459812999999999</v>
      </c>
      <c r="P9" s="307">
        <v>17.53</v>
      </c>
      <c r="Q9" s="307">
        <v>14.601666666666663</v>
      </c>
      <c r="R9" s="307">
        <f>R39+R40+R41+R42+R43+R44</f>
        <v>4.8343381000000001</v>
      </c>
      <c r="S9" s="307">
        <f>S39+S40+S41+S42+S43+S44</f>
        <v>13.516677399999999</v>
      </c>
      <c r="T9" s="1160">
        <f>(S9-Q9)/Q9*100</f>
        <v>-7.4305850930258943</v>
      </c>
      <c r="U9" s="1161">
        <f>(S9-R9)/R9*100</f>
        <v>179.59727103075392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</row>
    <row r="10" spans="1:27" ht="28.5" customHeight="1" x14ac:dyDescent="0.35">
      <c r="A10" s="1231">
        <v>5</v>
      </c>
      <c r="B10" s="1157" t="s">
        <v>294</v>
      </c>
      <c r="C10" s="1188">
        <f>SUM(C6:C9)</f>
        <v>967.25897796200002</v>
      </c>
      <c r="D10" s="321">
        <f>SUM(D6:D9)</f>
        <v>1411.8100000000002</v>
      </c>
      <c r="E10" s="321">
        <f>SUM(E6:E9)</f>
        <v>138.10016666666667</v>
      </c>
      <c r="F10" s="321">
        <f>SUM(F6:F9)</f>
        <v>86.001657600000001</v>
      </c>
      <c r="G10" s="321">
        <f>SUM(G6:G9)</f>
        <v>131.5264372</v>
      </c>
      <c r="H10" s="322">
        <f>(G10-E10)/E10*100</f>
        <v>-4.7601169682392346</v>
      </c>
      <c r="I10" s="322">
        <f>(G10-F10)/F10*100</f>
        <v>52.934769945643467</v>
      </c>
      <c r="K10" s="84">
        <f>SUM(K6:K9)</f>
        <v>1288.07</v>
      </c>
      <c r="M10" s="1205">
        <v>5</v>
      </c>
      <c r="N10" s="1157" t="s">
        <v>294</v>
      </c>
      <c r="O10" s="1188">
        <f>SUM(O6:O9)</f>
        <v>967.25897796200002</v>
      </c>
      <c r="P10" s="321">
        <f>SUM(P6:P9)</f>
        <v>1411.8100000000002</v>
      </c>
      <c r="Q10" s="321">
        <f>SUM(Q6:Q9)</f>
        <v>1220.2116666666668</v>
      </c>
      <c r="R10" s="321">
        <f>SUM(R6:R9)</f>
        <v>778.92474348299993</v>
      </c>
      <c r="S10" s="321">
        <f>SUM(S6:S9)</f>
        <v>1295.2149814999998</v>
      </c>
      <c r="T10" s="1162">
        <f>(S10-Q10)/Q10*100</f>
        <v>6.1467462475772345</v>
      </c>
      <c r="U10" s="1162">
        <f>(S10-R10)/R10*100</f>
        <v>66.282428737387761</v>
      </c>
      <c r="X10" s="12">
        <f>SUM(X6:X9)</f>
        <v>389.94179218299996</v>
      </c>
      <c r="Y10" s="12">
        <f>SUM(Y6:Y9)</f>
        <v>752.12112639999998</v>
      </c>
      <c r="Z10" s="12">
        <f>S10-Y10</f>
        <v>543.09385509999981</v>
      </c>
    </row>
    <row r="11" spans="1:27" ht="3.75" customHeight="1" thickBot="1" x14ac:dyDescent="0.4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</row>
    <row r="12" spans="1:27" ht="31.5" customHeight="1" thickBot="1" x14ac:dyDescent="0.4">
      <c r="A12" s="1232">
        <v>6.3</v>
      </c>
      <c r="B12" s="1247" t="s">
        <v>778</v>
      </c>
      <c r="C12" s="367">
        <v>16.11</v>
      </c>
      <c r="D12" s="1250">
        <f>D46+D47</f>
        <v>80.319999999999993</v>
      </c>
      <c r="E12" s="1042">
        <f>E46+E47</f>
        <v>7.27</v>
      </c>
      <c r="F12" s="1043">
        <f>F46+F47+F48</f>
        <v>1.693702</v>
      </c>
      <c r="G12" s="1043">
        <f>G46+G47+G48</f>
        <v>4.218216</v>
      </c>
      <c r="H12" s="1044">
        <f>(G12-E12)/E12*100</f>
        <v>-41.977771664374139</v>
      </c>
      <c r="I12" s="1045">
        <f>(G12-F12)/F12*100</f>
        <v>149.05302113358783</v>
      </c>
      <c r="M12" s="1206">
        <v>6.3</v>
      </c>
      <c r="N12" s="1237" t="s">
        <v>250</v>
      </c>
      <c r="O12" s="1238">
        <v>16.61</v>
      </c>
      <c r="P12" s="1041">
        <f>P46+P47</f>
        <v>80.319999999999993</v>
      </c>
      <c r="Q12" s="1042">
        <f>Q46+Q47</f>
        <v>69.930000000000007</v>
      </c>
      <c r="R12" s="1043">
        <f>R46+R47+R48</f>
        <v>12.015709000000001</v>
      </c>
      <c r="S12" s="1043">
        <f>S46+S47+S48</f>
        <v>38.438941999999997</v>
      </c>
      <c r="T12" s="1163">
        <f>(S12-Q12)/Q12*100</f>
        <v>-45.03225797225798</v>
      </c>
      <c r="U12" s="1164">
        <f>(S12-R12)/R12*100</f>
        <v>219.9057334028312</v>
      </c>
    </row>
    <row r="13" spans="1:27" ht="17.649999999999999" x14ac:dyDescent="0.35">
      <c r="A13" s="1233"/>
      <c r="B13" s="2467" t="s">
        <v>229</v>
      </c>
      <c r="C13" s="2468"/>
      <c r="D13" s="2468"/>
      <c r="E13" s="2468"/>
      <c r="F13" s="2468"/>
      <c r="G13" s="2468"/>
      <c r="H13" s="2468"/>
      <c r="I13" s="2469"/>
      <c r="M13" s="1207"/>
      <c r="N13" s="2058" t="s">
        <v>229</v>
      </c>
      <c r="O13" s="2059"/>
      <c r="P13" s="2059"/>
      <c r="Q13" s="2059"/>
      <c r="R13" s="2059"/>
      <c r="S13" s="2059"/>
      <c r="T13" s="2059"/>
      <c r="U13" s="2060"/>
    </row>
    <row r="14" spans="1:27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27" ht="15.4" x14ac:dyDescent="0.4">
      <c r="A15" s="2374"/>
      <c r="B15" s="378" t="s">
        <v>802</v>
      </c>
      <c r="C15" s="1282">
        <v>2.0896889139999999</v>
      </c>
      <c r="D15" s="333">
        <f>'target FY 22-23'!K56</f>
        <v>21.180000000000003</v>
      </c>
      <c r="E15" s="1249">
        <v>1.94</v>
      </c>
      <c r="F15" s="315">
        <v>0.26399119999999998</v>
      </c>
      <c r="G15" s="315">
        <v>0.99111059999999995</v>
      </c>
      <c r="H15" s="316">
        <f>(G15-E15)/E15*100</f>
        <v>-48.911824742268038</v>
      </c>
      <c r="I15" s="314">
        <f>(G15-F15)/F15*100</f>
        <v>275.43319625805708</v>
      </c>
      <c r="J15" s="1128">
        <f>373857/10000000</f>
        <v>3.7385700000000001E-2</v>
      </c>
      <c r="M15" s="2369"/>
      <c r="N15" s="378" t="s">
        <v>794</v>
      </c>
      <c r="O15" s="1282">
        <v>2.0896889139999999</v>
      </c>
      <c r="P15" s="333">
        <f>D15</f>
        <v>21.180000000000003</v>
      </c>
      <c r="Q15" s="315">
        <v>19.28</v>
      </c>
      <c r="R15" s="315">
        <f>F15+'DEC-22'!R15</f>
        <v>1.251280935</v>
      </c>
      <c r="S15" s="315">
        <f>G15+'DEC-22'!S15</f>
        <v>9.4480630000000012</v>
      </c>
      <c r="T15" s="316">
        <f>(S15-Q15)/Q15*100</f>
        <v>-50.995523858921153</v>
      </c>
      <c r="U15" s="314">
        <f>(S15-R15)/R15*100</f>
        <v>655.07128221369419</v>
      </c>
      <c r="Y15" s="12">
        <f>R16+R17</f>
        <v>473.57845804800002</v>
      </c>
      <c r="Z15" s="12">
        <f>S16+S17</f>
        <v>832.59413510000002</v>
      </c>
      <c r="AA15" s="5">
        <f>(Z15-Y15)/Y15*100</f>
        <v>75.809123272159397</v>
      </c>
    </row>
    <row r="16" spans="1:27" ht="15.4" x14ac:dyDescent="0.4">
      <c r="A16" s="2374"/>
      <c r="B16" s="1281" t="s">
        <v>801</v>
      </c>
      <c r="C16" s="1282">
        <v>2.1157408480000002</v>
      </c>
      <c r="D16" s="2166">
        <f>'target FY 22-23'!L56</f>
        <v>887.02</v>
      </c>
      <c r="E16" s="2065">
        <v>92.37</v>
      </c>
      <c r="F16" s="315">
        <v>0.26462340000000001</v>
      </c>
      <c r="G16" s="315">
        <v>13.9571416</v>
      </c>
      <c r="H16" s="2154">
        <f>L16</f>
        <v>9.6160766482615401E-2</v>
      </c>
      <c r="I16" s="314">
        <f>(G16-F16)/F16*100</f>
        <v>5174.3414225650486</v>
      </c>
      <c r="J16" s="12">
        <f>F16+F17</f>
        <v>51.839089799999996</v>
      </c>
      <c r="K16" s="12">
        <f>G16+G17</f>
        <v>92.458823699999996</v>
      </c>
      <c r="L16" s="172">
        <f>(K16-E16)/E16*100</f>
        <v>9.6160766482615401E-2</v>
      </c>
      <c r="M16" s="2369"/>
      <c r="N16" s="1281" t="s">
        <v>792</v>
      </c>
      <c r="O16" s="1282">
        <v>2.1157408480000002</v>
      </c>
      <c r="P16" s="2166">
        <f>D16</f>
        <v>887.02</v>
      </c>
      <c r="Q16" s="2065">
        <v>807.22</v>
      </c>
      <c r="R16" s="315">
        <f>F16+'DEC-22'!R16</f>
        <v>1.0845876480000001</v>
      </c>
      <c r="S16" s="315">
        <f>G16+'DEC-22'!S16</f>
        <v>97.677141599999999</v>
      </c>
      <c r="T16" s="2154">
        <f>X16</f>
        <v>3.143397723049477</v>
      </c>
      <c r="U16" s="314">
        <f>(S16-R16)/R16*100</f>
        <v>8905.9242127751022</v>
      </c>
      <c r="W16" s="12">
        <f>S16+S17</f>
        <v>832.59413510000002</v>
      </c>
      <c r="X16" s="172">
        <f>(W16-Q16)/Q16*100</f>
        <v>3.143397723049477</v>
      </c>
    </row>
    <row r="17" spans="1:24" ht="15.4" x14ac:dyDescent="0.4">
      <c r="A17" s="2375"/>
      <c r="B17" s="320" t="s">
        <v>803</v>
      </c>
      <c r="C17" s="1282">
        <v>610.89346720000003</v>
      </c>
      <c r="D17" s="2064"/>
      <c r="E17" s="2066"/>
      <c r="F17" s="315">
        <v>51.574466399999999</v>
      </c>
      <c r="G17" s="315">
        <v>78.501682099999996</v>
      </c>
      <c r="H17" s="2155"/>
      <c r="I17" s="314">
        <f>(G17-F17)/F17*100</f>
        <v>52.210362180305559</v>
      </c>
      <c r="J17" s="323">
        <f>114680295/10000000</f>
        <v>11.4680295</v>
      </c>
      <c r="M17" s="2245"/>
      <c r="N17" s="320" t="s">
        <v>793</v>
      </c>
      <c r="O17" s="1282">
        <v>610.89346720000003</v>
      </c>
      <c r="P17" s="2064"/>
      <c r="Q17" s="2066"/>
      <c r="R17" s="315">
        <f>F17+'DEC-22'!R17</f>
        <v>472.49387039999999</v>
      </c>
      <c r="S17" s="315">
        <f>G17+'DEC-22'!S17</f>
        <v>734.91699349999999</v>
      </c>
      <c r="T17" s="2155"/>
      <c r="U17" s="314">
        <f>(S17-R17)/R17*100</f>
        <v>55.540005815914604</v>
      </c>
    </row>
    <row r="18" spans="1:24" ht="21.75" customHeight="1" x14ac:dyDescent="0.35">
      <c r="A18" s="1982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  <c r="M18" s="2368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4" ht="19.5" customHeight="1" x14ac:dyDescent="0.35">
      <c r="A19" s="1983"/>
      <c r="B19" s="1069" t="s">
        <v>230</v>
      </c>
      <c r="C19" s="1098">
        <f>F4</f>
        <v>44582</v>
      </c>
      <c r="D19" s="1098">
        <f>G4</f>
        <v>44927</v>
      </c>
      <c r="E19" s="1069" t="s">
        <v>681</v>
      </c>
      <c r="F19" s="1098">
        <f>F4</f>
        <v>44582</v>
      </c>
      <c r="G19" s="1098">
        <f>G4</f>
        <v>44927</v>
      </c>
      <c r="H19" s="1071" t="s">
        <v>682</v>
      </c>
      <c r="I19" s="1072" t="s">
        <v>681</v>
      </c>
      <c r="M19" s="2369"/>
      <c r="N19" s="1069" t="s">
        <v>230</v>
      </c>
      <c r="O19" s="1098">
        <f>R4</f>
        <v>44582</v>
      </c>
      <c r="P19" s="1098">
        <f>S4</f>
        <v>44927</v>
      </c>
      <c r="Q19" s="1069" t="s">
        <v>681</v>
      </c>
      <c r="R19" s="1098">
        <f>R4</f>
        <v>44582</v>
      </c>
      <c r="S19" s="1098">
        <f>S4</f>
        <v>44927</v>
      </c>
      <c r="T19" s="1071" t="s">
        <v>682</v>
      </c>
      <c r="U19" s="1072" t="s">
        <v>681</v>
      </c>
    </row>
    <row r="20" spans="1:24" ht="18.75" customHeight="1" x14ac:dyDescent="0.4">
      <c r="A20" s="1983"/>
      <c r="B20" s="1055" t="s">
        <v>231</v>
      </c>
      <c r="C20" s="85">
        <v>95823</v>
      </c>
      <c r="D20" s="303">
        <v>44143</v>
      </c>
      <c r="E20" s="314">
        <f>(D20-C20)/C20*100</f>
        <v>-53.932771881489828</v>
      </c>
      <c r="F20" s="315">
        <v>18.2789368</v>
      </c>
      <c r="G20" s="315">
        <v>11.98</v>
      </c>
      <c r="H20" s="1060">
        <f>G20/G7*100</f>
        <v>41.296104791451221</v>
      </c>
      <c r="I20" s="314">
        <f>(G20-F20)/F20*100</f>
        <v>-34.460083039403031</v>
      </c>
      <c r="M20" s="2369"/>
      <c r="N20" s="1055" t="s">
        <v>231</v>
      </c>
      <c r="O20" s="833">
        <v>1041034</v>
      </c>
      <c r="P20" s="833">
        <v>857755</v>
      </c>
      <c r="Q20" s="314">
        <f>(P20-O20)/O20*100</f>
        <v>-17.605476862427164</v>
      </c>
      <c r="R20" s="315">
        <f>F20+'DEC-22'!R20</f>
        <v>189.59893679999999</v>
      </c>
      <c r="S20" s="315">
        <f>G20+'DEC-22'!S20</f>
        <v>159.95999999999998</v>
      </c>
      <c r="T20" s="1060">
        <f>S20/S7*100</f>
        <v>46.754417424350706</v>
      </c>
      <c r="U20" s="314">
        <f>(S20-R20)/R20*100</f>
        <v>-15.632438293293221</v>
      </c>
    </row>
    <row r="21" spans="1:24" ht="18.75" customHeight="1" x14ac:dyDescent="0.4">
      <c r="A21" s="1983"/>
      <c r="B21" s="1055" t="s">
        <v>232</v>
      </c>
      <c r="C21" s="1214">
        <v>33066</v>
      </c>
      <c r="D21" s="1214">
        <v>80413</v>
      </c>
      <c r="E21" s="314">
        <f>(D21-C21)/C21*100</f>
        <v>143.18937881812133</v>
      </c>
      <c r="F21" s="315">
        <v>1.2072314</v>
      </c>
      <c r="G21" s="315">
        <v>8.01</v>
      </c>
      <c r="H21" s="1060">
        <f>G21/G7*100</f>
        <v>27.611168562564632</v>
      </c>
      <c r="I21" s="314">
        <f>(G21-F21)/F21*100</f>
        <v>563.50162860243699</v>
      </c>
      <c r="M21" s="2369"/>
      <c r="N21" s="1055" t="s">
        <v>232</v>
      </c>
      <c r="O21" s="833">
        <v>158692</v>
      </c>
      <c r="P21" s="833">
        <v>835558</v>
      </c>
      <c r="Q21" s="314">
        <f>(P21-O21)/O21*100</f>
        <v>426.52811735941316</v>
      </c>
      <c r="R21" s="315">
        <f>F21+'DEC-22'!R21</f>
        <v>9.3172313999999989</v>
      </c>
      <c r="S21" s="315">
        <f>G21+'DEC-22'!S21</f>
        <v>83.39</v>
      </c>
      <c r="T21" s="1060">
        <f>S21/S7*100</f>
        <v>24.373911409206087</v>
      </c>
      <c r="U21" s="314">
        <f>(S21-R21)/R21*100</f>
        <v>795.00836053079047</v>
      </c>
    </row>
    <row r="22" spans="1:24" ht="18.75" customHeight="1" x14ac:dyDescent="0.4">
      <c r="A22" s="1983"/>
      <c r="B22" s="1055" t="s">
        <v>239</v>
      </c>
      <c r="C22" s="303">
        <v>39690</v>
      </c>
      <c r="D22" s="1214">
        <v>52822</v>
      </c>
      <c r="E22" s="314">
        <f>(D22-C22)/C22*100</f>
        <v>33.086419753086425</v>
      </c>
      <c r="F22" s="315">
        <v>5.7515435000000004</v>
      </c>
      <c r="G22" s="315">
        <v>7.97</v>
      </c>
      <c r="H22" s="1060">
        <f>G22/G7*100</f>
        <v>27.473285074112376</v>
      </c>
      <c r="I22" s="314">
        <f>(G22-F22)/F22*100</f>
        <v>38.5714982421675</v>
      </c>
      <c r="M22" s="2369"/>
      <c r="N22" s="1055" t="s">
        <v>239</v>
      </c>
      <c r="O22" s="833">
        <v>330306</v>
      </c>
      <c r="P22" s="833">
        <v>728657.3</v>
      </c>
      <c r="Q22" s="314">
        <f>(P22-O22)/O22*100</f>
        <v>120.60068542503014</v>
      </c>
      <c r="R22" s="315">
        <f>F22+'DEC-22'!R22</f>
        <v>34.731543500000001</v>
      </c>
      <c r="S22" s="315">
        <f>G22+'DEC-22'!S22</f>
        <v>89.754000000000005</v>
      </c>
      <c r="T22" s="1060">
        <f>S22/S7*100</f>
        <v>26.234033392755524</v>
      </c>
      <c r="U22" s="314">
        <f>(S22-R22)/R22*100</f>
        <v>158.42214585136421</v>
      </c>
    </row>
    <row r="23" spans="1:24" ht="18.75" customHeight="1" x14ac:dyDescent="0.4">
      <c r="A23" s="1983"/>
      <c r="B23" s="1055" t="s">
        <v>233</v>
      </c>
      <c r="C23" s="303">
        <v>14418</v>
      </c>
      <c r="D23" s="1214">
        <v>24177</v>
      </c>
      <c r="E23" s="314">
        <f>(D23-C23)/C23*100</f>
        <v>67.686225551394088</v>
      </c>
      <c r="F23" s="315">
        <v>0.60361480000000001</v>
      </c>
      <c r="G23" s="315">
        <v>1</v>
      </c>
      <c r="H23" s="1060">
        <f>G23/G7*100</f>
        <v>3.4470872113064459</v>
      </c>
      <c r="I23" s="314">
        <f>(G23-F23)/F23*100</f>
        <v>65.668568762727489</v>
      </c>
      <c r="M23" s="2369"/>
      <c r="N23" s="1055" t="s">
        <v>233</v>
      </c>
      <c r="O23" s="833">
        <v>238173</v>
      </c>
      <c r="P23" s="833">
        <v>234054</v>
      </c>
      <c r="Q23" s="314">
        <f>(P23-O23)/O23*100</f>
        <v>-1.7294151730044967</v>
      </c>
      <c r="R23" s="315">
        <f>F23+'DEC-22'!R23</f>
        <v>7.7149447999999996</v>
      </c>
      <c r="S23" s="315">
        <f>G23+'DEC-22'!S23</f>
        <v>8.5500000000000007</v>
      </c>
      <c r="T23" s="1060">
        <f>S23/S7*100</f>
        <v>2.4990639471005163</v>
      </c>
      <c r="U23" s="314">
        <f>(S23-R23)/R23*100</f>
        <v>10.823864870685803</v>
      </c>
    </row>
    <row r="24" spans="1:24" ht="18.75" customHeight="1" x14ac:dyDescent="0.4">
      <c r="A24" s="1983"/>
      <c r="B24" s="1055" t="s">
        <v>739</v>
      </c>
      <c r="C24" s="303">
        <v>0</v>
      </c>
      <c r="D24" s="303">
        <v>0</v>
      </c>
      <c r="E24" s="836">
        <v>0</v>
      </c>
      <c r="F24" s="833">
        <v>0</v>
      </c>
      <c r="G24" s="833">
        <v>0</v>
      </c>
      <c r="H24" s="1060">
        <f>G24/G7*100</f>
        <v>0</v>
      </c>
      <c r="I24" s="314">
        <v>0</v>
      </c>
      <c r="M24" s="2369"/>
      <c r="N24" s="1055" t="s">
        <v>739</v>
      </c>
      <c r="O24" s="833">
        <f>C24+'DEC-22'!O24</f>
        <v>0</v>
      </c>
      <c r="P24" s="833">
        <f>D24+'DEC-22'!P24</f>
        <v>2661</v>
      </c>
      <c r="Q24" s="836">
        <v>0</v>
      </c>
      <c r="R24" s="315">
        <f>F24+'DEC-22'!R24</f>
        <v>0</v>
      </c>
      <c r="S24" s="315">
        <f>G24+'DEC-22'!S24</f>
        <v>4.1000000000000002E-2</v>
      </c>
      <c r="T24" s="1060">
        <f>S24/S7*100</f>
        <v>1.1983815418844581E-2</v>
      </c>
      <c r="U24" s="314">
        <v>0</v>
      </c>
    </row>
    <row r="25" spans="1:24" ht="18.75" customHeight="1" x14ac:dyDescent="0.4">
      <c r="A25" s="1983"/>
      <c r="B25" s="1055" t="s">
        <v>235</v>
      </c>
      <c r="C25" s="303">
        <v>0</v>
      </c>
      <c r="D25" s="303">
        <v>0</v>
      </c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M25" s="2369"/>
      <c r="N25" s="1055" t="s">
        <v>235</v>
      </c>
      <c r="O25" s="833">
        <f>C25+'DEC-22'!O25</f>
        <v>0</v>
      </c>
      <c r="P25" s="833">
        <f>D25+'DEC-22'!P25</f>
        <v>2748</v>
      </c>
      <c r="Q25" s="836">
        <v>0</v>
      </c>
      <c r="R25" s="315">
        <f>F25+'DEC-22'!R25</f>
        <v>0.04</v>
      </c>
      <c r="S25" s="315">
        <f>G25+'DEC-22'!S25</f>
        <v>0.11310000000000001</v>
      </c>
      <c r="T25" s="1060">
        <f>S25/S7*100</f>
        <v>3.3057793265154199E-2</v>
      </c>
      <c r="U25" s="314">
        <v>0</v>
      </c>
    </row>
    <row r="26" spans="1:24" ht="27" customHeight="1" x14ac:dyDescent="0.4">
      <c r="A26" s="1984"/>
      <c r="B26" s="1056" t="s">
        <v>693</v>
      </c>
      <c r="C26" s="1059">
        <v>0</v>
      </c>
      <c r="D26" s="1059">
        <v>4060</v>
      </c>
      <c r="E26" s="836">
        <v>0</v>
      </c>
      <c r="F26" s="833">
        <v>0</v>
      </c>
      <c r="G26" s="833">
        <v>0.05</v>
      </c>
      <c r="H26" s="1060">
        <f>G26/G7*100</f>
        <v>0.1723543605653223</v>
      </c>
      <c r="I26" s="314" t="e">
        <f>(G26-F26)/F26*100</f>
        <v>#DIV/0!</v>
      </c>
      <c r="M26" s="2245"/>
      <c r="N26" s="1056" t="s">
        <v>693</v>
      </c>
      <c r="O26" s="833">
        <f>C26+'DEC-22'!O26</f>
        <v>2827</v>
      </c>
      <c r="P26" s="833">
        <f>D26+'DEC-22'!P26</f>
        <v>4060</v>
      </c>
      <c r="Q26" s="836">
        <v>0</v>
      </c>
      <c r="R26" s="315">
        <f>F26+'DEC-22'!R26</f>
        <v>0.27</v>
      </c>
      <c r="S26" s="315">
        <f>G26+'DEC-22'!S26</f>
        <v>0.32</v>
      </c>
      <c r="T26" s="1060">
        <f>S26/S7*100</f>
        <v>9.3532217903177214E-2</v>
      </c>
      <c r="U26" s="314">
        <f>(S26-R26)/R26*100</f>
        <v>18.518518518518512</v>
      </c>
    </row>
    <row r="27" spans="1:24" s="26" customFormat="1" ht="19.5" customHeight="1" x14ac:dyDescent="0.4">
      <c r="A27" s="1216"/>
      <c r="B27" s="1063" t="s">
        <v>683</v>
      </c>
      <c r="C27" s="1063">
        <f>SUM(C20:C26)</f>
        <v>182997</v>
      </c>
      <c r="D27" s="1063">
        <f>SUM(D20:D26)</f>
        <v>205615</v>
      </c>
      <c r="E27" s="394">
        <f>(D27-C27)/C27*100</f>
        <v>12.359765460635968</v>
      </c>
      <c r="F27" s="1054">
        <f>SUM(F20:F26)</f>
        <v>25.841326500000001</v>
      </c>
      <c r="G27" s="1054">
        <f>G20+G21+G22+G23+G24+G25+G26</f>
        <v>29.01</v>
      </c>
      <c r="H27" s="1066">
        <f>SUM(H20:H26)</f>
        <v>100</v>
      </c>
      <c r="I27" s="394">
        <f>(G27-F27)/F27*100</f>
        <v>12.262038870179518</v>
      </c>
      <c r="J27" s="762"/>
      <c r="K27" s="762"/>
      <c r="L27" s="432"/>
      <c r="M27" s="1202"/>
      <c r="N27" s="1063" t="s">
        <v>683</v>
      </c>
      <c r="O27" s="1259">
        <f>SUM(O20:O26)</f>
        <v>1771032</v>
      </c>
      <c r="P27" s="1259">
        <f>SUM(P20:P26)</f>
        <v>2665493.2999999998</v>
      </c>
      <c r="Q27" s="394">
        <f>(P27-O27)/O27*100</f>
        <v>50.505089687820423</v>
      </c>
      <c r="R27" s="1054">
        <f>SUM(R20:R26)</f>
        <v>241.67265650000002</v>
      </c>
      <c r="S27" s="1054">
        <f>SUM(S20:S26)</f>
        <v>342.12809999999996</v>
      </c>
      <c r="T27" s="1066">
        <f>SUM(T20:T26)</f>
        <v>100</v>
      </c>
      <c r="U27" s="394">
        <f>(S27-R27)/R27*100</f>
        <v>41.566739471000083</v>
      </c>
      <c r="X27" s="432"/>
    </row>
    <row r="28" spans="1:24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4" ht="24" customHeight="1" x14ac:dyDescent="0.35">
      <c r="A29" s="135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4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1287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4" ht="15.4" x14ac:dyDescent="0.4">
      <c r="A31" s="2382"/>
      <c r="B31" s="378" t="s">
        <v>2</v>
      </c>
      <c r="C31" s="1283">
        <v>10.977297400000001</v>
      </c>
      <c r="D31" s="331">
        <v>12.05</v>
      </c>
      <c r="E31" s="315">
        <v>0.9</v>
      </c>
      <c r="F31" s="313">
        <v>1.4294363999999999</v>
      </c>
      <c r="G31" s="313">
        <f>'actual fig'!U13/10000000</f>
        <v>2.0217269999999998</v>
      </c>
      <c r="H31" s="314">
        <f>(G31-E31)/E31*100</f>
        <v>124.63633333333333</v>
      </c>
      <c r="I31" s="314">
        <f t="shared" ref="I31:I36" si="0">(G31-F31)/F31*100</f>
        <v>41.435253782539746</v>
      </c>
      <c r="J31" s="84">
        <f>2661720/10000000</f>
        <v>0.26617200000000002</v>
      </c>
      <c r="K31" s="84">
        <f>11596205/10000000</f>
        <v>1.1596204999999999</v>
      </c>
      <c r="M31" s="1288"/>
      <c r="N31" s="378" t="s">
        <v>2</v>
      </c>
      <c r="O31" s="1283">
        <v>10.977297400000001</v>
      </c>
      <c r="P31" s="331">
        <v>12.05</v>
      </c>
      <c r="Q31" s="315">
        <v>10.25</v>
      </c>
      <c r="R31" s="315">
        <f>F31+'DEC-22'!R31</f>
        <v>7.3829486000000006</v>
      </c>
      <c r="S31" s="315">
        <v>20.39</v>
      </c>
      <c r="T31" s="314">
        <f>(S31-Q31)/Q31*100</f>
        <v>98.926829268292693</v>
      </c>
      <c r="U31" s="314">
        <f t="shared" ref="U31:U37" si="1">(S31-R31)/R31*100</f>
        <v>176.17691934087145</v>
      </c>
    </row>
    <row r="32" spans="1:24" ht="15.4" x14ac:dyDescent="0.4">
      <c r="A32" s="2382"/>
      <c r="B32" s="378" t="s">
        <v>23</v>
      </c>
      <c r="C32" s="1283">
        <v>25.645024399999997</v>
      </c>
      <c r="D32" s="331">
        <v>27.75</v>
      </c>
      <c r="E32" s="315">
        <v>2.4</v>
      </c>
      <c r="F32" s="313">
        <v>2.2167968999999998</v>
      </c>
      <c r="G32" s="313">
        <v>1.75</v>
      </c>
      <c r="H32" s="314">
        <f>(G32-E32)/E32*100</f>
        <v>-27.083333333333332</v>
      </c>
      <c r="I32" s="314">
        <f>(G32-F32)/F32*100</f>
        <v>-21.057269612746204</v>
      </c>
      <c r="J32" s="1128">
        <f>0.42-0.02</f>
        <v>0.39999999999999997</v>
      </c>
      <c r="K32" s="84">
        <f>0.58-0.12</f>
        <v>0.45999999999999996</v>
      </c>
      <c r="M32" s="1288"/>
      <c r="N32" s="378" t="s">
        <v>23</v>
      </c>
      <c r="O32" s="1283">
        <v>25.645024399999997</v>
      </c>
      <c r="P32" s="331">
        <v>27.75</v>
      </c>
      <c r="Q32" s="315">
        <v>22.98</v>
      </c>
      <c r="R32" s="315">
        <f>F32+'DEC-22'!R32</f>
        <v>21.227015899999998</v>
      </c>
      <c r="S32" s="315">
        <f>G32+'DEC-22'!S32</f>
        <v>24.017837799999999</v>
      </c>
      <c r="T32" s="314">
        <f>(S32-Q32)/Q32*100</f>
        <v>4.5162654482158322</v>
      </c>
      <c r="U32" s="314">
        <f t="shared" si="1"/>
        <v>13.14749992720362</v>
      </c>
    </row>
    <row r="33" spans="1:32" ht="15.4" x14ac:dyDescent="0.4">
      <c r="A33" s="2382"/>
      <c r="B33" s="378" t="s">
        <v>1</v>
      </c>
      <c r="C33" s="1283">
        <v>1.1151324</v>
      </c>
      <c r="D33" s="331">
        <v>5.77</v>
      </c>
      <c r="E33" s="315">
        <v>0.46</v>
      </c>
      <c r="F33" s="313">
        <v>9.4876199999999994E-2</v>
      </c>
      <c r="G33" s="313">
        <v>8.3000000000000004E-2</v>
      </c>
      <c r="H33" s="314">
        <f>(G33-E33)/E33*100</f>
        <v>-81.956521739130423</v>
      </c>
      <c r="I33" s="314">
        <f t="shared" si="0"/>
        <v>-12.517575535276487</v>
      </c>
      <c r="M33" s="1288"/>
      <c r="N33" s="378" t="s">
        <v>1</v>
      </c>
      <c r="O33" s="1283">
        <v>1.1151324</v>
      </c>
      <c r="P33" s="331">
        <v>5.77</v>
      </c>
      <c r="Q33" s="315">
        <v>4.9000000000000004</v>
      </c>
      <c r="R33" s="315">
        <f>F33+'DEC-22'!R33</f>
        <v>0.96037159999999999</v>
      </c>
      <c r="S33" s="315">
        <f>G33+'DEC-22'!S33</f>
        <v>0.89656419999999992</v>
      </c>
      <c r="T33" s="314">
        <f>(S33-Q33)/Q33*100</f>
        <v>-81.702771428571424</v>
      </c>
      <c r="U33" s="314">
        <f t="shared" si="1"/>
        <v>-6.6440323724691632</v>
      </c>
    </row>
    <row r="34" spans="1:32" ht="15.4" x14ac:dyDescent="0.4">
      <c r="A34" s="2382"/>
      <c r="B34" s="378" t="s">
        <v>24</v>
      </c>
      <c r="C34" s="1283">
        <v>0.36572300000000002</v>
      </c>
      <c r="D34" s="603" t="s">
        <v>221</v>
      </c>
      <c r="E34" s="315"/>
      <c r="F34" s="313">
        <v>3.8806E-2</v>
      </c>
      <c r="G34" s="313">
        <f>'actual fig'!Y13/10000000</f>
        <v>0.24177399999999999</v>
      </c>
      <c r="H34" s="316" t="s">
        <v>221</v>
      </c>
      <c r="I34" s="314">
        <f t="shared" si="0"/>
        <v>523.03252074421471</v>
      </c>
      <c r="J34" s="84">
        <f>62410/10000000</f>
        <v>6.241E-3</v>
      </c>
      <c r="M34" s="1288"/>
      <c r="N34" s="378" t="s">
        <v>24</v>
      </c>
      <c r="O34" s="1283">
        <v>0.36572300000000002</v>
      </c>
      <c r="P34" s="603" t="s">
        <v>221</v>
      </c>
      <c r="Q34" s="315"/>
      <c r="R34" s="315">
        <f>F34+'DEC-22'!R34</f>
        <v>0.27615099999999998</v>
      </c>
      <c r="S34" s="315">
        <v>2.6840000000000002</v>
      </c>
      <c r="T34" s="316" t="s">
        <v>221</v>
      </c>
      <c r="U34" s="314">
        <f t="shared" si="1"/>
        <v>871.93202269772701</v>
      </c>
    </row>
    <row r="35" spans="1:32" ht="15.4" x14ac:dyDescent="0.4">
      <c r="A35" s="2382"/>
      <c r="B35" s="1278" t="s">
        <v>25</v>
      </c>
      <c r="C35" s="1284">
        <v>2.9771365000000003</v>
      </c>
      <c r="D35" s="603" t="s">
        <v>221</v>
      </c>
      <c r="E35" s="315"/>
      <c r="F35" s="313">
        <v>8.8400000000000006E-3</v>
      </c>
      <c r="G35" s="313">
        <f>F74</f>
        <v>0</v>
      </c>
      <c r="H35" s="316" t="s">
        <v>221</v>
      </c>
      <c r="I35" s="314">
        <v>0</v>
      </c>
      <c r="M35" s="1288"/>
      <c r="N35" s="1278" t="s">
        <v>25</v>
      </c>
      <c r="O35" s="1284">
        <v>2.9771365000000003</v>
      </c>
      <c r="P35" s="603" t="s">
        <v>221</v>
      </c>
      <c r="Q35" s="315"/>
      <c r="R35" s="315">
        <f>F35+'DEC-22'!R35</f>
        <v>2.5898782000000002</v>
      </c>
      <c r="S35" s="315">
        <f>G35+'DEC-22'!S35</f>
        <v>5.6331691999999993</v>
      </c>
      <c r="T35" s="316" t="s">
        <v>221</v>
      </c>
      <c r="U35" s="314">
        <f t="shared" si="1"/>
        <v>117.50710902157479</v>
      </c>
    </row>
    <row r="36" spans="1:32" ht="17.25" customHeight="1" x14ac:dyDescent="0.4">
      <c r="A36" s="2383"/>
      <c r="B36" s="1278" t="s">
        <v>241</v>
      </c>
      <c r="C36" s="1284">
        <v>30.062250799999997</v>
      </c>
      <c r="D36" s="540" t="s">
        <v>221</v>
      </c>
      <c r="E36" s="316"/>
      <c r="F36" s="313">
        <v>3.4730986000000001</v>
      </c>
      <c r="G36" s="313">
        <f>F75</f>
        <v>3.5870177999999999</v>
      </c>
      <c r="H36" s="316" t="s">
        <v>221</v>
      </c>
      <c r="I36" s="314">
        <f t="shared" si="0"/>
        <v>3.2800450871161497</v>
      </c>
      <c r="J36" s="323">
        <f>(3613355)/10000000</f>
        <v>0.36133549999999998</v>
      </c>
      <c r="K36" s="323">
        <f>(20880+ 10612529)/10000000</f>
        <v>1.0633409</v>
      </c>
      <c r="M36" s="1289"/>
      <c r="N36" s="1279" t="s">
        <v>241</v>
      </c>
      <c r="O36" s="1284">
        <v>30.062250799999997</v>
      </c>
      <c r="P36" s="540" t="s">
        <v>221</v>
      </c>
      <c r="Q36" s="316"/>
      <c r="R36" s="315">
        <f>F36+'DEC-22'!R36</f>
        <v>24.7138347</v>
      </c>
      <c r="S36" s="315">
        <f>'actual fig'!T16/10000000</f>
        <v>43.050880200000002</v>
      </c>
      <c r="T36" s="316" t="s">
        <v>221</v>
      </c>
      <c r="U36" s="314">
        <f t="shared" si="1"/>
        <v>74.197491901165805</v>
      </c>
    </row>
    <row r="37" spans="1:32" ht="15.4" x14ac:dyDescent="0.4">
      <c r="A37" s="1234"/>
      <c r="B37" s="378" t="s">
        <v>260</v>
      </c>
      <c r="C37" s="1283">
        <v>0.53153519999999999</v>
      </c>
      <c r="D37" s="540" t="s">
        <v>221</v>
      </c>
      <c r="E37" s="316"/>
      <c r="F37" s="313">
        <v>3.6287600000000003E-2</v>
      </c>
      <c r="G37" s="313">
        <f>'actual fig'!Z13/10000000</f>
        <v>4.6567900000000002E-2</v>
      </c>
      <c r="H37" s="413"/>
      <c r="I37" s="314">
        <v>0</v>
      </c>
      <c r="M37" s="1208"/>
      <c r="N37" s="378" t="s">
        <v>260</v>
      </c>
      <c r="O37" s="1283">
        <v>0.53153519999999999</v>
      </c>
      <c r="P37" s="540" t="s">
        <v>221</v>
      </c>
      <c r="Q37" s="316"/>
      <c r="R37" s="315">
        <f>F37+'DEC-22'!R37</f>
        <v>0.43780989999999997</v>
      </c>
      <c r="S37" s="315">
        <f>'actual fig'!Z16/10000000</f>
        <v>0.85555460000000005</v>
      </c>
      <c r="T37" s="413"/>
      <c r="U37" s="314">
        <f t="shared" si="1"/>
        <v>95.416914966975412</v>
      </c>
    </row>
    <row r="38" spans="1:32" x14ac:dyDescent="0.35">
      <c r="A38" s="2387">
        <v>4</v>
      </c>
      <c r="B38" s="2309" t="s">
        <v>785</v>
      </c>
      <c r="C38" s="2310"/>
      <c r="D38" s="2310"/>
      <c r="E38" s="2310"/>
      <c r="F38" s="2310"/>
      <c r="G38" s="2310"/>
      <c r="H38" s="2310"/>
      <c r="I38" s="2311"/>
      <c r="M38" s="1286">
        <v>4</v>
      </c>
      <c r="N38" s="2309" t="s">
        <v>786</v>
      </c>
      <c r="O38" s="2310"/>
      <c r="P38" s="2310"/>
      <c r="Q38" s="2310"/>
      <c r="R38" s="2310"/>
      <c r="S38" s="2310"/>
      <c r="T38" s="2310"/>
      <c r="U38" s="2311"/>
    </row>
    <row r="39" spans="1:32" ht="16.899999999999999" thickBot="1" x14ac:dyDescent="0.45">
      <c r="A39" s="2387"/>
      <c r="B39" s="378" t="s">
        <v>27</v>
      </c>
      <c r="C39" s="1283">
        <v>4.1788628000000001</v>
      </c>
      <c r="D39" s="331">
        <v>12.24</v>
      </c>
      <c r="E39" s="315">
        <v>1.02</v>
      </c>
      <c r="F39" s="381">
        <v>0.34388449999999998</v>
      </c>
      <c r="G39" s="313">
        <f>'actual fig'!T29/10000000</f>
        <v>0.85167700000000002</v>
      </c>
      <c r="H39" s="314">
        <f>(G39-E39)/E39*100</f>
        <v>-16.502254901960782</v>
      </c>
      <c r="I39" s="314">
        <f t="shared" ref="I39:I44" si="2">(G39-F39)/F39*100</f>
        <v>147.66367777553222</v>
      </c>
      <c r="J39" s="84">
        <f t="shared" ref="J39:J44" si="3">E39*8</f>
        <v>8.16</v>
      </c>
      <c r="L39" s="172">
        <v>2.1361249999999998</v>
      </c>
      <c r="M39" s="1286"/>
      <c r="N39" s="378" t="s">
        <v>27</v>
      </c>
      <c r="O39" s="1283">
        <v>4.1788628000000001</v>
      </c>
      <c r="P39" s="331">
        <v>12.24</v>
      </c>
      <c r="Q39" s="315">
        <f>E39+'DEC-22'!Q39</f>
        <v>10.199999999999998</v>
      </c>
      <c r="R39" s="315">
        <f>F39+'DEC-22'!R39</f>
        <v>2.9668651000000001</v>
      </c>
      <c r="S39" s="315">
        <f>G39+'DEC-22'!S39</f>
        <v>8.9551919000000009</v>
      </c>
      <c r="T39" s="314">
        <f>(S39-Q39)/Q39*100</f>
        <v>-12.204000980392127</v>
      </c>
      <c r="U39" s="314">
        <f>(S39-R39)/R39*100</f>
        <v>201.84021174403921</v>
      </c>
      <c r="W39" s="5">
        <f>P39/12</f>
        <v>1.02</v>
      </c>
      <c r="X39" s="172">
        <f>W39*4</f>
        <v>4.08</v>
      </c>
      <c r="Y39" s="5">
        <f>Q39*10000000</f>
        <v>101999999.99999997</v>
      </c>
      <c r="Z39" s="5">
        <f>Y39/100000</f>
        <v>1019.9999999999997</v>
      </c>
      <c r="AB39" s="1290">
        <v>2298</v>
      </c>
      <c r="AC39" s="915">
        <v>2402.1999999999998</v>
      </c>
      <c r="AD39" s="481">
        <v>2123.9</v>
      </c>
      <c r="AE39" s="11">
        <f>(AC39-AB39)/AB39*100</f>
        <v>4.5343777197563018</v>
      </c>
      <c r="AF39" s="11">
        <f>(AC39-AD39)/AD39*100</f>
        <v>13.103253448844093</v>
      </c>
    </row>
    <row r="40" spans="1:32" ht="16.899999999999999" thickBot="1" x14ac:dyDescent="0.45">
      <c r="A40" s="2387"/>
      <c r="B40" s="378" t="s">
        <v>28</v>
      </c>
      <c r="C40" s="1283">
        <v>0.17199999999999999</v>
      </c>
      <c r="D40" s="333">
        <v>2.84</v>
      </c>
      <c r="E40" s="315">
        <v>0.23599999999999999</v>
      </c>
      <c r="F40" s="381">
        <v>1.67677E-2</v>
      </c>
      <c r="G40" s="381">
        <f>'actual fig'!U29/10000000</f>
        <v>8.8081499999999993E-2</v>
      </c>
      <c r="H40" s="314">
        <f>(G40-E40)/E40*100</f>
        <v>-62.677330508474583</v>
      </c>
      <c r="I40" s="314">
        <f t="shared" si="2"/>
        <v>425.30460349362158</v>
      </c>
      <c r="J40" s="84">
        <f t="shared" si="3"/>
        <v>1.8879999999999999</v>
      </c>
      <c r="L40" s="172">
        <v>0.11442669999999999</v>
      </c>
      <c r="M40" s="1286"/>
      <c r="N40" s="378" t="s">
        <v>28</v>
      </c>
      <c r="O40" s="1283">
        <v>0.17199999999999999</v>
      </c>
      <c r="P40" s="333">
        <v>2.1</v>
      </c>
      <c r="Q40" s="315">
        <v>1.75</v>
      </c>
      <c r="R40" s="315">
        <f>F40+'DEC-22'!R40</f>
        <v>0.13583299999999998</v>
      </c>
      <c r="S40" s="315">
        <f>G40+'DEC-22'!S40</f>
        <v>1.3363543999999998</v>
      </c>
      <c r="T40" s="314">
        <f>(S40-Q40)/Q40*100</f>
        <v>-23.636891428571438</v>
      </c>
      <c r="U40" s="314">
        <f>(S40-R40)/R40*100</f>
        <v>883.8216044701951</v>
      </c>
      <c r="W40" s="5">
        <f>P40/12</f>
        <v>0.17500000000000002</v>
      </c>
      <c r="X40" s="172">
        <f>W40*4</f>
        <v>0.70000000000000007</v>
      </c>
      <c r="Y40" s="5">
        <f>Q40*10000000</f>
        <v>17500000</v>
      </c>
      <c r="Z40" s="5">
        <f>Y40/100000</f>
        <v>175</v>
      </c>
      <c r="AB40" s="480">
        <v>490</v>
      </c>
      <c r="AC40" s="915">
        <v>89.63</v>
      </c>
      <c r="AD40" s="481">
        <v>94.51</v>
      </c>
      <c r="AE40" s="11">
        <f>(AC40-AB40)/AB40*100</f>
        <v>-81.708163265306126</v>
      </c>
      <c r="AF40" s="11">
        <f>(AC40-AD40)/AD40*100</f>
        <v>-5.1634747645751871</v>
      </c>
    </row>
    <row r="41" spans="1:32" ht="16.899999999999999" thickBot="1" x14ac:dyDescent="0.45">
      <c r="A41" s="2387"/>
      <c r="B41" s="378" t="s">
        <v>224</v>
      </c>
      <c r="C41" s="1283">
        <v>0.23092159999999998</v>
      </c>
      <c r="D41" s="331">
        <v>2.4500000000000002</v>
      </c>
      <c r="E41" s="323">
        <v>0.20416666666666669</v>
      </c>
      <c r="F41" s="381">
        <v>5.9695E-3</v>
      </c>
      <c r="G41" s="313">
        <f>'actual fig'!V29/10000000</f>
        <v>9.7651100000000005E-2</v>
      </c>
      <c r="H41" s="314">
        <f>(G41-E41)/E41*100</f>
        <v>-52.17088979591837</v>
      </c>
      <c r="I41" s="314">
        <f t="shared" si="2"/>
        <v>1535.8338219281347</v>
      </c>
      <c r="J41" s="323">
        <f t="shared" si="3"/>
        <v>1.6333333333333335</v>
      </c>
      <c r="L41" s="172">
        <v>0.1548958</v>
      </c>
      <c r="M41" s="1286"/>
      <c r="N41" s="378" t="s">
        <v>224</v>
      </c>
      <c r="O41" s="1283">
        <v>0.23092159999999998</v>
      </c>
      <c r="P41" s="331">
        <v>2.4500000000000002</v>
      </c>
      <c r="Q41" s="315">
        <f>E41+'DEC-22'!Q41</f>
        <v>2.0416666666666665</v>
      </c>
      <c r="R41" s="315">
        <f>F41+'DEC-22'!R41</f>
        <v>0.22996539999999999</v>
      </c>
      <c r="S41" s="315">
        <f>G41+'DEC-22'!S41</f>
        <v>1.6107657999999998</v>
      </c>
      <c r="T41" s="314">
        <f>(S41-Q41)/Q41*100</f>
        <v>-21.105348571428575</v>
      </c>
      <c r="U41" s="314">
        <f>(S41-R41)/R41*100</f>
        <v>600.43832680916341</v>
      </c>
      <c r="W41" s="5">
        <f>P41/12</f>
        <v>0.20416666666666669</v>
      </c>
      <c r="X41" s="172">
        <f>W41*4</f>
        <v>0.81666666666666676</v>
      </c>
      <c r="Y41" s="5">
        <f>Q41*10000000</f>
        <v>20416666.666666664</v>
      </c>
      <c r="Z41" s="5">
        <f>Y41/100000</f>
        <v>204.16666666666663</v>
      </c>
      <c r="AB41" s="844">
        <f>SUM(AB39:AB40)</f>
        <v>2788</v>
      </c>
      <c r="AC41" s="844">
        <f>SUM(AC39:AC40)</f>
        <v>2491.83</v>
      </c>
      <c r="AD41" s="844">
        <f>SUM(AD39:AD40)</f>
        <v>2218.4100000000003</v>
      </c>
      <c r="AE41" s="11">
        <f>(AC41-AB41)/AB41*100</f>
        <v>-10.623027259684365</v>
      </c>
      <c r="AF41" s="11">
        <f>(AC41-AD41)/AD41*100</f>
        <v>12.325043612316911</v>
      </c>
    </row>
    <row r="42" spans="1:32" ht="16.899999999999999" thickBot="1" x14ac:dyDescent="0.45">
      <c r="A42" s="2387"/>
      <c r="B42" s="378" t="s">
        <v>64</v>
      </c>
      <c r="C42" s="1283">
        <v>0</v>
      </c>
      <c r="D42" s="540" t="s">
        <v>221</v>
      </c>
      <c r="E42" s="315"/>
      <c r="F42" s="381">
        <v>0</v>
      </c>
      <c r="G42" s="313">
        <v>0</v>
      </c>
      <c r="H42" s="314" t="s">
        <v>221</v>
      </c>
      <c r="I42" s="314" t="e">
        <f t="shared" si="2"/>
        <v>#DIV/0!</v>
      </c>
      <c r="J42" s="84">
        <f t="shared" si="3"/>
        <v>0</v>
      </c>
      <c r="L42" s="172">
        <v>0</v>
      </c>
      <c r="M42" s="1286"/>
      <c r="N42" s="378" t="s">
        <v>64</v>
      </c>
      <c r="O42" s="1283">
        <v>0</v>
      </c>
      <c r="P42" s="540" t="s">
        <v>221</v>
      </c>
      <c r="Q42" s="315"/>
      <c r="R42" s="315">
        <f>F42+'DEC-22'!R42</f>
        <v>0</v>
      </c>
      <c r="S42" s="315">
        <f>G42+'DEC-22'!S42</f>
        <v>0</v>
      </c>
      <c r="T42" s="314" t="s">
        <v>221</v>
      </c>
      <c r="U42" s="314">
        <v>0</v>
      </c>
      <c r="AB42" s="480"/>
      <c r="AC42" s="915"/>
      <c r="AD42" s="844"/>
      <c r="AE42" s="11" t="e">
        <f>(AC42-AB42)/AB42*100</f>
        <v>#DIV/0!</v>
      </c>
      <c r="AF42" s="11" t="e">
        <f>(AC42-AD42)/AD42*100</f>
        <v>#DIV/0!</v>
      </c>
    </row>
    <row r="43" spans="1:32" ht="16.899999999999999" thickBot="1" x14ac:dyDescent="0.45">
      <c r="A43" s="2387"/>
      <c r="B43" s="378" t="s">
        <v>4</v>
      </c>
      <c r="C43" s="1283">
        <v>4.06481E-2</v>
      </c>
      <c r="D43" s="540" t="s">
        <v>221</v>
      </c>
      <c r="E43" s="315"/>
      <c r="F43" s="381">
        <v>0</v>
      </c>
      <c r="G43" s="313">
        <f>'actual fig'!W29/10000000</f>
        <v>1.4E-3</v>
      </c>
      <c r="H43" s="314" t="s">
        <v>221</v>
      </c>
      <c r="I43" s="314" t="e">
        <f t="shared" si="2"/>
        <v>#DIV/0!</v>
      </c>
      <c r="J43" s="84">
        <f t="shared" si="3"/>
        <v>0</v>
      </c>
      <c r="L43" s="172">
        <v>4.0018400000000003E-2</v>
      </c>
      <c r="M43" s="1286"/>
      <c r="N43" s="378" t="s">
        <v>4</v>
      </c>
      <c r="O43" s="1283">
        <v>4.06481E-2</v>
      </c>
      <c r="P43" s="540" t="s">
        <v>221</v>
      </c>
      <c r="Q43" s="315"/>
      <c r="R43" s="315">
        <f>F43+'DEC-22'!R43</f>
        <v>4.0018400000000003E-2</v>
      </c>
      <c r="S43" s="315">
        <f>G43+'DEC-22'!S43</f>
        <v>0.20651170000000002</v>
      </c>
      <c r="T43" s="314" t="s">
        <v>221</v>
      </c>
      <c r="U43" s="314">
        <f>(S43-R43)/R43*100</f>
        <v>416.04187073945991</v>
      </c>
      <c r="AB43" s="1295">
        <v>1460</v>
      </c>
      <c r="AC43" s="498">
        <v>1213.05</v>
      </c>
      <c r="AD43" s="499">
        <v>341.23</v>
      </c>
      <c r="AE43" s="11">
        <f>(AC43-AB43)/AB43*100</f>
        <v>-16.914383561643838</v>
      </c>
      <c r="AF43" s="11">
        <f>(AC43-AD43)/AD43*100</f>
        <v>255.49336224833687</v>
      </c>
    </row>
    <row r="44" spans="1:32" ht="15.4" x14ac:dyDescent="0.4">
      <c r="A44" s="780"/>
      <c r="B44" s="378" t="s">
        <v>259</v>
      </c>
      <c r="C44" s="1283">
        <v>0.53</v>
      </c>
      <c r="D44" s="540" t="s">
        <v>221</v>
      </c>
      <c r="E44" s="315"/>
      <c r="F44" s="1039">
        <v>0.39248670000000002</v>
      </c>
      <c r="G44" s="313">
        <f>'actual fig'!X29/10000000</f>
        <v>5.7693300000000003E-2</v>
      </c>
      <c r="H44" s="407" t="s">
        <v>221</v>
      </c>
      <c r="I44" s="314">
        <f t="shared" si="2"/>
        <v>-85.300571968425928</v>
      </c>
      <c r="J44" s="84">
        <f t="shared" si="3"/>
        <v>0</v>
      </c>
      <c r="L44" s="172">
        <v>0.93056630000000007</v>
      </c>
      <c r="M44" s="1204"/>
      <c r="N44" s="378" t="s">
        <v>259</v>
      </c>
      <c r="O44" s="1283">
        <v>0.53</v>
      </c>
      <c r="P44" s="540" t="s">
        <v>221</v>
      </c>
      <c r="Q44" s="315"/>
      <c r="R44" s="315">
        <f>F44+'DEC-22'!R44</f>
        <v>1.4616562000000002</v>
      </c>
      <c r="S44" s="315">
        <f>G44+'DEC-22'!S44</f>
        <v>1.4078535999999999</v>
      </c>
      <c r="T44" s="407" t="s">
        <v>221</v>
      </c>
      <c r="U44" s="314">
        <f>(S44-R44)/R44*100</f>
        <v>-3.6809339980222608</v>
      </c>
    </row>
    <row r="45" spans="1:32" x14ac:dyDescent="0.35">
      <c r="A45" s="2387"/>
      <c r="B45" s="2309" t="s">
        <v>419</v>
      </c>
      <c r="C45" s="2310"/>
      <c r="D45" s="2310"/>
      <c r="E45" s="2310"/>
      <c r="F45" s="2310"/>
      <c r="G45" s="2310"/>
      <c r="H45" s="2310"/>
      <c r="I45" s="2311"/>
      <c r="M45" s="2388"/>
      <c r="N45" s="2309" t="s">
        <v>419</v>
      </c>
      <c r="O45" s="2310"/>
      <c r="P45" s="2310"/>
      <c r="Q45" s="2310"/>
      <c r="R45" s="2310"/>
      <c r="S45" s="2310"/>
      <c r="T45" s="2310"/>
      <c r="U45" s="2311"/>
    </row>
    <row r="46" spans="1:32" ht="15.4" x14ac:dyDescent="0.4">
      <c r="A46" s="2387"/>
      <c r="B46" s="378" t="s">
        <v>798</v>
      </c>
      <c r="C46" s="1283">
        <v>4.4567049999999995</v>
      </c>
      <c r="D46" s="331">
        <v>37.090000000000003</v>
      </c>
      <c r="E46" s="315">
        <v>3.41</v>
      </c>
      <c r="F46" s="315">
        <v>0.54072900000000002</v>
      </c>
      <c r="G46" s="315">
        <f>F65</f>
        <v>1.6421790000000001</v>
      </c>
      <c r="H46" s="316">
        <f>(G46-E46)/E46*100</f>
        <v>-51.84225806451613</v>
      </c>
      <c r="I46" s="314">
        <f>(G46-F46)/F46*100</f>
        <v>203.69723096042566</v>
      </c>
      <c r="J46" s="84">
        <f>94132</f>
        <v>94132</v>
      </c>
      <c r="L46" s="172">
        <f>K46/100000</f>
        <v>0</v>
      </c>
      <c r="M46" s="2388"/>
      <c r="N46" s="378" t="s">
        <v>794</v>
      </c>
      <c r="O46" s="1283">
        <v>4.4567049999999995</v>
      </c>
      <c r="P46" s="331">
        <v>37.090000000000003</v>
      </c>
      <c r="Q46" s="315">
        <v>32.290000000000006</v>
      </c>
      <c r="R46" s="315">
        <f>F46+'DEC-22'!R46</f>
        <v>2.8417089999999998</v>
      </c>
      <c r="S46" s="315">
        <f>G46+'DEC-22'!S46</f>
        <v>15.452179000000001</v>
      </c>
      <c r="T46" s="316">
        <f>(S46-Q46)/Q46*100</f>
        <v>-52.145620935274081</v>
      </c>
      <c r="U46" s="314">
        <f>(S46-R46)/R46*100</f>
        <v>443.76359437225989</v>
      </c>
    </row>
    <row r="47" spans="1:32" ht="15.4" x14ac:dyDescent="0.4">
      <c r="A47" s="2387"/>
      <c r="B47" s="1280" t="s">
        <v>799</v>
      </c>
      <c r="C47" s="1285">
        <v>1.1915969999999998</v>
      </c>
      <c r="D47" s="2067">
        <v>43.23</v>
      </c>
      <c r="E47" s="2154">
        <v>3.86</v>
      </c>
      <c r="F47" s="315">
        <v>0.129798</v>
      </c>
      <c r="G47" s="315">
        <f>F66</f>
        <v>1.5502769999999999</v>
      </c>
      <c r="H47" s="2027">
        <f>L47</f>
        <v>-33.263290155440416</v>
      </c>
      <c r="I47" s="314">
        <f>(G47-F47)/F47*100</f>
        <v>1094.3766467896269</v>
      </c>
      <c r="J47" s="84">
        <v>31105</v>
      </c>
      <c r="K47" s="323">
        <f>G47+G48</f>
        <v>2.5760369999999999</v>
      </c>
      <c r="L47" s="1151">
        <f>(K47-E47)/E47*100</f>
        <v>-33.263290155440416</v>
      </c>
      <c r="M47" s="2388"/>
      <c r="N47" s="1280" t="s">
        <v>792</v>
      </c>
      <c r="O47" s="1285">
        <v>1.1915969999999998</v>
      </c>
      <c r="P47" s="2067">
        <v>43.23</v>
      </c>
      <c r="Q47" s="2154">
        <v>37.639999999999993</v>
      </c>
      <c r="R47" s="315">
        <f>F47+'DEC-22'!R47</f>
        <v>0.70847699999999991</v>
      </c>
      <c r="S47" s="315">
        <f>G47+'DEC-22'!S47</f>
        <v>12.280277</v>
      </c>
      <c r="T47" s="2027">
        <f>X47</f>
        <v>-38.929960148777887</v>
      </c>
      <c r="U47" s="314">
        <f>(S47-R47)/R47*100</f>
        <v>1633.3346036639159</v>
      </c>
      <c r="W47" s="12">
        <f>S47+S48</f>
        <v>22.986763</v>
      </c>
      <c r="X47" s="172">
        <f>(W47-Q47)/Q47*100</f>
        <v>-38.929960148777887</v>
      </c>
    </row>
    <row r="48" spans="1:32" ht="15.75" x14ac:dyDescent="0.45">
      <c r="A48" s="2387"/>
      <c r="B48" s="320" t="s">
        <v>800</v>
      </c>
      <c r="C48" s="1285">
        <v>10.963100000000001</v>
      </c>
      <c r="D48" s="2068"/>
      <c r="E48" s="2155"/>
      <c r="F48" s="315">
        <v>1.0231749999999999</v>
      </c>
      <c r="G48" s="315">
        <f>F67</f>
        <v>1.02576</v>
      </c>
      <c r="H48" s="2029"/>
      <c r="I48" s="314">
        <f>(G48-F48)/F48*100</f>
        <v>0.25264495320937863</v>
      </c>
      <c r="J48" s="755">
        <v>205039</v>
      </c>
      <c r="K48" s="755"/>
      <c r="M48" s="2388"/>
      <c r="N48" s="320" t="s">
        <v>793</v>
      </c>
      <c r="O48" s="1285">
        <v>10.963100000000001</v>
      </c>
      <c r="P48" s="2068"/>
      <c r="Q48" s="2155"/>
      <c r="R48" s="315">
        <f>F48+'DEC-22'!R48</f>
        <v>8.465523000000001</v>
      </c>
      <c r="S48" s="315">
        <f>G48+'DEC-22'!S48</f>
        <v>10.706486</v>
      </c>
      <c r="T48" s="2029"/>
      <c r="U48" s="314">
        <f>(S48-R48)/R48*100</f>
        <v>26.471642685277669</v>
      </c>
    </row>
    <row r="49" spans="1:33" ht="15.75" customHeight="1" x14ac:dyDescent="0.35">
      <c r="A49" s="2387">
        <v>6</v>
      </c>
      <c r="B49" s="2309" t="s">
        <v>787</v>
      </c>
      <c r="C49" s="2310"/>
      <c r="D49" s="2310"/>
      <c r="E49" s="2310"/>
      <c r="F49" s="2310"/>
      <c r="G49" s="2310"/>
      <c r="H49" s="2310"/>
      <c r="I49" s="2311"/>
      <c r="M49" s="2388">
        <v>6</v>
      </c>
      <c r="N49" s="2309" t="s">
        <v>787</v>
      </c>
      <c r="O49" s="2310"/>
      <c r="P49" s="2310"/>
      <c r="Q49" s="2310"/>
      <c r="R49" s="2310"/>
      <c r="S49" s="2310"/>
      <c r="T49" s="2310"/>
      <c r="U49" s="2311"/>
    </row>
    <row r="50" spans="1:33" ht="15.4" x14ac:dyDescent="0.4">
      <c r="A50" s="2387"/>
      <c r="B50" s="2006" t="s">
        <v>36</v>
      </c>
      <c r="C50" s="2007"/>
      <c r="D50" s="2368">
        <v>293</v>
      </c>
      <c r="E50" s="2024" t="s">
        <v>221</v>
      </c>
      <c r="F50" s="313">
        <v>242.46</v>
      </c>
      <c r="G50" s="313">
        <v>184.37</v>
      </c>
      <c r="H50" s="2027">
        <f>(G52-D50)/D50*100</f>
        <v>-24.686006825938563</v>
      </c>
      <c r="I50" s="314">
        <f>(G50-F50)/F50*100</f>
        <v>-23.958591107811596</v>
      </c>
      <c r="M50" s="2388"/>
      <c r="N50" s="378" t="s">
        <v>36</v>
      </c>
      <c r="O50" s="379"/>
      <c r="P50" s="2368">
        <v>293</v>
      </c>
      <c r="Q50" s="2024"/>
      <c r="R50" s="313">
        <v>242.46</v>
      </c>
      <c r="S50" s="313">
        <v>184.37</v>
      </c>
      <c r="T50" s="2027">
        <f>(S52-P50)/P50*100</f>
        <v>-24.686006825938563</v>
      </c>
      <c r="U50" s="314">
        <f>(S50-R50)/R50*100</f>
        <v>-23.958591107811596</v>
      </c>
    </row>
    <row r="51" spans="1:33" ht="15.4" x14ac:dyDescent="0.4">
      <c r="A51" s="2387"/>
      <c r="B51" s="2006" t="s">
        <v>37</v>
      </c>
      <c r="C51" s="2007"/>
      <c r="D51" s="2369"/>
      <c r="E51" s="2025"/>
      <c r="F51" s="313">
        <v>44.97</v>
      </c>
      <c r="G51" s="313">
        <v>36.299999999999997</v>
      </c>
      <c r="H51" s="2028"/>
      <c r="I51" s="314">
        <f>(G51-F51)/F51*100</f>
        <v>-19.279519679786528</v>
      </c>
      <c r="M51" s="2388"/>
      <c r="N51" s="378" t="s">
        <v>37</v>
      </c>
      <c r="O51" s="379"/>
      <c r="P51" s="2369"/>
      <c r="Q51" s="2025"/>
      <c r="R51" s="313">
        <v>44.97</v>
      </c>
      <c r="S51" s="313">
        <v>36.299999999999997</v>
      </c>
      <c r="T51" s="2028"/>
      <c r="U51" s="314">
        <f>(S51-R51)/R51*100</f>
        <v>-19.279519679786528</v>
      </c>
    </row>
    <row r="52" spans="1:33" ht="15.4" x14ac:dyDescent="0.4">
      <c r="A52" s="2387"/>
      <c r="B52" s="2006" t="s">
        <v>38</v>
      </c>
      <c r="C52" s="2007"/>
      <c r="D52" s="2245"/>
      <c r="E52" s="2026"/>
      <c r="F52" s="313">
        <f>SUM(F50:F51)</f>
        <v>287.43</v>
      </c>
      <c r="G52" s="313">
        <f>SUM(G50:G51)</f>
        <v>220.67000000000002</v>
      </c>
      <c r="H52" s="2029"/>
      <c r="I52" s="314">
        <f>(G52-F52)/F52*100</f>
        <v>-23.226524719062027</v>
      </c>
      <c r="M52" s="2388"/>
      <c r="N52" s="378" t="s">
        <v>38</v>
      </c>
      <c r="O52" s="379"/>
      <c r="P52" s="2245"/>
      <c r="Q52" s="2026"/>
      <c r="R52" s="313">
        <f>SUM(R50:R51)</f>
        <v>287.43</v>
      </c>
      <c r="S52" s="313">
        <f>SUM(S50:S51)</f>
        <v>220.67000000000002</v>
      </c>
      <c r="T52" s="2029"/>
      <c r="U52" s="314">
        <f>(S52-R52)/R52*100</f>
        <v>-23.226524719062027</v>
      </c>
    </row>
    <row r="53" spans="1:33" x14ac:dyDescent="0.4">
      <c r="H53" s="41"/>
      <c r="I53" s="41"/>
    </row>
    <row r="54" spans="1:33" ht="15.4" x14ac:dyDescent="0.4">
      <c r="E54" s="12"/>
      <c r="F54" s="12"/>
      <c r="G54" s="12"/>
      <c r="H54" s="314"/>
      <c r="I54" s="314"/>
      <c r="J54" s="314"/>
      <c r="Q54" s="12"/>
      <c r="R54" s="12">
        <f t="shared" ref="R54:S56" si="4">(R46*1000000)/100000</f>
        <v>28.417090000000002</v>
      </c>
      <c r="S54" s="12">
        <f t="shared" si="4"/>
        <v>154.52179000000001</v>
      </c>
      <c r="T54" s="314"/>
      <c r="U54" s="314">
        <f>(S54-R54)/R54*100</f>
        <v>443.76359437225983</v>
      </c>
      <c r="W54" s="12">
        <f>R55+R56</f>
        <v>91.740000000000009</v>
      </c>
      <c r="X54" s="12">
        <f>S55+S56</f>
        <v>229.86762999999999</v>
      </c>
      <c r="Z54" s="314">
        <f>(X54-W54)/W54*100</f>
        <v>150.56423588402001</v>
      </c>
    </row>
    <row r="55" spans="1:33" ht="15.4" x14ac:dyDescent="0.4">
      <c r="H55" s="35"/>
      <c r="I55" s="5"/>
      <c r="J55" s="35"/>
      <c r="K55" s="5"/>
      <c r="L55" s="35"/>
      <c r="P55" s="12"/>
      <c r="Q55" s="12"/>
      <c r="R55" s="12">
        <f t="shared" si="4"/>
        <v>7.0847699999999989</v>
      </c>
      <c r="S55" s="12">
        <f t="shared" si="4"/>
        <v>122.80277</v>
      </c>
      <c r="U55" s="314">
        <f>(S55-R55)/R55*100</f>
        <v>1633.3346036639157</v>
      </c>
    </row>
    <row r="56" spans="1:33" ht="15.4" x14ac:dyDescent="0.4">
      <c r="P56" s="5">
        <f>2.1/12</f>
        <v>0.17500000000000002</v>
      </c>
      <c r="R56" s="12">
        <f t="shared" si="4"/>
        <v>84.655230000000017</v>
      </c>
      <c r="S56" s="12">
        <f t="shared" si="4"/>
        <v>107.06486</v>
      </c>
      <c r="U56" s="314">
        <f>(S56-R56)/R56*100</f>
        <v>26.471642685277651</v>
      </c>
    </row>
    <row r="57" spans="1:33" x14ac:dyDescent="0.4">
      <c r="D57" s="85"/>
      <c r="E57" s="1192">
        <v>44583</v>
      </c>
      <c r="F57" s="1192">
        <v>44949</v>
      </c>
      <c r="H57" s="1192">
        <v>44583</v>
      </c>
      <c r="I57" s="1192">
        <v>44949</v>
      </c>
      <c r="P57" s="5">
        <f>P56*10</f>
        <v>1.7500000000000002</v>
      </c>
      <c r="R57" s="12">
        <f>SUM(R54:R56)</f>
        <v>120.15709000000001</v>
      </c>
      <c r="S57" s="12">
        <f>SUM(S54:S56)</f>
        <v>384.38942000000003</v>
      </c>
      <c r="T57" s="5" t="s">
        <v>156</v>
      </c>
      <c r="U57" s="5" t="s">
        <v>777</v>
      </c>
      <c r="W57" s="5" t="s">
        <v>156</v>
      </c>
      <c r="X57" s="5" t="s">
        <v>777</v>
      </c>
      <c r="Z57" s="26" t="s">
        <v>181</v>
      </c>
    </row>
    <row r="58" spans="1:33" ht="15.75" x14ac:dyDescent="0.4">
      <c r="D58" s="1195" t="s">
        <v>766</v>
      </c>
      <c r="E58" s="33"/>
      <c r="F58" s="33"/>
      <c r="H58" s="1244"/>
      <c r="I58" s="1245"/>
      <c r="S58" s="9" t="s">
        <v>152</v>
      </c>
      <c r="T58" s="1260">
        <v>44562</v>
      </c>
      <c r="U58" s="1260">
        <v>44562</v>
      </c>
      <c r="W58" s="632">
        <v>44927</v>
      </c>
      <c r="X58" s="632">
        <v>44927</v>
      </c>
      <c r="Z58" s="632">
        <f>T58</f>
        <v>44562</v>
      </c>
      <c r="AA58" s="632">
        <f>X58</f>
        <v>44927</v>
      </c>
    </row>
    <row r="59" spans="1:33" ht="16.149999999999999" x14ac:dyDescent="0.55000000000000004">
      <c r="D59" s="85" t="s">
        <v>94</v>
      </c>
      <c r="E59" s="1193">
        <f t="shared" ref="E59:F61" si="5">H59/10000000</f>
        <v>0.26399119999999998</v>
      </c>
      <c r="F59" s="1193">
        <f t="shared" si="5"/>
        <v>0.99111059999999995</v>
      </c>
      <c r="H59" s="1246">
        <f>U64</f>
        <v>2639912</v>
      </c>
      <c r="I59" s="1246">
        <f>X64</f>
        <v>9911106</v>
      </c>
      <c r="J59" s="1215"/>
      <c r="K59" s="1215"/>
      <c r="S59" s="6" t="s">
        <v>782</v>
      </c>
      <c r="T59" s="6">
        <v>217802</v>
      </c>
      <c r="U59" s="6">
        <v>1047907</v>
      </c>
      <c r="W59" s="5">
        <v>662642</v>
      </c>
      <c r="X59" s="172">
        <v>3806940</v>
      </c>
      <c r="Z59" s="5">
        <v>144170</v>
      </c>
      <c r="AA59" s="5">
        <v>866100</v>
      </c>
    </row>
    <row r="60" spans="1:33" ht="16.149999999999999" x14ac:dyDescent="0.55000000000000004">
      <c r="D60" s="85" t="s">
        <v>502</v>
      </c>
      <c r="E60" s="1193">
        <f t="shared" si="5"/>
        <v>0.26462340000000001</v>
      </c>
      <c r="F60" s="1193">
        <f t="shared" si="5"/>
        <v>13.9571416</v>
      </c>
      <c r="H60" s="1246">
        <f>U71</f>
        <v>2646234</v>
      </c>
      <c r="I60" s="1246">
        <f>X71</f>
        <v>139571416</v>
      </c>
      <c r="J60" s="1215"/>
      <c r="K60" s="1215"/>
      <c r="L60" s="1217"/>
      <c r="S60" s="1261" t="s">
        <v>789</v>
      </c>
      <c r="T60" s="6">
        <v>158372</v>
      </c>
      <c r="U60" s="6">
        <v>746919</v>
      </c>
      <c r="V60" s="632"/>
      <c r="W60" s="5">
        <v>574499</v>
      </c>
      <c r="X60" s="5">
        <v>3338979</v>
      </c>
      <c r="Y60" s="632"/>
      <c r="Z60" s="5">
        <v>112880</v>
      </c>
      <c r="AA60" s="5">
        <v>794440</v>
      </c>
      <c r="AC60" s="632"/>
      <c r="AD60" s="632"/>
      <c r="AF60" s="632"/>
      <c r="AG60" s="632"/>
    </row>
    <row r="61" spans="1:33" ht="16.899999999999999" thickBot="1" x14ac:dyDescent="0.6">
      <c r="D61" s="85" t="s">
        <v>767</v>
      </c>
      <c r="E61" s="1193">
        <f t="shared" si="5"/>
        <v>51.574466399999999</v>
      </c>
      <c r="F61" s="1193">
        <f t="shared" si="5"/>
        <v>73.722817300000003</v>
      </c>
      <c r="H61" s="755">
        <v>515744664</v>
      </c>
      <c r="I61" s="910">
        <v>737228173</v>
      </c>
      <c r="J61" s="1215"/>
      <c r="K61" s="824"/>
      <c r="L61" s="1217"/>
      <c r="S61" s="1273">
        <v>44947</v>
      </c>
      <c r="T61" s="1274">
        <v>13436</v>
      </c>
      <c r="U61" s="6">
        <v>66167</v>
      </c>
      <c r="W61" s="5">
        <v>44900</v>
      </c>
      <c r="X61" s="172">
        <v>321711</v>
      </c>
      <c r="Z61" s="5">
        <v>11590</v>
      </c>
      <c r="AA61" s="5">
        <v>85900</v>
      </c>
      <c r="AB61" s="1239"/>
      <c r="AE61" s="172"/>
    </row>
    <row r="62" spans="1:33" ht="15.4" x14ac:dyDescent="0.4">
      <c r="E62" s="428"/>
      <c r="F62" s="428"/>
      <c r="K62" s="212"/>
      <c r="L62" s="1217"/>
      <c r="S62" s="1273">
        <v>44948</v>
      </c>
      <c r="T62" s="1274">
        <v>10707</v>
      </c>
      <c r="U62" s="6">
        <v>58469</v>
      </c>
      <c r="W62" s="5">
        <v>30181</v>
      </c>
      <c r="X62" s="172">
        <v>254059</v>
      </c>
      <c r="Z62" s="5">
        <v>10120</v>
      </c>
      <c r="AA62" s="5">
        <v>96740</v>
      </c>
      <c r="AB62" s="1239"/>
      <c r="AE62" s="172"/>
    </row>
    <row r="63" spans="1:33" ht="15.4" x14ac:dyDescent="0.4">
      <c r="E63" s="428"/>
      <c r="F63" s="428"/>
      <c r="I63" s="82">
        <f>J63/1000000</f>
        <v>0.23699999999999999</v>
      </c>
      <c r="J63" s="84">
        <f>2.37*100000</f>
        <v>237000</v>
      </c>
      <c r="K63" s="212"/>
      <c r="L63" s="1217"/>
      <c r="S63" s="1261"/>
      <c r="T63" s="331"/>
      <c r="U63" s="6"/>
      <c r="AB63" s="1239"/>
      <c r="AE63" s="172"/>
    </row>
    <row r="64" spans="1:33" ht="16.149999999999999" x14ac:dyDescent="0.55000000000000004">
      <c r="D64" s="1195" t="s">
        <v>768</v>
      </c>
      <c r="E64" s="1193"/>
      <c r="F64" s="1193"/>
      <c r="J64" s="755"/>
      <c r="K64" s="259"/>
      <c r="L64" s="1217"/>
      <c r="S64" s="26" t="s">
        <v>187</v>
      </c>
      <c r="T64" s="26">
        <v>540729</v>
      </c>
      <c r="U64" s="26">
        <v>2639912</v>
      </c>
      <c r="V64" s="26"/>
      <c r="W64" s="26">
        <v>1642179</v>
      </c>
      <c r="X64" s="26">
        <v>9911106</v>
      </c>
      <c r="Y64" s="26"/>
      <c r="Z64" s="26">
        <v>388060</v>
      </c>
      <c r="AA64" s="26">
        <v>2417740</v>
      </c>
      <c r="AB64" s="1262"/>
      <c r="AE64" s="172"/>
    </row>
    <row r="65" spans="3:31" ht="16.149999999999999" x14ac:dyDescent="0.55000000000000004">
      <c r="D65" s="85" t="s">
        <v>94</v>
      </c>
      <c r="E65" s="1193">
        <f t="shared" ref="E65:F67" si="6">H65/1000000</f>
        <v>0.54072900000000002</v>
      </c>
      <c r="F65" s="1193">
        <f t="shared" si="6"/>
        <v>1.6421790000000001</v>
      </c>
      <c r="H65" s="1243">
        <f>T64</f>
        <v>540729</v>
      </c>
      <c r="I65" s="1243">
        <f>W64</f>
        <v>1642179</v>
      </c>
      <c r="J65" s="323">
        <f t="shared" ref="J65:K67" si="7">H65/100000</f>
        <v>5.4072899999999997</v>
      </c>
      <c r="K65" s="323">
        <f t="shared" si="7"/>
        <v>16.421790000000001</v>
      </c>
      <c r="L65" s="491">
        <f>K65/100000</f>
        <v>1.6421790000000001E-4</v>
      </c>
      <c r="S65" s="26" t="s">
        <v>783</v>
      </c>
      <c r="U65" s="1239"/>
      <c r="AB65" s="1239"/>
      <c r="AE65" s="172"/>
    </row>
    <row r="66" spans="3:31" ht="16.149999999999999" x14ac:dyDescent="0.55000000000000004">
      <c r="D66" s="85" t="s">
        <v>502</v>
      </c>
      <c r="E66" s="1193">
        <f t="shared" si="6"/>
        <v>0.129798</v>
      </c>
      <c r="F66" s="1193">
        <f t="shared" si="6"/>
        <v>1.5502769999999999</v>
      </c>
      <c r="H66" s="1243">
        <f>T71</f>
        <v>129798</v>
      </c>
      <c r="I66" s="1243">
        <f>W71</f>
        <v>1550277</v>
      </c>
      <c r="J66" s="323">
        <f t="shared" si="7"/>
        <v>1.2979799999999999</v>
      </c>
      <c r="K66" s="323">
        <f t="shared" si="7"/>
        <v>15.50277</v>
      </c>
      <c r="L66" s="491">
        <f>K66/100000</f>
        <v>1.5502769999999999E-4</v>
      </c>
      <c r="S66" s="5" t="s">
        <v>782</v>
      </c>
      <c r="T66" s="5">
        <v>52447</v>
      </c>
      <c r="U66" s="5">
        <v>965040</v>
      </c>
      <c r="W66" s="5">
        <v>572047</v>
      </c>
      <c r="X66" s="172">
        <v>46839053</v>
      </c>
      <c r="AB66" s="1239"/>
      <c r="AE66" s="172"/>
    </row>
    <row r="67" spans="3:31" ht="16.5" thickBot="1" x14ac:dyDescent="0.6">
      <c r="D67" s="85" t="s">
        <v>767</v>
      </c>
      <c r="E67" s="1193">
        <f t="shared" si="6"/>
        <v>0.70767400000000003</v>
      </c>
      <c r="F67" s="1193">
        <f t="shared" si="6"/>
        <v>1.02576</v>
      </c>
      <c r="H67" s="1243">
        <v>707674</v>
      </c>
      <c r="I67" s="824">
        <v>1025760</v>
      </c>
      <c r="J67" s="323">
        <f t="shared" si="7"/>
        <v>7.07674</v>
      </c>
      <c r="K67" s="323">
        <f t="shared" si="7"/>
        <v>10.2576</v>
      </c>
      <c r="L67" s="491">
        <f>K67/100000</f>
        <v>1.02576E-4</v>
      </c>
      <c r="S67" s="1261" t="s">
        <v>789</v>
      </c>
      <c r="T67" s="5">
        <v>40618</v>
      </c>
      <c r="U67" s="5">
        <v>849885</v>
      </c>
      <c r="W67" s="5">
        <v>515330</v>
      </c>
      <c r="X67" s="172">
        <v>47188762</v>
      </c>
      <c r="AB67" s="1239"/>
      <c r="AE67" s="172"/>
    </row>
    <row r="68" spans="3:31" x14ac:dyDescent="0.4">
      <c r="E68" s="428"/>
      <c r="F68" s="323"/>
      <c r="H68" s="1224"/>
      <c r="I68" s="1225"/>
      <c r="K68" s="212"/>
      <c r="L68" s="1217"/>
      <c r="S68" s="1273">
        <v>44947</v>
      </c>
      <c r="T68" s="5">
        <v>3624</v>
      </c>
      <c r="U68" s="5">
        <v>87975</v>
      </c>
      <c r="W68" s="5">
        <v>53843</v>
      </c>
      <c r="X68" s="172">
        <v>5332126</v>
      </c>
      <c r="AB68" s="1239"/>
      <c r="AE68" s="172"/>
    </row>
    <row r="69" spans="3:31" x14ac:dyDescent="0.4">
      <c r="E69" s="428"/>
      <c r="F69" s="323"/>
      <c r="H69" s="1224"/>
      <c r="I69" s="1225"/>
      <c r="K69" s="212"/>
      <c r="L69" s="1217"/>
      <c r="S69" s="1273">
        <v>44948</v>
      </c>
      <c r="T69" s="5">
        <v>3451</v>
      </c>
      <c r="U69" s="5">
        <v>72885</v>
      </c>
      <c r="W69" s="5">
        <v>52581</v>
      </c>
      <c r="X69" s="172">
        <v>5536923</v>
      </c>
      <c r="AB69" s="1239"/>
      <c r="AE69" s="172"/>
    </row>
    <row r="70" spans="3:31" x14ac:dyDescent="0.4">
      <c r="D70" s="1195" t="s">
        <v>436</v>
      </c>
      <c r="E70" s="134">
        <f>H70/10000000</f>
        <v>1.2557670000000001</v>
      </c>
      <c r="F70" s="134">
        <f>I70/10000000</f>
        <v>1.7365355</v>
      </c>
      <c r="H70" s="1263">
        <v>12557670</v>
      </c>
      <c r="I70" s="1264">
        <v>17365355</v>
      </c>
      <c r="J70" s="212">
        <v>3404110</v>
      </c>
      <c r="K70" s="212">
        <v>4071150</v>
      </c>
      <c r="L70" s="1217"/>
      <c r="S70" s="1239"/>
      <c r="AB70" s="1239"/>
    </row>
    <row r="71" spans="3:31" x14ac:dyDescent="0.4">
      <c r="C71" s="5">
        <f>66.07-3.11</f>
        <v>62.959999999999994</v>
      </c>
      <c r="D71" s="1195" t="s">
        <v>769</v>
      </c>
      <c r="E71" s="134">
        <f>H71</f>
        <v>1.7006999999999999</v>
      </c>
      <c r="F71" s="134">
        <f>I71</f>
        <v>1.6091</v>
      </c>
      <c r="H71" s="1241">
        <f>J78/100</f>
        <v>1.7006999999999999</v>
      </c>
      <c r="I71" s="1241">
        <f>K78/100</f>
        <v>1.6091</v>
      </c>
      <c r="K71" s="323"/>
      <c r="L71" s="1217"/>
      <c r="S71" s="26" t="s">
        <v>784</v>
      </c>
      <c r="T71" s="26">
        <v>129798</v>
      </c>
      <c r="U71" s="26">
        <v>2646234</v>
      </c>
      <c r="V71" s="26"/>
      <c r="W71" s="26">
        <v>1550277</v>
      </c>
      <c r="X71" s="26">
        <v>139571416</v>
      </c>
      <c r="Y71" s="26"/>
      <c r="Z71" s="26"/>
      <c r="AA71" s="26"/>
      <c r="AB71" s="1262"/>
    </row>
    <row r="72" spans="3:31" x14ac:dyDescent="0.4">
      <c r="D72" s="1195" t="s">
        <v>125</v>
      </c>
      <c r="E72" s="134">
        <f>H72</f>
        <v>9.2200000000000004E-2</v>
      </c>
      <c r="F72" s="134">
        <f>I72</f>
        <v>7.2700000000000001E-2</v>
      </c>
      <c r="H72" s="1241">
        <f>J76/100</f>
        <v>9.2200000000000004E-2</v>
      </c>
      <c r="I72" s="1241">
        <f>K76/100</f>
        <v>7.2700000000000001E-2</v>
      </c>
      <c r="J72" s="1128"/>
      <c r="K72" s="1128"/>
      <c r="L72" s="1217"/>
      <c r="U72" s="1239"/>
      <c r="AB72" s="1239"/>
    </row>
    <row r="73" spans="3:31" x14ac:dyDescent="0.4">
      <c r="D73" s="1195" t="s">
        <v>196</v>
      </c>
      <c r="E73" s="134">
        <f t="shared" ref="E73:F75" si="8">H73/10000000</f>
        <v>3.8806E-2</v>
      </c>
      <c r="F73" s="134">
        <f t="shared" si="8"/>
        <v>0.24177399999999999</v>
      </c>
      <c r="H73" s="1246">
        <f>Z64</f>
        <v>388060</v>
      </c>
      <c r="I73" s="1246">
        <f>AA64</f>
        <v>2417740</v>
      </c>
      <c r="J73" s="212">
        <v>144170</v>
      </c>
      <c r="K73" s="212">
        <f>707690</f>
        <v>707690</v>
      </c>
      <c r="M73" s="1210"/>
      <c r="N73" s="12"/>
      <c r="X73" s="5"/>
    </row>
    <row r="74" spans="3:31" x14ac:dyDescent="0.4">
      <c r="D74" s="1195" t="s">
        <v>123</v>
      </c>
      <c r="E74" s="134">
        <f t="shared" si="8"/>
        <v>8.8400000000000006E-3</v>
      </c>
      <c r="F74" s="134">
        <f t="shared" si="8"/>
        <v>0</v>
      </c>
      <c r="H74" s="1242">
        <v>88400</v>
      </c>
      <c r="I74" s="1243">
        <v>0</v>
      </c>
      <c r="K74" s="212" t="s">
        <v>323</v>
      </c>
    </row>
    <row r="75" spans="3:31" ht="16.149999999999999" x14ac:dyDescent="0.55000000000000004">
      <c r="D75" s="1195" t="s">
        <v>435</v>
      </c>
      <c r="E75" s="134">
        <f t="shared" si="8"/>
        <v>2.7183685</v>
      </c>
      <c r="F75" s="134">
        <f t="shared" si="8"/>
        <v>3.5870177999999999</v>
      </c>
      <c r="H75" s="828">
        <v>27183685</v>
      </c>
      <c r="I75" s="828">
        <v>35870178</v>
      </c>
      <c r="J75" s="755"/>
      <c r="K75" s="755"/>
      <c r="N75" s="755"/>
    </row>
    <row r="76" spans="3:31" x14ac:dyDescent="0.4">
      <c r="H76" s="1224"/>
      <c r="I76" s="1225"/>
      <c r="J76" s="84">
        <v>9.2200000000000006</v>
      </c>
      <c r="K76" s="212">
        <v>7.27</v>
      </c>
      <c r="L76" s="172">
        <f>J76/100</f>
        <v>9.2200000000000004E-2</v>
      </c>
    </row>
    <row r="77" spans="3:31" x14ac:dyDescent="0.4">
      <c r="E77" s="428"/>
      <c r="F77" s="428"/>
      <c r="J77" s="84">
        <v>179.29</v>
      </c>
      <c r="K77" s="84">
        <v>168.18</v>
      </c>
    </row>
    <row r="78" spans="3:31" x14ac:dyDescent="0.4">
      <c r="E78" s="428"/>
      <c r="F78" s="428"/>
      <c r="J78" s="84">
        <f>J77-J76</f>
        <v>170.07</v>
      </c>
      <c r="K78" s="84">
        <f>K77-K76</f>
        <v>160.91</v>
      </c>
      <c r="L78" s="172">
        <f>J78/100</f>
        <v>1.7006999999999999</v>
      </c>
    </row>
    <row r="79" spans="3:31" x14ac:dyDescent="0.4">
      <c r="E79" s="428"/>
      <c r="F79" s="428"/>
    </row>
    <row r="80" spans="3:31" x14ac:dyDescent="0.4">
      <c r="E80" s="428"/>
      <c r="F80" s="428"/>
      <c r="I80" s="11"/>
    </row>
    <row r="81" spans="5:6" x14ac:dyDescent="0.4">
      <c r="E81" s="428"/>
      <c r="F81" s="428"/>
    </row>
    <row r="82" spans="5:6" x14ac:dyDescent="0.4">
      <c r="E82" s="428"/>
      <c r="F82" s="428"/>
    </row>
  </sheetData>
  <mergeCells count="77">
    <mergeCell ref="A1:I1"/>
    <mergeCell ref="M1:U1"/>
    <mergeCell ref="A2:I2"/>
    <mergeCell ref="M2:U2"/>
    <mergeCell ref="A3:A5"/>
    <mergeCell ref="B3:B5"/>
    <mergeCell ref="D3:E3"/>
    <mergeCell ref="F3:G3"/>
    <mergeCell ref="H3:I3"/>
    <mergeCell ref="M3:M5"/>
    <mergeCell ref="D5:E5"/>
    <mergeCell ref="P5:Q5"/>
    <mergeCell ref="A11:I11"/>
    <mergeCell ref="M11:U11"/>
    <mergeCell ref="B13:I13"/>
    <mergeCell ref="N13:U13"/>
    <mergeCell ref="N3:N5"/>
    <mergeCell ref="P3:Q3"/>
    <mergeCell ref="R3:S3"/>
    <mergeCell ref="T3:U3"/>
    <mergeCell ref="H4:H5"/>
    <mergeCell ref="I4:I5"/>
    <mergeCell ref="T4:T5"/>
    <mergeCell ref="U4:U5"/>
    <mergeCell ref="P16:P17"/>
    <mergeCell ref="Q16:Q17"/>
    <mergeCell ref="T16:T17"/>
    <mergeCell ref="A18:A26"/>
    <mergeCell ref="C18:E18"/>
    <mergeCell ref="F18:G18"/>
    <mergeCell ref="M18:M26"/>
    <mergeCell ref="O18:Q18"/>
    <mergeCell ref="R18:U18"/>
    <mergeCell ref="A14:A17"/>
    <mergeCell ref="B14:I14"/>
    <mergeCell ref="M14:M17"/>
    <mergeCell ref="N14:U14"/>
    <mergeCell ref="D16:D17"/>
    <mergeCell ref="E16:E17"/>
    <mergeCell ref="H16:H17"/>
    <mergeCell ref="R28:S28"/>
    <mergeCell ref="T28:U28"/>
    <mergeCell ref="A30:A36"/>
    <mergeCell ref="B30:I30"/>
    <mergeCell ref="N30:U30"/>
    <mergeCell ref="B28:C29"/>
    <mergeCell ref="D28:E28"/>
    <mergeCell ref="F28:G28"/>
    <mergeCell ref="H28:I28"/>
    <mergeCell ref="N28:O29"/>
    <mergeCell ref="P28:Q28"/>
    <mergeCell ref="A38:A43"/>
    <mergeCell ref="B38:I38"/>
    <mergeCell ref="N38:U38"/>
    <mergeCell ref="A45:A48"/>
    <mergeCell ref="B45:I45"/>
    <mergeCell ref="M45:M48"/>
    <mergeCell ref="N45:U45"/>
    <mergeCell ref="D47:D48"/>
    <mergeCell ref="E47:E48"/>
    <mergeCell ref="H47:H48"/>
    <mergeCell ref="P47:P48"/>
    <mergeCell ref="Q47:Q48"/>
    <mergeCell ref="T47:T48"/>
    <mergeCell ref="Q50:Q52"/>
    <mergeCell ref="T50:T52"/>
    <mergeCell ref="B51:C51"/>
    <mergeCell ref="B52:C52"/>
    <mergeCell ref="A49:A52"/>
    <mergeCell ref="B49:I49"/>
    <mergeCell ref="M49:M52"/>
    <mergeCell ref="N49:U49"/>
    <mergeCell ref="B50:C50"/>
    <mergeCell ref="D50:D52"/>
    <mergeCell ref="E50:E52"/>
    <mergeCell ref="H50:H52"/>
    <mergeCell ref="P50:P52"/>
  </mergeCells>
  <pageMargins left="0.2" right="0.2" top="0.3" bottom="0.28000000000000003" header="0.3" footer="0.3"/>
  <pageSetup paperSize="9" scale="24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AG102"/>
  <sheetViews>
    <sheetView topLeftCell="B10" zoomScale="80" zoomScaleNormal="80" workbookViewId="0">
      <selection activeCell="S39" sqref="S39:S44"/>
    </sheetView>
  </sheetViews>
  <sheetFormatPr defaultColWidth="9.1328125" defaultRowHeight="15" x14ac:dyDescent="0.4"/>
  <cols>
    <col min="1" max="1" width="3.73046875" style="1235" customWidth="1"/>
    <col min="2" max="2" width="36.1328125" style="300" customWidth="1"/>
    <col min="3" max="3" width="12" style="5" bestFit="1" customWidth="1"/>
    <col min="4" max="4" width="11.398437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265625" style="11" customWidth="1"/>
    <col min="9" max="9" width="12" style="82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59765625" style="1209" customWidth="1"/>
    <col min="14" max="14" width="43.73046875" style="5" customWidth="1"/>
    <col min="15" max="15" width="12.1328125" style="5" customWidth="1"/>
    <col min="16" max="16" width="11.3984375" style="5" bestFit="1" customWidth="1"/>
    <col min="17" max="17" width="11.265625" style="5" bestFit="1" customWidth="1"/>
    <col min="18" max="19" width="14" style="5" customWidth="1"/>
    <col min="20" max="21" width="11.1328125" style="5" customWidth="1"/>
    <col min="22" max="23" width="9.1328125" style="5"/>
    <col min="24" max="24" width="13.3984375" style="172" customWidth="1"/>
    <col min="25" max="25" width="11.265625" style="5" bestFit="1" customWidth="1"/>
    <col min="26" max="26" width="10.1328125" style="5" bestFit="1" customWidth="1"/>
    <col min="27" max="28" width="9.1328125" style="5"/>
    <col min="29" max="29" width="9.59765625" style="5" bestFit="1" customWidth="1"/>
    <col min="30" max="30" width="10.73046875" style="5" bestFit="1" customWidth="1"/>
    <col min="31" max="16384" width="9.1328125" style="5"/>
  </cols>
  <sheetData>
    <row r="1" spans="1:27" ht="21.75" customHeight="1" x14ac:dyDescent="0.35">
      <c r="A1" s="2156" t="s">
        <v>781</v>
      </c>
      <c r="B1" s="2156"/>
      <c r="C1" s="2156"/>
      <c r="D1" s="2156"/>
      <c r="E1" s="2156"/>
      <c r="F1" s="2156"/>
      <c r="G1" s="2156"/>
      <c r="H1" s="2156"/>
      <c r="I1" s="2156"/>
      <c r="M1" s="2345"/>
      <c r="N1" s="2345"/>
      <c r="O1" s="2345"/>
      <c r="P1" s="2345"/>
      <c r="Q1" s="2345"/>
      <c r="R1" s="2345"/>
      <c r="S1" s="2345"/>
      <c r="T1" s="2345"/>
      <c r="U1" s="2345"/>
    </row>
    <row r="2" spans="1:27" s="301" customFormat="1" ht="17.25" thickBot="1" x14ac:dyDescent="0.4">
      <c r="A2" s="2346" t="s">
        <v>815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819</v>
      </c>
      <c r="N2" s="2093"/>
      <c r="O2" s="2446"/>
      <c r="P2" s="2093"/>
      <c r="Q2" s="2093"/>
      <c r="R2" s="2093"/>
      <c r="S2" s="2093"/>
      <c r="T2" s="2093"/>
      <c r="U2" s="2094"/>
      <c r="X2" s="1149"/>
    </row>
    <row r="3" spans="1:27" ht="17.25" customHeight="1" thickTop="1" x14ac:dyDescent="0.5">
      <c r="A3" s="2360" t="s">
        <v>144</v>
      </c>
      <c r="B3" s="2342" t="s">
        <v>353</v>
      </c>
      <c r="C3" s="1190" t="s">
        <v>10</v>
      </c>
      <c r="D3" s="2107" t="s">
        <v>8</v>
      </c>
      <c r="E3" s="2108"/>
      <c r="F3" s="2447" t="s">
        <v>10</v>
      </c>
      <c r="G3" s="244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</row>
    <row r="4" spans="1:27" s="35" customFormat="1" ht="25.5" customHeight="1" x14ac:dyDescent="0.35">
      <c r="A4" s="2360"/>
      <c r="B4" s="2343"/>
      <c r="C4" s="1183" t="s">
        <v>764</v>
      </c>
      <c r="D4" s="1064" t="s">
        <v>9</v>
      </c>
      <c r="E4" s="422">
        <f>G4</f>
        <v>44958</v>
      </c>
      <c r="F4" s="422">
        <v>44613</v>
      </c>
      <c r="G4" s="422">
        <v>44958</v>
      </c>
      <c r="H4" s="2444" t="s">
        <v>12</v>
      </c>
      <c r="I4" s="2444" t="s">
        <v>13</v>
      </c>
      <c r="J4" s="84"/>
      <c r="K4" s="84"/>
      <c r="L4" s="1150"/>
      <c r="M4" s="2358"/>
      <c r="N4" s="2343"/>
      <c r="O4" s="1183" t="s">
        <v>764</v>
      </c>
      <c r="P4" s="421" t="s">
        <v>9</v>
      </c>
      <c r="Q4" s="422">
        <f>E4</f>
        <v>44958</v>
      </c>
      <c r="R4" s="422">
        <f>F4</f>
        <v>44613</v>
      </c>
      <c r="S4" s="422">
        <f>G4</f>
        <v>44958</v>
      </c>
      <c r="T4" s="2331" t="s">
        <v>12</v>
      </c>
      <c r="U4" s="2331" t="s">
        <v>13</v>
      </c>
      <c r="X4" s="1150"/>
    </row>
    <row r="5" spans="1:27" ht="18.75" customHeight="1" x14ac:dyDescent="0.5">
      <c r="A5" s="2361"/>
      <c r="B5" s="2344"/>
      <c r="C5" s="1184"/>
      <c r="D5" s="2157" t="s">
        <v>249</v>
      </c>
      <c r="E5" s="2158"/>
      <c r="F5" s="1134" t="s">
        <v>249</v>
      </c>
      <c r="G5" s="1134" t="s">
        <v>438</v>
      </c>
      <c r="H5" s="2445"/>
      <c r="I5" s="2445"/>
      <c r="M5" s="2359"/>
      <c r="N5" s="2344"/>
      <c r="O5" s="1184"/>
      <c r="P5" s="2157" t="s">
        <v>249</v>
      </c>
      <c r="Q5" s="2158"/>
      <c r="R5" s="602" t="s">
        <v>249</v>
      </c>
      <c r="S5" s="602" t="s">
        <v>438</v>
      </c>
      <c r="T5" s="2332"/>
      <c r="U5" s="2332"/>
    </row>
    <row r="6" spans="1:27" ht="30" customHeight="1" x14ac:dyDescent="0.35">
      <c r="A6" s="1229">
        <v>1</v>
      </c>
      <c r="B6" s="1191" t="s">
        <v>290</v>
      </c>
      <c r="C6" s="1185">
        <v>615.09889696200003</v>
      </c>
      <c r="D6" s="1312">
        <f>'target FY 22-23'!D56</f>
        <v>950.59</v>
      </c>
      <c r="E6" s="1315">
        <v>86.85</v>
      </c>
      <c r="F6" s="434">
        <f>F15+F16+F17</f>
        <v>63.156027279</v>
      </c>
      <c r="G6" s="434">
        <f>G15+G16+G17</f>
        <v>88.861356900000004</v>
      </c>
      <c r="H6" s="517">
        <f>(G6-E6)/E6*100</f>
        <v>2.3158974093264364</v>
      </c>
      <c r="I6" s="517">
        <f>(G6-F6)/F6*100</f>
        <v>40.701308692903297</v>
      </c>
      <c r="M6" s="1203">
        <v>1</v>
      </c>
      <c r="N6" s="1179" t="s">
        <v>290</v>
      </c>
      <c r="O6" s="1185">
        <v>615.09889696200003</v>
      </c>
      <c r="P6" s="1312">
        <v>950.59</v>
      </c>
      <c r="Q6" s="434">
        <f>Q15+Q16</f>
        <v>913.34999999999991</v>
      </c>
      <c r="R6" s="434">
        <f>R15+R16+R17</f>
        <v>537.98576626199997</v>
      </c>
      <c r="S6" s="434">
        <f>S15+S16+S17</f>
        <v>930.91289019999999</v>
      </c>
      <c r="T6" s="1313">
        <f>(S6-Q6)/Q6*100</f>
        <v>1.9229090928997741</v>
      </c>
      <c r="U6" s="1313">
        <f>(S6-R6)/R6*100</f>
        <v>73.03671371607328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</row>
    <row r="7" spans="1:27" ht="26.25" customHeight="1" x14ac:dyDescent="0.35">
      <c r="A7" s="1230">
        <v>2</v>
      </c>
      <c r="B7" s="1154" t="s">
        <v>291</v>
      </c>
      <c r="C7" s="1186">
        <v>275.33999999999997</v>
      </c>
      <c r="D7" s="434">
        <f>'target FY 22-23'!E56</f>
        <v>341.23</v>
      </c>
      <c r="E7" s="1315">
        <v>22.58</v>
      </c>
      <c r="F7" s="434">
        <f>F20+F21+F22+F23+F24+F25+F26</f>
        <v>18.204000000000001</v>
      </c>
      <c r="G7" s="434">
        <f>G20+G21+G22+G23+G24+G25+G26</f>
        <v>28.249999999999996</v>
      </c>
      <c r="H7" s="517">
        <f>(G7-E7)/E7*100</f>
        <v>25.11071744906997</v>
      </c>
      <c r="I7" s="517">
        <f>(G7-F7)/F7*100</f>
        <v>55.185673478356378</v>
      </c>
      <c r="M7" s="1204">
        <v>2</v>
      </c>
      <c r="N7" s="1154" t="s">
        <v>291</v>
      </c>
      <c r="O7" s="1186">
        <v>275.33999999999997</v>
      </c>
      <c r="P7" s="434">
        <v>341.23</v>
      </c>
      <c r="Q7" s="434">
        <v>322.29000000000002</v>
      </c>
      <c r="R7" s="434">
        <f>R20+R21+R22+R23+R24+R25+R26</f>
        <v>259.8944803</v>
      </c>
      <c r="S7" s="434">
        <f>S20+S21+S22+S23+S24+S25+S26</f>
        <v>370.19310000000002</v>
      </c>
      <c r="T7" s="1313">
        <f>(S7-Q7)/Q7*100</f>
        <v>14.86335288094573</v>
      </c>
      <c r="U7" s="1313">
        <f>(S7-R7)/R7*100</f>
        <v>42.43977000692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</row>
    <row r="8" spans="1:27" ht="32.25" customHeight="1" x14ac:dyDescent="0.35">
      <c r="A8" s="1231">
        <v>3</v>
      </c>
      <c r="B8" s="1155" t="s">
        <v>292</v>
      </c>
      <c r="C8" s="1187">
        <v>71.674099700000014</v>
      </c>
      <c r="D8" s="1314">
        <f>'target FY 22-23'!F56</f>
        <v>102.46000000000001</v>
      </c>
      <c r="E8" s="1315">
        <v>9.5500000000000007</v>
      </c>
      <c r="F8" s="1314">
        <f>F31+F32+F33+F34+F35+F36+F37</f>
        <v>6.1844009</v>
      </c>
      <c r="G8" s="1314">
        <f>G31+G32+G33+G34+G35+G36+G37</f>
        <v>7.5491078999999992</v>
      </c>
      <c r="H8" s="517">
        <f>(G8-E8)/E8*100</f>
        <v>-20.95174973821991</v>
      </c>
      <c r="I8" s="517">
        <f>(G8-F8)/F8*100</f>
        <v>22.06692324878226</v>
      </c>
      <c r="M8" s="1205">
        <v>3</v>
      </c>
      <c r="N8" s="1155" t="s">
        <v>292</v>
      </c>
      <c r="O8" s="1187">
        <v>71.674099700000014</v>
      </c>
      <c r="P8" s="1314">
        <v>102.46000000000001</v>
      </c>
      <c r="Q8" s="1314">
        <v>88.95</v>
      </c>
      <c r="R8" s="1314">
        <f>R31+R32+R33+R34+R35+R36+R37</f>
        <v>63.772410799999996</v>
      </c>
      <c r="S8" s="434">
        <f>S31+S32+S33+S34+S35+S36+S37</f>
        <v>106.68548530000001</v>
      </c>
      <c r="T8" s="1313">
        <f>(S8-Q8)/Q8*100</f>
        <v>19.938713097245653</v>
      </c>
      <c r="U8" s="1313">
        <f>(S8-R8)/R8*100</f>
        <v>67.290971066754807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</row>
    <row r="9" spans="1:27" ht="34.5" customHeight="1" x14ac:dyDescent="0.35">
      <c r="A9" s="1230">
        <v>4</v>
      </c>
      <c r="B9" s="1156" t="s">
        <v>293</v>
      </c>
      <c r="C9" s="1185">
        <v>5.1459812999999999</v>
      </c>
      <c r="D9" s="434">
        <f>D39+D40+D41</f>
        <v>16.79</v>
      </c>
      <c r="E9" s="1315">
        <f>E39+E40+E41</f>
        <v>1.3991666666666667</v>
      </c>
      <c r="F9" s="434">
        <f>F39+F40+F41+F42+F43+F44</f>
        <v>0.59128609999999993</v>
      </c>
      <c r="G9" s="434">
        <f>G39+G40+G41+G42+G43+G44</f>
        <v>1.9947129000000001</v>
      </c>
      <c r="H9" s="517">
        <f>(G9-E9)/E9*100</f>
        <v>42.56435259082788</v>
      </c>
      <c r="I9" s="517">
        <f>(G9-F9)/F9*100</f>
        <v>237.35156297433684</v>
      </c>
      <c r="M9" s="1204">
        <v>4</v>
      </c>
      <c r="N9" s="1156" t="s">
        <v>293</v>
      </c>
      <c r="O9" s="1185">
        <v>5.1459812999999999</v>
      </c>
      <c r="P9" s="434">
        <f>P39+P40+P41</f>
        <v>16.79</v>
      </c>
      <c r="Q9" s="434">
        <f>Q39+Q40+Q41</f>
        <v>15.39</v>
      </c>
      <c r="R9" s="434">
        <f>R39+R40+R41+R42+R43+R44</f>
        <v>4.3780250000000001</v>
      </c>
      <c r="S9" s="434">
        <f>S39+S40+S41+S42+S43+S44</f>
        <v>15.562360700000001</v>
      </c>
      <c r="T9" s="1313">
        <f>(S9-Q9)/Q9*100</f>
        <v>1.1199525666016923</v>
      </c>
      <c r="U9" s="1313">
        <f>(S9-R9)/R9*100</f>
        <v>255.46532283392631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</row>
    <row r="10" spans="1:27" ht="28.5" customHeight="1" x14ac:dyDescent="0.35">
      <c r="A10" s="1231">
        <v>5</v>
      </c>
      <c r="B10" s="1157" t="s">
        <v>294</v>
      </c>
      <c r="C10" s="1188">
        <f>SUM(C6:C9)</f>
        <v>967.25897796200002</v>
      </c>
      <c r="D10" s="321">
        <f>SUM(D6:D9)</f>
        <v>1411.0700000000002</v>
      </c>
      <c r="E10" s="321">
        <f>SUM(E6:E9)</f>
        <v>120.37916666666666</v>
      </c>
      <c r="F10" s="321">
        <f>SUM(F6:F9)</f>
        <v>88.135714279000013</v>
      </c>
      <c r="G10" s="321">
        <f>SUM(G6:G9)</f>
        <v>126.6551777</v>
      </c>
      <c r="H10" s="322">
        <f>(G10-E10)/E10*100</f>
        <v>5.2135358693018583</v>
      </c>
      <c r="I10" s="322">
        <f>(G10-F10)/F10*100</f>
        <v>43.704715773975373</v>
      </c>
      <c r="M10" s="1205">
        <v>5</v>
      </c>
      <c r="N10" s="1157" t="s">
        <v>294</v>
      </c>
      <c r="O10" s="1188">
        <f>SUM(O6:O9)</f>
        <v>967.25897796200002</v>
      </c>
      <c r="P10" s="321">
        <f>SUM(P6:P9)</f>
        <v>1411.0700000000002</v>
      </c>
      <c r="Q10" s="321">
        <f>SUM(Q6:Q9)</f>
        <v>1339.98</v>
      </c>
      <c r="R10" s="321">
        <f>SUM(R6:R9)</f>
        <v>866.03068236199988</v>
      </c>
      <c r="S10" s="321">
        <f>SUM(S6:S9)</f>
        <v>1423.3538361999999</v>
      </c>
      <c r="T10" s="1162">
        <f>(S10-Q10)/Q10*100</f>
        <v>6.2220209406110474</v>
      </c>
      <c r="U10" s="1162">
        <f>(S10-R10)/R10*100</f>
        <v>64.353742331387693</v>
      </c>
      <c r="X10" s="12">
        <f>SUM(X6:X9)</f>
        <v>389.94179218299996</v>
      </c>
      <c r="Y10" s="12">
        <f>SUM(Y6:Y9)</f>
        <v>752.12112639999998</v>
      </c>
      <c r="Z10" s="12">
        <f>S10-Y10</f>
        <v>671.23270979999995</v>
      </c>
    </row>
    <row r="11" spans="1:27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</row>
    <row r="12" spans="1:27" ht="31.5" customHeight="1" x14ac:dyDescent="0.35">
      <c r="A12" s="1230">
        <v>6.3</v>
      </c>
      <c r="B12" s="1293" t="s">
        <v>778</v>
      </c>
      <c r="C12" s="1307">
        <v>16.11</v>
      </c>
      <c r="D12" s="332">
        <v>62.53</v>
      </c>
      <c r="E12" s="307">
        <f>E46+E47</f>
        <v>5.16</v>
      </c>
      <c r="F12" s="1294">
        <f>F46+F47+F48</f>
        <v>1.9814219999999998</v>
      </c>
      <c r="G12" s="1294">
        <f>G46+G47+G48</f>
        <v>4.0953229999999996</v>
      </c>
      <c r="H12" s="308">
        <f>(G12-E12)/E12*100</f>
        <v>-20.633275193798458</v>
      </c>
      <c r="I12" s="316">
        <f>(G12-F12)/F12*100</f>
        <v>106.68605678144283</v>
      </c>
      <c r="M12" s="1204">
        <v>6.3</v>
      </c>
      <c r="N12" s="1316" t="s">
        <v>814</v>
      </c>
      <c r="O12" s="1307">
        <v>16.61</v>
      </c>
      <c r="P12" s="332">
        <v>62.53</v>
      </c>
      <c r="Q12" s="307">
        <f>Q46+Q47</f>
        <v>59.95</v>
      </c>
      <c r="R12" s="1294">
        <f>R46+R47+R48</f>
        <v>13.997131000000001</v>
      </c>
      <c r="S12" s="1294">
        <f>S46+S47+S48</f>
        <v>42.602659000000003</v>
      </c>
      <c r="T12" s="1161">
        <f>(S12-Q12)/Q12*100</f>
        <v>-28.93634862385321</v>
      </c>
      <c r="U12" s="1060">
        <f>(S12-R12)/R12*100</f>
        <v>204.36708065388541</v>
      </c>
    </row>
    <row r="13" spans="1:27" s="1310" customFormat="1" ht="13.5" customHeight="1" x14ac:dyDescent="0.35">
      <c r="A13" s="1309"/>
      <c r="B13" s="2438" t="s">
        <v>229</v>
      </c>
      <c r="C13" s="2439"/>
      <c r="D13" s="2439"/>
      <c r="E13" s="2439"/>
      <c r="F13" s="2439"/>
      <c r="G13" s="2439"/>
      <c r="H13" s="2439"/>
      <c r="I13" s="2440"/>
      <c r="L13" s="1311"/>
      <c r="M13" s="1309"/>
      <c r="N13" s="2438" t="s">
        <v>229</v>
      </c>
      <c r="O13" s="2439"/>
      <c r="P13" s="2439"/>
      <c r="Q13" s="2439"/>
      <c r="R13" s="2439"/>
      <c r="S13" s="2439"/>
      <c r="T13" s="2439"/>
      <c r="U13" s="2440"/>
      <c r="X13" s="1311"/>
    </row>
    <row r="14" spans="1:27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27" ht="15.4" x14ac:dyDescent="0.4">
      <c r="A15" s="2374"/>
      <c r="B15" s="378" t="s">
        <v>802</v>
      </c>
      <c r="C15" s="1282">
        <v>2.0896889139999999</v>
      </c>
      <c r="D15" s="333">
        <f>'target FY 22-23'!K56</f>
        <v>21.180000000000003</v>
      </c>
      <c r="E15" s="1249">
        <v>1.78</v>
      </c>
      <c r="F15" s="315">
        <v>0.33638357899999999</v>
      </c>
      <c r="G15" s="315">
        <f>'actual fig'!L14/10000000</f>
        <v>0.97473710000000002</v>
      </c>
      <c r="H15" s="316">
        <f>(G15-E15)/E15*100</f>
        <v>-45.239488764044943</v>
      </c>
      <c r="I15" s="314">
        <f>(G15-F15)/F15*100</f>
        <v>189.76952528351569</v>
      </c>
      <c r="J15" s="1128">
        <f>F15+F16</f>
        <v>0.68302307900000003</v>
      </c>
      <c r="K15" s="1128">
        <f>G15+G16</f>
        <v>15.391997400000001</v>
      </c>
      <c r="L15" s="172">
        <f>(K15-J15)/J15*100</f>
        <v>2153.5105874511746</v>
      </c>
      <c r="M15" s="2369"/>
      <c r="N15" s="378" t="s">
        <v>816</v>
      </c>
      <c r="O15" s="1282">
        <v>2.0896889139999999</v>
      </c>
      <c r="P15" s="333">
        <v>22.16</v>
      </c>
      <c r="Q15" s="315">
        <v>21.060000000000002</v>
      </c>
      <c r="R15" s="315">
        <v>1.5876645140000001</v>
      </c>
      <c r="S15" s="315">
        <v>10.427485600000001</v>
      </c>
      <c r="T15" s="316">
        <f>(S15-Q15)/Q15*100</f>
        <v>-50.486773029439703</v>
      </c>
      <c r="U15" s="314">
        <f>(S15-R15)/R15*100</f>
        <v>556.78142378636051</v>
      </c>
      <c r="V15" s="12">
        <f>R15+R16</f>
        <v>3.0188916620000001</v>
      </c>
      <c r="W15" s="12">
        <f>S15+S16</f>
        <v>122.5276571</v>
      </c>
      <c r="X15" s="5">
        <f>(W15-V15)/V15*100</f>
        <v>3958.6967277529284</v>
      </c>
      <c r="Y15" s="12">
        <f>R16+R17</f>
        <v>536.39810174799993</v>
      </c>
      <c r="Z15" s="12">
        <f>S16+S17</f>
        <v>920.48540460000004</v>
      </c>
      <c r="AA15" s="5">
        <f>(Z15-Y15)/Y15*100</f>
        <v>71.604895990561218</v>
      </c>
    </row>
    <row r="16" spans="1:27" ht="15.4" x14ac:dyDescent="0.4">
      <c r="A16" s="2374"/>
      <c r="B16" s="1281" t="s">
        <v>801</v>
      </c>
      <c r="C16" s="1282">
        <v>2.1157408480000002</v>
      </c>
      <c r="D16" s="2166">
        <f>'target FY 22-23'!L56</f>
        <v>887.02</v>
      </c>
      <c r="E16" s="2065">
        <v>85.07</v>
      </c>
      <c r="F16" s="315">
        <v>0.34663949999999999</v>
      </c>
      <c r="G16" s="315">
        <f>'actual fig'!M14/10000000</f>
        <v>14.417260300000001</v>
      </c>
      <c r="H16" s="2154">
        <f>L16</f>
        <v>3.3109436934289387</v>
      </c>
      <c r="I16" s="314">
        <f>(G16-F16)/F16*100</f>
        <v>4059.1510200078183</v>
      </c>
      <c r="J16" s="12">
        <f>F16+F17</f>
        <v>62.8196437</v>
      </c>
      <c r="K16" s="12">
        <f>G16+G17</f>
        <v>87.886619799999991</v>
      </c>
      <c r="L16" s="172">
        <f>(K16-E16)/E16*100</f>
        <v>3.3109436934289387</v>
      </c>
      <c r="M16" s="2369"/>
      <c r="N16" s="1281" t="s">
        <v>817</v>
      </c>
      <c r="O16" s="1282">
        <v>2.1157408480000002</v>
      </c>
      <c r="P16" s="2166">
        <v>928.43</v>
      </c>
      <c r="Q16" s="2065">
        <v>892.29</v>
      </c>
      <c r="R16" s="315">
        <v>1.4312271480000001</v>
      </c>
      <c r="S16" s="315">
        <v>112.1001715</v>
      </c>
      <c r="T16" s="2154">
        <f>X16</f>
        <v>3.1598924789026075</v>
      </c>
      <c r="U16" s="314">
        <f>(S16-R16)/R16*100</f>
        <v>7732.4514495584453</v>
      </c>
      <c r="V16" s="12">
        <f>R16+R17</f>
        <v>536.39810174799993</v>
      </c>
      <c r="W16" s="12">
        <f>S16+S17</f>
        <v>920.48540460000004</v>
      </c>
      <c r="X16" s="172">
        <f>(W16-Q16)/Q16*100</f>
        <v>3.1598924789026075</v>
      </c>
    </row>
    <row r="17" spans="1:26" ht="15.4" x14ac:dyDescent="0.4">
      <c r="A17" s="2375"/>
      <c r="B17" s="320" t="s">
        <v>803</v>
      </c>
      <c r="C17" s="1282">
        <v>610.89346720000003</v>
      </c>
      <c r="D17" s="2064"/>
      <c r="E17" s="2066"/>
      <c r="F17" s="315">
        <v>62.473004199999998</v>
      </c>
      <c r="G17" s="315">
        <f>'actual fig'!N14/10000000</f>
        <v>73.469359499999996</v>
      </c>
      <c r="H17" s="2155"/>
      <c r="I17" s="314">
        <f>(G17-F17)/F17*100</f>
        <v>17.601771262346304</v>
      </c>
      <c r="J17" s="323">
        <f>114680295/10000000</f>
        <v>11.4680295</v>
      </c>
      <c r="K17" s="323">
        <f>(K16-J16)/J16*100</f>
        <v>39.903085442046198</v>
      </c>
      <c r="M17" s="2245"/>
      <c r="N17" s="320" t="s">
        <v>818</v>
      </c>
      <c r="O17" s="1282">
        <v>610.89346720000003</v>
      </c>
      <c r="P17" s="2064"/>
      <c r="Q17" s="2066"/>
      <c r="R17" s="315">
        <v>534.96687459999998</v>
      </c>
      <c r="S17" s="315">
        <v>808.38523310000005</v>
      </c>
      <c r="T17" s="2155"/>
      <c r="U17" s="314">
        <f>(S17-R17)/R17*100</f>
        <v>51.109399755720887</v>
      </c>
    </row>
    <row r="18" spans="1:26" ht="21" customHeight="1" x14ac:dyDescent="0.35">
      <c r="A18" s="1982">
        <v>2</v>
      </c>
      <c r="B18" s="1067" t="s">
        <v>678</v>
      </c>
      <c r="C18" s="2312" t="s">
        <v>680</v>
      </c>
      <c r="D18" s="2312"/>
      <c r="E18" s="2312"/>
      <c r="F18" s="2321" t="s">
        <v>684</v>
      </c>
      <c r="G18" s="2322"/>
      <c r="H18" s="2322"/>
      <c r="I18" s="2323"/>
      <c r="M18" s="2368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6" ht="19.5" customHeight="1" x14ac:dyDescent="0.35">
      <c r="A19" s="1983"/>
      <c r="B19" s="1069" t="s">
        <v>230</v>
      </c>
      <c r="C19" s="1098">
        <f>F4</f>
        <v>44613</v>
      </c>
      <c r="D19" s="1098">
        <f>G4</f>
        <v>44958</v>
      </c>
      <c r="E19" s="1069" t="s">
        <v>681</v>
      </c>
      <c r="F19" s="1098">
        <f>F4</f>
        <v>44613</v>
      </c>
      <c r="G19" s="1098">
        <f>G4</f>
        <v>44958</v>
      </c>
      <c r="H19" s="1071" t="s">
        <v>682</v>
      </c>
      <c r="I19" s="1072" t="s">
        <v>681</v>
      </c>
      <c r="M19" s="2369"/>
      <c r="N19" s="1069" t="s">
        <v>230</v>
      </c>
      <c r="O19" s="1098">
        <f>R4</f>
        <v>44613</v>
      </c>
      <c r="P19" s="1098">
        <f>S4</f>
        <v>44958</v>
      </c>
      <c r="Q19" s="1069" t="s">
        <v>681</v>
      </c>
      <c r="R19" s="1098">
        <f>R4</f>
        <v>44613</v>
      </c>
      <c r="S19" s="1098">
        <f>S4</f>
        <v>44958</v>
      </c>
      <c r="T19" s="1071" t="s">
        <v>682</v>
      </c>
      <c r="U19" s="1072" t="s">
        <v>681</v>
      </c>
    </row>
    <row r="20" spans="1:26" ht="18.75" customHeight="1" x14ac:dyDescent="0.4">
      <c r="A20" s="1983"/>
      <c r="B20" s="1055" t="s">
        <v>231</v>
      </c>
      <c r="C20" s="85">
        <v>66567</v>
      </c>
      <c r="D20" s="303">
        <v>42789</v>
      </c>
      <c r="E20" s="314">
        <f>(D20-C20)/C20*100</f>
        <v>-35.720402000991477</v>
      </c>
      <c r="F20" s="315">
        <v>11.38</v>
      </c>
      <c r="G20" s="315">
        <v>9.3699999999999992</v>
      </c>
      <c r="H20" s="1060">
        <f>G20/G7*100</f>
        <v>33.16814159292035</v>
      </c>
      <c r="I20" s="314">
        <f>(G20-F20)/F20*100</f>
        <v>-17.66256590509667</v>
      </c>
      <c r="M20" s="2369"/>
      <c r="N20" s="1055" t="s">
        <v>231</v>
      </c>
      <c r="O20" s="833">
        <v>1107601</v>
      </c>
      <c r="P20" s="833">
        <v>900544</v>
      </c>
      <c r="Q20" s="314">
        <f>(P20-O20)/O20*100</f>
        <v>-18.694186805537374</v>
      </c>
      <c r="R20" s="315">
        <v>200.97893679999999</v>
      </c>
      <c r="S20" s="315">
        <v>169.35</v>
      </c>
      <c r="T20" s="1060">
        <f>S20/S7*100</f>
        <v>45.746395597324749</v>
      </c>
      <c r="U20" s="314">
        <f>(S20-R20)/R20*100</f>
        <v>-15.737438611029608</v>
      </c>
      <c r="W20" s="491">
        <f>O20/1000000</f>
        <v>1.1076010000000001</v>
      </c>
      <c r="X20" s="491">
        <f>P20/1000000</f>
        <v>0.90054400000000001</v>
      </c>
    </row>
    <row r="21" spans="1:26" ht="18.75" customHeight="1" x14ac:dyDescent="0.4">
      <c r="A21" s="1983"/>
      <c r="B21" s="1055" t="s">
        <v>232</v>
      </c>
      <c r="C21" s="1214">
        <v>39032.5</v>
      </c>
      <c r="D21" s="1214">
        <v>85254.2</v>
      </c>
      <c r="E21" s="314">
        <f>(D21-C21)/C21*100</f>
        <v>118.4184974060078</v>
      </c>
      <c r="F21" s="315">
        <v>1.56</v>
      </c>
      <c r="G21" s="315">
        <v>9.0399999999999991</v>
      </c>
      <c r="H21" s="1060">
        <f>G21/G7*100</f>
        <v>32</v>
      </c>
      <c r="I21" s="314">
        <f>(G21-F21)/F21*100</f>
        <v>479.48717948717939</v>
      </c>
      <c r="M21" s="2369"/>
      <c r="N21" s="1055" t="s">
        <v>232</v>
      </c>
      <c r="O21" s="833">
        <f>C21+'JAN-23'!O21</f>
        <v>197724.5</v>
      </c>
      <c r="P21" s="833">
        <v>915587</v>
      </c>
      <c r="Q21" s="314">
        <f>(P21-O21)/O21*100</f>
        <v>363.06198776580544</v>
      </c>
      <c r="R21" s="315">
        <v>10.89</v>
      </c>
      <c r="S21" s="315">
        <v>92.25</v>
      </c>
      <c r="T21" s="1060">
        <f>S21/S7*100</f>
        <v>24.919427185433761</v>
      </c>
      <c r="U21" s="314">
        <f>(S21-R21)/R21*100</f>
        <v>747.10743801652893</v>
      </c>
      <c r="W21" s="491">
        <f t="shared" ref="W21:X25" si="0">O21/1000000</f>
        <v>0.1977245</v>
      </c>
      <c r="X21" s="491">
        <f t="shared" si="0"/>
        <v>0.91558700000000004</v>
      </c>
    </row>
    <row r="22" spans="1:26" ht="18.75" customHeight="1" x14ac:dyDescent="0.4">
      <c r="A22" s="1983"/>
      <c r="B22" s="1055" t="s">
        <v>239</v>
      </c>
      <c r="C22" s="303">
        <v>45972</v>
      </c>
      <c r="D22" s="1214">
        <v>56559.4</v>
      </c>
      <c r="E22" s="314">
        <f>(D22-C22)/C22*100</f>
        <v>23.030105281475684</v>
      </c>
      <c r="F22" s="315">
        <v>4.4939999999999998</v>
      </c>
      <c r="G22" s="315">
        <v>8.7200000000000006</v>
      </c>
      <c r="H22" s="1060">
        <f>G22/G7*100</f>
        <v>30.86725663716815</v>
      </c>
      <c r="I22" s="314">
        <f>(G22-F22)/F22*100</f>
        <v>94.036493101913692</v>
      </c>
      <c r="M22" s="2369"/>
      <c r="N22" s="1055" t="s">
        <v>239</v>
      </c>
      <c r="O22" s="833">
        <v>376279</v>
      </c>
      <c r="P22" s="833">
        <v>785216.70000000007</v>
      </c>
      <c r="Q22" s="314">
        <f>(P22-O22)/O22*100</f>
        <v>108.67938418035554</v>
      </c>
      <c r="R22" s="315">
        <v>39.225543500000001</v>
      </c>
      <c r="S22" s="315">
        <v>98.48</v>
      </c>
      <c r="T22" s="1060">
        <f>S22/S7*100</f>
        <v>26.60233267448799</v>
      </c>
      <c r="U22" s="314">
        <f>(S22-R22)/R22*100</f>
        <v>151.06089352209997</v>
      </c>
      <c r="W22" s="491">
        <f t="shared" si="0"/>
        <v>0.37627899999999997</v>
      </c>
      <c r="X22" s="491">
        <f t="shared" si="0"/>
        <v>0.7852167000000001</v>
      </c>
    </row>
    <row r="23" spans="1:26" ht="18.75" customHeight="1" x14ac:dyDescent="0.4">
      <c r="A23" s="1983"/>
      <c r="B23" s="1055" t="s">
        <v>233</v>
      </c>
      <c r="C23" s="303">
        <v>21328</v>
      </c>
      <c r="D23" s="1214">
        <v>27404</v>
      </c>
      <c r="E23" s="314">
        <f>(D23-C23)/C23*100</f>
        <v>28.488372093023255</v>
      </c>
      <c r="F23" s="315">
        <v>0.77</v>
      </c>
      <c r="G23" s="315">
        <v>1.1200000000000001</v>
      </c>
      <c r="H23" s="1060">
        <f>G23/G7*100</f>
        <v>3.9646017699115057</v>
      </c>
      <c r="I23" s="314">
        <f>(G23-F23)/F23*100</f>
        <v>45.454545454545467</v>
      </c>
      <c r="M23" s="2369"/>
      <c r="N23" s="1055" t="s">
        <v>233</v>
      </c>
      <c r="O23" s="833">
        <f>C23+'JAN-23'!O23</f>
        <v>259501</v>
      </c>
      <c r="P23" s="833">
        <v>261458</v>
      </c>
      <c r="Q23" s="314">
        <f>(P23-O23)/O23*100</f>
        <v>0.75413967576232854</v>
      </c>
      <c r="R23" s="315">
        <v>8.49</v>
      </c>
      <c r="S23" s="315">
        <v>9.68</v>
      </c>
      <c r="T23" s="1060">
        <f>S23/S7*100</f>
        <v>2.6148515463956512</v>
      </c>
      <c r="U23" s="314">
        <f>(S23-R23)/R23*100</f>
        <v>14.016489988221432</v>
      </c>
      <c r="W23" s="491">
        <f t="shared" si="0"/>
        <v>0.25950099999999998</v>
      </c>
      <c r="X23" s="491">
        <f t="shared" si="0"/>
        <v>0.26145800000000002</v>
      </c>
      <c r="Z23" s="5">
        <f>25.63+0.96</f>
        <v>26.59</v>
      </c>
    </row>
    <row r="24" spans="1:26" ht="18.75" customHeight="1" x14ac:dyDescent="0.4">
      <c r="A24" s="1983"/>
      <c r="B24" s="1055" t="s">
        <v>739</v>
      </c>
      <c r="C24" s="303">
        <v>0</v>
      </c>
      <c r="D24" s="303">
        <v>0</v>
      </c>
      <c r="E24" s="836">
        <v>0</v>
      </c>
      <c r="F24" s="833">
        <v>0</v>
      </c>
      <c r="G24" s="315">
        <v>0</v>
      </c>
      <c r="H24" s="1060">
        <f>G24/G7*100</f>
        <v>0</v>
      </c>
      <c r="I24" s="314">
        <v>0</v>
      </c>
      <c r="M24" s="2369"/>
      <c r="N24" s="1055" t="s">
        <v>739</v>
      </c>
      <c r="O24" s="833">
        <f>C24+'JAN-23'!O24</f>
        <v>0</v>
      </c>
      <c r="P24" s="833">
        <v>2661</v>
      </c>
      <c r="Q24" s="836">
        <v>0</v>
      </c>
      <c r="R24" s="315">
        <v>0</v>
      </c>
      <c r="S24" s="315">
        <v>0.05</v>
      </c>
      <c r="T24" s="1060">
        <f>S24/S7*100</f>
        <v>1.3506464599151091E-2</v>
      </c>
      <c r="U24" s="314">
        <v>0</v>
      </c>
      <c r="W24" s="491">
        <f t="shared" si="0"/>
        <v>0</v>
      </c>
      <c r="X24" s="491">
        <f t="shared" si="0"/>
        <v>2.6610000000000002E-3</v>
      </c>
    </row>
    <row r="25" spans="1:26" ht="18.75" customHeight="1" x14ac:dyDescent="0.4">
      <c r="A25" s="1983"/>
      <c r="B25" s="1055" t="s">
        <v>235</v>
      </c>
      <c r="C25" s="303">
        <v>0</v>
      </c>
      <c r="D25" s="303">
        <v>0</v>
      </c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M25" s="2369"/>
      <c r="N25" s="1055" t="s">
        <v>235</v>
      </c>
      <c r="O25" s="833">
        <f>C25+'JAN-23'!O25</f>
        <v>0</v>
      </c>
      <c r="P25" s="833">
        <v>2748</v>
      </c>
      <c r="Q25" s="836">
        <v>0</v>
      </c>
      <c r="R25" s="315">
        <v>0.04</v>
      </c>
      <c r="S25" s="315">
        <v>0.11310000000000001</v>
      </c>
      <c r="T25" s="1060">
        <f>S25/S7*100</f>
        <v>3.0551622923279773E-2</v>
      </c>
      <c r="U25" s="314">
        <v>0</v>
      </c>
      <c r="W25" s="491">
        <f t="shared" si="0"/>
        <v>0</v>
      </c>
      <c r="X25" s="491">
        <f t="shared" si="0"/>
        <v>2.748E-3</v>
      </c>
    </row>
    <row r="26" spans="1:26" ht="27" customHeight="1" x14ac:dyDescent="0.4">
      <c r="A26" s="1984"/>
      <c r="B26" s="1056" t="s">
        <v>693</v>
      </c>
      <c r="C26" s="1059">
        <v>0</v>
      </c>
      <c r="D26" s="1059">
        <v>0</v>
      </c>
      <c r="E26" s="836">
        <v>0</v>
      </c>
      <c r="F26" s="833">
        <v>0</v>
      </c>
      <c r="G26" s="833">
        <v>0</v>
      </c>
      <c r="H26" s="1060">
        <f>G26/G7*100</f>
        <v>0</v>
      </c>
      <c r="I26" s="314" t="e">
        <f>(G26-F26)/F26*100</f>
        <v>#DIV/0!</v>
      </c>
      <c r="M26" s="2245"/>
      <c r="N26" s="1056" t="s">
        <v>693</v>
      </c>
      <c r="O26" s="833">
        <f>C26+'JAN-23'!O26</f>
        <v>2827</v>
      </c>
      <c r="P26" s="833">
        <v>4060</v>
      </c>
      <c r="Q26" s="836">
        <v>0</v>
      </c>
      <c r="R26" s="315">
        <v>0.27</v>
      </c>
      <c r="S26" s="315">
        <v>0.27</v>
      </c>
      <c r="T26" s="1060">
        <f>S26/S7*100</f>
        <v>7.2934908835415896E-2</v>
      </c>
      <c r="U26" s="314">
        <f>(S26-R26)/R26*100</f>
        <v>0</v>
      </c>
      <c r="W26" s="491">
        <f>O26/1000000</f>
        <v>2.8270000000000001E-3</v>
      </c>
      <c r="X26" s="491">
        <f>P26/1000000</f>
        <v>4.0600000000000002E-3</v>
      </c>
    </row>
    <row r="27" spans="1:26" s="26" customFormat="1" ht="19.5" customHeight="1" x14ac:dyDescent="0.4">
      <c r="A27" s="1216"/>
      <c r="B27" s="1063" t="s">
        <v>683</v>
      </c>
      <c r="C27" s="1063">
        <f>SUM(C20:C26)</f>
        <v>172899.5</v>
      </c>
      <c r="D27" s="1063">
        <f>SUM(D20:D26)</f>
        <v>212006.6</v>
      </c>
      <c r="E27" s="394">
        <f>(D27-C27)/C27*100</f>
        <v>22.618399706187702</v>
      </c>
      <c r="F27" s="1054">
        <f>SUM(F20:F26)</f>
        <v>18.204000000000001</v>
      </c>
      <c r="G27" s="1054">
        <f>G20+G21+G22+G23+G24+G25+G26</f>
        <v>28.249999999999996</v>
      </c>
      <c r="H27" s="1066">
        <f>SUM(H20:H26)</f>
        <v>100.00000000000001</v>
      </c>
      <c r="I27" s="394">
        <f>(G27-F27)/F27*100</f>
        <v>55.185673478356378</v>
      </c>
      <c r="J27" s="762"/>
      <c r="K27" s="762"/>
      <c r="L27" s="432"/>
      <c r="M27" s="1202"/>
      <c r="N27" s="1063" t="s">
        <v>683</v>
      </c>
      <c r="O27" s="1259">
        <f>SUM(O20:O26)</f>
        <v>1943932.5</v>
      </c>
      <c r="P27" s="1259">
        <f>SUM(P20:P26)</f>
        <v>2872274.7</v>
      </c>
      <c r="Q27" s="394">
        <f>(P27-O27)/O27*100</f>
        <v>47.755886585568177</v>
      </c>
      <c r="R27" s="1054">
        <f>SUM(R20:R26)</f>
        <v>259.8944803</v>
      </c>
      <c r="S27" s="1054">
        <f>SUM(S20:S26)</f>
        <v>370.19310000000002</v>
      </c>
      <c r="T27" s="1066">
        <f>SUM(T20:T26)</f>
        <v>100.00000000000001</v>
      </c>
      <c r="U27" s="394">
        <f>(S27-R27)/R27*100</f>
        <v>42.43977000692</v>
      </c>
      <c r="W27" s="848">
        <f>SUM(W20:W26)</f>
        <v>1.9439325000000001</v>
      </c>
      <c r="X27" s="848">
        <f>SUM(X20:X26)</f>
        <v>2.8722746999999997</v>
      </c>
    </row>
    <row r="28" spans="1:26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6" ht="24" customHeight="1" x14ac:dyDescent="0.35">
      <c r="A29" s="135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6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1287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6" ht="15.4" x14ac:dyDescent="0.4">
      <c r="A31" s="2382"/>
      <c r="B31" s="378" t="s">
        <v>2</v>
      </c>
      <c r="C31" s="1283">
        <v>10.977297400000001</v>
      </c>
      <c r="D31" s="331">
        <v>12.05</v>
      </c>
      <c r="E31" s="315">
        <v>0.9</v>
      </c>
      <c r="F31" s="313">
        <v>1.5930512999999999</v>
      </c>
      <c r="G31" s="313">
        <v>2.1288459999999998</v>
      </c>
      <c r="H31" s="314">
        <f>(G31-E31)/E31*100</f>
        <v>136.53844444444442</v>
      </c>
      <c r="I31" s="314">
        <f t="shared" ref="I31:I36" si="1">(G31-F31)/F31*100</f>
        <v>33.633235790962907</v>
      </c>
      <c r="J31" s="84">
        <f>2661720/10000000</f>
        <v>0.26617200000000002</v>
      </c>
      <c r="K31" s="84">
        <f>11596205/10000000</f>
        <v>1.1596204999999999</v>
      </c>
      <c r="M31" s="1288"/>
      <c r="N31" s="378" t="s">
        <v>2</v>
      </c>
      <c r="O31" s="1283">
        <v>10.977297400000001</v>
      </c>
      <c r="P31" s="331">
        <v>12.05</v>
      </c>
      <c r="Q31" s="315">
        <v>11.15</v>
      </c>
      <c r="R31" s="315">
        <v>8.9759999000000015</v>
      </c>
      <c r="S31" s="315">
        <f>'actual fig'!U16/10000000</f>
        <v>24.657990099999999</v>
      </c>
      <c r="T31" s="314">
        <f>(S31-Q31)/Q31*100</f>
        <v>121.14789327354258</v>
      </c>
      <c r="U31" s="314">
        <f t="shared" ref="U31:U37" si="2">(S31-R31)/R31*100</f>
        <v>174.71023144730646</v>
      </c>
    </row>
    <row r="32" spans="1:26" ht="15.4" x14ac:dyDescent="0.4">
      <c r="A32" s="2382"/>
      <c r="B32" s="378" t="s">
        <v>23</v>
      </c>
      <c r="C32" s="1283">
        <v>25.645024399999997</v>
      </c>
      <c r="D32" s="331">
        <v>27.75</v>
      </c>
      <c r="E32" s="315">
        <v>2.16</v>
      </c>
      <c r="F32" s="313">
        <v>1.9980369</v>
      </c>
      <c r="G32" s="313">
        <v>1.6119235999999999</v>
      </c>
      <c r="H32" s="314">
        <f>(G32-E32)/E32*100</f>
        <v>-25.373907407407415</v>
      </c>
      <c r="I32" s="314">
        <f>(G32-F32)/F32*100</f>
        <v>-19.324633093613041</v>
      </c>
      <c r="J32" s="1128">
        <f>0.42-0.02</f>
        <v>0.39999999999999997</v>
      </c>
      <c r="K32" s="84">
        <f>0.58-0.12</f>
        <v>0.45999999999999996</v>
      </c>
      <c r="M32" s="1288"/>
      <c r="N32" s="378" t="s">
        <v>23</v>
      </c>
      <c r="O32" s="1283">
        <v>25.645024399999997</v>
      </c>
      <c r="P32" s="331">
        <v>27.75</v>
      </c>
      <c r="Q32" s="315">
        <v>25.14</v>
      </c>
      <c r="R32" s="315">
        <v>23.225052799999997</v>
      </c>
      <c r="S32" s="315">
        <f>'actual fig'!V16/10000000</f>
        <v>27.693304099999999</v>
      </c>
      <c r="T32" s="314">
        <f>(S32-Q32)/Q32*100</f>
        <v>10.156340891010334</v>
      </c>
      <c r="U32" s="314">
        <f t="shared" si="2"/>
        <v>19.238928490186264</v>
      </c>
    </row>
    <row r="33" spans="1:27" ht="15.4" x14ac:dyDescent="0.4">
      <c r="A33" s="2382"/>
      <c r="B33" s="378" t="s">
        <v>1</v>
      </c>
      <c r="C33" s="1283">
        <v>1.1151324</v>
      </c>
      <c r="D33" s="331">
        <v>5.77</v>
      </c>
      <c r="E33" s="315">
        <v>0.41</v>
      </c>
      <c r="F33" s="313">
        <v>7.6978400000000002E-2</v>
      </c>
      <c r="G33" s="313">
        <v>6.50815E-2</v>
      </c>
      <c r="H33" s="314">
        <f>(G33-E33)/E33*100</f>
        <v>-84.126463414634145</v>
      </c>
      <c r="I33" s="314">
        <f t="shared" si="1"/>
        <v>-15.454854868378664</v>
      </c>
      <c r="M33" s="1288"/>
      <c r="N33" s="378" t="s">
        <v>1</v>
      </c>
      <c r="O33" s="1283">
        <v>1.1151324</v>
      </c>
      <c r="P33" s="331">
        <v>5.77</v>
      </c>
      <c r="Q33" s="315">
        <v>5.3100000000000005</v>
      </c>
      <c r="R33" s="315">
        <v>1.03735</v>
      </c>
      <c r="S33" s="315">
        <f>'actual fig'!W16/10000000</f>
        <v>1.0446717999999999</v>
      </c>
      <c r="T33" s="314">
        <f>(S33-Q33)/Q33*100</f>
        <v>-80.326331450094173</v>
      </c>
      <c r="U33" s="314">
        <f t="shared" si="2"/>
        <v>0.70581770858436732</v>
      </c>
    </row>
    <row r="34" spans="1:27" ht="15.4" x14ac:dyDescent="0.4">
      <c r="A34" s="2382"/>
      <c r="B34" s="378" t="s">
        <v>24</v>
      </c>
      <c r="C34" s="1283">
        <v>0.36572300000000002</v>
      </c>
      <c r="D34" s="603" t="s">
        <v>221</v>
      </c>
      <c r="E34" s="315"/>
      <c r="F34" s="313">
        <v>4.0370000000000003E-2</v>
      </c>
      <c r="G34" s="313">
        <v>0.232293</v>
      </c>
      <c r="H34" s="316" t="s">
        <v>221</v>
      </c>
      <c r="I34" s="314">
        <f t="shared" si="1"/>
        <v>475.40995788952188</v>
      </c>
      <c r="J34" s="84">
        <f>62410/10000000</f>
        <v>6.241E-3</v>
      </c>
      <c r="M34" s="1288"/>
      <c r="N34" s="378" t="s">
        <v>24</v>
      </c>
      <c r="O34" s="1283">
        <v>0.36572300000000002</v>
      </c>
      <c r="P34" s="603" t="s">
        <v>221</v>
      </c>
      <c r="Q34" s="315" t="s">
        <v>221</v>
      </c>
      <c r="R34" s="315">
        <v>0.316521</v>
      </c>
      <c r="S34" s="315">
        <f>'actual fig'!Y16/10000000</f>
        <v>3.1600820000000001</v>
      </c>
      <c r="T34" s="316" t="s">
        <v>221</v>
      </c>
      <c r="U34" s="314">
        <f t="shared" si="2"/>
        <v>898.3798863266577</v>
      </c>
    </row>
    <row r="35" spans="1:27" ht="15.4" x14ac:dyDescent="0.4">
      <c r="A35" s="2382"/>
      <c r="B35" s="1278" t="s">
        <v>25</v>
      </c>
      <c r="C35" s="1284">
        <v>2.9771365000000003</v>
      </c>
      <c r="D35" s="603" t="s">
        <v>221</v>
      </c>
      <c r="E35" s="315"/>
      <c r="F35" s="313">
        <v>0</v>
      </c>
      <c r="G35" s="313">
        <v>5.11618E-2</v>
      </c>
      <c r="H35" s="316" t="s">
        <v>221</v>
      </c>
      <c r="I35" s="314">
        <v>0</v>
      </c>
      <c r="M35" s="1288"/>
      <c r="N35" s="1278" t="s">
        <v>25</v>
      </c>
      <c r="O35" s="1284">
        <v>2.9771365000000003</v>
      </c>
      <c r="P35" s="603" t="s">
        <v>221</v>
      </c>
      <c r="Q35" s="315" t="s">
        <v>221</v>
      </c>
      <c r="R35" s="315">
        <v>2.5898782000000002</v>
      </c>
      <c r="S35" s="315">
        <f>'actual fig'!X16/10000000</f>
        <v>6.2230024999999998</v>
      </c>
      <c r="T35" s="316" t="s">
        <v>221</v>
      </c>
      <c r="U35" s="314">
        <f t="shared" si="2"/>
        <v>140.28166652779265</v>
      </c>
    </row>
    <row r="36" spans="1:27" ht="17.25" customHeight="1" x14ac:dyDescent="0.4">
      <c r="A36" s="2383"/>
      <c r="B36" s="1278" t="s">
        <v>241</v>
      </c>
      <c r="C36" s="1284">
        <v>30.062250799999997</v>
      </c>
      <c r="D36" s="540" t="s">
        <v>221</v>
      </c>
      <c r="E36" s="316"/>
      <c r="F36" s="313">
        <v>2.4464256999999998</v>
      </c>
      <c r="G36" s="313">
        <v>3.4085730999999999</v>
      </c>
      <c r="H36" s="316" t="s">
        <v>221</v>
      </c>
      <c r="I36" s="314">
        <f t="shared" si="1"/>
        <v>39.328699007699278</v>
      </c>
      <c r="J36" s="323">
        <f>(3613355)/10000000</f>
        <v>0.36133549999999998</v>
      </c>
      <c r="K36" s="323">
        <f>(20880+ 10612529)/10000000</f>
        <v>1.0633409</v>
      </c>
      <c r="M36" s="1289"/>
      <c r="N36" s="1279" t="s">
        <v>241</v>
      </c>
      <c r="O36" s="1284">
        <v>30.062250799999997</v>
      </c>
      <c r="P36" s="540" t="s">
        <v>221</v>
      </c>
      <c r="Q36" s="315" t="s">
        <v>221</v>
      </c>
      <c r="R36" s="315">
        <v>27.160260399999999</v>
      </c>
      <c r="S36" s="315">
        <f>'actual fig'!T16/10000000</f>
        <v>43.050880200000002</v>
      </c>
      <c r="T36" s="316" t="s">
        <v>221</v>
      </c>
      <c r="U36" s="314">
        <f t="shared" si="2"/>
        <v>58.506875729365262</v>
      </c>
    </row>
    <row r="37" spans="1:27" ht="15.4" x14ac:dyDescent="0.4">
      <c r="A37" s="1234"/>
      <c r="B37" s="378" t="s">
        <v>260</v>
      </c>
      <c r="C37" s="1283">
        <v>0.53153519999999999</v>
      </c>
      <c r="D37" s="540" t="s">
        <v>221</v>
      </c>
      <c r="E37" s="316"/>
      <c r="F37" s="313">
        <v>2.9538600000000002E-2</v>
      </c>
      <c r="G37" s="313">
        <v>5.1228900000000001E-2</v>
      </c>
      <c r="H37" s="413"/>
      <c r="I37" s="314">
        <v>0</v>
      </c>
      <c r="M37" s="1208"/>
      <c r="N37" s="378" t="s">
        <v>260</v>
      </c>
      <c r="O37" s="1283">
        <v>0.53153519999999999</v>
      </c>
      <c r="P37" s="540" t="s">
        <v>221</v>
      </c>
      <c r="Q37" s="315" t="s">
        <v>221</v>
      </c>
      <c r="R37" s="315">
        <v>0.4673485</v>
      </c>
      <c r="S37" s="315">
        <f>'actual fig'!Z16/10000000</f>
        <v>0.85555460000000005</v>
      </c>
      <c r="T37" s="413"/>
      <c r="U37" s="314">
        <f t="shared" si="2"/>
        <v>83.065656571059947</v>
      </c>
    </row>
    <row r="38" spans="1:27" x14ac:dyDescent="0.35">
      <c r="A38" s="2387">
        <v>4</v>
      </c>
      <c r="B38" s="2309" t="s">
        <v>785</v>
      </c>
      <c r="C38" s="2310"/>
      <c r="D38" s="2310"/>
      <c r="E38" s="2310"/>
      <c r="F38" s="2310"/>
      <c r="G38" s="2310"/>
      <c r="H38" s="2310"/>
      <c r="I38" s="2311"/>
      <c r="M38" s="1286">
        <v>4</v>
      </c>
      <c r="N38" s="2309" t="s">
        <v>786</v>
      </c>
      <c r="O38" s="2310"/>
      <c r="P38" s="2310"/>
      <c r="Q38" s="2310"/>
      <c r="R38" s="2310"/>
      <c r="S38" s="2310"/>
      <c r="T38" s="2310"/>
      <c r="U38" s="2311"/>
    </row>
    <row r="39" spans="1:27" ht="15.4" x14ac:dyDescent="0.4">
      <c r="A39" s="2387"/>
      <c r="B39" s="378" t="s">
        <v>27</v>
      </c>
      <c r="C39" s="1283">
        <v>4.1788628000000001</v>
      </c>
      <c r="D39" s="331">
        <v>12.24</v>
      </c>
      <c r="E39" s="315">
        <v>1.02</v>
      </c>
      <c r="F39" s="381">
        <v>0.51021989999999995</v>
      </c>
      <c r="G39" s="313">
        <v>1.6537408</v>
      </c>
      <c r="H39" s="314">
        <f>(G39-E39)/E39*100</f>
        <v>62.131450980392152</v>
      </c>
      <c r="I39" s="314">
        <f>(G39-F39)/F39*100</f>
        <v>224.12314768592915</v>
      </c>
      <c r="J39" s="84">
        <f t="shared" ref="J39:J44" si="3">E39*8</f>
        <v>8.16</v>
      </c>
      <c r="L39" s="172">
        <v>2.1361249999999998</v>
      </c>
      <c r="M39" s="1286"/>
      <c r="N39" s="378" t="s">
        <v>27</v>
      </c>
      <c r="O39" s="1283">
        <v>4.1788628000000001</v>
      </c>
      <c r="P39" s="331">
        <v>12.24</v>
      </c>
      <c r="Q39" s="315">
        <v>11.22</v>
      </c>
      <c r="R39" s="315">
        <v>3.4770850000000002</v>
      </c>
      <c r="S39" s="315">
        <f>'actual fig'!T32/10000000</f>
        <v>10.6089427</v>
      </c>
      <c r="T39" s="314">
        <f>(S39-Q39)/Q39*100</f>
        <v>-5.4461434937611459</v>
      </c>
      <c r="U39" s="314">
        <f>(S39-R39)/R39*100</f>
        <v>205.11024895853853</v>
      </c>
      <c r="W39" s="5">
        <f>P39/12</f>
        <v>1.02</v>
      </c>
      <c r="X39" s="172">
        <f>W39*11</f>
        <v>11.22</v>
      </c>
    </row>
    <row r="40" spans="1:27" ht="15.4" x14ac:dyDescent="0.4">
      <c r="A40" s="2387"/>
      <c r="B40" s="378" t="s">
        <v>28</v>
      </c>
      <c r="C40" s="1283">
        <v>0.17199999999999999</v>
      </c>
      <c r="D40" s="333">
        <v>2.1</v>
      </c>
      <c r="E40" s="315">
        <v>0.17499999999999999</v>
      </c>
      <c r="F40" s="381">
        <v>0</v>
      </c>
      <c r="G40" s="381">
        <v>0.1100289</v>
      </c>
      <c r="H40" s="314">
        <f>(G40-E40)/E40*100</f>
        <v>-37.126342857142852</v>
      </c>
      <c r="I40" s="314">
        <v>0</v>
      </c>
      <c r="J40" s="84">
        <f t="shared" si="3"/>
        <v>1.4</v>
      </c>
      <c r="L40" s="172">
        <v>0.11442669999999999</v>
      </c>
      <c r="M40" s="1286"/>
      <c r="N40" s="378" t="s">
        <v>28</v>
      </c>
      <c r="O40" s="1283">
        <v>0.17199999999999999</v>
      </c>
      <c r="P40" s="333">
        <v>2.1</v>
      </c>
      <c r="Q40" s="315">
        <v>1.925</v>
      </c>
      <c r="R40" s="315">
        <v>0.17</v>
      </c>
      <c r="S40" s="315">
        <f>'actual fig'!U32/10000000</f>
        <v>1.4892618</v>
      </c>
      <c r="T40" s="314">
        <f>(S40-Q40)/Q40*100</f>
        <v>-22.635750649350651</v>
      </c>
      <c r="U40" s="314">
        <f>(S40-R40)/R40*100</f>
        <v>776.03635294117646</v>
      </c>
      <c r="W40" s="5">
        <f>P40/12</f>
        <v>0.17500000000000002</v>
      </c>
      <c r="X40" s="172">
        <f>W40*11</f>
        <v>1.9250000000000003</v>
      </c>
      <c r="Y40" s="5">
        <f>P40*10000000</f>
        <v>21000000</v>
      </c>
    </row>
    <row r="41" spans="1:27" ht="15.4" x14ac:dyDescent="0.4">
      <c r="A41" s="2387"/>
      <c r="B41" s="378" t="s">
        <v>224</v>
      </c>
      <c r="C41" s="1283">
        <v>0.23092159999999998</v>
      </c>
      <c r="D41" s="331">
        <v>2.4500000000000002</v>
      </c>
      <c r="E41" s="323">
        <v>0.20416666666666669</v>
      </c>
      <c r="F41" s="381">
        <v>9.5620000000000004E-4</v>
      </c>
      <c r="G41" s="313">
        <v>0.1516779</v>
      </c>
      <c r="H41" s="314">
        <f>(G41-E41)/E41*100</f>
        <v>-25.708783673469394</v>
      </c>
      <c r="I41" s="314">
        <v>0</v>
      </c>
      <c r="J41" s="323">
        <f t="shared" si="3"/>
        <v>1.6333333333333335</v>
      </c>
      <c r="L41" s="172">
        <v>0.1548958</v>
      </c>
      <c r="M41" s="1286"/>
      <c r="N41" s="378" t="s">
        <v>224</v>
      </c>
      <c r="O41" s="1283">
        <v>0.23092159999999998</v>
      </c>
      <c r="P41" s="331">
        <v>2.4500000000000002</v>
      </c>
      <c r="Q41" s="315">
        <v>2.2450000000000001</v>
      </c>
      <c r="R41" s="315">
        <v>0.23092159999999998</v>
      </c>
      <c r="S41" s="315">
        <f>'actual fig'!V32/10000000</f>
        <v>1.7656015</v>
      </c>
      <c r="T41" s="314">
        <f>(S41-Q41)/Q41*100</f>
        <v>-21.354053452115814</v>
      </c>
      <c r="U41" s="314">
        <f>(S41-R41)/R41*100</f>
        <v>664.58915060349489</v>
      </c>
      <c r="W41" s="5">
        <f>P41/12</f>
        <v>0.20416666666666669</v>
      </c>
      <c r="X41" s="172">
        <f>W41*11</f>
        <v>2.2458333333333336</v>
      </c>
      <c r="Y41" s="5">
        <f>Y40/100000</f>
        <v>210</v>
      </c>
      <c r="Z41" s="5">
        <f>Y41/12</f>
        <v>17.5</v>
      </c>
    </row>
    <row r="42" spans="1:27" ht="15.4" x14ac:dyDescent="0.4">
      <c r="A42" s="2387"/>
      <c r="B42" s="378" t="s">
        <v>64</v>
      </c>
      <c r="C42" s="1283">
        <v>0</v>
      </c>
      <c r="D42" s="540" t="s">
        <v>221</v>
      </c>
      <c r="E42" s="315"/>
      <c r="F42" s="381">
        <v>0</v>
      </c>
      <c r="G42" s="313">
        <v>0</v>
      </c>
      <c r="H42" s="314" t="s">
        <v>221</v>
      </c>
      <c r="I42" s="314">
        <v>0</v>
      </c>
      <c r="J42" s="84">
        <f t="shared" si="3"/>
        <v>0</v>
      </c>
      <c r="L42" s="172">
        <v>0</v>
      </c>
      <c r="M42" s="1286"/>
      <c r="N42" s="378" t="s">
        <v>64</v>
      </c>
      <c r="O42" s="1283">
        <v>0</v>
      </c>
      <c r="P42" s="540" t="s">
        <v>221</v>
      </c>
      <c r="Q42" s="315"/>
      <c r="R42" s="315">
        <v>0</v>
      </c>
      <c r="S42" s="315">
        <f>G42+'DEC-22'!S42</f>
        <v>0</v>
      </c>
      <c r="T42" s="314" t="s">
        <v>221</v>
      </c>
      <c r="U42" s="314">
        <v>0</v>
      </c>
    </row>
    <row r="43" spans="1:27" ht="15.4" x14ac:dyDescent="0.4">
      <c r="A43" s="2387"/>
      <c r="B43" s="378" t="s">
        <v>4</v>
      </c>
      <c r="C43" s="1283">
        <v>4.06481E-2</v>
      </c>
      <c r="D43" s="540" t="s">
        <v>221</v>
      </c>
      <c r="E43" s="315"/>
      <c r="F43" s="381">
        <v>0</v>
      </c>
      <c r="G43" s="313">
        <v>1.4E-3</v>
      </c>
      <c r="H43" s="314" t="s">
        <v>221</v>
      </c>
      <c r="I43" s="314">
        <v>0</v>
      </c>
      <c r="J43" s="84">
        <f t="shared" si="3"/>
        <v>0</v>
      </c>
      <c r="L43" s="172">
        <v>4.0018400000000003E-2</v>
      </c>
      <c r="M43" s="1286"/>
      <c r="N43" s="378" t="s">
        <v>4</v>
      </c>
      <c r="O43" s="1283">
        <v>4.06481E-2</v>
      </c>
      <c r="P43" s="540" t="s">
        <v>221</v>
      </c>
      <c r="Q43" s="315"/>
      <c r="R43" s="315">
        <v>4.0018400000000003E-2</v>
      </c>
      <c r="S43" s="315">
        <f>'actual fig'!W32/10000000</f>
        <v>0.211532</v>
      </c>
      <c r="T43" s="314" t="s">
        <v>221</v>
      </c>
      <c r="U43" s="314">
        <f>(S43-R43)/R43*100</f>
        <v>428.5868500489774</v>
      </c>
    </row>
    <row r="44" spans="1:27" ht="15.4" x14ac:dyDescent="0.4">
      <c r="A44" s="780"/>
      <c r="B44" s="378" t="s">
        <v>259</v>
      </c>
      <c r="C44" s="1283">
        <v>0.53</v>
      </c>
      <c r="D44" s="540" t="s">
        <v>221</v>
      </c>
      <c r="E44" s="315"/>
      <c r="F44" s="1039">
        <v>8.0110000000000001E-2</v>
      </c>
      <c r="G44" s="313">
        <v>7.7865299999999998E-2</v>
      </c>
      <c r="H44" s="407" t="s">
        <v>221</v>
      </c>
      <c r="I44" s="314">
        <f>(G44-F44)/F44*100</f>
        <v>-2.8020222194482614</v>
      </c>
      <c r="J44" s="84">
        <f t="shared" si="3"/>
        <v>0</v>
      </c>
      <c r="L44" s="172">
        <v>0.93056630000000007</v>
      </c>
      <c r="M44" s="1204"/>
      <c r="N44" s="378" t="s">
        <v>259</v>
      </c>
      <c r="O44" s="1283">
        <v>0.53</v>
      </c>
      <c r="P44" s="540" t="s">
        <v>221</v>
      </c>
      <c r="Q44" s="315"/>
      <c r="R44" s="315">
        <v>0.46</v>
      </c>
      <c r="S44" s="315">
        <f>'actual fig'!X32/10000000</f>
        <v>1.4870227</v>
      </c>
      <c r="T44" s="407" t="s">
        <v>221</v>
      </c>
      <c r="U44" s="314">
        <f>(S44-R44)/R44*100</f>
        <v>223.26580434782608</v>
      </c>
    </row>
    <row r="45" spans="1:27" x14ac:dyDescent="0.35">
      <c r="A45" s="2387"/>
      <c r="B45" s="2309" t="s">
        <v>419</v>
      </c>
      <c r="C45" s="2310"/>
      <c r="D45" s="2310"/>
      <c r="E45" s="2310"/>
      <c r="F45" s="2310"/>
      <c r="G45" s="2310"/>
      <c r="H45" s="2310"/>
      <c r="I45" s="2311"/>
      <c r="M45" s="2388"/>
      <c r="N45" s="2309" t="s">
        <v>419</v>
      </c>
      <c r="O45" s="2310"/>
      <c r="P45" s="2310"/>
      <c r="Q45" s="2310"/>
      <c r="R45" s="2310"/>
      <c r="S45" s="2310"/>
      <c r="T45" s="2310"/>
      <c r="U45" s="2311"/>
    </row>
    <row r="46" spans="1:27" ht="15.4" x14ac:dyDescent="0.4">
      <c r="A46" s="2387"/>
      <c r="B46" s="378" t="s">
        <v>798</v>
      </c>
      <c r="C46" s="1283">
        <v>4.4567049999999995</v>
      </c>
      <c r="D46" s="331">
        <v>37.090000000000003</v>
      </c>
      <c r="E46" s="315">
        <v>2.3199999999999998</v>
      </c>
      <c r="F46" s="315">
        <v>0.66512499999999997</v>
      </c>
      <c r="G46" s="315">
        <f>'actual fig'!L30/1000000</f>
        <v>1.641313</v>
      </c>
      <c r="H46" s="316">
        <f>(G46-E46)/E46*100</f>
        <v>-29.253749999999997</v>
      </c>
      <c r="I46" s="314">
        <f>(G46-F46)/F46*100</f>
        <v>146.76760007517387</v>
      </c>
      <c r="J46" s="84">
        <f>94132</f>
        <v>94132</v>
      </c>
      <c r="L46" s="172">
        <f>K46/100000</f>
        <v>0</v>
      </c>
      <c r="M46" s="2388"/>
      <c r="N46" s="378" t="s">
        <v>794</v>
      </c>
      <c r="O46" s="1283">
        <v>4.4567049999999995</v>
      </c>
      <c r="P46" s="331">
        <v>28.87</v>
      </c>
      <c r="Q46" s="315">
        <v>27.82</v>
      </c>
      <c r="R46" s="315">
        <v>3.5068339999999996</v>
      </c>
      <c r="S46" s="315">
        <v>17.092328999999999</v>
      </c>
      <c r="T46" s="316">
        <f>(S46-Q46)/Q46*100</f>
        <v>-38.561002875629043</v>
      </c>
      <c r="U46" s="314">
        <f>(S46-R46)/R46*100</f>
        <v>387.40057271031367</v>
      </c>
      <c r="V46" s="12">
        <f>R46+R47</f>
        <v>4.3767259999999997</v>
      </c>
      <c r="W46" s="12">
        <f>S46+S47</f>
        <v>30.834007</v>
      </c>
      <c r="X46" s="5">
        <f>(W46-V46)/V46*100</f>
        <v>604.49936779227221</v>
      </c>
      <c r="Y46" s="12">
        <f>R47+R48</f>
        <v>10.490297000000002</v>
      </c>
      <c r="Z46" s="12">
        <f>S47+S48</f>
        <v>25.51033</v>
      </c>
      <c r="AA46" s="5">
        <f>(Z46-Y46)/Y46*100</f>
        <v>143.18024551640431</v>
      </c>
    </row>
    <row r="47" spans="1:27" ht="15.4" x14ac:dyDescent="0.4">
      <c r="A47" s="2387"/>
      <c r="B47" s="1280" t="s">
        <v>799</v>
      </c>
      <c r="C47" s="1285">
        <v>1.1915969999999998</v>
      </c>
      <c r="D47" s="2067">
        <v>43.23</v>
      </c>
      <c r="E47" s="2154">
        <v>2.84</v>
      </c>
      <c r="F47" s="315">
        <v>0.161415</v>
      </c>
      <c r="G47" s="315">
        <f>'actual fig'!M30/1000000</f>
        <v>1.4603029999999999</v>
      </c>
      <c r="H47" s="2027">
        <f>L47</f>
        <v>-13.591197183098593</v>
      </c>
      <c r="I47" s="314">
        <f>(G47-F47)/F47*100</f>
        <v>804.68853576185597</v>
      </c>
      <c r="J47" s="84">
        <v>31105</v>
      </c>
      <c r="K47" s="323">
        <f>G47+G48</f>
        <v>2.4540099999999998</v>
      </c>
      <c r="L47" s="1151">
        <f>(K47-E47)/E47*100</f>
        <v>-13.591197183098593</v>
      </c>
      <c r="M47" s="2388"/>
      <c r="N47" s="1280" t="s">
        <v>792</v>
      </c>
      <c r="O47" s="1285">
        <v>1.1915969999999998</v>
      </c>
      <c r="P47" s="2067">
        <v>33.659999999999997</v>
      </c>
      <c r="Q47" s="2154">
        <v>32.130000000000003</v>
      </c>
      <c r="R47" s="315">
        <v>0.86989199999999989</v>
      </c>
      <c r="S47" s="315">
        <v>13.741678</v>
      </c>
      <c r="T47" s="2027">
        <f>X47</f>
        <v>-20.602769996887652</v>
      </c>
      <c r="U47" s="314">
        <f>(S47-R47)/R47*100</f>
        <v>1479.6993189959214</v>
      </c>
      <c r="V47" s="12">
        <f>R47+R48</f>
        <v>10.490297000000002</v>
      </c>
      <c r="W47" s="12">
        <f>S47+S48</f>
        <v>25.51033</v>
      </c>
      <c r="X47" s="172">
        <f>(W47-Q47)/Q47*100</f>
        <v>-20.602769996887652</v>
      </c>
    </row>
    <row r="48" spans="1:27" ht="16.5" x14ac:dyDescent="0.55000000000000004">
      <c r="A48" s="2387"/>
      <c r="B48" s="320" t="s">
        <v>800</v>
      </c>
      <c r="C48" s="1285">
        <v>10.963100000000001</v>
      </c>
      <c r="D48" s="2068"/>
      <c r="E48" s="2155"/>
      <c r="F48" s="315">
        <v>1.154882</v>
      </c>
      <c r="G48" s="315">
        <f>'actual fig'!N30/1000000</f>
        <v>0.99370700000000001</v>
      </c>
      <c r="H48" s="2029"/>
      <c r="I48" s="314">
        <f>(G48-F48)/F48*100</f>
        <v>-13.955971259401389</v>
      </c>
      <c r="J48" s="755">
        <v>205039</v>
      </c>
      <c r="K48" s="755"/>
      <c r="M48" s="2388"/>
      <c r="N48" s="320" t="s">
        <v>793</v>
      </c>
      <c r="O48" s="1285">
        <v>10.963100000000001</v>
      </c>
      <c r="P48" s="2068"/>
      <c r="Q48" s="2155"/>
      <c r="R48" s="315">
        <v>9.6204050000000016</v>
      </c>
      <c r="S48" s="315">
        <v>11.768651999999999</v>
      </c>
      <c r="T48" s="2029"/>
      <c r="U48" s="314">
        <f>(S48-R48)/R48*100</f>
        <v>22.330109803069593</v>
      </c>
    </row>
    <row r="49" spans="1:33" ht="15.75" customHeight="1" x14ac:dyDescent="0.35">
      <c r="A49" s="2387">
        <v>6</v>
      </c>
      <c r="B49" s="2309" t="s">
        <v>812</v>
      </c>
      <c r="C49" s="2310"/>
      <c r="D49" s="2310"/>
      <c r="E49" s="2310"/>
      <c r="F49" s="2310"/>
      <c r="G49" s="2310"/>
      <c r="H49" s="2310"/>
      <c r="I49" s="2311"/>
      <c r="M49" s="2388">
        <v>6</v>
      </c>
      <c r="N49" s="2309" t="s">
        <v>812</v>
      </c>
      <c r="O49" s="2310"/>
      <c r="P49" s="2310"/>
      <c r="Q49" s="2310"/>
      <c r="R49" s="2310"/>
      <c r="S49" s="2310"/>
      <c r="T49" s="2310"/>
      <c r="U49" s="2311"/>
    </row>
    <row r="50" spans="1:33" ht="15.4" x14ac:dyDescent="0.4">
      <c r="A50" s="2387"/>
      <c r="B50" s="2006" t="s">
        <v>36</v>
      </c>
      <c r="C50" s="2007"/>
      <c r="D50" s="2368">
        <v>293</v>
      </c>
      <c r="E50" s="2024" t="s">
        <v>221</v>
      </c>
      <c r="F50" s="313">
        <v>232.2</v>
      </c>
      <c r="G50" s="313">
        <v>146.91999999999999</v>
      </c>
      <c r="H50" s="2027">
        <f>(G52-D50)/D50*100</f>
        <v>-37.098976109215023</v>
      </c>
      <c r="I50" s="314">
        <f>(G50-F50)/F50*100</f>
        <v>-36.726959517657193</v>
      </c>
      <c r="M50" s="2388"/>
      <c r="N50" s="2006" t="s">
        <v>36</v>
      </c>
      <c r="O50" s="2007"/>
      <c r="P50" s="2368">
        <v>293</v>
      </c>
      <c r="Q50" s="2024" t="s">
        <v>221</v>
      </c>
      <c r="R50" s="313">
        <v>232.2</v>
      </c>
      <c r="S50" s="313">
        <v>146.91999999999999</v>
      </c>
      <c r="T50" s="2027">
        <f>(S52-P50)/P50*100</f>
        <v>-37.098976109215023</v>
      </c>
      <c r="U50" s="314">
        <f>(S50-R50)/R50*100</f>
        <v>-36.726959517657193</v>
      </c>
    </row>
    <row r="51" spans="1:33" ht="15.4" x14ac:dyDescent="0.4">
      <c r="A51" s="2387"/>
      <c r="B51" s="2006" t="s">
        <v>37</v>
      </c>
      <c r="C51" s="2007"/>
      <c r="D51" s="2369"/>
      <c r="E51" s="2025"/>
      <c r="F51" s="313">
        <v>44.85</v>
      </c>
      <c r="G51" s="313">
        <v>37.380000000000003</v>
      </c>
      <c r="H51" s="2028"/>
      <c r="I51" s="314">
        <f>(G51-F51)/F51*100</f>
        <v>-16.655518394648826</v>
      </c>
      <c r="M51" s="2388"/>
      <c r="N51" s="2006" t="s">
        <v>37</v>
      </c>
      <c r="O51" s="2007"/>
      <c r="P51" s="2369"/>
      <c r="Q51" s="2025"/>
      <c r="R51" s="313">
        <v>44.85</v>
      </c>
      <c r="S51" s="313">
        <v>37.380000000000003</v>
      </c>
      <c r="T51" s="2028"/>
      <c r="U51" s="314">
        <f>(S51-R51)/R51*100</f>
        <v>-16.655518394648826</v>
      </c>
    </row>
    <row r="52" spans="1:33" ht="15.4" x14ac:dyDescent="0.4">
      <c r="A52" s="2387"/>
      <c r="B52" s="2006" t="s">
        <v>38</v>
      </c>
      <c r="C52" s="2007"/>
      <c r="D52" s="2245"/>
      <c r="E52" s="2026"/>
      <c r="F52" s="313">
        <f>SUM(F50:F51)</f>
        <v>277.05</v>
      </c>
      <c r="G52" s="313">
        <f>SUM(G50:G51)</f>
        <v>184.29999999999998</v>
      </c>
      <c r="H52" s="2029"/>
      <c r="I52" s="314">
        <f>(G52-F52)/F52*100</f>
        <v>-33.477711604403545</v>
      </c>
      <c r="M52" s="2388"/>
      <c r="N52" s="2006" t="s">
        <v>38</v>
      </c>
      <c r="O52" s="2007"/>
      <c r="P52" s="2245"/>
      <c r="Q52" s="2026"/>
      <c r="R52" s="313">
        <f>SUM(R50:R51)</f>
        <v>277.05</v>
      </c>
      <c r="S52" s="313">
        <f>SUM(S50:S51)</f>
        <v>184.29999999999998</v>
      </c>
      <c r="T52" s="2029"/>
      <c r="U52" s="314">
        <f>(S52-R52)/R52*100</f>
        <v>-33.477711604403545</v>
      </c>
    </row>
    <row r="53" spans="1:33" x14ac:dyDescent="0.4">
      <c r="H53" s="41"/>
      <c r="I53" s="41"/>
    </row>
    <row r="54" spans="1:33" ht="15.4" x14ac:dyDescent="0.4">
      <c r="E54" s="12"/>
      <c r="F54" s="12"/>
      <c r="G54" s="12"/>
      <c r="H54" s="314"/>
      <c r="I54" s="314"/>
      <c r="J54" s="314"/>
      <c r="Q54" s="12"/>
      <c r="R54" s="12">
        <f t="shared" ref="R54:S56" si="4">(R46*1000000)/100000</f>
        <v>35.068339999999992</v>
      </c>
      <c r="S54" s="12">
        <f t="shared" si="4"/>
        <v>170.92329000000001</v>
      </c>
      <c r="T54" s="314"/>
      <c r="U54" s="314">
        <f>(S54-R54)/R54*100</f>
        <v>387.40057271031378</v>
      </c>
      <c r="W54" s="12">
        <f>R55+R56</f>
        <v>104.90297000000002</v>
      </c>
      <c r="X54" s="12">
        <f>S55+S56</f>
        <v>255.10329999999999</v>
      </c>
      <c r="Z54" s="314">
        <f>(X54-W54)/W54*100</f>
        <v>143.18024551640428</v>
      </c>
    </row>
    <row r="55" spans="1:33" ht="15.4" x14ac:dyDescent="0.4">
      <c r="H55" s="35"/>
      <c r="I55" s="5"/>
      <c r="J55" s="35"/>
      <c r="K55" s="5"/>
      <c r="L55" s="35"/>
      <c r="P55" s="12"/>
      <c r="Q55" s="12"/>
      <c r="R55" s="12">
        <f t="shared" si="4"/>
        <v>8.6989199999999993</v>
      </c>
      <c r="S55" s="12">
        <f t="shared" si="4"/>
        <v>137.41677999999999</v>
      </c>
      <c r="U55" s="314">
        <f>(S55-R55)/R55*100</f>
        <v>1479.6993189959214</v>
      </c>
    </row>
    <row r="56" spans="1:33" ht="15.4" x14ac:dyDescent="0.4">
      <c r="R56" s="12">
        <f t="shared" si="4"/>
        <v>96.204050000000024</v>
      </c>
      <c r="S56" s="12">
        <f t="shared" si="4"/>
        <v>117.68652</v>
      </c>
      <c r="U56" s="314">
        <f>(S56-R56)/R56*100</f>
        <v>22.330109803069593</v>
      </c>
    </row>
    <row r="57" spans="1:33" x14ac:dyDescent="0.4">
      <c r="D57" s="85"/>
      <c r="E57" s="1192">
        <v>44614</v>
      </c>
      <c r="F57" s="1192">
        <v>44980</v>
      </c>
      <c r="H57" s="1192">
        <f>E57</f>
        <v>44614</v>
      </c>
      <c r="I57" s="1192">
        <f>F57</f>
        <v>44980</v>
      </c>
      <c r="R57" s="12">
        <f>SUM(R54:R56)</f>
        <v>139.97131000000002</v>
      </c>
      <c r="S57" s="12">
        <f>SUM(S54:S56)</f>
        <v>426.02658999999994</v>
      </c>
      <c r="T57" s="26" t="s">
        <v>156</v>
      </c>
      <c r="U57" s="26" t="s">
        <v>777</v>
      </c>
      <c r="W57" s="26" t="s">
        <v>156</v>
      </c>
      <c r="X57" s="26" t="s">
        <v>777</v>
      </c>
      <c r="Z57" s="26" t="s">
        <v>181</v>
      </c>
    </row>
    <row r="58" spans="1:33" ht="15.75" x14ac:dyDescent="0.4">
      <c r="D58" s="1195" t="s">
        <v>766</v>
      </c>
      <c r="E58" s="33"/>
      <c r="F58" s="33"/>
      <c r="H58" s="1244"/>
      <c r="I58" s="1245"/>
      <c r="S58" s="9" t="s">
        <v>152</v>
      </c>
      <c r="T58" s="1291">
        <f>E57</f>
        <v>44614</v>
      </c>
      <c r="U58" s="1291">
        <f>F57</f>
        <v>44980</v>
      </c>
      <c r="V58" s="26"/>
      <c r="W58" s="1291">
        <v>44958</v>
      </c>
      <c r="X58" s="1291">
        <v>44958</v>
      </c>
      <c r="Y58" s="26"/>
      <c r="Z58" s="1291">
        <f>T58</f>
        <v>44614</v>
      </c>
      <c r="AA58" s="1291">
        <f>X58</f>
        <v>44958</v>
      </c>
      <c r="AC58" s="5">
        <v>57578</v>
      </c>
      <c r="AD58" s="5">
        <v>330299</v>
      </c>
      <c r="AE58" s="5">
        <v>76550</v>
      </c>
    </row>
    <row r="59" spans="1:33" ht="16.149999999999999" x14ac:dyDescent="0.55000000000000004">
      <c r="D59" s="85" t="s">
        <v>94</v>
      </c>
      <c r="E59" s="1193">
        <f t="shared" ref="E59:F61" si="5">H59/10000000</f>
        <v>0.3363834</v>
      </c>
      <c r="F59" s="1193">
        <f t="shared" si="5"/>
        <v>0.71766479999999999</v>
      </c>
      <c r="H59" s="1246">
        <f>U64</f>
        <v>3363834</v>
      </c>
      <c r="I59" s="1246">
        <f>X64</f>
        <v>7176648</v>
      </c>
      <c r="J59" s="1215"/>
      <c r="K59" s="1215"/>
      <c r="S59" s="6" t="s">
        <v>782</v>
      </c>
      <c r="T59" s="6">
        <v>253264</v>
      </c>
      <c r="U59" s="6">
        <v>1192326</v>
      </c>
      <c r="W59" s="6">
        <v>289113</v>
      </c>
      <c r="X59" s="1297">
        <v>1741576</v>
      </c>
      <c r="Z59" s="6">
        <v>125940</v>
      </c>
      <c r="AA59" s="6">
        <v>420680</v>
      </c>
      <c r="AC59" s="5">
        <v>53354</v>
      </c>
      <c r="AD59" s="5">
        <v>314365</v>
      </c>
      <c r="AE59" s="5">
        <v>79370</v>
      </c>
    </row>
    <row r="60" spans="1:33" ht="16.149999999999999" x14ac:dyDescent="0.55000000000000004">
      <c r="D60" s="85" t="s">
        <v>502</v>
      </c>
      <c r="E60" s="1193">
        <f t="shared" si="5"/>
        <v>0.34663949999999999</v>
      </c>
      <c r="F60" s="1193">
        <f t="shared" si="5"/>
        <v>10.927126299999999</v>
      </c>
      <c r="H60" s="1246">
        <f>U71</f>
        <v>3466395</v>
      </c>
      <c r="I60" s="1246">
        <f>X71</f>
        <v>109271263</v>
      </c>
      <c r="J60" s="1215"/>
      <c r="K60" s="1215"/>
      <c r="L60" s="1217"/>
      <c r="S60" s="1261" t="s">
        <v>789</v>
      </c>
      <c r="T60" s="6">
        <v>216619</v>
      </c>
      <c r="U60" s="6">
        <v>1148002</v>
      </c>
      <c r="V60" s="632"/>
      <c r="W60" s="6">
        <v>597322</v>
      </c>
      <c r="X60" s="6">
        <v>3581375</v>
      </c>
      <c r="Y60" s="632"/>
      <c r="Z60" s="6">
        <v>149880</v>
      </c>
      <c r="AA60" s="6">
        <v>782160</v>
      </c>
      <c r="AC60" s="41">
        <v>50439</v>
      </c>
      <c r="AD60" s="41">
        <v>309020</v>
      </c>
      <c r="AE60" s="5">
        <v>78160</v>
      </c>
      <c r="AF60" s="632"/>
      <c r="AG60" s="632"/>
    </row>
    <row r="61" spans="1:33" ht="16.899999999999999" thickBot="1" x14ac:dyDescent="0.6">
      <c r="D61" s="85" t="s">
        <v>767</v>
      </c>
      <c r="E61" s="1193">
        <f t="shared" si="5"/>
        <v>58.172972000000001</v>
      </c>
      <c r="F61" s="1193">
        <f t="shared" si="5"/>
        <v>68.077553800000004</v>
      </c>
      <c r="H61" s="755">
        <v>581729720</v>
      </c>
      <c r="I61" s="755">
        <v>680775538</v>
      </c>
      <c r="J61" s="1215"/>
      <c r="K61" s="824"/>
      <c r="L61" s="1217"/>
      <c r="Q61" s="5">
        <f>Q46*1000000</f>
        <v>27820000</v>
      </c>
      <c r="S61" s="1273">
        <v>44947</v>
      </c>
      <c r="T61" s="1274">
        <v>195242</v>
      </c>
      <c r="U61" s="6">
        <v>1023506</v>
      </c>
      <c r="W61" s="6">
        <v>288290</v>
      </c>
      <c r="X61" s="1297">
        <v>1853697</v>
      </c>
      <c r="Z61" s="6">
        <v>127880</v>
      </c>
      <c r="AA61" s="6">
        <v>482050</v>
      </c>
      <c r="AB61" s="1239"/>
      <c r="AC61" s="41">
        <v>45071</v>
      </c>
      <c r="AD61" s="41">
        <v>280882</v>
      </c>
      <c r="AE61" s="172">
        <v>70290</v>
      </c>
    </row>
    <row r="62" spans="1:33" ht="15.4" x14ac:dyDescent="0.4">
      <c r="E62" s="428"/>
      <c r="F62" s="428"/>
      <c r="K62" s="212"/>
      <c r="L62" s="1217"/>
      <c r="Q62" s="5">
        <f>Q61/100000</f>
        <v>278.2</v>
      </c>
      <c r="S62" s="1273">
        <v>44948</v>
      </c>
      <c r="T62" s="1274"/>
      <c r="U62" s="6"/>
      <c r="W62" s="6"/>
      <c r="X62" s="1297"/>
      <c r="Z62" s="6"/>
      <c r="AA62" s="6"/>
      <c r="AB62" s="1239"/>
      <c r="AC62" s="41">
        <v>41360</v>
      </c>
      <c r="AD62" s="41">
        <v>312048</v>
      </c>
      <c r="AE62" s="172">
        <v>83580</v>
      </c>
    </row>
    <row r="63" spans="1:33" ht="15.4" x14ac:dyDescent="0.4">
      <c r="E63" s="428"/>
      <c r="F63" s="428"/>
      <c r="I63" s="82">
        <f>J63/1000000</f>
        <v>0.23699999999999999</v>
      </c>
      <c r="J63" s="84">
        <f>2.37*100000</f>
        <v>237000</v>
      </c>
      <c r="K63" s="212"/>
      <c r="L63" s="1217"/>
      <c r="S63" s="1261"/>
      <c r="T63" s="331"/>
      <c r="U63" s="6"/>
      <c r="W63" s="6"/>
      <c r="X63" s="1297"/>
      <c r="Z63" s="6"/>
      <c r="AA63" s="6"/>
      <c r="AB63" s="1239"/>
      <c r="AC63" s="41">
        <v>40488</v>
      </c>
      <c r="AD63" s="41">
        <v>307083</v>
      </c>
      <c r="AE63" s="172">
        <v>94100</v>
      </c>
    </row>
    <row r="64" spans="1:33" ht="16.149999999999999" x14ac:dyDescent="0.55000000000000004">
      <c r="D64" s="1195" t="s">
        <v>768</v>
      </c>
      <c r="E64" s="1193"/>
      <c r="F64" s="1193"/>
      <c r="J64" s="755"/>
      <c r="K64" s="259"/>
      <c r="L64" s="1217"/>
      <c r="S64" s="26" t="s">
        <v>187</v>
      </c>
      <c r="T64" s="26">
        <f>SUM(T59:T63)</f>
        <v>665125</v>
      </c>
      <c r="U64" s="26">
        <f t="shared" ref="U64:AA64" si="6">SUM(U59:U63)</f>
        <v>3363834</v>
      </c>
      <c r="V64" s="26"/>
      <c r="W64" s="9">
        <f>SUM(W59:W63)</f>
        <v>1174725</v>
      </c>
      <c r="X64" s="9">
        <f t="shared" si="6"/>
        <v>7176648</v>
      </c>
      <c r="Y64" s="26"/>
      <c r="Z64" s="9">
        <f t="shared" si="6"/>
        <v>403700</v>
      </c>
      <c r="AA64" s="9">
        <f t="shared" si="6"/>
        <v>1684890</v>
      </c>
      <c r="AB64" s="1262"/>
      <c r="AC64" s="41">
        <f>SUM(AC58:AC63)</f>
        <v>288290</v>
      </c>
      <c r="AD64" s="41">
        <f>SUM(AD58:AD63)</f>
        <v>1853697</v>
      </c>
      <c r="AE64" s="41">
        <f>SUM(AE58:AE63)</f>
        <v>482050</v>
      </c>
    </row>
    <row r="65" spans="3:31" ht="16.149999999999999" x14ac:dyDescent="0.55000000000000004">
      <c r="D65" s="85" t="s">
        <v>94</v>
      </c>
      <c r="E65" s="1193">
        <f t="shared" ref="E65:F67" si="7">H65/1000000</f>
        <v>0.66512499999999997</v>
      </c>
      <c r="F65" s="1193">
        <f t="shared" si="7"/>
        <v>1.174725</v>
      </c>
      <c r="H65" s="1243">
        <f>T64</f>
        <v>665125</v>
      </c>
      <c r="I65" s="1243">
        <f>W64</f>
        <v>1174725</v>
      </c>
      <c r="J65" s="323">
        <f t="shared" ref="J65:K67" si="8">H65/100000</f>
        <v>6.6512500000000001</v>
      </c>
      <c r="K65" s="323">
        <f t="shared" si="8"/>
        <v>11.747249999999999</v>
      </c>
      <c r="L65" s="491">
        <f>K65/100000</f>
        <v>1.174725E-4</v>
      </c>
      <c r="S65" s="9" t="s">
        <v>783</v>
      </c>
      <c r="T65" s="6"/>
      <c r="U65" s="1261"/>
      <c r="W65" s="6"/>
      <c r="X65" s="1297"/>
      <c r="Z65" s="6"/>
      <c r="AA65" s="6"/>
      <c r="AB65" s="1239"/>
      <c r="AC65" s="41">
        <v>50768</v>
      </c>
      <c r="AD65" s="41">
        <v>4923097</v>
      </c>
      <c r="AE65" s="172"/>
    </row>
    <row r="66" spans="3:31" ht="16.149999999999999" x14ac:dyDescent="0.55000000000000004">
      <c r="D66" s="85" t="s">
        <v>502</v>
      </c>
      <c r="E66" s="1193">
        <f t="shared" si="7"/>
        <v>0.161415</v>
      </c>
      <c r="F66" s="1193">
        <f t="shared" si="7"/>
        <v>1.092166</v>
      </c>
      <c r="H66" s="1243">
        <f>T71</f>
        <v>161415</v>
      </c>
      <c r="I66" s="1243">
        <f>W71</f>
        <v>1092166</v>
      </c>
      <c r="J66" s="323">
        <f t="shared" si="8"/>
        <v>1.61415</v>
      </c>
      <c r="K66" s="323">
        <f t="shared" si="8"/>
        <v>10.921659999999999</v>
      </c>
      <c r="L66" s="491">
        <f>K66/100000</f>
        <v>1.0921659999999999E-4</v>
      </c>
      <c r="S66" s="6" t="s">
        <v>782</v>
      </c>
      <c r="T66" s="6">
        <v>58327</v>
      </c>
      <c r="U66" s="6">
        <v>1118200</v>
      </c>
      <c r="W66" s="6">
        <v>258000</v>
      </c>
      <c r="X66" s="1297">
        <v>24681160</v>
      </c>
      <c r="Z66" s="6"/>
      <c r="AA66" s="6"/>
      <c r="AB66" s="1239"/>
      <c r="AC66" s="41">
        <v>45797</v>
      </c>
      <c r="AD66" s="41">
        <v>4545698</v>
      </c>
      <c r="AE66" s="172"/>
    </row>
    <row r="67" spans="3:31" ht="16.5" thickBot="1" x14ac:dyDescent="0.6">
      <c r="D67" s="85" t="s">
        <v>767</v>
      </c>
      <c r="E67" s="1193">
        <f t="shared" si="7"/>
        <v>1.077607</v>
      </c>
      <c r="F67" s="1193">
        <f t="shared" si="7"/>
        <v>0.92011299999999996</v>
      </c>
      <c r="H67" s="910">
        <v>1077607</v>
      </c>
      <c r="I67" s="910">
        <v>920113</v>
      </c>
      <c r="J67" s="323">
        <f t="shared" si="8"/>
        <v>10.776070000000001</v>
      </c>
      <c r="K67" s="323">
        <f t="shared" si="8"/>
        <v>9.2011299999999991</v>
      </c>
      <c r="L67" s="491">
        <f>K67/100000</f>
        <v>9.2011299999999991E-5</v>
      </c>
      <c r="S67" s="1261" t="s">
        <v>789</v>
      </c>
      <c r="T67" s="6">
        <v>53742</v>
      </c>
      <c r="U67" s="6">
        <v>1266705</v>
      </c>
      <c r="W67" s="6">
        <v>552593</v>
      </c>
      <c r="X67" s="1297">
        <v>55522320</v>
      </c>
      <c r="Z67" s="6"/>
      <c r="AA67" s="6"/>
      <c r="AB67" s="1239"/>
      <c r="AC67" s="41">
        <v>44590</v>
      </c>
      <c r="AD67" s="41">
        <v>4366605</v>
      </c>
      <c r="AE67" s="172"/>
    </row>
    <row r="68" spans="3:31" x14ac:dyDescent="0.4">
      <c r="E68" s="428"/>
      <c r="F68" s="323"/>
      <c r="H68" s="1224"/>
      <c r="I68" s="1225"/>
      <c r="K68" s="212"/>
      <c r="L68" s="1217"/>
      <c r="S68" s="1273">
        <v>44947</v>
      </c>
      <c r="T68" s="6">
        <v>49346</v>
      </c>
      <c r="U68" s="6">
        <v>1081490</v>
      </c>
      <c r="W68" s="6">
        <v>281573</v>
      </c>
      <c r="X68" s="1297">
        <v>29067783</v>
      </c>
      <c r="Z68" s="6"/>
      <c r="AA68" s="6"/>
      <c r="AB68" s="1239"/>
      <c r="AC68" s="5">
        <v>45433</v>
      </c>
      <c r="AD68" s="5">
        <v>4746788</v>
      </c>
      <c r="AE68" s="172"/>
    </row>
    <row r="69" spans="3:31" x14ac:dyDescent="0.4">
      <c r="E69" s="428"/>
      <c r="F69" s="323"/>
      <c r="H69" s="1224"/>
      <c r="I69" s="1225"/>
      <c r="K69" s="212"/>
      <c r="L69" s="1217"/>
      <c r="S69" s="1273">
        <v>44948</v>
      </c>
      <c r="T69" s="6"/>
      <c r="U69" s="6"/>
      <c r="W69" s="6"/>
      <c r="X69" s="1297"/>
      <c r="Z69" s="6"/>
      <c r="AA69" s="6"/>
      <c r="AB69" s="1239"/>
      <c r="AC69" s="5">
        <v>46734</v>
      </c>
      <c r="AD69" s="5">
        <v>5143959</v>
      </c>
      <c r="AE69" s="172"/>
    </row>
    <row r="70" spans="3:31" x14ac:dyDescent="0.4">
      <c r="D70" s="1195" t="s">
        <v>436</v>
      </c>
      <c r="E70" s="134">
        <f>H70</f>
        <v>1.3319291</v>
      </c>
      <c r="F70" s="134">
        <f>I70</f>
        <v>1.8884965</v>
      </c>
      <c r="H70" s="1263">
        <f t="shared" ref="H70:I75" si="9">J70/10000000</f>
        <v>1.3319291</v>
      </c>
      <c r="I70" s="1263">
        <f t="shared" si="9"/>
        <v>1.8884965</v>
      </c>
      <c r="J70" s="212">
        <v>13319291</v>
      </c>
      <c r="K70" s="212">
        <v>18884965</v>
      </c>
      <c r="L70" s="1217"/>
      <c r="S70" s="1261"/>
      <c r="T70" s="6"/>
      <c r="U70" s="6"/>
      <c r="W70" s="6"/>
      <c r="X70" s="1297"/>
      <c r="Z70" s="6"/>
      <c r="AA70" s="6"/>
      <c r="AB70" s="1239"/>
      <c r="AC70" s="5">
        <v>48251</v>
      </c>
      <c r="AD70" s="5">
        <v>5341636</v>
      </c>
    </row>
    <row r="71" spans="3:31" x14ac:dyDescent="0.4">
      <c r="C71" s="5">
        <f>66.07-3.11</f>
        <v>62.959999999999994</v>
      </c>
      <c r="D71" s="1195" t="s">
        <v>769</v>
      </c>
      <c r="E71" s="134">
        <f>J78/100</f>
        <v>1.7482</v>
      </c>
      <c r="F71" s="134">
        <f>K78/100</f>
        <v>1.4278999999999999</v>
      </c>
      <c r="H71" s="1263">
        <f t="shared" si="9"/>
        <v>0</v>
      </c>
      <c r="I71" s="1263">
        <f t="shared" si="9"/>
        <v>0</v>
      </c>
      <c r="K71" s="323"/>
      <c r="L71" s="1217"/>
      <c r="S71" s="9" t="s">
        <v>784</v>
      </c>
      <c r="T71" s="9">
        <f>SUM(T66:T70)</f>
        <v>161415</v>
      </c>
      <c r="U71" s="9">
        <f>SUM(U66:U70)</f>
        <v>3466395</v>
      </c>
      <c r="V71" s="26"/>
      <c r="W71" s="9">
        <f>SUM(W66:W70)</f>
        <v>1092166</v>
      </c>
      <c r="X71" s="9">
        <f>SUM(X66:X70)</f>
        <v>109271263</v>
      </c>
      <c r="Y71" s="26"/>
      <c r="Z71" s="9">
        <f>SUM(Z66:Z70)</f>
        <v>0</v>
      </c>
      <c r="AA71" s="9">
        <f>SUM(AA66:AA70)</f>
        <v>0</v>
      </c>
      <c r="AB71" s="1262"/>
      <c r="AC71" s="41">
        <f>SUM(AC65:AC70)</f>
        <v>281573</v>
      </c>
      <c r="AD71" s="41">
        <f>SUM(AD65:AD70)</f>
        <v>29067783</v>
      </c>
    </row>
    <row r="72" spans="3:31" x14ac:dyDescent="0.4">
      <c r="D72" s="1195" t="s">
        <v>125</v>
      </c>
      <c r="E72" s="283">
        <f>J76/100</f>
        <v>8.9099999999999999E-2</v>
      </c>
      <c r="F72" s="283">
        <f>K76/100</f>
        <v>7.0499999999999993E-2</v>
      </c>
      <c r="H72" s="1263">
        <f t="shared" si="9"/>
        <v>0</v>
      </c>
      <c r="I72" s="1263">
        <f t="shared" si="9"/>
        <v>0</v>
      </c>
      <c r="J72" s="1128"/>
      <c r="K72" s="1128"/>
      <c r="L72" s="1217"/>
      <c r="U72" s="1239"/>
      <c r="AB72" s="1239"/>
    </row>
    <row r="73" spans="3:31" x14ac:dyDescent="0.4">
      <c r="D73" s="1195" t="s">
        <v>196</v>
      </c>
      <c r="E73" s="134">
        <f t="shared" ref="E73:F75" si="10">H73</f>
        <v>4.0370000000000003E-2</v>
      </c>
      <c r="F73" s="134">
        <f t="shared" si="10"/>
        <v>0.168489</v>
      </c>
      <c r="H73" s="1263">
        <f t="shared" si="9"/>
        <v>4.0370000000000003E-2</v>
      </c>
      <c r="I73" s="1263">
        <f t="shared" si="9"/>
        <v>0.168489</v>
      </c>
      <c r="J73" s="212">
        <f>Z64</f>
        <v>403700</v>
      </c>
      <c r="K73" s="212">
        <f>AA64</f>
        <v>1684890</v>
      </c>
      <c r="M73" s="1210"/>
      <c r="N73" s="12"/>
      <c r="X73" s="5"/>
    </row>
    <row r="74" spans="3:31" x14ac:dyDescent="0.4">
      <c r="D74" s="1195" t="s">
        <v>123</v>
      </c>
      <c r="E74" s="134">
        <f t="shared" si="10"/>
        <v>0</v>
      </c>
      <c r="F74" s="134">
        <f t="shared" si="10"/>
        <v>2.0974799999999998E-2</v>
      </c>
      <c r="H74" s="1263">
        <f t="shared" si="9"/>
        <v>0</v>
      </c>
      <c r="I74" s="1263">
        <f t="shared" si="9"/>
        <v>2.0974799999999998E-2</v>
      </c>
      <c r="K74" s="212">
        <v>209748</v>
      </c>
    </row>
    <row r="75" spans="3:31" ht="16.5" thickBot="1" x14ac:dyDescent="0.6">
      <c r="D75" s="1195" t="s">
        <v>435</v>
      </c>
      <c r="E75" s="134">
        <f t="shared" si="10"/>
        <v>2.2698816000000002</v>
      </c>
      <c r="F75" s="134">
        <f t="shared" si="10"/>
        <v>3.1520258000000001</v>
      </c>
      <c r="H75" s="1263">
        <f t="shared" si="9"/>
        <v>2.2698816000000002</v>
      </c>
      <c r="I75" s="1263">
        <f t="shared" si="9"/>
        <v>3.1520258000000001</v>
      </c>
      <c r="J75" s="824">
        <v>22698816</v>
      </c>
      <c r="K75" s="755">
        <v>31520258</v>
      </c>
      <c r="N75" s="755"/>
    </row>
    <row r="76" spans="3:31" x14ac:dyDescent="0.4">
      <c r="H76" s="1224"/>
      <c r="I76" s="1225"/>
      <c r="J76" s="84">
        <v>8.91</v>
      </c>
      <c r="K76" s="323">
        <v>7.05</v>
      </c>
      <c r="L76" s="172">
        <f>J76/100</f>
        <v>8.9099999999999999E-2</v>
      </c>
    </row>
    <row r="77" spans="3:31" x14ac:dyDescent="0.4">
      <c r="E77" s="428"/>
      <c r="F77" s="428"/>
      <c r="J77" s="84">
        <v>183.73</v>
      </c>
      <c r="K77" s="84">
        <v>149.84</v>
      </c>
    </row>
    <row r="78" spans="3:31" x14ac:dyDescent="0.4">
      <c r="E78" s="428"/>
      <c r="F78" s="428"/>
      <c r="J78" s="84">
        <f>J77-J76</f>
        <v>174.82</v>
      </c>
      <c r="K78" s="323">
        <f>K77-K76</f>
        <v>142.79</v>
      </c>
      <c r="L78" s="172">
        <f>J78/100</f>
        <v>1.7482</v>
      </c>
    </row>
    <row r="79" spans="3:31" x14ac:dyDescent="0.4">
      <c r="E79" s="428"/>
      <c r="F79" s="428"/>
    </row>
    <row r="80" spans="3:31" x14ac:dyDescent="0.4">
      <c r="D80" s="84" t="s">
        <v>164</v>
      </c>
      <c r="E80" s="428" t="s">
        <v>710</v>
      </c>
      <c r="F80" s="84" t="s">
        <v>164</v>
      </c>
      <c r="G80" s="428" t="s">
        <v>710</v>
      </c>
      <c r="H80" s="84" t="s">
        <v>164</v>
      </c>
      <c r="I80" s="428" t="s">
        <v>710</v>
      </c>
      <c r="J80" s="84" t="s">
        <v>196</v>
      </c>
    </row>
    <row r="81" spans="3:11" x14ac:dyDescent="0.4">
      <c r="D81" s="84">
        <v>22</v>
      </c>
      <c r="E81" s="84">
        <v>22</v>
      </c>
      <c r="F81" s="84">
        <v>22</v>
      </c>
      <c r="G81" s="84">
        <v>22</v>
      </c>
      <c r="H81" s="84">
        <v>22</v>
      </c>
      <c r="I81" s="84">
        <v>22</v>
      </c>
      <c r="J81" s="84">
        <v>22</v>
      </c>
      <c r="K81" s="1292">
        <v>23</v>
      </c>
    </row>
    <row r="82" spans="3:11" x14ac:dyDescent="0.4">
      <c r="D82" s="2437" t="s">
        <v>795</v>
      </c>
      <c r="E82" s="2437"/>
      <c r="F82" s="2437" t="s">
        <v>796</v>
      </c>
      <c r="G82" s="2437"/>
      <c r="H82" s="2437" t="s">
        <v>797</v>
      </c>
      <c r="I82" s="2437"/>
      <c r="J82" s="2437" t="s">
        <v>196</v>
      </c>
      <c r="K82" s="2437"/>
    </row>
    <row r="83" spans="3:11" x14ac:dyDescent="0.4">
      <c r="C83" s="632">
        <v>36923</v>
      </c>
      <c r="D83" s="41">
        <v>27820</v>
      </c>
      <c r="E83" s="1292">
        <v>123814</v>
      </c>
      <c r="F83" s="5">
        <v>7332</v>
      </c>
      <c r="G83" s="5">
        <v>97430</v>
      </c>
      <c r="J83" s="84">
        <v>14200</v>
      </c>
    </row>
    <row r="84" spans="3:11" x14ac:dyDescent="0.4">
      <c r="C84" s="632">
        <v>37288</v>
      </c>
      <c r="D84" s="212">
        <v>28336</v>
      </c>
      <c r="E84" s="428">
        <v>129968</v>
      </c>
      <c r="F84" s="5">
        <v>5600</v>
      </c>
      <c r="G84" s="5">
        <v>105090</v>
      </c>
      <c r="J84" s="84">
        <v>11180</v>
      </c>
    </row>
    <row r="85" spans="3:11" x14ac:dyDescent="0.4">
      <c r="C85" s="632">
        <v>37653</v>
      </c>
      <c r="D85" s="323">
        <v>25596</v>
      </c>
      <c r="E85" s="428">
        <v>114361</v>
      </c>
      <c r="F85" s="5">
        <v>5547</v>
      </c>
      <c r="G85" s="5">
        <v>109090</v>
      </c>
      <c r="J85" s="84">
        <v>11020</v>
      </c>
    </row>
    <row r="86" spans="3:11" x14ac:dyDescent="0.4">
      <c r="C86" s="632">
        <v>38018</v>
      </c>
      <c r="D86" s="323">
        <v>20782</v>
      </c>
      <c r="E86" s="428">
        <v>110428</v>
      </c>
      <c r="F86" s="5">
        <v>5066</v>
      </c>
      <c r="G86" s="5">
        <v>110800</v>
      </c>
      <c r="J86" s="84">
        <v>12350</v>
      </c>
    </row>
    <row r="87" spans="3:11" x14ac:dyDescent="0.4">
      <c r="C87" s="632">
        <v>38384</v>
      </c>
      <c r="D87" s="323">
        <v>16804</v>
      </c>
      <c r="E87" s="428">
        <v>93455</v>
      </c>
      <c r="F87" s="5">
        <v>3597</v>
      </c>
      <c r="G87" s="5">
        <v>106125</v>
      </c>
      <c r="J87" s="84">
        <v>12720</v>
      </c>
    </row>
    <row r="88" spans="3:11" x14ac:dyDescent="0.4">
      <c r="C88" s="632">
        <v>38749</v>
      </c>
      <c r="D88" s="323"/>
      <c r="E88" s="428"/>
    </row>
    <row r="89" spans="3:11" x14ac:dyDescent="0.4">
      <c r="C89" s="632">
        <v>39114</v>
      </c>
      <c r="D89" s="323"/>
      <c r="E89" s="428"/>
    </row>
    <row r="90" spans="3:11" x14ac:dyDescent="0.4">
      <c r="C90" s="632">
        <v>39479</v>
      </c>
      <c r="D90" s="323"/>
      <c r="E90" s="428"/>
    </row>
    <row r="91" spans="3:11" x14ac:dyDescent="0.4">
      <c r="C91" s="632">
        <v>39845</v>
      </c>
      <c r="D91" s="323"/>
      <c r="E91" s="428"/>
    </row>
    <row r="92" spans="3:11" x14ac:dyDescent="0.4">
      <c r="C92" s="632">
        <v>40210</v>
      </c>
      <c r="D92" s="323"/>
      <c r="E92" s="428"/>
    </row>
    <row r="93" spans="3:11" x14ac:dyDescent="0.4">
      <c r="C93" s="632">
        <v>40575</v>
      </c>
      <c r="D93" s="323"/>
      <c r="E93" s="428"/>
    </row>
    <row r="94" spans="3:11" x14ac:dyDescent="0.4">
      <c r="C94" s="632">
        <v>40940</v>
      </c>
      <c r="D94" s="323"/>
      <c r="E94" s="428"/>
    </row>
    <row r="95" spans="3:11" x14ac:dyDescent="0.4">
      <c r="C95" s="632">
        <v>41306</v>
      </c>
      <c r="D95" s="323"/>
      <c r="E95" s="428"/>
    </row>
    <row r="96" spans="3:11" x14ac:dyDescent="0.4">
      <c r="C96" s="632">
        <v>41671</v>
      </c>
      <c r="D96" s="323"/>
      <c r="E96" s="428"/>
    </row>
    <row r="97" spans="3:10" x14ac:dyDescent="0.4">
      <c r="C97" s="632">
        <v>42036</v>
      </c>
      <c r="D97" s="323"/>
      <c r="E97" s="428"/>
    </row>
    <row r="98" spans="3:10" x14ac:dyDescent="0.4">
      <c r="C98" s="632">
        <v>42401</v>
      </c>
      <c r="D98" s="323"/>
      <c r="E98" s="428"/>
    </row>
    <row r="99" spans="3:10" x14ac:dyDescent="0.4">
      <c r="C99" s="632">
        <v>42767</v>
      </c>
      <c r="D99" s="323"/>
      <c r="E99" s="428"/>
    </row>
    <row r="100" spans="3:10" x14ac:dyDescent="0.4">
      <c r="C100" s="632">
        <v>43132</v>
      </c>
      <c r="D100" s="323"/>
      <c r="E100" s="428"/>
    </row>
    <row r="101" spans="3:10" x14ac:dyDescent="0.4">
      <c r="C101" s="632">
        <v>43497</v>
      </c>
      <c r="D101" s="323"/>
      <c r="E101" s="428"/>
    </row>
    <row r="102" spans="3:10" x14ac:dyDescent="0.4">
      <c r="D102" s="212">
        <f>SUM(D83:D101)</f>
        <v>119338</v>
      </c>
      <c r="E102" s="212">
        <f t="shared" ref="E102:J102" si="11">SUM(E83:E101)</f>
        <v>572026</v>
      </c>
      <c r="F102" s="212">
        <f t="shared" si="11"/>
        <v>27142</v>
      </c>
      <c r="G102" s="212">
        <f t="shared" si="11"/>
        <v>528535</v>
      </c>
      <c r="H102" s="212">
        <f t="shared" si="11"/>
        <v>0</v>
      </c>
      <c r="I102" s="212">
        <f t="shared" si="11"/>
        <v>0</v>
      </c>
      <c r="J102" s="212">
        <f t="shared" si="11"/>
        <v>61470</v>
      </c>
    </row>
  </sheetData>
  <mergeCells count="84">
    <mergeCell ref="Q50:Q52"/>
    <mergeCell ref="T50:T52"/>
    <mergeCell ref="B51:C51"/>
    <mergeCell ref="B52:C52"/>
    <mergeCell ref="D82:E82"/>
    <mergeCell ref="F82:G82"/>
    <mergeCell ref="H82:I82"/>
    <mergeCell ref="J82:K82"/>
    <mergeCell ref="H50:H52"/>
    <mergeCell ref="N50:O50"/>
    <mergeCell ref="N51:O51"/>
    <mergeCell ref="N52:O52"/>
    <mergeCell ref="Q47:Q48"/>
    <mergeCell ref="T47:T48"/>
    <mergeCell ref="A49:A52"/>
    <mergeCell ref="B49:I49"/>
    <mergeCell ref="M49:M52"/>
    <mergeCell ref="N49:U49"/>
    <mergeCell ref="B50:C50"/>
    <mergeCell ref="D50:D52"/>
    <mergeCell ref="E50:E52"/>
    <mergeCell ref="A45:A48"/>
    <mergeCell ref="B45:I45"/>
    <mergeCell ref="M45:M48"/>
    <mergeCell ref="N45:U45"/>
    <mergeCell ref="D47:D48"/>
    <mergeCell ref="E47:E48"/>
    <mergeCell ref="P50:P52"/>
    <mergeCell ref="H47:H48"/>
    <mergeCell ref="A38:A43"/>
    <mergeCell ref="B38:I38"/>
    <mergeCell ref="N38:U38"/>
    <mergeCell ref="R28:S28"/>
    <mergeCell ref="T28:U28"/>
    <mergeCell ref="A30:A36"/>
    <mergeCell ref="B30:I30"/>
    <mergeCell ref="N30:U30"/>
    <mergeCell ref="B28:C29"/>
    <mergeCell ref="D28:E28"/>
    <mergeCell ref="F28:G28"/>
    <mergeCell ref="H28:I28"/>
    <mergeCell ref="N28:O29"/>
    <mergeCell ref="P28:Q28"/>
    <mergeCell ref="P47:P48"/>
    <mergeCell ref="A11:I11"/>
    <mergeCell ref="M11:U11"/>
    <mergeCell ref="B13:I13"/>
    <mergeCell ref="A18:A26"/>
    <mergeCell ref="C18:E18"/>
    <mergeCell ref="M18:M26"/>
    <mergeCell ref="O18:Q18"/>
    <mergeCell ref="R18:U18"/>
    <mergeCell ref="F18:I18"/>
    <mergeCell ref="A14:A17"/>
    <mergeCell ref="B14:I14"/>
    <mergeCell ref="M14:M17"/>
    <mergeCell ref="N14:U14"/>
    <mergeCell ref="D16:D17"/>
    <mergeCell ref="E16:E17"/>
    <mergeCell ref="H16:H17"/>
    <mergeCell ref="Q16:Q17"/>
    <mergeCell ref="T16:T17"/>
    <mergeCell ref="N13:U13"/>
    <mergeCell ref="N3:N5"/>
    <mergeCell ref="P3:Q3"/>
    <mergeCell ref="R3:S3"/>
    <mergeCell ref="T3:U3"/>
    <mergeCell ref="P16:P17"/>
    <mergeCell ref="A1:I1"/>
    <mergeCell ref="M1:U1"/>
    <mergeCell ref="A2:I2"/>
    <mergeCell ref="M2:U2"/>
    <mergeCell ref="A3:A5"/>
    <mergeCell ref="B3:B5"/>
    <mergeCell ref="D3:E3"/>
    <mergeCell ref="F3:G3"/>
    <mergeCell ref="H3:I3"/>
    <mergeCell ref="M3:M5"/>
    <mergeCell ref="D5:E5"/>
    <mergeCell ref="P5:Q5"/>
    <mergeCell ref="H4:H5"/>
    <mergeCell ref="I4:I5"/>
    <mergeCell ref="T4:T5"/>
    <mergeCell ref="U4:U5"/>
  </mergeCells>
  <pageMargins left="0.2" right="0.2" top="0.75" bottom="0.24" header="0.3" footer="0.3"/>
  <pageSetup paperSize="9" scale="25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3BA85-A006-42DE-92E3-E1A925D49CE1}">
  <sheetPr>
    <tabColor rgb="FFFF0000"/>
    <pageSetUpPr fitToPage="1"/>
  </sheetPr>
  <dimension ref="A1:AO153"/>
  <sheetViews>
    <sheetView topLeftCell="A96" zoomScale="90" zoomScaleNormal="90" workbookViewId="0">
      <selection activeCell="K16" sqref="K16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0.86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0" width="10.265625" style="5" customWidth="1"/>
    <col min="21" max="21" width="10.59765625" style="5" customWidth="1"/>
    <col min="22" max="22" width="9.1328125" style="5"/>
    <col min="23" max="23" width="12.3984375" style="5" bestFit="1" customWidth="1"/>
    <col min="24" max="24" width="13.3984375" style="172" hidden="1" customWidth="1"/>
    <col min="25" max="25" width="11.265625" style="5" hidden="1" customWidth="1"/>
    <col min="26" max="26" width="10.265625" style="5" hidden="1" customWidth="1"/>
    <col min="27" max="27" width="10.59765625" style="5" hidden="1" customWidth="1"/>
    <col min="28" max="28" width="0" style="5" hidden="1" customWidth="1"/>
    <col min="29" max="29" width="37.3984375" style="5" hidden="1" customWidth="1"/>
    <col min="30" max="30" width="16.59765625" style="5" hidden="1" customWidth="1"/>
    <col min="31" max="31" width="16.86328125" style="5" hidden="1" customWidth="1"/>
    <col min="32" max="32" width="17.59765625" style="5" hidden="1" customWidth="1"/>
    <col min="33" max="33" width="16.3984375" style="5" hidden="1" customWidth="1"/>
    <col min="34" max="34" width="15.1328125" style="5" hidden="1" customWidth="1"/>
    <col min="35" max="35" width="0" style="5" hidden="1" customWidth="1"/>
    <col min="36" max="36" width="8.265625" style="5" customWidth="1"/>
    <col min="37" max="37" width="32" style="5" bestFit="1" customWidth="1"/>
    <col min="38" max="38" width="14.86328125" style="5" customWidth="1"/>
    <col min="39" max="39" width="17.86328125" style="5" customWidth="1"/>
    <col min="40" max="40" width="15.3984375" style="5" customWidth="1"/>
    <col min="41" max="41" width="14.59765625" style="5" customWidth="1"/>
    <col min="42" max="16384" width="9.1328125" style="5"/>
  </cols>
  <sheetData>
    <row r="1" spans="1:41" ht="21.75" customHeight="1" x14ac:dyDescent="0.35">
      <c r="A1" s="2156" t="s">
        <v>1081</v>
      </c>
      <c r="B1" s="2156"/>
      <c r="C1" s="2156"/>
      <c r="D1" s="2156"/>
      <c r="E1" s="2156"/>
      <c r="F1" s="2156"/>
      <c r="G1" s="2156"/>
      <c r="H1" s="2156"/>
      <c r="I1" s="2156"/>
      <c r="M1" s="2345" t="s">
        <v>1082</v>
      </c>
      <c r="N1" s="2345"/>
      <c r="O1" s="2345"/>
      <c r="P1" s="2345"/>
      <c r="Q1" s="2345"/>
      <c r="R1" s="2345"/>
      <c r="S1" s="2345"/>
      <c r="T1" s="2345"/>
      <c r="U1" s="2345"/>
    </row>
    <row r="2" spans="1:41" s="301" customFormat="1" ht="20.25" customHeight="1" thickBot="1" x14ac:dyDescent="0.4">
      <c r="A2" s="2346" t="s">
        <v>986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1019</v>
      </c>
      <c r="N2" s="2093"/>
      <c r="O2" s="2093"/>
      <c r="P2" s="2093"/>
      <c r="Q2" s="2093"/>
      <c r="R2" s="2093"/>
      <c r="S2" s="2093"/>
      <c r="T2" s="2093"/>
      <c r="U2" s="2094"/>
      <c r="X2" s="1149"/>
      <c r="AC2" s="2326" t="s">
        <v>781</v>
      </c>
      <c r="AD2" s="2326"/>
      <c r="AE2" s="2326"/>
      <c r="AF2" s="2326"/>
      <c r="AG2" s="2326"/>
      <c r="AH2" s="2326"/>
      <c r="AJ2" s="2092" t="s">
        <v>1011</v>
      </c>
      <c r="AK2" s="2093"/>
      <c r="AL2" s="2093"/>
      <c r="AM2" s="2093"/>
      <c r="AN2" s="2093"/>
      <c r="AO2" s="2093"/>
    </row>
    <row r="3" spans="1:41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  <c r="AJ3" s="2358" t="s">
        <v>757</v>
      </c>
      <c r="AK3" s="2342" t="s">
        <v>353</v>
      </c>
      <c r="AL3" s="2107" t="s">
        <v>8</v>
      </c>
      <c r="AM3" s="2108"/>
      <c r="AN3" s="2107" t="s">
        <v>10</v>
      </c>
      <c r="AO3" s="2108"/>
    </row>
    <row r="4" spans="1:41" s="35" customFormat="1" ht="28.5" customHeight="1" x14ac:dyDescent="0.35">
      <c r="A4" s="2360"/>
      <c r="B4" s="2343"/>
      <c r="C4" s="2333" t="s">
        <v>666</v>
      </c>
      <c r="D4" s="434" t="s">
        <v>879</v>
      </c>
      <c r="E4" s="1919" t="str">
        <f>G4</f>
        <v xml:space="preserve"> MARCH-24</v>
      </c>
      <c r="F4" s="1661" t="s">
        <v>1084</v>
      </c>
      <c r="G4" s="1832" t="s">
        <v>1083</v>
      </c>
      <c r="H4" s="1832" t="s">
        <v>12</v>
      </c>
      <c r="I4" s="1832" t="s">
        <v>13</v>
      </c>
      <c r="J4" s="323"/>
      <c r="K4" s="323"/>
      <c r="L4" s="1574"/>
      <c r="M4" s="2358"/>
      <c r="N4" s="2343"/>
      <c r="O4" s="2337" t="s">
        <v>666</v>
      </c>
      <c r="P4" s="1834" t="s">
        <v>9</v>
      </c>
      <c r="Q4" s="1836" t="str">
        <f>S4</f>
        <v>UPTO
 MAR-24</v>
      </c>
      <c r="R4" s="1836" t="s">
        <v>1086</v>
      </c>
      <c r="S4" s="1836" t="s">
        <v>1085</v>
      </c>
      <c r="T4" s="2331" t="s">
        <v>12</v>
      </c>
      <c r="U4" s="2331" t="s">
        <v>13</v>
      </c>
      <c r="V4" s="35" t="s">
        <v>1080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  <c r="AJ4" s="2358"/>
      <c r="AK4" s="2343"/>
      <c r="AL4" s="421" t="s">
        <v>9</v>
      </c>
      <c r="AM4" s="1057" t="s">
        <v>1009</v>
      </c>
      <c r="AN4" s="1057" t="s">
        <v>1010</v>
      </c>
      <c r="AO4" s="1057" t="s">
        <v>1009</v>
      </c>
    </row>
    <row r="5" spans="1:41" ht="18.75" hidden="1" customHeight="1" x14ac:dyDescent="0.5">
      <c r="A5" s="2361"/>
      <c r="B5" s="2344"/>
      <c r="C5" s="2334"/>
      <c r="D5" s="434" t="s">
        <v>249</v>
      </c>
      <c r="E5" s="434"/>
      <c r="F5" s="434" t="s">
        <v>249</v>
      </c>
      <c r="G5" s="434" t="s">
        <v>438</v>
      </c>
      <c r="H5" s="434"/>
      <c r="I5" s="434"/>
      <c r="M5" s="2359"/>
      <c r="N5" s="2344"/>
      <c r="O5" s="2338"/>
      <c r="P5" s="2531" t="s">
        <v>249</v>
      </c>
      <c r="Q5" s="2532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  <c r="AJ5" s="2359"/>
      <c r="AK5" s="2344"/>
      <c r="AL5" s="2157" t="s">
        <v>249</v>
      </c>
      <c r="AM5" s="2158"/>
      <c r="AN5" s="602" t="s">
        <v>249</v>
      </c>
      <c r="AO5" s="602" t="s">
        <v>438</v>
      </c>
    </row>
    <row r="6" spans="1:41" ht="30" customHeight="1" x14ac:dyDescent="0.35">
      <c r="A6" s="1229">
        <v>1</v>
      </c>
      <c r="B6" s="1191" t="s">
        <v>290</v>
      </c>
      <c r="C6" s="1518">
        <v>1024.2159494</v>
      </c>
      <c r="D6" s="1835">
        <v>1119.72</v>
      </c>
      <c r="E6" s="1842">
        <f>E15+E16</f>
        <v>9.8738709677419347</v>
      </c>
      <c r="F6" s="434">
        <f>F15+F16+F17</f>
        <v>10.753352699999999</v>
      </c>
      <c r="G6" s="1840">
        <f>G15+G16+G17</f>
        <v>10.9449577</v>
      </c>
      <c r="H6" s="1849">
        <f>(G6-E6)/E6*100</f>
        <v>10.847688163612016</v>
      </c>
      <c r="I6" s="1837">
        <f>(G6-F6)/F6*100</f>
        <v>1.781816381787616</v>
      </c>
      <c r="J6" s="82">
        <v>3.2</v>
      </c>
      <c r="K6" s="323">
        <f>J6*31</f>
        <v>99.2</v>
      </c>
      <c r="L6" s="491">
        <f>K6+'FEB-2024'!S6</f>
        <v>1208.2152355000001</v>
      </c>
      <c r="M6" s="1203">
        <v>1</v>
      </c>
      <c r="N6" s="1179" t="s">
        <v>290</v>
      </c>
      <c r="O6" s="1185">
        <v>1024.2159494</v>
      </c>
      <c r="P6" s="1835">
        <v>1119.72</v>
      </c>
      <c r="Q6" s="1848">
        <f>Q15+Q16</f>
        <v>1027.5638709677419</v>
      </c>
      <c r="R6" s="434">
        <f>R15+R16+R17</f>
        <v>942.68575459999988</v>
      </c>
      <c r="S6" s="1840">
        <f>S15+S16+S17</f>
        <v>1119.9601932</v>
      </c>
      <c r="T6" s="1849">
        <f>(S6-Q6)/Q6*100</f>
        <v>8.9917838533229979</v>
      </c>
      <c r="U6" s="1849">
        <f>(S6-R6)/R6*100</f>
        <v>18.805252729762657</v>
      </c>
      <c r="V6" s="12">
        <f>S6-P6</f>
        <v>0.24019320000002153</v>
      </c>
      <c r="W6" s="13">
        <f>(S6-P6)/P6*100</f>
        <v>2.1451184224629508E-2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  <c r="AJ6" s="1203">
        <v>1</v>
      </c>
      <c r="AK6" s="1179" t="s">
        <v>290</v>
      </c>
      <c r="AL6" s="1425">
        <v>1063.73</v>
      </c>
      <c r="AM6" s="1446">
        <f>'TARGET 23-24'!D18</f>
        <v>681.56</v>
      </c>
      <c r="AN6" s="434">
        <v>657.16742699999998</v>
      </c>
      <c r="AO6" s="434">
        <v>791.00769752222209</v>
      </c>
    </row>
    <row r="7" spans="1:41" ht="26.25" customHeight="1" x14ac:dyDescent="0.35">
      <c r="A7" s="1230">
        <v>2</v>
      </c>
      <c r="B7" s="1154" t="s">
        <v>291</v>
      </c>
      <c r="C7" s="1518">
        <v>403.10200000000003</v>
      </c>
      <c r="D7" s="1425">
        <v>444.7</v>
      </c>
      <c r="E7" s="1842">
        <f>'TARGET 23-24'!T5</f>
        <v>3.5119354838709675</v>
      </c>
      <c r="F7" s="434">
        <f>F20+F21+F22+F23+F24+F25+F26</f>
        <v>2.09</v>
      </c>
      <c r="G7" s="1840">
        <f>G20+G21+G22+G23+G24+G25+G26</f>
        <v>1.8</v>
      </c>
      <c r="H7" s="1846">
        <f>(G7-E7)/E7*100</f>
        <v>-48.746211077431795</v>
      </c>
      <c r="I7" s="1879">
        <f>(G7-F7)/F7*100</f>
        <v>-13.875598086124393</v>
      </c>
      <c r="J7" s="82">
        <f t="shared" ref="J7:J8" si="0">G7/27</f>
        <v>6.6666666666666666E-2</v>
      </c>
      <c r="K7" s="323">
        <f t="shared" ref="K7:K8" si="1">J7*30</f>
        <v>2</v>
      </c>
      <c r="L7" s="491">
        <f>K7+'OCT-23'!S7</f>
        <v>258.45699999999999</v>
      </c>
      <c r="M7" s="1204">
        <v>2</v>
      </c>
      <c r="N7" s="1154" t="s">
        <v>291</v>
      </c>
      <c r="O7" s="1186">
        <v>403.10200000000003</v>
      </c>
      <c r="P7" s="1425">
        <v>444.7</v>
      </c>
      <c r="Q7" s="1842">
        <f>E7+'FEB-2024'!Q7</f>
        <v>411.92193548387093</v>
      </c>
      <c r="R7" s="434">
        <f>R20+R21+R22+R23+R24+R25+R26</f>
        <v>372.25021639999994</v>
      </c>
      <c r="S7" s="1840">
        <f>S20+S21+S22+S23+S24+S25+S26</f>
        <v>391.05700000000002</v>
      </c>
      <c r="T7" s="1846">
        <f>(S7-Q7)/Q7*100</f>
        <v>-5.0652644801160118</v>
      </c>
      <c r="U7" s="1849">
        <f>(S7-R7)/R7*100</f>
        <v>5.0521887621393136</v>
      </c>
      <c r="V7" s="12">
        <f t="shared" ref="V7:V10" si="2">S7-P7</f>
        <v>-53.642999999999972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  <c r="AJ7" s="1204">
        <v>2</v>
      </c>
      <c r="AK7" s="1154" t="s">
        <v>291</v>
      </c>
      <c r="AL7" s="1425">
        <v>485.81999999999994</v>
      </c>
      <c r="AM7" s="1446">
        <f>'TARGET 23-24'!E18</f>
        <v>332.94</v>
      </c>
      <c r="AN7" s="434">
        <v>276.28809999999999</v>
      </c>
      <c r="AO7" s="434">
        <v>286.65699999999998</v>
      </c>
    </row>
    <row r="8" spans="1:41" ht="32.25" customHeight="1" x14ac:dyDescent="0.35">
      <c r="A8" s="1231">
        <v>3</v>
      </c>
      <c r="B8" s="1155" t="s">
        <v>292</v>
      </c>
      <c r="C8" s="1518">
        <v>106.68749520000001</v>
      </c>
      <c r="D8" s="1425">
        <v>124.03</v>
      </c>
      <c r="E8" s="1842">
        <f>'TARGET 23-24'!U5</f>
        <v>0.93967741935483873</v>
      </c>
      <c r="F8" s="1314">
        <f>F31+F32+F33+F35+F36+F37+F38</f>
        <v>0.9762305</v>
      </c>
      <c r="G8" s="1840">
        <f>G31+G34+G35+G36+G37+G38</f>
        <v>0.77769480000000002</v>
      </c>
      <c r="H8" s="1849">
        <f>(G8-E8)/E8*100</f>
        <v>-17.238109165808442</v>
      </c>
      <c r="I8" s="1837">
        <f>(G8-F8)/F8*100</f>
        <v>-20.336969598880593</v>
      </c>
      <c r="J8" s="82">
        <f t="shared" si="0"/>
        <v>2.880351111111111E-2</v>
      </c>
      <c r="K8" s="323">
        <f t="shared" si="1"/>
        <v>0.86410533333333328</v>
      </c>
      <c r="L8" s="491">
        <f>K8+'OCT-23'!S8</f>
        <v>70.729492189333342</v>
      </c>
      <c r="M8" s="1205">
        <v>3</v>
      </c>
      <c r="N8" s="1155" t="s">
        <v>292</v>
      </c>
      <c r="O8" s="1187">
        <v>106.68749520000001</v>
      </c>
      <c r="P8" s="1425">
        <v>124.03</v>
      </c>
      <c r="Q8" s="1842">
        <f>E8+'FEB-2024'!Q8</f>
        <v>115.25967741935483</v>
      </c>
      <c r="R8" s="1314">
        <f>R31+R32+R33+R35+R36+R37+R38</f>
        <v>98.900951299999988</v>
      </c>
      <c r="S8" s="1840">
        <f>S31+S32+S33+S35+S36+S37+S38</f>
        <v>109.792389456</v>
      </c>
      <c r="T8" s="1846">
        <f>(S8-Q8)/Q8*100</f>
        <v>-4.7434524247911423</v>
      </c>
      <c r="U8" s="1849">
        <f>(S8-R8)/R8*100</f>
        <v>11.01247057064456</v>
      </c>
      <c r="V8" s="12">
        <f t="shared" si="2"/>
        <v>-14.237610544000006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  <c r="AJ8" s="1205">
        <v>3</v>
      </c>
      <c r="AK8" s="1155" t="s">
        <v>292</v>
      </c>
      <c r="AL8" s="1425">
        <v>150.59</v>
      </c>
      <c r="AM8" s="1446">
        <f>'TARGET 23-24'!F18</f>
        <v>105.69</v>
      </c>
      <c r="AN8" s="1314">
        <v>73.268227600000003</v>
      </c>
      <c r="AO8" s="1314">
        <v>80.325848300444463</v>
      </c>
    </row>
    <row r="9" spans="1:41" ht="34.5" customHeight="1" x14ac:dyDescent="0.35">
      <c r="A9" s="1230">
        <v>4</v>
      </c>
      <c r="B9" s="1156" t="s">
        <v>293</v>
      </c>
      <c r="C9" s="1518">
        <v>17.701250099999996</v>
      </c>
      <c r="D9" s="1425">
        <v>19.989999999999995</v>
      </c>
      <c r="E9" s="1843">
        <v>1.67</v>
      </c>
      <c r="F9" s="434">
        <f>F40+F41+F42+F44+F45</f>
        <v>1.9914000000000001</v>
      </c>
      <c r="G9" s="1840">
        <f>G40+G41+G42+G44+G45</f>
        <v>2.2734546</v>
      </c>
      <c r="H9" s="1849">
        <f>(G9-E9)/E9*100</f>
        <v>36.135005988023956</v>
      </c>
      <c r="I9" s="1837">
        <f>(G9-F9)/F9*100</f>
        <v>14.163633624585714</v>
      </c>
      <c r="K9" s="84">
        <f>K10*31</f>
        <v>22.258150913636364</v>
      </c>
      <c r="M9" s="1204">
        <v>4</v>
      </c>
      <c r="N9" s="1156" t="s">
        <v>293</v>
      </c>
      <c r="O9" s="1185">
        <v>17.701250099999996</v>
      </c>
      <c r="P9" s="1425">
        <v>19.989999999999995</v>
      </c>
      <c r="Q9" s="1842">
        <f>E9+'JAN-2024'!Q9</f>
        <v>18.332500000000003</v>
      </c>
      <c r="R9" s="434">
        <f>R40+R41+R42+R44+R45</f>
        <v>15.5690747</v>
      </c>
      <c r="S9" s="1840">
        <f>S40+S41+S42+S44+S45</f>
        <v>17.936807899999998</v>
      </c>
      <c r="T9" s="1846">
        <f>(S9-Q9)/Q9*100</f>
        <v>-2.1584186553934548</v>
      </c>
      <c r="U9" s="1849">
        <f>(S9-R9)/R9*100</f>
        <v>15.207924977070078</v>
      </c>
      <c r="V9" s="12">
        <f t="shared" si="2"/>
        <v>-2.0531920999999969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  <c r="AJ9" s="1204">
        <v>4</v>
      </c>
      <c r="AK9" s="1156" t="s">
        <v>293</v>
      </c>
      <c r="AL9" s="1425">
        <v>19.149999999999999</v>
      </c>
      <c r="AM9" s="1425">
        <f>'TARGET 23-24'!O45</f>
        <v>13.326666666666666</v>
      </c>
      <c r="AN9" s="434">
        <v>10.473413500000001</v>
      </c>
      <c r="AO9" s="434">
        <f>AO40+AO41+AO42+AO44+AO45</f>
        <v>0</v>
      </c>
    </row>
    <row r="10" spans="1:41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1708.44</v>
      </c>
      <c r="E10" s="1844">
        <f>E6+E7+E8+E9</f>
        <v>15.995483870967741</v>
      </c>
      <c r="F10" s="321">
        <f>SUM(F6:F9)</f>
        <v>15.810983199999999</v>
      </c>
      <c r="G10" s="1841">
        <f>SUM(G6:G9)</f>
        <v>15.7961071</v>
      </c>
      <c r="H10" s="1850">
        <f>(G10-E10)/E10*100</f>
        <v>-1.2464566409873654</v>
      </c>
      <c r="I10" s="1838">
        <f>(G10-F10)/F10*100</f>
        <v>-9.4087127990867866E-2</v>
      </c>
      <c r="K10" s="84">
        <f>G10/22</f>
        <v>0.71800486818181819</v>
      </c>
      <c r="M10" s="1205">
        <v>5</v>
      </c>
      <c r="N10" s="1157" t="s">
        <v>294</v>
      </c>
      <c r="O10" s="1185">
        <v>1551.7066947000001</v>
      </c>
      <c r="P10" s="321">
        <f t="shared" ref="P10" si="3">P6+P7+P8+P9</f>
        <v>1708.44</v>
      </c>
      <c r="Q10" s="445">
        <f>Q6+Q7+Q8+Q9</f>
        <v>1573.0779838709677</v>
      </c>
      <c r="R10" s="321">
        <f>R6+R7+R8+R9</f>
        <v>1429.4059970000001</v>
      </c>
      <c r="S10" s="1841">
        <f>S6+S7+S8+S9</f>
        <v>1638.7463905560001</v>
      </c>
      <c r="T10" s="1850">
        <f>(S10-Q10)/Q10*100</f>
        <v>4.1745169253108561</v>
      </c>
      <c r="U10" s="1850">
        <f>(S10-R10)/R10*100</f>
        <v>14.645271811882568</v>
      </c>
      <c r="V10" s="12">
        <f t="shared" si="2"/>
        <v>-69.693609444000003</v>
      </c>
      <c r="X10" s="12">
        <f>SUM(X6:X9)</f>
        <v>389.94179218299996</v>
      </c>
      <c r="Y10" s="12">
        <f>SUM(Y6:Y9)</f>
        <v>752.12112639999998</v>
      </c>
      <c r="Z10" s="12">
        <f>S10-Y10</f>
        <v>886.62526415600007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  <c r="AJ10" s="1205">
        <v>5</v>
      </c>
      <c r="AK10" s="1157" t="s">
        <v>294</v>
      </c>
      <c r="AL10" s="321">
        <f t="shared" ref="AL10" si="4">AL6+AL7+AL8+AL9</f>
        <v>1719.29</v>
      </c>
      <c r="AM10" s="321">
        <f>AM6+AM7+AM8+AM9</f>
        <v>1133.5166666666667</v>
      </c>
      <c r="AN10" s="321">
        <f>AN6+AN7+AN8+AN9</f>
        <v>1017.1971681</v>
      </c>
      <c r="AO10" s="321">
        <f>AO6+AO7+AO8+AO9</f>
        <v>1157.9905458226665</v>
      </c>
    </row>
    <row r="11" spans="1:41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  <c r="AJ11" s="2061"/>
      <c r="AK11" s="2062"/>
      <c r="AL11" s="2062"/>
      <c r="AM11" s="2062"/>
      <c r="AN11" s="2062"/>
      <c r="AO11" s="2062"/>
    </row>
    <row r="12" spans="1:41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845">
        <f>E47+E48</f>
        <v>0.49645161290322581</v>
      </c>
      <c r="F12" s="1294">
        <f>F47+F48+F49</f>
        <v>0.52000800000000003</v>
      </c>
      <c r="G12" s="1294">
        <f>G47+G48+G49</f>
        <v>0.47463799999999995</v>
      </c>
      <c r="H12" s="1847">
        <f>(G12-E12)/E12*100</f>
        <v>-4.3939051332033907</v>
      </c>
      <c r="I12" s="1839">
        <f>(G12-F12)/F12*100</f>
        <v>-8.7248657712958408</v>
      </c>
      <c r="J12" s="323">
        <f>G12/3</f>
        <v>0.15821266666666664</v>
      </c>
      <c r="K12" s="323">
        <f>J12*31</f>
        <v>4.9045926666666659</v>
      </c>
      <c r="L12" s="491">
        <f>K12+'FEB-2024'!S12</f>
        <v>56.10919366666667</v>
      </c>
      <c r="M12" s="1204">
        <v>6.3</v>
      </c>
      <c r="N12" s="1316" t="s">
        <v>814</v>
      </c>
      <c r="O12" s="1185">
        <v>47.027382000000003</v>
      </c>
      <c r="P12" s="332">
        <v>55.06</v>
      </c>
      <c r="Q12" s="1129">
        <f>Q47+Q48</f>
        <v>50.426451612903236</v>
      </c>
      <c r="R12" s="1294">
        <f>R47+R48+R49</f>
        <v>43.195142999999995</v>
      </c>
      <c r="S12" s="1294">
        <f>S47+S48+S49</f>
        <v>51.679239000000003</v>
      </c>
      <c r="T12" s="1852">
        <f>(S12-Q12)/Q12*100</f>
        <v>2.4843853712209261</v>
      </c>
      <c r="U12" s="1851">
        <f>(S12-R12)/R12*100</f>
        <v>19.641319395562622</v>
      </c>
      <c r="W12" s="12">
        <f>S12-P12</f>
        <v>-3.3807609999999997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  <c r="AJ12" s="1204">
        <v>6.3</v>
      </c>
      <c r="AK12" s="1293" t="s">
        <v>778</v>
      </c>
      <c r="AL12" s="332">
        <v>55.06</v>
      </c>
      <c r="AM12" s="307">
        <f>'TARGET 23-24'!D45</f>
        <v>34.68</v>
      </c>
      <c r="AN12" s="1294">
        <v>29.16</v>
      </c>
      <c r="AO12" s="1294">
        <f>AO47+AO48+AO49</f>
        <v>0</v>
      </c>
    </row>
    <row r="13" spans="1:41" s="1310" customFormat="1" ht="13.5" customHeight="1" x14ac:dyDescent="0.35">
      <c r="A13" s="1309"/>
      <c r="B13" s="2352" t="s">
        <v>229</v>
      </c>
      <c r="C13" s="2353"/>
      <c r="D13" s="2353"/>
      <c r="E13" s="2353"/>
      <c r="F13" s="2353"/>
      <c r="G13" s="2353"/>
      <c r="H13" s="2353"/>
      <c r="I13" s="2354"/>
      <c r="L13" s="1311"/>
      <c r="M13" s="1309"/>
      <c r="N13" s="2355" t="s">
        <v>229</v>
      </c>
      <c r="O13" s="2356"/>
      <c r="P13" s="2356"/>
      <c r="Q13" s="2356"/>
      <c r="R13" s="2356"/>
      <c r="S13" s="2356"/>
      <c r="T13" s="2356"/>
      <c r="U13" s="2357"/>
      <c r="X13" s="1311"/>
      <c r="AJ13" s="5"/>
      <c r="AK13" s="5"/>
      <c r="AL13" s="5"/>
      <c r="AM13" s="5"/>
      <c r="AN13" s="5"/>
    </row>
    <row r="14" spans="1:41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2368">
        <v>1</v>
      </c>
      <c r="N14" s="2021" t="s">
        <v>278</v>
      </c>
      <c r="O14" s="2022"/>
      <c r="P14" s="2022"/>
      <c r="Q14" s="2022"/>
      <c r="R14" s="2022"/>
      <c r="S14" s="2022"/>
      <c r="T14" s="2022"/>
      <c r="U14" s="2023"/>
    </row>
    <row r="15" spans="1:41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f>'TARGET 23-24'!Q5</f>
        <v>0.11612903225806452</v>
      </c>
      <c r="F15" s="315">
        <f>E60</f>
        <v>0.1100608</v>
      </c>
      <c r="G15" s="315">
        <f>F60</f>
        <v>0.1055087</v>
      </c>
      <c r="H15" s="1859">
        <f>(G15-E15)/E15*100</f>
        <v>-9.1452861111111172</v>
      </c>
      <c r="I15" s="1853">
        <f>(G15-F15)/F15*100</f>
        <v>-4.1359866546490691</v>
      </c>
      <c r="J15" s="1860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13.26</v>
      </c>
      <c r="Q15" s="307">
        <f>E15+'FEB-2024'!Q15</f>
        <v>12.176129032258066</v>
      </c>
      <c r="R15" s="315">
        <f>F15+'FEB-2024'!R15</f>
        <v>10.602785200000001</v>
      </c>
      <c r="S15" s="315">
        <f>G15+'FEB-2024'!S15</f>
        <v>12.730871999999998</v>
      </c>
      <c r="T15" s="1856">
        <f>(S15-Q15)/Q15*100</f>
        <v>4.5559879192496924</v>
      </c>
      <c r="U15" s="1853">
        <f>(S15-R15)/R15*100</f>
        <v>20.07101681169582</v>
      </c>
      <c r="V15" s="5">
        <f>S15/153</f>
        <v>8.3208313725490188E-2</v>
      </c>
      <c r="Y15" s="12">
        <f>R16+R17</f>
        <v>932.08296939999991</v>
      </c>
      <c r="Z15" s="12">
        <f>S16+S17</f>
        <v>1107.2293212</v>
      </c>
      <c r="AA15" s="5">
        <f>(Z15-Y15)/Y15*100</f>
        <v>18.790854199679799</v>
      </c>
    </row>
    <row r="16" spans="1:41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f>'TARGET 23-24'!R5</f>
        <v>9.757741935483871</v>
      </c>
      <c r="F16" s="315">
        <f t="shared" ref="F16:G17" si="5">E61</f>
        <v>1.8425981</v>
      </c>
      <c r="G16" s="315">
        <f t="shared" si="5"/>
        <v>1.9036119</v>
      </c>
      <c r="H16" s="2529">
        <f>L16</f>
        <v>11.085628946411452</v>
      </c>
      <c r="I16" s="1853">
        <f>(G16-F16)/F16*100</f>
        <v>3.3112918112745264</v>
      </c>
      <c r="J16" s="323">
        <f>F16+F17</f>
        <v>10.643291899999999</v>
      </c>
      <c r="K16" s="323">
        <f>G16+G17</f>
        <v>10.839449</v>
      </c>
      <c r="L16" s="1476">
        <f>(K16-E16)/E16*100</f>
        <v>11.085628946411452</v>
      </c>
      <c r="M16" s="2369"/>
      <c r="N16" s="1281" t="s">
        <v>817</v>
      </c>
      <c r="O16" s="1282">
        <v>126.72018780000001</v>
      </c>
      <c r="P16" s="2379">
        <v>1106.46</v>
      </c>
      <c r="Q16" s="2065">
        <f>E16+'FEB-2024'!Q16</f>
        <v>1015.3877419354839</v>
      </c>
      <c r="R16" s="315">
        <f>F16+'FEB-2024'!R16</f>
        <v>114.89423039999998</v>
      </c>
      <c r="S16" s="315">
        <f>G16+'FEB-2024'!S16</f>
        <v>186.61395139999999</v>
      </c>
      <c r="T16" s="2529">
        <f>X16</f>
        <v>9.0449761673754345</v>
      </c>
      <c r="U16" s="1853">
        <f>(S16-R16)/R16*100</f>
        <v>62.422386877313571</v>
      </c>
      <c r="V16" s="12">
        <f>R16+R17</f>
        <v>932.08296939999991</v>
      </c>
      <c r="W16" s="12">
        <f>S16+S17</f>
        <v>1107.2293212</v>
      </c>
      <c r="X16" s="1151">
        <f>(W16-Q16)/Q16*100</f>
        <v>9.0449761673754345</v>
      </c>
    </row>
    <row r="17" spans="1:40" ht="15.75" x14ac:dyDescent="0.45">
      <c r="A17" s="2375"/>
      <c r="B17" s="1606" t="s">
        <v>1018</v>
      </c>
      <c r="C17" s="1519">
        <v>886.03548510000007</v>
      </c>
      <c r="D17" s="2380"/>
      <c r="E17" s="2066"/>
      <c r="F17" s="315">
        <f t="shared" si="5"/>
        <v>8.8006937999999995</v>
      </c>
      <c r="G17" s="315">
        <f t="shared" si="5"/>
        <v>8.9358371000000005</v>
      </c>
      <c r="H17" s="2530"/>
      <c r="I17" s="1853">
        <f>(G17-F17)/F17*100</f>
        <v>1.5355982502197849</v>
      </c>
      <c r="J17" s="323"/>
      <c r="L17" s="1477">
        <f>(K16-J16)/J16*100</f>
        <v>1.8430115592338556</v>
      </c>
      <c r="M17" s="2245"/>
      <c r="N17" s="1606" t="s">
        <v>931</v>
      </c>
      <c r="O17" s="1282">
        <v>886.03548510000007</v>
      </c>
      <c r="P17" s="2380"/>
      <c r="Q17" s="2066"/>
      <c r="R17" s="315">
        <f>F17+'FEB-2024'!R17</f>
        <v>817.18873899999994</v>
      </c>
      <c r="S17" s="315">
        <f>G17+'FEB-2024'!S17</f>
        <v>920.61536979999994</v>
      </c>
      <c r="T17" s="2530"/>
      <c r="U17" s="1853">
        <f>(S17-R17)/R17*100</f>
        <v>12.656394522343021</v>
      </c>
      <c r="V17" s="84"/>
      <c r="W17" s="1198"/>
      <c r="X17" s="1477">
        <f>(W16-V16)/V16*100</f>
        <v>18.790854199679799</v>
      </c>
    </row>
    <row r="18" spans="1:40" ht="16.5" customHeight="1" x14ac:dyDescent="0.4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J18" s="323">
        <f>F16+F15</f>
        <v>1.9526589000000001</v>
      </c>
      <c r="K18" s="323">
        <f>G16+G15</f>
        <v>2.0091206000000001</v>
      </c>
      <c r="L18" s="314">
        <f>(K18-J18)/J18*100</f>
        <v>2.8915290837534431</v>
      </c>
      <c r="M18" s="2368">
        <v>2</v>
      </c>
      <c r="N18" s="1155" t="s">
        <v>678</v>
      </c>
      <c r="O18" s="2370" t="s">
        <v>680</v>
      </c>
      <c r="P18" s="2371"/>
      <c r="Q18" s="2372"/>
      <c r="R18" s="2370" t="s">
        <v>684</v>
      </c>
      <c r="S18" s="2371"/>
      <c r="T18" s="2371"/>
      <c r="U18" s="2372"/>
      <c r="V18" s="323">
        <f>R16+R15</f>
        <v>125.49701559999998</v>
      </c>
      <c r="W18" s="323">
        <f>S16+S15</f>
        <v>199.3448234</v>
      </c>
      <c r="X18" s="314">
        <f>(W18-V18)/V18*100</f>
        <v>58.844274062561873</v>
      </c>
    </row>
    <row r="19" spans="1:40" ht="26.25" customHeight="1" x14ac:dyDescent="0.35">
      <c r="A19" s="1983"/>
      <c r="B19" s="1531" t="s">
        <v>230</v>
      </c>
      <c r="C19" s="1788" t="str">
        <f>F19</f>
        <v xml:space="preserve"> MAR-23</v>
      </c>
      <c r="D19" s="1788" t="str">
        <f>G19</f>
        <v xml:space="preserve"> MARCH-24</v>
      </c>
      <c r="E19" s="1531" t="s">
        <v>681</v>
      </c>
      <c r="F19" s="1788" t="str">
        <f>F4</f>
        <v xml:space="preserve"> MAR-23</v>
      </c>
      <c r="G19" s="1788" t="str">
        <f>G4</f>
        <v xml:space="preserve"> MARCH-24</v>
      </c>
      <c r="H19" s="1528" t="s">
        <v>682</v>
      </c>
      <c r="I19" s="1530" t="s">
        <v>681</v>
      </c>
      <c r="L19" s="1476"/>
      <c r="M19" s="2369"/>
      <c r="N19" s="1514" t="s">
        <v>230</v>
      </c>
      <c r="O19" s="1527" t="str">
        <f>R4</f>
        <v>UPTO
 MAR-23</v>
      </c>
      <c r="P19" s="1788" t="str">
        <f>S4</f>
        <v>UPTO
 MAR-24</v>
      </c>
      <c r="Q19" s="1789" t="s">
        <v>681</v>
      </c>
      <c r="R19" s="1788" t="str">
        <f>R4</f>
        <v>UPTO
 MAR-23</v>
      </c>
      <c r="S19" s="1788" t="str">
        <f>S4</f>
        <v>UPTO
 MAR-24</v>
      </c>
      <c r="T19" s="1528" t="s">
        <v>682</v>
      </c>
      <c r="U19" s="1526" t="s">
        <v>681</v>
      </c>
    </row>
    <row r="20" spans="1:40" ht="18.75" customHeight="1" x14ac:dyDescent="0.45">
      <c r="A20" s="1983"/>
      <c r="B20" s="1055" t="s">
        <v>231</v>
      </c>
      <c r="C20" s="85">
        <v>2658</v>
      </c>
      <c r="D20" s="1410">
        <v>2685</v>
      </c>
      <c r="E20" s="1744">
        <f>(D20-C20)/C20*100</f>
        <v>1.0158013544018059</v>
      </c>
      <c r="F20" s="315">
        <v>0.74</v>
      </c>
      <c r="G20" s="315">
        <v>0.74</v>
      </c>
      <c r="H20" s="1060">
        <f>G20/G7*100</f>
        <v>41.111111111111107</v>
      </c>
      <c r="I20" s="1853">
        <f>(G20-F20)/F20*100</f>
        <v>0</v>
      </c>
      <c r="L20" s="1476"/>
      <c r="M20" s="2369"/>
      <c r="N20" s="1055" t="s">
        <v>231</v>
      </c>
      <c r="O20" s="833">
        <f>C20+'FEB-2024'!O20</f>
        <v>903202</v>
      </c>
      <c r="P20" s="833">
        <f>D20+'FEB-2024'!P20</f>
        <v>594767</v>
      </c>
      <c r="Q20" s="314">
        <f>(P20-O20)/O20*100</f>
        <v>-34.149060785959293</v>
      </c>
      <c r="R20" s="315">
        <f>F20+'FEB-2024'!R20</f>
        <v>170.07321099999999</v>
      </c>
      <c r="S20" s="315">
        <f>G20+'FEB-2024'!S20</f>
        <v>167.06</v>
      </c>
      <c r="T20" s="1060">
        <f>S20/S7*100</f>
        <v>42.720114970451881</v>
      </c>
      <c r="U20" s="1853">
        <f>(S20-R20)/R20*100</f>
        <v>-1.7717140649505254</v>
      </c>
    </row>
    <row r="21" spans="1:40" ht="18.75" customHeight="1" x14ac:dyDescent="0.45">
      <c r="A21" s="1983"/>
      <c r="B21" s="1055" t="s">
        <v>232</v>
      </c>
      <c r="C21" s="85">
        <v>12436</v>
      </c>
      <c r="D21" s="1410">
        <v>5174</v>
      </c>
      <c r="E21" s="1744">
        <f>(D21-C21)/C21*100</f>
        <v>-58.39498230942425</v>
      </c>
      <c r="F21" s="315">
        <v>1.07</v>
      </c>
      <c r="G21" s="315">
        <v>0.22</v>
      </c>
      <c r="H21" s="1060">
        <f>G21/G7*100</f>
        <v>12.222222222222221</v>
      </c>
      <c r="I21" s="1858">
        <f>(G21-F21)/F21*100</f>
        <v>-79.439252336448604</v>
      </c>
      <c r="L21" s="1476"/>
      <c r="M21" s="2369"/>
      <c r="N21" s="1055" t="s">
        <v>232</v>
      </c>
      <c r="O21" s="833">
        <f>C21+'FEB-2024'!O21</f>
        <v>928023</v>
      </c>
      <c r="P21" s="833">
        <f>D21+'FEB-2024'!P21</f>
        <v>857555</v>
      </c>
      <c r="Q21" s="314">
        <f>(P21-O21)/O21*100</f>
        <v>-7.5933462855985248</v>
      </c>
      <c r="R21" s="315">
        <f>F21+'FEB-2024'!R21</f>
        <v>93.309999999999974</v>
      </c>
      <c r="S21" s="315">
        <f>G21+'FEB-2024'!S21</f>
        <v>77.06</v>
      </c>
      <c r="T21" s="1060">
        <f>S21/S7*100</f>
        <v>19.705567219101052</v>
      </c>
      <c r="U21" s="1858">
        <f>(S21-R21)/R21*100</f>
        <v>-17.415068052727442</v>
      </c>
      <c r="W21" s="5">
        <v>2.17</v>
      </c>
      <c r="X21" s="172">
        <v>2.95</v>
      </c>
      <c r="Y21" s="5">
        <f>(X21-W21)/W21*100</f>
        <v>35.944700460829502</v>
      </c>
    </row>
    <row r="22" spans="1:40" ht="18.75" customHeight="1" x14ac:dyDescent="0.45">
      <c r="A22" s="1983"/>
      <c r="B22" s="1055" t="s">
        <v>239</v>
      </c>
      <c r="C22" s="85">
        <v>2940</v>
      </c>
      <c r="D22" s="1410">
        <v>4815</v>
      </c>
      <c r="E22" s="1861">
        <f>(D22-C22)/C22*100</f>
        <v>63.775510204081634</v>
      </c>
      <c r="F22" s="315">
        <v>0.28000000000000003</v>
      </c>
      <c r="G22" s="315">
        <v>0.78</v>
      </c>
      <c r="H22" s="1060">
        <f>G22/G7*100</f>
        <v>43.333333333333336</v>
      </c>
      <c r="I22" s="1858">
        <f>(G22-F22)/F22*100</f>
        <v>178.57142857142856</v>
      </c>
      <c r="J22" s="1486"/>
      <c r="L22" s="1476"/>
      <c r="M22" s="2369"/>
      <c r="N22" s="1055" t="s">
        <v>239</v>
      </c>
      <c r="O22" s="833">
        <f>C22+'FEB-2024'!O22</f>
        <v>788157</v>
      </c>
      <c r="P22" s="833">
        <f>D22+'FEB-2024'!P22</f>
        <v>930366</v>
      </c>
      <c r="Q22" s="314">
        <f>(P22-O22)/O22*100</f>
        <v>18.043232503168785</v>
      </c>
      <c r="R22" s="315">
        <f>F22+'FEB-2024'!R22</f>
        <v>98.757634600000003</v>
      </c>
      <c r="S22" s="315">
        <f>G22+'FEB-2024'!S22</f>
        <v>136.22</v>
      </c>
      <c r="T22" s="1060">
        <f>S22/S7*100</f>
        <v>34.833796607655657</v>
      </c>
      <c r="U22" s="1853">
        <f>(S22-R22)/R22*100</f>
        <v>37.93363981603504</v>
      </c>
    </row>
    <row r="23" spans="1:40" ht="18.75" customHeight="1" x14ac:dyDescent="0.45">
      <c r="A23" s="1983"/>
      <c r="B23" s="1055" t="s">
        <v>233</v>
      </c>
      <c r="C23" s="85">
        <v>0</v>
      </c>
      <c r="D23" s="1410">
        <v>1177</v>
      </c>
      <c r="E23" s="1861" t="e">
        <f>(D23-C23)/C23*100</f>
        <v>#DIV/0!</v>
      </c>
      <c r="F23" s="315">
        <v>0</v>
      </c>
      <c r="G23" s="315">
        <v>0.03</v>
      </c>
      <c r="H23" s="1060">
        <f>G23/G7*100</f>
        <v>1.6666666666666667</v>
      </c>
      <c r="I23" s="1858" t="e">
        <f>(G23-F23)/F23*100</f>
        <v>#DIV/0!</v>
      </c>
      <c r="J23" s="1486"/>
      <c r="L23" s="1476"/>
      <c r="M23" s="2369"/>
      <c r="N23" s="1055" t="s">
        <v>233</v>
      </c>
      <c r="O23" s="833">
        <f>C23+'FEB-2024'!O23</f>
        <v>261458</v>
      </c>
      <c r="P23" s="833">
        <f>D23+'FEB-2024'!P23</f>
        <v>266296.8</v>
      </c>
      <c r="Q23" s="314">
        <f>(P23-O23)/O23*100</f>
        <v>1.8506987737992291</v>
      </c>
      <c r="R23" s="315">
        <f>F23+'FEB-2024'!R23</f>
        <v>9.6790008000000007</v>
      </c>
      <c r="S23" s="315">
        <f>G23+'FEB-2024'!S23</f>
        <v>9.86</v>
      </c>
      <c r="T23" s="1060">
        <f>S23/S7*100</f>
        <v>2.5213715647591015</v>
      </c>
      <c r="U23" s="1853">
        <f>(S23-R23)/R23*100</f>
        <v>1.8700194755640343</v>
      </c>
      <c r="Z23" s="5">
        <f>25.63+0.96</f>
        <v>26.59</v>
      </c>
    </row>
    <row r="24" spans="1:40" ht="18.75" customHeight="1" x14ac:dyDescent="0.45">
      <c r="A24" s="1983"/>
      <c r="B24" s="1055" t="s">
        <v>739</v>
      </c>
      <c r="C24" s="85">
        <v>0</v>
      </c>
      <c r="D24" s="1409">
        <v>0</v>
      </c>
      <c r="E24" s="1793">
        <v>0</v>
      </c>
      <c r="F24" s="833">
        <v>0</v>
      </c>
      <c r="G24" s="833">
        <v>0</v>
      </c>
      <c r="H24" s="1651">
        <f>G24/G7*100</f>
        <v>0</v>
      </c>
      <c r="I24" s="836">
        <v>0</v>
      </c>
      <c r="L24" s="1476"/>
      <c r="M24" s="2369"/>
      <c r="N24" s="1055" t="s">
        <v>739</v>
      </c>
      <c r="O24" s="833">
        <f>C24+'FEB-2024'!O24</f>
        <v>2661</v>
      </c>
      <c r="P24" s="833">
        <f>D24+'FEB-2024'!P24</f>
        <v>0</v>
      </c>
      <c r="Q24" s="836">
        <v>0</v>
      </c>
      <c r="R24" s="315">
        <f>F24+'FEB-2024'!R24</f>
        <v>4.1799999999999997E-2</v>
      </c>
      <c r="S24" s="315">
        <f>G24+'FEB-2024'!S24</f>
        <v>0.03</v>
      </c>
      <c r="T24" s="1060">
        <f>S24/S7*100</f>
        <v>7.6715159171169408E-3</v>
      </c>
      <c r="U24" s="314">
        <v>0</v>
      </c>
      <c r="AJ24" s="5">
        <f>0.32+0.48+0.04</f>
        <v>0.84000000000000008</v>
      </c>
    </row>
    <row r="25" spans="1:40" ht="18.75" customHeight="1" x14ac:dyDescent="0.45">
      <c r="A25" s="1983"/>
      <c r="B25" s="1055" t="s">
        <v>235</v>
      </c>
      <c r="C25" s="85">
        <v>0</v>
      </c>
      <c r="D25" s="1409">
        <v>0</v>
      </c>
      <c r="E25" s="1793">
        <v>0</v>
      </c>
      <c r="F25" s="833">
        <v>0</v>
      </c>
      <c r="G25" s="833">
        <v>0</v>
      </c>
      <c r="H25" s="1651">
        <f>G25/G7*100</f>
        <v>0</v>
      </c>
      <c r="I25" s="836">
        <v>0</v>
      </c>
      <c r="L25" s="1476"/>
      <c r="M25" s="2369"/>
      <c r="N25" s="1055" t="s">
        <v>235</v>
      </c>
      <c r="O25" s="833">
        <f>C25+'FEB-2024'!O25</f>
        <v>2748</v>
      </c>
      <c r="P25" s="833">
        <f>D25+'FEB-2024'!P25</f>
        <v>0</v>
      </c>
      <c r="Q25" s="836">
        <v>0</v>
      </c>
      <c r="R25" s="315">
        <f>F25+'FEB-2024'!R25</f>
        <v>4.3999999999999997E-2</v>
      </c>
      <c r="S25" s="315">
        <f>G25+'FEB-2024'!S25</f>
        <v>0</v>
      </c>
      <c r="T25" s="1060">
        <f>S25/S7*100</f>
        <v>0</v>
      </c>
      <c r="U25" s="314">
        <v>0</v>
      </c>
    </row>
    <row r="26" spans="1:40" ht="15.75" x14ac:dyDescent="0.45">
      <c r="A26" s="1984"/>
      <c r="B26" s="1056" t="s">
        <v>693</v>
      </c>
      <c r="C26" s="1520">
        <v>0</v>
      </c>
      <c r="D26" s="1411">
        <v>0</v>
      </c>
      <c r="E26" s="1793">
        <v>0</v>
      </c>
      <c r="F26" s="833">
        <v>0</v>
      </c>
      <c r="G26" s="315">
        <v>0.03</v>
      </c>
      <c r="H26" s="1060" t="s">
        <v>221</v>
      </c>
      <c r="I26" s="314" t="s">
        <v>221</v>
      </c>
      <c r="L26" s="1476"/>
      <c r="M26" s="2245"/>
      <c r="N26" s="1056" t="s">
        <v>693</v>
      </c>
      <c r="O26" s="833">
        <f>C26+'FEB-2024'!O26</f>
        <v>0</v>
      </c>
      <c r="P26" s="833">
        <f>D26+'FEB-2024'!P26</f>
        <v>3883</v>
      </c>
      <c r="Q26" s="836">
        <v>0</v>
      </c>
      <c r="R26" s="315">
        <f>F26+'FEB-2024'!R26</f>
        <v>0.34457000000000004</v>
      </c>
      <c r="S26" s="315">
        <f>G26+'FEB-2024'!S26</f>
        <v>0.82700000000000007</v>
      </c>
      <c r="T26" s="1060">
        <f>S26/S7*100</f>
        <v>0.21147812211519038</v>
      </c>
      <c r="U26" s="1853">
        <f>(S26-R26)/R26*100</f>
        <v>140.00928693734218</v>
      </c>
      <c r="V26" s="5">
        <f>0.48+0.04+0.23</f>
        <v>0.75</v>
      </c>
      <c r="AJ26" s="26"/>
      <c r="AK26" s="26"/>
      <c r="AL26" s="26"/>
      <c r="AM26" s="26"/>
      <c r="AN26" s="26"/>
    </row>
    <row r="27" spans="1:40" s="26" customFormat="1" ht="19.5" customHeight="1" x14ac:dyDescent="0.4">
      <c r="A27" s="1216"/>
      <c r="B27" s="1063" t="s">
        <v>683</v>
      </c>
      <c r="C27" s="1513">
        <f>SUM(C20:C26)</f>
        <v>18034</v>
      </c>
      <c r="D27" s="1412">
        <f>SUM(D20:D26)</f>
        <v>13851</v>
      </c>
      <c r="E27" s="1862">
        <f>(D27-C27)/C27*100</f>
        <v>-23.195075967616724</v>
      </c>
      <c r="F27" s="1054">
        <f>F26+F25+F24+F23+F22+F21+F20</f>
        <v>2.09</v>
      </c>
      <c r="G27" s="1054">
        <f>G20+G21+G22+G23+G24+G25+G26</f>
        <v>1.8</v>
      </c>
      <c r="H27" s="1066">
        <f>SUM(H20:H26)</f>
        <v>98.333333333333329</v>
      </c>
      <c r="I27" s="1854">
        <f>(G27-F27)/F27*100</f>
        <v>-13.875598086124393</v>
      </c>
      <c r="J27" s="762"/>
      <c r="K27" s="762"/>
      <c r="L27" s="1475"/>
      <c r="M27" s="1202"/>
      <c r="N27" s="1063" t="s">
        <v>683</v>
      </c>
      <c r="O27" s="1259">
        <f>SUM(O20:O26)</f>
        <v>2886249</v>
      </c>
      <c r="P27" s="1259">
        <f>SUM(P20:P26)</f>
        <v>2652867.7999999998</v>
      </c>
      <c r="Q27" s="394">
        <f>(P27-O27)/O27*100</f>
        <v>-8.0859690206908752</v>
      </c>
      <c r="R27" s="1054">
        <f>SUM(R20:R26)</f>
        <v>372.25021639999994</v>
      </c>
      <c r="S27" s="1054">
        <f>SUM(S20:S26)</f>
        <v>391.05700000000002</v>
      </c>
      <c r="T27" s="1066">
        <f>SUM(T20:T26)</f>
        <v>100</v>
      </c>
      <c r="U27" s="1854">
        <f>(S27-R27)/R27*100</f>
        <v>5.0521887621393136</v>
      </c>
      <c r="V27" s="26">
        <f>76.54+0.12</f>
        <v>76.660000000000011</v>
      </c>
      <c r="W27" s="26">
        <f>P27/1000000</f>
        <v>2.6528677999999997</v>
      </c>
      <c r="X27" s="432"/>
      <c r="AJ27" s="5"/>
      <c r="AK27" s="5"/>
      <c r="AL27" s="5"/>
      <c r="AM27" s="5"/>
      <c r="AN27" s="5"/>
    </row>
    <row r="28" spans="1:40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40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40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4">
        <v>3</v>
      </c>
      <c r="N30" s="2021" t="s">
        <v>623</v>
      </c>
      <c r="O30" s="2022"/>
      <c r="P30" s="2022"/>
      <c r="Q30" s="2022"/>
      <c r="R30" s="2022"/>
      <c r="S30" s="2022"/>
      <c r="T30" s="2022"/>
      <c r="U30" s="2023"/>
    </row>
    <row r="31" spans="1:40" ht="15.4" x14ac:dyDescent="0.4">
      <c r="A31" s="2382"/>
      <c r="B31" s="378" t="s">
        <v>2</v>
      </c>
      <c r="C31" s="1521">
        <v>24.66</v>
      </c>
      <c r="D31" s="1429">
        <v>22.5</v>
      </c>
      <c r="E31" s="307">
        <f>'TARGET 23-24'!Z5</f>
        <v>0.17903225806451611</v>
      </c>
      <c r="F31" s="134">
        <f>E71</f>
        <v>0.3475974</v>
      </c>
      <c r="G31" s="134">
        <f>F71</f>
        <v>0.18471499999999999</v>
      </c>
      <c r="H31" s="1858">
        <f>(G31-E31)/E31*100</f>
        <v>3.1741441441441469</v>
      </c>
      <c r="I31" s="1858">
        <f>(G31-F31)/F31*100</f>
        <v>-46.859498949071543</v>
      </c>
      <c r="J31" s="84">
        <v>1.52</v>
      </c>
      <c r="K31" s="1128">
        <f>11596205/10000000</f>
        <v>1.1596204999999999</v>
      </c>
      <c r="L31" s="1749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f>E31+'FEB-2024'!Q31</f>
        <v>20.829032258064519</v>
      </c>
      <c r="R31" s="315">
        <f>F31+'FEB-2024'!R31</f>
        <v>22.876443399999999</v>
      </c>
      <c r="S31" s="315">
        <f>G31+'FEB-2024'!S31</f>
        <v>25.725844700000003</v>
      </c>
      <c r="T31" s="1853">
        <f>(S31-Q31)/Q31*100</f>
        <v>23.509553306489082</v>
      </c>
      <c r="U31" s="1853">
        <f>(S31-R31)/R31*100</f>
        <v>12.455613183297556</v>
      </c>
      <c r="W31" s="5">
        <f>(Q31*10000000)/100000</f>
        <v>2082.9032258064517</v>
      </c>
    </row>
    <row r="32" spans="1:40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07">
        <f>'TARGET 23-24'!W5</f>
        <v>0.2661290322580645</v>
      </c>
      <c r="F32" s="134">
        <f t="shared" ref="F32:G33" si="6">E72</f>
        <v>0.14889999999999998</v>
      </c>
      <c r="G32" s="134">
        <f t="shared" si="6"/>
        <v>0.1396</v>
      </c>
      <c r="H32" s="1858">
        <f>(G32-E32)/E32*100</f>
        <v>-47.54424242424242</v>
      </c>
      <c r="I32" s="1853">
        <f>(G32-F32)/F32*100</f>
        <v>-6.2458025520483389</v>
      </c>
      <c r="J32" s="1128">
        <v>2.3697997000000002</v>
      </c>
      <c r="K32" s="84">
        <f>0.58-0.12</f>
        <v>0.45999999999999996</v>
      </c>
      <c r="L32" s="1749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f>E32+'FEB-2024'!Q32</f>
        <v>34.526129032258069</v>
      </c>
      <c r="R32" s="315">
        <f>F32+'FEB-2024'!R32</f>
        <v>25.778661400000001</v>
      </c>
      <c r="S32" s="315">
        <f>G32+'FEB-2024'!S32</f>
        <v>26.280198100000003</v>
      </c>
      <c r="T32" s="1858">
        <f>(S32-Q32)/Q32*100</f>
        <v>-23.883160850594688</v>
      </c>
      <c r="U32" s="1853">
        <f t="shared" ref="U32:U38" si="7">(S32-R32)/R32*100</f>
        <v>1.9455498181918889</v>
      </c>
      <c r="W32" s="5">
        <f>(Q32*10000000)/100000</f>
        <v>3452.6129032258068</v>
      </c>
    </row>
    <row r="33" spans="1:39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07">
        <f>'TARGET 23-24'!X5</f>
        <v>2.6129032258064518E-2</v>
      </c>
      <c r="F33" s="283">
        <f t="shared" si="6"/>
        <v>3.9000000000000003E-3</v>
      </c>
      <c r="G33" s="134">
        <f t="shared" si="6"/>
        <v>7.9000000000000008E-3</v>
      </c>
      <c r="H33" s="1858">
        <f>(G33-E33)/E33*100</f>
        <v>-69.76543209876543</v>
      </c>
      <c r="I33" s="1853">
        <f>(G33-F33)/F33*100</f>
        <v>102.56410256410255</v>
      </c>
      <c r="J33" s="1128">
        <v>7.7621999999999997E-2</v>
      </c>
      <c r="L33" s="1749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f>E33+'FEB-2024'!Q33</f>
        <v>3.1561290322580646</v>
      </c>
      <c r="R33" s="315">
        <f>F33+'FEB-2024'!R33</f>
        <v>0.96506999999999987</v>
      </c>
      <c r="S33" s="315">
        <f>G33+'FEB-2024'!S33</f>
        <v>1.0750958559999999</v>
      </c>
      <c r="T33" s="1858">
        <f>(S33-Q33)/Q33*100</f>
        <v>-65.936251496320537</v>
      </c>
      <c r="U33" s="1853">
        <f t="shared" si="7"/>
        <v>11.400816106603671</v>
      </c>
      <c r="W33" s="5">
        <f>(Q33*10000000)/100000</f>
        <v>315.61290322580646</v>
      </c>
    </row>
    <row r="34" spans="1:39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0.29225806451612901</v>
      </c>
      <c r="F34" s="1483">
        <f>SUM(F32:F33)</f>
        <v>0.15279999999999996</v>
      </c>
      <c r="G34" s="1483">
        <f>SUM(G32:G33)</f>
        <v>0.14749999999999999</v>
      </c>
      <c r="H34" s="1857">
        <f>(G34-E34)/E34*100</f>
        <v>-49.530905077262695</v>
      </c>
      <c r="I34" s="1855">
        <f>(G34-F34)/F34*100</f>
        <v>-3.4685863874345371</v>
      </c>
      <c r="L34" s="1749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37.682258064516134</v>
      </c>
      <c r="R34" s="1814">
        <f>SUM(R32:R33)</f>
        <v>26.743731400000001</v>
      </c>
      <c r="S34" s="1814">
        <f>SUM(S32:S33)</f>
        <v>27.355293956000004</v>
      </c>
      <c r="T34" s="1857">
        <f>(S34-Q34)/Q34*100</f>
        <v>-27.405374940204595</v>
      </c>
      <c r="U34" s="1855">
        <f>(S34-R34)/R34*100</f>
        <v>2.2867510402830424</v>
      </c>
    </row>
    <row r="35" spans="1:39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f>E74</f>
        <v>2.4871999999999998E-2</v>
      </c>
      <c r="G35" s="313">
        <f>F74</f>
        <v>2.8178999999999999E-2</v>
      </c>
      <c r="H35" s="517" t="s">
        <v>221</v>
      </c>
      <c r="I35" s="1853" t="s">
        <v>221</v>
      </c>
      <c r="J35" s="84">
        <v>0.21881</v>
      </c>
      <c r="L35" s="1749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f>F35+'FEB-2024'!R35</f>
        <v>2.9412499999999993</v>
      </c>
      <c r="S35" s="315">
        <f>G35+'FEB-2024'!S35</f>
        <v>2.9826650000000003</v>
      </c>
      <c r="T35" s="316" t="s">
        <v>221</v>
      </c>
      <c r="U35" s="1853">
        <f t="shared" si="7"/>
        <v>1.4080747981300843</v>
      </c>
      <c r="W35" s="5" t="e">
        <f>(Q35*10000000)/100000</f>
        <v>#VALUE!</v>
      </c>
    </row>
    <row r="36" spans="1:39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f t="shared" ref="F36:G36" si="8">E75</f>
        <v>5.0516999999999999E-2</v>
      </c>
      <c r="G36" s="313">
        <f t="shared" si="8"/>
        <v>0</v>
      </c>
      <c r="H36" s="517" t="s">
        <v>221</v>
      </c>
      <c r="I36" s="1853">
        <v>0</v>
      </c>
      <c r="J36" s="84">
        <v>3.63459E-2</v>
      </c>
      <c r="L36" s="1749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f>F36+'FEB-2024'!R36</f>
        <v>5.7348479999999995</v>
      </c>
      <c r="S36" s="315">
        <f>G36+'FEB-2024'!S36</f>
        <v>6.2872038999999988</v>
      </c>
      <c r="T36" s="316" t="s">
        <v>221</v>
      </c>
      <c r="U36" s="1853">
        <f t="shared" si="7"/>
        <v>9.6315700084814697</v>
      </c>
    </row>
    <row r="37" spans="1:39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f t="shared" ref="F37:G37" si="9">E76</f>
        <v>0.40044410000000003</v>
      </c>
      <c r="G37" s="313">
        <f t="shared" si="9"/>
        <v>0.41730080000000003</v>
      </c>
      <c r="H37" s="517" t="s">
        <v>221</v>
      </c>
      <c r="I37" s="1853">
        <f>(G37-F37)/F37*100</f>
        <v>4.2095014010694625</v>
      </c>
      <c r="J37" s="84">
        <v>3.210709</v>
      </c>
      <c r="K37" s="323">
        <f>(20880+ 10612529)/10000000</f>
        <v>1.0633409</v>
      </c>
      <c r="L37" s="1749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f>F37+'FEB-2024'!R37</f>
        <v>39.8790172</v>
      </c>
      <c r="S37" s="315">
        <f>G37+'FEB-2024'!S37</f>
        <v>46.43365210000001</v>
      </c>
      <c r="T37" s="316" t="s">
        <v>221</v>
      </c>
      <c r="U37" s="1853">
        <f t="shared" si="7"/>
        <v>16.436299989860359</v>
      </c>
    </row>
    <row r="38" spans="1:39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313">
        <f t="shared" ref="F38:G38" si="10">E77</f>
        <v>0</v>
      </c>
      <c r="G38" s="313">
        <f t="shared" si="10"/>
        <v>0</v>
      </c>
      <c r="H38" s="413"/>
      <c r="I38" s="1853">
        <v>0</v>
      </c>
      <c r="J38" s="84">
        <v>6.4195500000000003E-2</v>
      </c>
      <c r="L38" s="1749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f>F38+'FEB-2024'!R38</f>
        <v>0.72566130000000006</v>
      </c>
      <c r="S38" s="315">
        <f>G38+'FEB-2024'!S38</f>
        <v>1.0077297999999999</v>
      </c>
      <c r="T38" s="413"/>
      <c r="U38" s="1853">
        <f t="shared" si="7"/>
        <v>38.870544701777511</v>
      </c>
    </row>
    <row r="39" spans="1:39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J39" s="323">
        <v>9.68218E-2</v>
      </c>
      <c r="L39" s="1749"/>
      <c r="M39" s="1286">
        <v>4</v>
      </c>
      <c r="N39" s="2021" t="s">
        <v>622</v>
      </c>
      <c r="O39" s="2022"/>
      <c r="P39" s="2022"/>
      <c r="Q39" s="2022"/>
      <c r="R39" s="2022"/>
      <c r="S39" s="2022"/>
      <c r="T39" s="2022"/>
      <c r="U39" s="2023"/>
    </row>
    <row r="40" spans="1:39" ht="15.4" x14ac:dyDescent="0.4">
      <c r="A40" s="2387"/>
      <c r="B40" s="378" t="s">
        <v>27</v>
      </c>
      <c r="C40" s="1521">
        <v>12.02</v>
      </c>
      <c r="D40" s="1429">
        <v>14.04</v>
      </c>
      <c r="E40" s="307">
        <v>1.17</v>
      </c>
      <c r="F40" s="313">
        <v>1.65</v>
      </c>
      <c r="G40" s="313">
        <f>'ACTUAL- 23-24'!O30/10000000</f>
        <v>1.16757</v>
      </c>
      <c r="H40" s="1853">
        <f>(G40-E40)/E40*100</f>
        <v>-0.20769230769230193</v>
      </c>
      <c r="I40" s="1853">
        <f>(G40-F40)/F40*100</f>
        <v>-29.238181818181815</v>
      </c>
      <c r="K40" s="1128">
        <v>0.5185746</v>
      </c>
      <c r="L40" s="1476"/>
      <c r="M40" s="1286"/>
      <c r="N40" s="378" t="s">
        <v>27</v>
      </c>
      <c r="O40" s="1283">
        <v>12.02</v>
      </c>
      <c r="P40" s="1429">
        <v>14.04</v>
      </c>
      <c r="Q40" s="308">
        <f>E40+'JAN-2024'!Q40</f>
        <v>12.87</v>
      </c>
      <c r="R40" s="315">
        <v>10.6089427</v>
      </c>
      <c r="S40" s="315">
        <f>G40+'JAN-2024'!S40</f>
        <v>11.650051499999998</v>
      </c>
      <c r="T40" s="1853">
        <f t="shared" ref="T40:T42" si="11">(S40-Q40)/Q40*100</f>
        <v>-9.4790093240093327</v>
      </c>
      <c r="U40" s="1853">
        <f>(S40-R40)/R40*100</f>
        <v>9.8135019618872867</v>
      </c>
      <c r="W40" s="12">
        <v>6.8847902000000003</v>
      </c>
      <c r="X40" s="491">
        <v>1.5093639999999999</v>
      </c>
      <c r="Y40" s="12">
        <v>0.98931259999999999</v>
      </c>
      <c r="Z40" s="12">
        <v>0.63322219999999996</v>
      </c>
      <c r="AA40" s="12">
        <v>0.67428080000000001</v>
      </c>
      <c r="AL40" s="5" t="s">
        <v>27</v>
      </c>
      <c r="AM40" s="12">
        <f>S40</f>
        <v>11.650051499999998</v>
      </c>
    </row>
    <row r="41" spans="1:39" ht="15.4" x14ac:dyDescent="0.4">
      <c r="A41" s="2387"/>
      <c r="B41" s="378" t="s">
        <v>28</v>
      </c>
      <c r="C41" s="1521">
        <v>1.94</v>
      </c>
      <c r="D41" s="1429">
        <v>2.7000000000000006</v>
      </c>
      <c r="E41" s="307">
        <v>0.22500000000000001</v>
      </c>
      <c r="F41" s="313">
        <v>0.11</v>
      </c>
      <c r="G41" s="313">
        <f>'ACTUAL- 23-24'!P30/10000000</f>
        <v>6.4928E-2</v>
      </c>
      <c r="H41" s="1853">
        <f>(G41-E41)/E41*100</f>
        <v>-71.143111111111097</v>
      </c>
      <c r="I41" s="1853">
        <f>(G41-F41)/F41*100</f>
        <v>-40.974545454545456</v>
      </c>
      <c r="J41" s="84">
        <f t="shared" ref="J41:J46" si="12">E40*8</f>
        <v>9.36</v>
      </c>
      <c r="K41" s="1128">
        <v>1.5909099999999999E-2</v>
      </c>
      <c r="L41" s="1476">
        <v>2.1361249999999998</v>
      </c>
      <c r="M41" s="1286"/>
      <c r="N41" s="378" t="s">
        <v>28</v>
      </c>
      <c r="O41" s="1283">
        <v>1.94</v>
      </c>
      <c r="P41" s="1429">
        <v>2.7000000000000006</v>
      </c>
      <c r="Q41" s="308">
        <f>E41+'JAN-2024'!Q41</f>
        <v>2.4750000000000005</v>
      </c>
      <c r="R41" s="315">
        <v>1.49</v>
      </c>
      <c r="S41" s="315">
        <f>G41+'JAN-2024'!S41</f>
        <v>2.254928</v>
      </c>
      <c r="T41" s="1853">
        <f t="shared" si="11"/>
        <v>-8.8917979797979978</v>
      </c>
      <c r="U41" s="1853">
        <f t="shared" ref="U41:U45" si="13">(S41-R41)/R41*100</f>
        <v>51.337449664429535</v>
      </c>
      <c r="W41" s="5">
        <f>(E41*10000000)/100000</f>
        <v>22.5</v>
      </c>
      <c r="X41" s="172">
        <v>19.73</v>
      </c>
      <c r="Y41" s="5">
        <v>3.12</v>
      </c>
      <c r="Z41" s="11">
        <f t="shared" ref="Z41:Z45" si="14">(X41-W41)/W41*100</f>
        <v>-12.311111111111108</v>
      </c>
      <c r="AA41" s="11">
        <f t="shared" ref="AA41:AA45" si="15">(X41-Y41)/Y41*100</f>
        <v>532.3717948717948</v>
      </c>
      <c r="AL41" s="5" t="str">
        <f>N41</f>
        <v>Pay &amp; Park</v>
      </c>
      <c r="AM41" s="12">
        <f t="shared" ref="AM41:AM45" si="16">S41</f>
        <v>2.254928</v>
      </c>
    </row>
    <row r="42" spans="1:39" ht="15.4" x14ac:dyDescent="0.4">
      <c r="A42" s="2387"/>
      <c r="B42" s="378" t="s">
        <v>224</v>
      </c>
      <c r="C42" s="1521">
        <v>1.96</v>
      </c>
      <c r="D42" s="1429">
        <v>3.25</v>
      </c>
      <c r="E42" s="307">
        <v>0.27</v>
      </c>
      <c r="F42" s="313">
        <v>0.15</v>
      </c>
      <c r="G42" s="313">
        <f>'ACTUAL- 23-24'!Q30/10000000</f>
        <v>0.65083519999999995</v>
      </c>
      <c r="H42" s="1858">
        <f>(G42-E42)/E42*100</f>
        <v>141.05007407407405</v>
      </c>
      <c r="I42" s="1853">
        <f>(G42-F42)/F42*100</f>
        <v>333.89013333333327</v>
      </c>
      <c r="J42" s="84">
        <f t="shared" si="12"/>
        <v>1.8</v>
      </c>
      <c r="K42" s="1128">
        <v>7.9338400000000003E-2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8">
        <f>E42+'JAN-2024'!Q42</f>
        <v>2.97</v>
      </c>
      <c r="R42" s="315">
        <v>1.77</v>
      </c>
      <c r="S42" s="315">
        <f>G42+'JAN-2024'!S42</f>
        <v>1.9903116000000001</v>
      </c>
      <c r="T42" s="1853">
        <f t="shared" si="11"/>
        <v>-32.986141414141414</v>
      </c>
      <c r="U42" s="1853">
        <f t="shared" si="13"/>
        <v>12.446983050847461</v>
      </c>
      <c r="W42" s="11">
        <f>(E42*10000000)/100000</f>
        <v>27</v>
      </c>
      <c r="X42" s="172">
        <v>45.45</v>
      </c>
      <c r="Y42" s="5">
        <v>0</v>
      </c>
      <c r="Z42" s="11">
        <f t="shared" si="14"/>
        <v>68.333333333333343</v>
      </c>
      <c r="AA42" s="11" t="e">
        <f t="shared" si="15"/>
        <v>#DIV/0!</v>
      </c>
      <c r="AL42" s="5" t="s">
        <v>3</v>
      </c>
      <c r="AM42" s="12">
        <f t="shared" si="16"/>
        <v>1.9903116000000001</v>
      </c>
    </row>
    <row r="43" spans="1:39" ht="15.4" hidden="1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>
        <v>0</v>
      </c>
      <c r="H43" s="314" t="e">
        <f>(G43-E43)/E43*100</f>
        <v>#VALUE!</v>
      </c>
      <c r="I43" s="314" t="e">
        <f t="shared" ref="I43" si="17">(G43-F43)/F43*100</f>
        <v>#DIV/0!</v>
      </c>
      <c r="J43" s="323">
        <f t="shared" si="12"/>
        <v>2.16</v>
      </c>
      <c r="K43" s="1128">
        <v>0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15">
        <v>0</v>
      </c>
      <c r="S43" s="315">
        <f>G43+'JAN-2024'!S43</f>
        <v>0</v>
      </c>
      <c r="T43" s="314" t="s">
        <v>221</v>
      </c>
      <c r="U43" s="1853" t="e">
        <f t="shared" si="13"/>
        <v>#DIV/0!</v>
      </c>
      <c r="W43" s="5" t="e">
        <f>(E43*10000000)/100000</f>
        <v>#VALUE!</v>
      </c>
      <c r="Z43" s="11" t="e">
        <f t="shared" si="14"/>
        <v>#VALUE!</v>
      </c>
      <c r="AA43" s="11" t="e">
        <f t="shared" si="15"/>
        <v>#DIV/0!</v>
      </c>
      <c r="AM43" s="12">
        <f t="shared" si="16"/>
        <v>0</v>
      </c>
    </row>
    <row r="44" spans="1:39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1.4E-3</v>
      </c>
      <c r="G44" s="313">
        <f>'ACTUAL- 23-24'!R30/10000000</f>
        <v>0.250025</v>
      </c>
      <c r="H44" s="314"/>
      <c r="I44" s="314" t="s">
        <v>221</v>
      </c>
      <c r="J44" s="84" t="e">
        <f t="shared" si="12"/>
        <v>#VALUE!</v>
      </c>
      <c r="K44" s="1128">
        <v>6.3045000000000002E-3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15">
        <v>0.21013200000000001</v>
      </c>
      <c r="S44" s="315">
        <f>G44+'JAN-2024'!S44</f>
        <v>0.88489609999999996</v>
      </c>
      <c r="T44" s="314" t="s">
        <v>221</v>
      </c>
      <c r="U44" s="1853">
        <f t="shared" si="13"/>
        <v>321.11439476138804</v>
      </c>
      <c r="X44" s="172">
        <v>0</v>
      </c>
      <c r="Y44" s="5">
        <v>0.06</v>
      </c>
      <c r="Z44" s="11" t="e">
        <f t="shared" si="14"/>
        <v>#DIV/0!</v>
      </c>
      <c r="AA44" s="11">
        <f t="shared" si="15"/>
        <v>-100</v>
      </c>
      <c r="AL44" s="5" t="s">
        <v>1016</v>
      </c>
      <c r="AM44" s="12">
        <f t="shared" si="16"/>
        <v>0.88489609999999996</v>
      </c>
    </row>
    <row r="45" spans="1:39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0.08</v>
      </c>
      <c r="G45" s="313">
        <f>'ACTUAL- 23-24'!S30/10000000</f>
        <v>0.14009640000000001</v>
      </c>
      <c r="H45" s="314"/>
      <c r="I45" s="1853">
        <f>(G45-F45)/F45*100</f>
        <v>75.120500000000007</v>
      </c>
      <c r="J45" s="84" t="e">
        <f t="shared" si="12"/>
        <v>#VALUE!</v>
      </c>
      <c r="K45" s="1128">
        <v>7.3470099999999997E-2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15">
        <v>1.49</v>
      </c>
      <c r="S45" s="315">
        <f>G45+'JAN-2024'!S45</f>
        <v>1.1566206999999999</v>
      </c>
      <c r="T45" s="407" t="s">
        <v>221</v>
      </c>
      <c r="U45" s="1853">
        <f t="shared" si="13"/>
        <v>-22.374449664429534</v>
      </c>
      <c r="W45" s="595">
        <f>W40+W41+W42+W44</f>
        <v>56.384790199999998</v>
      </c>
      <c r="X45" s="172">
        <f>X40+X41+X42+X44</f>
        <v>66.689364000000012</v>
      </c>
      <c r="Y45" s="172">
        <f>Y40+Y41+Y42+Y44</f>
        <v>4.1693125999999996</v>
      </c>
      <c r="Z45" s="11">
        <f t="shared" si="14"/>
        <v>18.27544939592595</v>
      </c>
      <c r="AA45" s="11">
        <f t="shared" si="15"/>
        <v>1499.528996698401</v>
      </c>
      <c r="AL45" s="5" t="s">
        <v>1017</v>
      </c>
      <c r="AM45" s="12">
        <f t="shared" si="16"/>
        <v>1.1566206999999999</v>
      </c>
    </row>
    <row r="46" spans="1:39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12"/>
        <v>#VALUE!</v>
      </c>
      <c r="L46" s="1476">
        <v>0.93056630000000007</v>
      </c>
      <c r="M46" s="2388"/>
      <c r="N46" s="2021" t="s">
        <v>419</v>
      </c>
      <c r="O46" s="2022"/>
      <c r="P46" s="2022"/>
      <c r="Q46" s="2022"/>
      <c r="R46" s="2022"/>
      <c r="S46" s="2022"/>
      <c r="T46" s="2022"/>
      <c r="U46" s="2023"/>
    </row>
    <row r="47" spans="1:39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07">
        <f>'TARGET 23-24'!E31</f>
        <v>0.19354838709677419</v>
      </c>
      <c r="F47" s="315">
        <f>E66</f>
        <v>0.21471199999999999</v>
      </c>
      <c r="G47" s="315">
        <f>F66</f>
        <v>0.16752600000000001</v>
      </c>
      <c r="H47" s="1859">
        <f>(G47-E47)/E47*100</f>
        <v>-13.444899999999993</v>
      </c>
      <c r="I47" s="314">
        <f>(G47-F47)/F47*100</f>
        <v>-21.976414918588613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f>E47+'FEB-2024'!Q47</f>
        <v>20.283548387096776</v>
      </c>
      <c r="R47" s="315">
        <f>F47+'FEB-2024'!R47</f>
        <v>17.377948999999997</v>
      </c>
      <c r="S47" s="315">
        <f>G47+'FEB-2024'!S47</f>
        <v>20.101096999999999</v>
      </c>
      <c r="T47" s="1856">
        <f>(S47-Q47)/Q47*100</f>
        <v>-0.89950428600964805</v>
      </c>
      <c r="U47" s="1853">
        <f>(S47-R47)/R47*100</f>
        <v>15.67013460564306</v>
      </c>
      <c r="V47" s="5">
        <f>S47/153</f>
        <v>0.13137971895424835</v>
      </c>
    </row>
    <row r="48" spans="1:39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065">
        <f>'TARGET 23-24'!F31</f>
        <v>0.30290322580645163</v>
      </c>
      <c r="F48" s="315">
        <f t="shared" ref="F48:G49" si="18">E67</f>
        <v>0.18676100000000001</v>
      </c>
      <c r="G48" s="315">
        <f t="shared" si="18"/>
        <v>0.19020699999999999</v>
      </c>
      <c r="H48" s="2533">
        <f>L48</f>
        <v>1.3894781682641051</v>
      </c>
      <c r="I48" s="1853">
        <f>(G48-F48)/F48*100</f>
        <v>1.8451389744111333</v>
      </c>
      <c r="J48" s="12">
        <f>F48+F49</f>
        <v>0.30529600000000001</v>
      </c>
      <c r="K48" s="12">
        <f>G48+G49</f>
        <v>0.307112</v>
      </c>
      <c r="L48" s="1151">
        <f>(K48-E48)/E48*100</f>
        <v>1.3894781682641051</v>
      </c>
      <c r="M48" s="2388"/>
      <c r="N48" s="1280" t="s">
        <v>792</v>
      </c>
      <c r="O48" s="1285">
        <v>15.344440000000001</v>
      </c>
      <c r="P48" s="2067">
        <v>32.97</v>
      </c>
      <c r="Q48" s="2065">
        <f>E48+'FEB-2024'!Q48</f>
        <v>30.142903225806457</v>
      </c>
      <c r="R48" s="315">
        <f>F48+'FEB-2024'!R48</f>
        <v>13.998465999999999</v>
      </c>
      <c r="S48" s="315">
        <f>G48+'FEB-2024'!S48</f>
        <v>19.215168000000002</v>
      </c>
      <c r="T48" s="2527">
        <f>X48</f>
        <v>4.7614483695942793</v>
      </c>
      <c r="U48" s="1853">
        <f>(S48-R48)/R48*100</f>
        <v>37.266240458061645</v>
      </c>
      <c r="V48" s="12">
        <f>R48+R49</f>
        <v>25.817194000000001</v>
      </c>
      <c r="W48" s="12">
        <f>S48+S49</f>
        <v>31.578142</v>
      </c>
      <c r="X48" s="1151">
        <f>(W48-Q48)/Q48*100</f>
        <v>4.7614483695942793</v>
      </c>
    </row>
    <row r="49" spans="1:33" ht="15.75" x14ac:dyDescent="0.45">
      <c r="A49" s="2387"/>
      <c r="B49" s="1606" t="s">
        <v>934</v>
      </c>
      <c r="C49" s="1524">
        <v>12.857975999999999</v>
      </c>
      <c r="D49" s="2066"/>
      <c r="E49" s="2066"/>
      <c r="F49" s="315">
        <f t="shared" si="18"/>
        <v>0.118535</v>
      </c>
      <c r="G49" s="315">
        <f t="shared" si="18"/>
        <v>0.116905</v>
      </c>
      <c r="H49" s="2534"/>
      <c r="I49" s="1853">
        <f>(G49-F49)/F49*100</f>
        <v>-1.3751212721980903</v>
      </c>
      <c r="J49" s="84">
        <v>31105</v>
      </c>
      <c r="K49" s="1198"/>
      <c r="L49" s="1477">
        <f>(K48-J48)/J48*100</f>
        <v>0.59483255594569995</v>
      </c>
      <c r="M49" s="2388"/>
      <c r="N49" s="320" t="s">
        <v>931</v>
      </c>
      <c r="O49" s="1285">
        <v>12.857975999999999</v>
      </c>
      <c r="P49" s="2068"/>
      <c r="Q49" s="2066"/>
      <c r="R49" s="315">
        <f>F49+'FEB-2024'!R49</f>
        <v>11.818728</v>
      </c>
      <c r="S49" s="315">
        <f>G49+'FEB-2024'!S49</f>
        <v>12.362973999999999</v>
      </c>
      <c r="T49" s="2528"/>
      <c r="U49" s="1853">
        <f>(S49-R49)/R49*100</f>
        <v>4.604945642204469</v>
      </c>
      <c r="V49" s="84"/>
      <c r="W49" s="1198"/>
      <c r="X49" s="1477">
        <f>(W48-V48)/V48*100</f>
        <v>22.314384746847388</v>
      </c>
    </row>
    <row r="50" spans="1:33" ht="16.5" customHeight="1" x14ac:dyDescent="0.45">
      <c r="A50" s="2387">
        <v>6</v>
      </c>
      <c r="B50" s="2021" t="s">
        <v>1087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7">
        <v>6</v>
      </c>
      <c r="N50" s="2021" t="s">
        <v>1087</v>
      </c>
      <c r="O50" s="2022"/>
      <c r="P50" s="2022"/>
      <c r="Q50" s="2022"/>
      <c r="R50" s="2022"/>
      <c r="S50" s="2022"/>
      <c r="T50" s="2022"/>
      <c r="U50" s="2023"/>
      <c r="V50" s="323">
        <f>R48+R47</f>
        <v>31.376414999999994</v>
      </c>
      <c r="W50" s="323">
        <f>S48+S47</f>
        <v>39.316265000000001</v>
      </c>
      <c r="X50" s="314">
        <f>(W50-V50)/V50*100</f>
        <v>25.305153568372958</v>
      </c>
    </row>
    <row r="51" spans="1:33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146.91999999999999</v>
      </c>
      <c r="G51" s="313">
        <v>307.27999999999997</v>
      </c>
      <c r="H51" s="2027" t="s">
        <v>221</v>
      </c>
      <c r="I51" s="1853">
        <f>(G51-F51)/F51*100</f>
        <v>109.1478355567656</v>
      </c>
      <c r="K51" s="84">
        <v>1.4243969999999999</v>
      </c>
      <c r="M51" s="2387"/>
      <c r="N51" s="378" t="s">
        <v>36</v>
      </c>
      <c r="O51" s="1525"/>
      <c r="P51" s="2368">
        <v>0.55000000000000004</v>
      </c>
      <c r="Q51" s="2024" t="s">
        <v>221</v>
      </c>
      <c r="R51" s="313">
        <v>146.91999999999999</v>
      </c>
      <c r="S51" s="313">
        <v>307.27999999999997</v>
      </c>
      <c r="T51" s="2027" t="s">
        <v>221</v>
      </c>
      <c r="U51" s="1858">
        <f>(S51-R51)/R51*100</f>
        <v>109.1478355567656</v>
      </c>
    </row>
    <row r="52" spans="1:33" ht="15.4" x14ac:dyDescent="0.4">
      <c r="A52" s="2387"/>
      <c r="B52" s="378" t="s">
        <v>37</v>
      </c>
      <c r="C52" s="1525"/>
      <c r="D52" s="2369"/>
      <c r="E52" s="2025"/>
      <c r="F52" s="313">
        <v>37.380000000000003</v>
      </c>
      <c r="G52" s="313">
        <v>27.22</v>
      </c>
      <c r="H52" s="2028"/>
      <c r="I52" s="314">
        <f>(G52-F52)/F52*100</f>
        <v>-27.18031032637775</v>
      </c>
      <c r="K52" s="84">
        <v>1.1149039999999999</v>
      </c>
      <c r="M52" s="2387"/>
      <c r="N52" s="378" t="s">
        <v>37</v>
      </c>
      <c r="O52" s="1525"/>
      <c r="P52" s="2369"/>
      <c r="Q52" s="2025"/>
      <c r="R52" s="313">
        <v>37.380000000000003</v>
      </c>
      <c r="S52" s="313">
        <v>27.22</v>
      </c>
      <c r="T52" s="2028"/>
      <c r="U52" s="1853">
        <f>(S52-R52)/R52*100</f>
        <v>-27.18031032637775</v>
      </c>
    </row>
    <row r="53" spans="1:33" ht="15.4" x14ac:dyDescent="0.4">
      <c r="A53" s="2387"/>
      <c r="B53" s="378" t="s">
        <v>38</v>
      </c>
      <c r="C53" s="1525"/>
      <c r="D53" s="2245"/>
      <c r="E53" s="2026"/>
      <c r="F53" s="333">
        <f>SUM(F51:F52)</f>
        <v>184.29999999999998</v>
      </c>
      <c r="G53" s="333">
        <f>SUM(G51:G52)</f>
        <v>334.5</v>
      </c>
      <c r="H53" s="2029"/>
      <c r="I53" s="1853">
        <f>(G53-F53)/F53*100</f>
        <v>81.497558328811735</v>
      </c>
      <c r="K53" s="84">
        <v>1.0979049999999999</v>
      </c>
      <c r="M53" s="2387"/>
      <c r="N53" s="378" t="s">
        <v>38</v>
      </c>
      <c r="O53" s="1525"/>
      <c r="P53" s="2245"/>
      <c r="Q53" s="2026"/>
      <c r="R53" s="333">
        <f>SUM(R51:R52)</f>
        <v>184.29999999999998</v>
      </c>
      <c r="S53" s="333">
        <f>SUM(S51:S52)</f>
        <v>334.5</v>
      </c>
      <c r="T53" s="2029"/>
      <c r="U53" s="1858">
        <f>(S53-R53)/R53*100</f>
        <v>81.497558328811735</v>
      </c>
    </row>
    <row r="54" spans="1:33" x14ac:dyDescent="0.4">
      <c r="B54" s="1748"/>
      <c r="C54" s="1810" t="s">
        <v>195</v>
      </c>
      <c r="D54" s="1810" t="s">
        <v>227</v>
      </c>
      <c r="E54" s="1811" t="s">
        <v>494</v>
      </c>
      <c r="F54" s="1740"/>
      <c r="G54" s="1810" t="s">
        <v>195</v>
      </c>
      <c r="H54" s="1810" t="s">
        <v>227</v>
      </c>
      <c r="I54" s="1811" t="s">
        <v>494</v>
      </c>
      <c r="N54" s="1740"/>
      <c r="O54" s="1810" t="s">
        <v>195</v>
      </c>
      <c r="P54" s="1810" t="s">
        <v>227</v>
      </c>
      <c r="Q54" s="1811" t="s">
        <v>494</v>
      </c>
      <c r="R54" s="1810"/>
      <c r="S54" s="1810" t="s">
        <v>195</v>
      </c>
      <c r="T54" s="1810" t="s">
        <v>227</v>
      </c>
      <c r="U54" s="1811" t="s">
        <v>494</v>
      </c>
    </row>
    <row r="55" spans="1:33" ht="15.75" x14ac:dyDescent="0.45">
      <c r="B55" s="1742" t="s">
        <v>989</v>
      </c>
      <c r="C55" s="1743">
        <f>F15+F16</f>
        <v>1.9526589000000001</v>
      </c>
      <c r="D55" s="1743">
        <f>G15+G16</f>
        <v>2.0091206000000001</v>
      </c>
      <c r="E55" s="1744">
        <f>(D55-C55)/C55*100</f>
        <v>2.8915290837534431</v>
      </c>
      <c r="F55" s="1745" t="s">
        <v>991</v>
      </c>
      <c r="G55" s="1745">
        <f>F48+F47</f>
        <v>0.40147299999999997</v>
      </c>
      <c r="H55" s="1745">
        <f>G48+G47</f>
        <v>0.35773299999999997</v>
      </c>
      <c r="I55" s="1744">
        <f>(H55-G55)/G55*100</f>
        <v>-10.894879605851452</v>
      </c>
      <c r="N55" s="1742" t="s">
        <v>989</v>
      </c>
      <c r="O55" s="1743">
        <f>R15+R16</f>
        <v>125.49701559999998</v>
      </c>
      <c r="P55" s="1743">
        <f>S15+S16</f>
        <v>199.3448234</v>
      </c>
      <c r="Q55" s="1744">
        <f>(P55-O55)/O55*100</f>
        <v>58.844274062561873</v>
      </c>
      <c r="R55" s="1745" t="s">
        <v>991</v>
      </c>
      <c r="S55" s="1745">
        <f>R48+R47</f>
        <v>31.376414999999994</v>
      </c>
      <c r="T55" s="1745">
        <f>S48+S47</f>
        <v>39.316265000000001</v>
      </c>
      <c r="U55" s="1744">
        <f>(T55-S55)/S55*100</f>
        <v>25.305153568372958</v>
      </c>
      <c r="W55" s="12" t="e">
        <f>R56+R57</f>
        <v>#VALUE!</v>
      </c>
      <c r="X55" s="12">
        <f>S56+S57</f>
        <v>25.817194000000001</v>
      </c>
      <c r="Z55" s="314" t="e">
        <f>(X55-W55)/W55*100</f>
        <v>#VALUE!</v>
      </c>
    </row>
    <row r="56" spans="1:33" ht="15.75" x14ac:dyDescent="0.45">
      <c r="B56" s="1742" t="s">
        <v>990</v>
      </c>
      <c r="C56" s="1743">
        <f>F16+F17</f>
        <v>10.643291899999999</v>
      </c>
      <c r="D56" s="1743">
        <f>G16+G17</f>
        <v>10.839449</v>
      </c>
      <c r="E56" s="1744">
        <f>(D56-C56)/C56*100</f>
        <v>1.8430115592338556</v>
      </c>
      <c r="F56" s="1746" t="s">
        <v>992</v>
      </c>
      <c r="G56" s="1747">
        <f>F48+F49</f>
        <v>0.30529600000000001</v>
      </c>
      <c r="H56" s="1747">
        <f>G48+G49</f>
        <v>0.307112</v>
      </c>
      <c r="I56" s="1744">
        <f>(H56-G56)/G56*100</f>
        <v>0.59483255594569995</v>
      </c>
      <c r="J56" s="314"/>
      <c r="K56" s="5"/>
      <c r="N56" s="1742" t="s">
        <v>990</v>
      </c>
      <c r="O56" s="1743">
        <f>R16+R17</f>
        <v>932.08296939999991</v>
      </c>
      <c r="P56" s="1743">
        <f>S16+S17</f>
        <v>1107.2293212</v>
      </c>
      <c r="Q56" s="1744">
        <f>(P56-O56)/O56*100</f>
        <v>18.790854199679799</v>
      </c>
      <c r="R56" s="1746" t="s">
        <v>992</v>
      </c>
      <c r="S56" s="1747">
        <f>R48+R49</f>
        <v>25.817194000000001</v>
      </c>
      <c r="T56" s="1747">
        <f>S48+S49</f>
        <v>31.578142</v>
      </c>
      <c r="U56" s="1744">
        <f>(T56-S56)/S56*100</f>
        <v>22.314384746847388</v>
      </c>
    </row>
    <row r="57" spans="1:33" ht="15.75" x14ac:dyDescent="0.45">
      <c r="J57" s="35"/>
      <c r="L57" s="35"/>
      <c r="Q57" s="229"/>
      <c r="R57" s="12"/>
      <c r="S57" s="12"/>
      <c r="U57" s="314"/>
    </row>
    <row r="58" spans="1:33" x14ac:dyDescent="0.4">
      <c r="D58" s="1407"/>
      <c r="E58" s="1192">
        <v>44958</v>
      </c>
      <c r="F58" s="1192">
        <v>45323</v>
      </c>
      <c r="H58" s="1192">
        <f>E58</f>
        <v>44958</v>
      </c>
      <c r="I58" s="1192">
        <f>F58</f>
        <v>45323</v>
      </c>
      <c r="K58" s="84">
        <v>2.94</v>
      </c>
      <c r="R58" s="12">
        <f>SUM(R55:R57)</f>
        <v>0</v>
      </c>
      <c r="S58" s="12">
        <f>SUM(S55:S57)</f>
        <v>57.193608999999995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33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Q59" s="12"/>
      <c r="S59" s="9" t="s">
        <v>152</v>
      </c>
      <c r="T59" s="1291">
        <f>E58</f>
        <v>44958</v>
      </c>
      <c r="U59" s="1291">
        <f>F58</f>
        <v>45323</v>
      </c>
      <c r="V59" s="26"/>
      <c r="W59" s="1291">
        <v>44958</v>
      </c>
      <c r="X59" s="1291">
        <v>44958</v>
      </c>
      <c r="Y59" s="26"/>
      <c r="Z59" s="1291">
        <f>T59</f>
        <v>44958</v>
      </c>
      <c r="AA59" s="1291">
        <f>X59</f>
        <v>44958</v>
      </c>
      <c r="AC59" s="5">
        <v>57578</v>
      </c>
      <c r="AD59" s="5">
        <v>76550</v>
      </c>
    </row>
    <row r="60" spans="1:33" ht="15.4" x14ac:dyDescent="0.45">
      <c r="D60" s="1407" t="s">
        <v>94</v>
      </c>
      <c r="E60" s="1193">
        <f>H60/10000000</f>
        <v>0.1100608</v>
      </c>
      <c r="F60" s="1193">
        <f>I60/10000000</f>
        <v>0.1055087</v>
      </c>
      <c r="H60" s="598">
        <f>E152</f>
        <v>1100608</v>
      </c>
      <c r="I60" s="598">
        <f>E115</f>
        <v>1055087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33" ht="15.4" x14ac:dyDescent="0.45">
      <c r="D61" s="1407" t="s">
        <v>502</v>
      </c>
      <c r="E61" s="1193">
        <f>H61/10000000</f>
        <v>1.8425981</v>
      </c>
      <c r="F61" s="1193">
        <f t="shared" ref="E61:F62" si="19">I61/10000000</f>
        <v>1.9036119</v>
      </c>
      <c r="H61" s="598">
        <f>G152</f>
        <v>18425981</v>
      </c>
      <c r="I61" s="598">
        <f>G115</f>
        <v>19036119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33" ht="16.149999999999999" thickBot="1" x14ac:dyDescent="0.5">
      <c r="D62" s="1407" t="s">
        <v>767</v>
      </c>
      <c r="E62" s="1193">
        <f t="shared" si="19"/>
        <v>8.8006937999999995</v>
      </c>
      <c r="F62" s="1193">
        <f>I62/10000000</f>
        <v>8.9358371000000005</v>
      </c>
      <c r="H62" s="1276">
        <f>I152</f>
        <v>88006938</v>
      </c>
      <c r="I62" s="1880">
        <f>I115</f>
        <v>89358371</v>
      </c>
      <c r="J62" s="1320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33" ht="15.75" x14ac:dyDescent="0.45">
      <c r="E63" s="428"/>
      <c r="F63" s="428"/>
      <c r="J63" s="1215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33" ht="16.5" x14ac:dyDescent="0.45">
      <c r="E64" s="428"/>
      <c r="F64" s="428"/>
      <c r="I64" s="82">
        <f>J65/1000000</f>
        <v>0.23699999999999999</v>
      </c>
      <c r="K64" s="212"/>
      <c r="L64" s="1217"/>
      <c r="N64" s="1917">
        <v>110050</v>
      </c>
      <c r="O64" s="5">
        <f>N64*5</f>
        <v>550250</v>
      </c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5.4" x14ac:dyDescent="0.45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>
        <f>SUM(T60:T64)</f>
        <v>665125</v>
      </c>
      <c r="U65" s="26">
        <f t="shared" ref="U65:AA65" si="20">SUM(U60:U64)</f>
        <v>3363834</v>
      </c>
      <c r="W65" s="9">
        <f>SUM(W60:W64)</f>
        <v>1174725</v>
      </c>
      <c r="X65" s="9">
        <f t="shared" si="20"/>
        <v>7176648</v>
      </c>
      <c r="Y65" s="26"/>
      <c r="Z65" s="9">
        <f t="shared" si="20"/>
        <v>403700</v>
      </c>
      <c r="AA65" s="9">
        <f t="shared" si="20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5.4" x14ac:dyDescent="0.45">
      <c r="D66" s="1407" t="s">
        <v>94</v>
      </c>
      <c r="E66" s="1193">
        <f>H66/1000000</f>
        <v>0.21471199999999999</v>
      </c>
      <c r="F66" s="1193">
        <f>I66/1000000</f>
        <v>0.16752600000000001</v>
      </c>
      <c r="H66" s="598">
        <f>D152</f>
        <v>214712</v>
      </c>
      <c r="I66" s="598">
        <f>D115</f>
        <v>167526</v>
      </c>
      <c r="J66" s="323">
        <f>H66/100000</f>
        <v>2.1471200000000001</v>
      </c>
      <c r="K66" s="323">
        <f t="shared" ref="K66:K68" si="21">I66/100000</f>
        <v>1.67526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5.4" x14ac:dyDescent="0.45">
      <c r="D67" s="1407" t="s">
        <v>502</v>
      </c>
      <c r="E67" s="1193">
        <f t="shared" ref="E67:F68" si="22">H67/1000000</f>
        <v>0.18676100000000001</v>
      </c>
      <c r="F67" s="1193">
        <f t="shared" si="22"/>
        <v>0.19020699999999999</v>
      </c>
      <c r="H67" s="598">
        <f>F152</f>
        <v>186761</v>
      </c>
      <c r="I67" s="598">
        <f>F115</f>
        <v>190207</v>
      </c>
      <c r="J67" s="323">
        <f>H67/100000</f>
        <v>1.86761</v>
      </c>
      <c r="K67" s="323">
        <f t="shared" si="21"/>
        <v>1.9020699999999999</v>
      </c>
      <c r="L67" s="491">
        <f>K66/100000</f>
        <v>1.6752599999999999E-5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5.4" x14ac:dyDescent="0.45">
      <c r="D68" s="1407" t="s">
        <v>767</v>
      </c>
      <c r="E68" s="1193">
        <f t="shared" si="22"/>
        <v>0.118535</v>
      </c>
      <c r="F68" s="1193">
        <f>I68/1000000</f>
        <v>0.116905</v>
      </c>
      <c r="H68" s="598">
        <f>H152</f>
        <v>118535</v>
      </c>
      <c r="I68" s="1215">
        <f>H115</f>
        <v>116905</v>
      </c>
      <c r="J68" s="323">
        <f>H68/100000</f>
        <v>1.1853499999999999</v>
      </c>
      <c r="K68" s="323">
        <f t="shared" si="21"/>
        <v>1.1690499999999999</v>
      </c>
      <c r="L68" s="491">
        <f>K67/100000</f>
        <v>1.9020699999999999E-5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J69" s="323"/>
      <c r="K69" s="212"/>
      <c r="L69" s="491">
        <f>K68/100000</f>
        <v>1.1690499999999999E-5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5.4" x14ac:dyDescent="0.45">
      <c r="D71" s="1418" t="s">
        <v>436</v>
      </c>
      <c r="E71" s="1193">
        <f>H71/10000000</f>
        <v>0.3475974</v>
      </c>
      <c r="F71" s="1193">
        <f>I71/10000000</f>
        <v>0.18471499999999999</v>
      </c>
      <c r="H71">
        <v>3475974</v>
      </c>
      <c r="I71">
        <v>1847150</v>
      </c>
      <c r="J71" s="802"/>
      <c r="K71"/>
      <c r="L71" s="1217"/>
      <c r="N71" s="755">
        <v>185546505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5">
        <f>66.07-3.11</f>
        <v>62.959999999999994</v>
      </c>
      <c r="D72" s="1418" t="s">
        <v>769</v>
      </c>
      <c r="E72" s="134">
        <f>J79/100</f>
        <v>0.14889999999999998</v>
      </c>
      <c r="F72" s="134">
        <f>K79/100</f>
        <v>0.1396</v>
      </c>
      <c r="H72" s="1263"/>
      <c r="I72" s="1263"/>
      <c r="J72" s="85"/>
      <c r="K72" s="134"/>
      <c r="L72" s="1217"/>
      <c r="N72" s="5">
        <v>8209935</v>
      </c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3.9000000000000003E-3</v>
      </c>
      <c r="F73" s="283">
        <f>K77/100</f>
        <v>7.9000000000000008E-3</v>
      </c>
      <c r="H73" s="1263"/>
      <c r="I73" s="1263"/>
      <c r="J73" s="283"/>
      <c r="K73" s="283"/>
      <c r="L73" s="1217"/>
      <c r="U73" s="1239"/>
      <c r="AB73" s="1239"/>
    </row>
    <row r="74" spans="3:30" ht="15.4" x14ac:dyDescent="0.45">
      <c r="D74" s="1418" t="s">
        <v>196</v>
      </c>
      <c r="E74" s="134">
        <f>H74/10000000</f>
        <v>2.4871999999999998E-2</v>
      </c>
      <c r="F74" s="134">
        <f>I74/10000000</f>
        <v>2.8178999999999999E-2</v>
      </c>
      <c r="H74" s="1578">
        <f>J152</f>
        <v>248720</v>
      </c>
      <c r="I74" s="1578">
        <f>J115</f>
        <v>281790</v>
      </c>
      <c r="J74" s="598"/>
      <c r="K74" s="210">
        <f>J116</f>
        <v>0</v>
      </c>
      <c r="L74" s="1217"/>
      <c r="M74" s="1210"/>
      <c r="N74" s="12"/>
      <c r="O74" s="1132">
        <v>0.41666666666666669</v>
      </c>
      <c r="P74" s="1132">
        <v>0.61805555555555558</v>
      </c>
      <c r="Q74" s="1132">
        <f>P74-O74</f>
        <v>0.2013888888888889</v>
      </c>
      <c r="X74" s="5"/>
    </row>
    <row r="75" spans="3:30" ht="15.4" x14ac:dyDescent="0.45">
      <c r="D75" s="1418" t="s">
        <v>123</v>
      </c>
      <c r="E75" s="425">
        <f>H75</f>
        <v>5.0516999999999999E-2</v>
      </c>
      <c r="F75" s="425">
        <f>I75</f>
        <v>0</v>
      </c>
      <c r="H75" s="1372">
        <f>J75/10000000</f>
        <v>5.0516999999999999E-2</v>
      </c>
      <c r="I75" s="1372">
        <f>K75/10000000</f>
        <v>0</v>
      </c>
      <c r="J75" s="210">
        <f>L152</f>
        <v>505170</v>
      </c>
      <c r="K75" s="1498">
        <f>L115</f>
        <v>0</v>
      </c>
    </row>
    <row r="76" spans="3:30" ht="15.4" x14ac:dyDescent="0.45">
      <c r="D76" s="1418" t="s">
        <v>435</v>
      </c>
      <c r="E76" s="134">
        <f>H76/10000000</f>
        <v>0.40044410000000003</v>
      </c>
      <c r="F76" s="134">
        <f>I76/10000000</f>
        <v>0.41730080000000003</v>
      </c>
      <c r="H76" s="1578">
        <f>K152</f>
        <v>4004441</v>
      </c>
      <c r="I76" s="1578">
        <f>K115</f>
        <v>4173008</v>
      </c>
      <c r="J76" s="1498"/>
      <c r="K76" s="1499"/>
      <c r="N76" s="755"/>
    </row>
    <row r="77" spans="3:30" x14ac:dyDescent="0.4">
      <c r="D77" s="1417" t="s">
        <v>266</v>
      </c>
      <c r="E77" s="134">
        <f>H77/10000000</f>
        <v>0</v>
      </c>
      <c r="F77" s="134">
        <f>I77/10000000</f>
        <v>0</v>
      </c>
      <c r="H77" s="1224"/>
      <c r="I77" s="1224"/>
      <c r="J77" s="85">
        <v>0.39</v>
      </c>
      <c r="K77" s="134">
        <v>0.79</v>
      </c>
    </row>
    <row r="78" spans="3:30" x14ac:dyDescent="0.4">
      <c r="E78" s="428"/>
      <c r="F78" s="428"/>
      <c r="J78" s="85">
        <v>15.28</v>
      </c>
      <c r="K78" s="85">
        <v>14.75</v>
      </c>
      <c r="L78" s="172">
        <f>J77/100</f>
        <v>3.9000000000000003E-3</v>
      </c>
    </row>
    <row r="79" spans="3:30" x14ac:dyDescent="0.4">
      <c r="E79" s="428"/>
      <c r="F79" s="428"/>
      <c r="J79" s="85">
        <f>J78-J77</f>
        <v>14.889999999999999</v>
      </c>
      <c r="K79" s="134">
        <f>K78-K77</f>
        <v>13.96</v>
      </c>
    </row>
    <row r="80" spans="3:30" x14ac:dyDescent="0.4">
      <c r="E80" s="428"/>
      <c r="F80" s="428"/>
      <c r="L80" s="172">
        <f>J79/100</f>
        <v>0.14889999999999998</v>
      </c>
    </row>
    <row r="81" spans="3:21" x14ac:dyDescent="0.4">
      <c r="C81" s="9"/>
      <c r="D81" s="235" t="s">
        <v>164</v>
      </c>
      <c r="E81" s="265" t="s">
        <v>710</v>
      </c>
      <c r="F81" s="29" t="s">
        <v>164</v>
      </c>
      <c r="G81" s="265" t="s">
        <v>710</v>
      </c>
      <c r="H81" s="29" t="s">
        <v>164</v>
      </c>
      <c r="I81" s="265" t="s">
        <v>710</v>
      </c>
      <c r="J81" s="29"/>
      <c r="K81" s="29"/>
      <c r="L81" s="1596"/>
    </row>
    <row r="82" spans="3:21" x14ac:dyDescent="0.4">
      <c r="C82" s="9"/>
      <c r="D82" s="235">
        <v>23</v>
      </c>
      <c r="E82" s="29">
        <v>23</v>
      </c>
      <c r="F82" s="29">
        <v>23</v>
      </c>
      <c r="G82" s="29">
        <v>23</v>
      </c>
      <c r="H82" s="29">
        <v>23</v>
      </c>
      <c r="I82" s="29">
        <v>23</v>
      </c>
      <c r="J82" s="29" t="s">
        <v>196</v>
      </c>
      <c r="K82" s="780">
        <v>23</v>
      </c>
      <c r="L82" s="1596"/>
    </row>
    <row r="83" spans="3:21" x14ac:dyDescent="0.4">
      <c r="C83" s="9"/>
      <c r="D83" s="1939" t="s">
        <v>795</v>
      </c>
      <c r="E83" s="1939"/>
      <c r="F83" s="1939" t="s">
        <v>796</v>
      </c>
      <c r="G83" s="1939"/>
      <c r="H83" s="1939" t="s">
        <v>797</v>
      </c>
      <c r="I83" s="1939"/>
      <c r="J83" s="29">
        <v>23</v>
      </c>
      <c r="K83" s="9" t="s">
        <v>882</v>
      </c>
      <c r="L83" s="1596" t="s">
        <v>123</v>
      </c>
      <c r="O83" s="5" t="s">
        <v>195</v>
      </c>
      <c r="P83" s="5" t="s">
        <v>227</v>
      </c>
    </row>
    <row r="84" spans="3:21" ht="15.4" x14ac:dyDescent="0.45">
      <c r="C84" s="1239">
        <v>45352</v>
      </c>
      <c r="D84" s="1449">
        <v>76120</v>
      </c>
      <c r="E84" s="476">
        <v>417284</v>
      </c>
      <c r="F84" s="7">
        <v>68176</v>
      </c>
      <c r="G84" s="7">
        <v>6595513</v>
      </c>
      <c r="H84" s="1453"/>
      <c r="I84" s="828"/>
      <c r="J84" s="85">
        <v>81640</v>
      </c>
      <c r="K84" s="828"/>
      <c r="L84" s="1297"/>
      <c r="N84" s="378" t="s">
        <v>27</v>
      </c>
      <c r="O84" s="1449"/>
      <c r="P84" s="476">
        <v>905484</v>
      </c>
      <c r="Q84" s="27">
        <f>P84/10000000</f>
        <v>9.0548400000000001E-2</v>
      </c>
      <c r="R84" s="7"/>
      <c r="S84" s="1453"/>
      <c r="T84" s="828"/>
      <c r="U84" s="85"/>
    </row>
    <row r="85" spans="3:21" x14ac:dyDescent="0.4">
      <c r="C85" s="1239">
        <v>45353</v>
      </c>
      <c r="D85" s="1451">
        <v>59086</v>
      </c>
      <c r="E85" s="476">
        <v>382374</v>
      </c>
      <c r="F85" s="7">
        <v>62781</v>
      </c>
      <c r="G85" s="7">
        <v>6336006</v>
      </c>
      <c r="H85" s="7"/>
      <c r="I85" s="210"/>
      <c r="J85" s="210">
        <v>96630</v>
      </c>
      <c r="K85" s="85"/>
      <c r="L85" s="1297"/>
      <c r="N85" s="378" t="s">
        <v>28</v>
      </c>
      <c r="O85" s="1451"/>
      <c r="P85" s="476">
        <v>358386</v>
      </c>
      <c r="Q85" s="27">
        <f t="shared" ref="Q85:Q86" si="23">P85/10000000</f>
        <v>3.5838599999999998E-2</v>
      </c>
      <c r="R85" s="7"/>
      <c r="S85" s="224"/>
      <c r="T85" s="1576"/>
      <c r="U85" s="1576"/>
    </row>
    <row r="86" spans="3:21" ht="15.4" thickBot="1" x14ac:dyDescent="0.45">
      <c r="C86" s="1239">
        <v>45354</v>
      </c>
      <c r="D86" s="1451">
        <v>32320</v>
      </c>
      <c r="E86" s="476">
        <v>255429</v>
      </c>
      <c r="F86" s="7">
        <v>59250</v>
      </c>
      <c r="G86" s="7">
        <v>6104600</v>
      </c>
      <c r="H86" s="824">
        <v>116905</v>
      </c>
      <c r="I86" s="824">
        <v>89358371</v>
      </c>
      <c r="J86" s="210">
        <v>103520</v>
      </c>
      <c r="K86" s="824">
        <v>4173008</v>
      </c>
      <c r="L86" s="1297"/>
      <c r="N86" s="378" t="s">
        <v>224</v>
      </c>
      <c r="O86" s="1451"/>
      <c r="P86" s="476">
        <v>1459000</v>
      </c>
      <c r="Q86" s="27">
        <f t="shared" si="23"/>
        <v>0.1459</v>
      </c>
      <c r="R86" s="7"/>
      <c r="S86" s="7"/>
      <c r="T86" s="210"/>
      <c r="U86" s="210"/>
    </row>
    <row r="87" spans="3:21" ht="15.75" thickBot="1" x14ac:dyDescent="0.5">
      <c r="C87" s="1239">
        <v>45355</v>
      </c>
      <c r="D87" s="1451"/>
      <c r="E87" s="476"/>
      <c r="F87" s="7"/>
      <c r="G87" s="7"/>
      <c r="H87" s="755"/>
      <c r="I87" s="910"/>
      <c r="J87" s="210"/>
      <c r="K87" s="755"/>
      <c r="L87" s="755"/>
      <c r="N87" s="378" t="s">
        <v>30</v>
      </c>
      <c r="O87" s="1451"/>
      <c r="P87" s="476"/>
      <c r="Q87" s="7"/>
      <c r="R87" s="7"/>
      <c r="S87" s="7"/>
      <c r="T87" s="210"/>
      <c r="U87" s="210"/>
    </row>
    <row r="88" spans="3:21" ht="15.4" x14ac:dyDescent="0.45">
      <c r="C88" s="1239">
        <v>45356</v>
      </c>
      <c r="D88" s="1451"/>
      <c r="E88" s="476"/>
      <c r="F88" s="7"/>
      <c r="G88" s="7"/>
      <c r="H88" s="1255"/>
      <c r="I88" s="828"/>
      <c r="J88" s="210"/>
      <c r="K88" s="828"/>
      <c r="L88" s="1297"/>
      <c r="N88" s="378" t="s">
        <v>4</v>
      </c>
      <c r="O88" s="1451"/>
      <c r="P88" s="476"/>
      <c r="Q88" s="7"/>
      <c r="R88" s="7"/>
      <c r="S88" s="7"/>
      <c r="T88" s="210"/>
      <c r="U88" s="210"/>
    </row>
    <row r="89" spans="3:21" ht="15.75" thickBot="1" x14ac:dyDescent="0.5">
      <c r="C89" s="1239">
        <v>45357</v>
      </c>
      <c r="D89" s="1451"/>
      <c r="E89" s="476"/>
      <c r="F89" s="6"/>
      <c r="G89" s="6"/>
      <c r="H89" s="1255"/>
      <c r="I89" s="828"/>
      <c r="J89" s="210"/>
      <c r="K89" s="828"/>
      <c r="L89" s="1297"/>
      <c r="O89" s="1451"/>
      <c r="P89" s="476"/>
      <c r="Q89" s="6"/>
      <c r="R89" s="6"/>
      <c r="S89" s="824"/>
      <c r="T89" s="755"/>
      <c r="U89" s="210"/>
    </row>
    <row r="90" spans="3:21" ht="15.4" x14ac:dyDescent="0.45">
      <c r="C90" s="1239">
        <v>45358</v>
      </c>
      <c r="D90" s="1451"/>
      <c r="E90" s="476"/>
      <c r="F90" s="6"/>
      <c r="G90" s="6"/>
      <c r="H90" s="828"/>
      <c r="I90" s="828"/>
      <c r="J90" s="85"/>
      <c r="K90" s="828"/>
      <c r="L90" s="1297"/>
    </row>
    <row r="91" spans="3:21" x14ac:dyDescent="0.4">
      <c r="C91" s="1239">
        <v>45359</v>
      </c>
      <c r="D91" s="1451"/>
      <c r="E91" s="476"/>
      <c r="F91" s="6"/>
      <c r="G91" s="6"/>
      <c r="H91" s="31"/>
      <c r="I91" s="79"/>
      <c r="J91" s="85"/>
      <c r="K91" s="85"/>
      <c r="L91" s="85"/>
    </row>
    <row r="92" spans="3:21" x14ac:dyDescent="0.4">
      <c r="C92" s="1239">
        <v>45360</v>
      </c>
      <c r="D92" s="1451"/>
      <c r="E92" s="476"/>
      <c r="F92" s="6"/>
      <c r="G92" s="6"/>
      <c r="H92" s="31"/>
      <c r="I92" s="79"/>
      <c r="J92" s="85"/>
      <c r="K92" s="85"/>
      <c r="L92" s="1594"/>
    </row>
    <row r="93" spans="3:21" ht="15.75" thickBot="1" x14ac:dyDescent="0.5">
      <c r="C93" s="1239">
        <v>45361</v>
      </c>
      <c r="D93" s="1451"/>
      <c r="E93" s="476"/>
      <c r="F93" s="6"/>
      <c r="G93" s="6"/>
      <c r="H93" s="824"/>
      <c r="I93" s="755"/>
      <c r="J93" s="85"/>
      <c r="K93" s="755"/>
      <c r="L93" s="1297"/>
      <c r="O93" s="41"/>
      <c r="P93" s="41"/>
      <c r="Q93" s="41"/>
      <c r="R93" s="41"/>
    </row>
    <row r="94" spans="3:21" ht="15.4" x14ac:dyDescent="0.45">
      <c r="C94" s="1239">
        <v>45362</v>
      </c>
      <c r="D94" s="1451"/>
      <c r="E94" s="476"/>
      <c r="F94" s="6"/>
      <c r="G94" s="6"/>
      <c r="H94" s="1255"/>
      <c r="I94" s="1255"/>
      <c r="J94" s="1593"/>
      <c r="K94" s="755"/>
      <c r="L94" s="1297"/>
      <c r="O94" s="41">
        <f>D103+F103</f>
        <v>0</v>
      </c>
      <c r="P94" s="41">
        <f>E103+G103</f>
        <v>0</v>
      </c>
      <c r="Q94" s="5">
        <f>H103</f>
        <v>0</v>
      </c>
      <c r="R94" s="5">
        <f>I103</f>
        <v>0</v>
      </c>
    </row>
    <row r="95" spans="3:21" ht="15.4" x14ac:dyDescent="0.45">
      <c r="C95" s="1239">
        <v>45363</v>
      </c>
      <c r="D95" s="1451"/>
      <c r="E95" s="476"/>
      <c r="F95" s="6"/>
      <c r="G95" s="6"/>
      <c r="H95" s="828"/>
      <c r="I95" s="828"/>
      <c r="J95" s="1593"/>
      <c r="K95" s="1488"/>
      <c r="L95" s="1297"/>
      <c r="O95" s="41">
        <f>D116+F116</f>
        <v>0</v>
      </c>
      <c r="P95" s="41">
        <f>E116+G116</f>
        <v>0</v>
      </c>
      <c r="Q95" s="41">
        <f>H116</f>
        <v>0</v>
      </c>
      <c r="R95" s="41">
        <f>I116</f>
        <v>0</v>
      </c>
    </row>
    <row r="96" spans="3:21" x14ac:dyDescent="0.4">
      <c r="C96" s="1239">
        <v>45364</v>
      </c>
      <c r="D96" s="1451"/>
      <c r="E96" s="476"/>
      <c r="F96" s="6"/>
      <c r="G96" s="6"/>
      <c r="H96" s="1255"/>
      <c r="I96" s="1255"/>
      <c r="J96" s="1593"/>
      <c r="K96" s="1488"/>
      <c r="L96" s="1297"/>
    </row>
    <row r="97" spans="3:21" ht="15.75" thickBot="1" x14ac:dyDescent="0.5">
      <c r="C97" s="1239">
        <v>45365</v>
      </c>
      <c r="D97" s="1451"/>
      <c r="E97" s="476"/>
      <c r="F97" s="6"/>
      <c r="G97" s="6"/>
      <c r="H97" s="824"/>
      <c r="I97" s="824"/>
      <c r="J97" s="1593"/>
      <c r="K97" s="755"/>
      <c r="L97" s="1297"/>
      <c r="O97" s="1599">
        <v>52681</v>
      </c>
      <c r="P97" s="1600">
        <v>314216</v>
      </c>
      <c r="Q97" s="224">
        <v>47645</v>
      </c>
      <c r="R97" s="224">
        <v>4894612</v>
      </c>
      <c r="S97" s="1601"/>
      <c r="T97" s="1602"/>
      <c r="U97" s="1575">
        <v>84820</v>
      </c>
    </row>
    <row r="98" spans="3:21" ht="15.4" x14ac:dyDescent="0.45">
      <c r="C98" s="1239">
        <v>45366</v>
      </c>
      <c r="D98" s="1451"/>
      <c r="E98" s="476"/>
      <c r="F98" s="6"/>
      <c r="G98" s="6"/>
      <c r="H98" s="828"/>
      <c r="I98" s="828"/>
      <c r="J98" s="85"/>
      <c r="K98" s="1255"/>
      <c r="L98" s="1297"/>
      <c r="O98" s="1451">
        <v>53821</v>
      </c>
      <c r="P98" s="476">
        <v>323700</v>
      </c>
      <c r="Q98" s="7">
        <v>47979</v>
      </c>
      <c r="R98" s="7">
        <v>4746125</v>
      </c>
      <c r="S98" s="224"/>
      <c r="T98" s="1576"/>
      <c r="U98" s="1576">
        <v>82840</v>
      </c>
    </row>
    <row r="99" spans="3:21" ht="15.4" x14ac:dyDescent="0.45">
      <c r="C99" s="1239">
        <v>45367</v>
      </c>
      <c r="D99" s="1451"/>
      <c r="E99" s="476"/>
      <c r="F99" s="6"/>
      <c r="G99" s="6"/>
      <c r="H99" s="828"/>
      <c r="I99" s="1453"/>
      <c r="J99" s="85"/>
      <c r="K99" s="85"/>
      <c r="L99" s="1297"/>
      <c r="O99" s="1451">
        <v>56005</v>
      </c>
      <c r="P99" s="476">
        <v>337697</v>
      </c>
      <c r="Q99" s="7">
        <v>49409</v>
      </c>
      <c r="R99" s="7">
        <v>5129181</v>
      </c>
      <c r="S99" s="7"/>
      <c r="T99" s="210"/>
      <c r="U99" s="210">
        <v>78420</v>
      </c>
    </row>
    <row r="100" spans="3:21" ht="15.4" x14ac:dyDescent="0.45">
      <c r="C100" s="1239">
        <v>45368</v>
      </c>
      <c r="D100" s="1451"/>
      <c r="E100" s="476"/>
      <c r="F100" s="6"/>
      <c r="G100" s="6"/>
      <c r="H100" s="1255"/>
      <c r="I100" s="828"/>
      <c r="J100" s="85"/>
      <c r="K100" s="828"/>
      <c r="L100" s="1297"/>
      <c r="O100" s="1451">
        <v>52127</v>
      </c>
      <c r="P100" s="476">
        <v>353318</v>
      </c>
      <c r="Q100" s="7">
        <v>54219</v>
      </c>
      <c r="R100" s="7">
        <v>5651697</v>
      </c>
      <c r="S100" s="7"/>
      <c r="T100" s="210"/>
      <c r="U100" s="210">
        <v>88230</v>
      </c>
    </row>
    <row r="101" spans="3:21" ht="15.75" thickBot="1" x14ac:dyDescent="0.5">
      <c r="C101" s="1239">
        <v>45369</v>
      </c>
      <c r="D101" s="1451"/>
      <c r="E101" s="476"/>
      <c r="F101" s="6"/>
      <c r="G101" s="6"/>
      <c r="H101" s="1255"/>
      <c r="I101" s="828"/>
      <c r="J101" s="85"/>
      <c r="K101" s="828"/>
      <c r="L101" s="1297"/>
      <c r="O101" s="1451">
        <v>48621</v>
      </c>
      <c r="P101" s="476">
        <v>364051</v>
      </c>
      <c r="Q101" s="7">
        <v>54944</v>
      </c>
      <c r="R101" s="7">
        <v>6404635</v>
      </c>
      <c r="S101" s="824"/>
      <c r="T101" s="755"/>
      <c r="U101" s="1604">
        <v>104850</v>
      </c>
    </row>
    <row r="102" spans="3:21" ht="15.4" x14ac:dyDescent="0.45">
      <c r="C102" s="1239">
        <v>45370</v>
      </c>
      <c r="D102" s="1407"/>
      <c r="E102" s="476"/>
      <c r="F102" s="6"/>
      <c r="G102" s="6"/>
      <c r="H102" s="755"/>
      <c r="I102" s="755"/>
      <c r="J102" s="85"/>
      <c r="K102" s="755"/>
      <c r="L102" s="1297"/>
    </row>
    <row r="103" spans="3:21" ht="15.4" x14ac:dyDescent="0.45">
      <c r="C103" s="1239">
        <v>45371</v>
      </c>
      <c r="D103" s="1451"/>
      <c r="E103" s="210"/>
      <c r="F103" s="7"/>
      <c r="G103" s="7"/>
      <c r="H103" s="1255"/>
      <c r="I103" s="828"/>
      <c r="J103" s="85"/>
      <c r="K103" s="828"/>
      <c r="L103" s="1297"/>
    </row>
    <row r="104" spans="3:21" ht="15.75" thickBot="1" x14ac:dyDescent="0.5">
      <c r="C104" s="1239">
        <v>45372</v>
      </c>
      <c r="D104" s="1478"/>
      <c r="E104" s="1479"/>
      <c r="F104" s="1603"/>
      <c r="G104" s="1603"/>
      <c r="H104" s="1255"/>
      <c r="I104" s="828"/>
      <c r="J104" s="85"/>
      <c r="K104" s="824"/>
      <c r="L104" s="1297"/>
      <c r="O104" s="1449">
        <v>87082</v>
      </c>
      <c r="P104" s="476">
        <v>455322</v>
      </c>
      <c r="Q104" s="6"/>
      <c r="R104" s="6"/>
      <c r="S104" s="755"/>
      <c r="T104" s="755"/>
      <c r="U104" s="85">
        <v>97840</v>
      </c>
    </row>
    <row r="105" spans="3:21" ht="15.4" x14ac:dyDescent="0.45">
      <c r="C105" s="1239">
        <v>45373</v>
      </c>
      <c r="D105" s="1451"/>
      <c r="E105" s="476"/>
      <c r="F105" s="85"/>
      <c r="G105" s="85"/>
      <c r="H105" s="828"/>
      <c r="I105" s="1255"/>
      <c r="J105" s="85"/>
      <c r="K105" s="828"/>
      <c r="L105" s="1297"/>
      <c r="O105" s="1451">
        <v>71382</v>
      </c>
      <c r="P105" s="476">
        <v>391850</v>
      </c>
      <c r="Q105" s="6"/>
      <c r="R105" s="6"/>
      <c r="S105" s="31"/>
      <c r="T105" s="79"/>
      <c r="U105" s="85">
        <v>89880</v>
      </c>
    </row>
    <row r="106" spans="3:21" x14ac:dyDescent="0.4">
      <c r="C106" s="1239">
        <v>45374</v>
      </c>
      <c r="D106" s="1451"/>
      <c r="E106" s="476"/>
      <c r="F106" s="476"/>
      <c r="G106" s="85"/>
      <c r="H106" s="31"/>
      <c r="I106" s="79"/>
      <c r="J106" s="85"/>
      <c r="K106" s="85"/>
      <c r="L106" s="1297"/>
      <c r="O106" s="1451">
        <v>72756</v>
      </c>
      <c r="P106" s="476">
        <v>386616</v>
      </c>
      <c r="Q106" s="6"/>
      <c r="R106" s="6"/>
      <c r="S106" s="31"/>
      <c r="T106" s="79"/>
      <c r="U106" s="85">
        <v>91220</v>
      </c>
    </row>
    <row r="107" spans="3:21" ht="15.4" x14ac:dyDescent="0.45">
      <c r="C107" s="1239">
        <v>45375</v>
      </c>
      <c r="D107" s="1451"/>
      <c r="E107" s="476"/>
      <c r="F107" s="85"/>
      <c r="G107" s="85"/>
      <c r="H107" s="1255"/>
      <c r="I107" s="828"/>
      <c r="J107" s="85"/>
      <c r="K107" s="828"/>
      <c r="L107" s="1297"/>
      <c r="O107" s="1451">
        <v>57734</v>
      </c>
      <c r="P107" s="476">
        <v>327554</v>
      </c>
      <c r="Q107" s="6"/>
      <c r="R107" s="6"/>
      <c r="S107" s="31"/>
      <c r="T107" s="79"/>
      <c r="U107" s="85">
        <v>83100</v>
      </c>
    </row>
    <row r="108" spans="3:21" ht="15.75" thickBot="1" x14ac:dyDescent="0.5">
      <c r="C108" s="1239">
        <v>45376</v>
      </c>
      <c r="D108" s="1454"/>
      <c r="E108" s="1243"/>
      <c r="F108" s="1243"/>
      <c r="G108" s="1243"/>
      <c r="H108" s="910"/>
      <c r="I108" s="824"/>
      <c r="J108" s="85"/>
      <c r="K108" s="755"/>
      <c r="L108" s="1297"/>
      <c r="O108" s="1451">
        <v>51377</v>
      </c>
      <c r="P108" s="476">
        <v>343313</v>
      </c>
      <c r="Q108" s="6"/>
      <c r="R108" s="6"/>
      <c r="S108" s="824"/>
      <c r="T108" s="755"/>
      <c r="U108" s="85">
        <v>100280</v>
      </c>
    </row>
    <row r="109" spans="3:21" x14ac:dyDescent="0.4">
      <c r="C109" s="1239">
        <v>45377</v>
      </c>
      <c r="D109" s="1407"/>
      <c r="E109" s="476"/>
      <c r="F109" s="85"/>
      <c r="G109" s="85"/>
      <c r="H109" s="31"/>
      <c r="I109" s="79"/>
      <c r="J109" s="1243"/>
      <c r="K109" s="85"/>
      <c r="L109" s="1297"/>
    </row>
    <row r="110" spans="3:21" ht="15.4" x14ac:dyDescent="0.45">
      <c r="C110" s="1239">
        <v>45378</v>
      </c>
      <c r="D110" s="1407"/>
      <c r="E110" s="476"/>
      <c r="F110" s="85"/>
      <c r="G110" s="85"/>
      <c r="H110" s="1863"/>
      <c r="I110" s="1863"/>
      <c r="J110" s="85"/>
      <c r="K110" s="1863"/>
      <c r="L110" s="1297"/>
    </row>
    <row r="111" spans="3:21" ht="15.75" thickBot="1" x14ac:dyDescent="0.5">
      <c r="C111" s="1239">
        <v>45379</v>
      </c>
      <c r="D111" s="1407"/>
      <c r="E111" s="476"/>
      <c r="F111" s="85"/>
      <c r="G111" s="85"/>
      <c r="H111" s="824"/>
      <c r="I111" s="755"/>
      <c r="J111" s="85"/>
      <c r="K111" s="755"/>
      <c r="L111" s="1297"/>
    </row>
    <row r="112" spans="3:21" x14ac:dyDescent="0.4">
      <c r="C112" s="1239">
        <v>45380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40" x14ac:dyDescent="0.4">
      <c r="C113" s="1239">
        <v>45381</v>
      </c>
      <c r="D113" s="1407"/>
      <c r="E113" s="476"/>
      <c r="F113" s="6"/>
      <c r="G113" s="6"/>
      <c r="H113" s="1255"/>
      <c r="I113" s="1255"/>
      <c r="J113" s="85"/>
      <c r="K113" s="1255"/>
      <c r="L113" s="1297"/>
    </row>
    <row r="114" spans="1:40" x14ac:dyDescent="0.4">
      <c r="C114" s="1239">
        <v>45382</v>
      </c>
      <c r="D114" s="1407"/>
      <c r="E114" s="33"/>
      <c r="F114" s="6"/>
      <c r="G114" s="6"/>
      <c r="H114" s="31"/>
      <c r="I114" s="79"/>
      <c r="J114" s="85"/>
      <c r="K114" s="85"/>
      <c r="L114" s="1297"/>
    </row>
    <row r="115" spans="1:40" ht="13.9" x14ac:dyDescent="0.35">
      <c r="C115" s="1239" t="s">
        <v>548</v>
      </c>
      <c r="D115" s="1462">
        <f>SUM(D84:D114)</f>
        <v>167526</v>
      </c>
      <c r="E115" s="1462">
        <f t="shared" ref="E115:K115" si="24">SUM(E84:E114)</f>
        <v>1055087</v>
      </c>
      <c r="F115" s="1462">
        <f t="shared" si="24"/>
        <v>190207</v>
      </c>
      <c r="G115" s="1462">
        <f>SUM(G84:G114)</f>
        <v>19036119</v>
      </c>
      <c r="H115" s="1462">
        <f>SUM(H84:H114)</f>
        <v>116905</v>
      </c>
      <c r="I115" s="1462">
        <f>SUM(I84:I114)</f>
        <v>89358371</v>
      </c>
      <c r="J115" s="1462">
        <f>SUM(J84:J114)</f>
        <v>281790</v>
      </c>
      <c r="K115" s="1462">
        <f t="shared" si="24"/>
        <v>4173008</v>
      </c>
      <c r="L115" s="1462">
        <f>SUM(L84:L114)</f>
        <v>0</v>
      </c>
      <c r="M115" s="1462">
        <f t="shared" ref="M115" si="25">SUM(M84:M114)</f>
        <v>0</v>
      </c>
      <c r="P115" s="41">
        <f>E115+G115</f>
        <v>20091206</v>
      </c>
    </row>
    <row r="116" spans="1:40" ht="15.4" x14ac:dyDescent="0.45">
      <c r="C116" s="1239"/>
      <c r="D116" s="1454"/>
      <c r="E116" s="1243"/>
      <c r="F116" s="1243"/>
      <c r="G116" s="1243"/>
      <c r="H116" s="755"/>
      <c r="I116" s="1228"/>
      <c r="J116" s="85"/>
      <c r="K116" s="755"/>
    </row>
    <row r="117" spans="1:40" x14ac:dyDescent="0.4">
      <c r="L117" s="1297"/>
      <c r="AJ117" s="172"/>
      <c r="AK117" s="172"/>
      <c r="AL117" s="172"/>
      <c r="AM117" s="172"/>
      <c r="AN117" s="172"/>
    </row>
    <row r="118" spans="1:40" s="172" customFormat="1" x14ac:dyDescent="0.4">
      <c r="A118" s="1235"/>
      <c r="B118" s="300"/>
      <c r="C118" s="9"/>
      <c r="D118" s="235" t="s">
        <v>164</v>
      </c>
      <c r="E118" s="265" t="s">
        <v>710</v>
      </c>
      <c r="F118" s="29" t="s">
        <v>164</v>
      </c>
      <c r="G118" s="265" t="s">
        <v>710</v>
      </c>
      <c r="H118" s="29" t="s">
        <v>164</v>
      </c>
      <c r="I118" s="265" t="s">
        <v>710</v>
      </c>
      <c r="J118" s="29" t="s">
        <v>196</v>
      </c>
      <c r="K118" s="1592"/>
      <c r="L118" s="1596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40" s="172" customFormat="1" x14ac:dyDescent="0.4">
      <c r="A119" s="1235"/>
      <c r="B119" s="300"/>
      <c r="C119" s="9"/>
      <c r="D119" s="235">
        <v>22</v>
      </c>
      <c r="E119" s="29">
        <v>22</v>
      </c>
      <c r="F119" s="29">
        <v>22</v>
      </c>
      <c r="G119" s="29">
        <v>22</v>
      </c>
      <c r="H119" s="29">
        <v>22</v>
      </c>
      <c r="I119" s="29">
        <v>22</v>
      </c>
      <c r="J119" s="29">
        <v>22</v>
      </c>
      <c r="K119" s="1597">
        <v>22</v>
      </c>
      <c r="L119" s="1596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40" s="172" customFormat="1" x14ac:dyDescent="0.4">
      <c r="A120" s="1235"/>
      <c r="B120" s="300"/>
      <c r="C120" s="9"/>
      <c r="D120" s="1939" t="s">
        <v>795</v>
      </c>
      <c r="E120" s="1939"/>
      <c r="F120" s="1939" t="s">
        <v>796</v>
      </c>
      <c r="G120" s="1939"/>
      <c r="H120" s="1939" t="s">
        <v>797</v>
      </c>
      <c r="I120" s="1939"/>
      <c r="J120" s="9" t="s">
        <v>196</v>
      </c>
      <c r="K120" s="1598" t="s">
        <v>435</v>
      </c>
      <c r="L120" s="1596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40" s="172" customFormat="1" ht="15.4" x14ac:dyDescent="0.45">
      <c r="A121" s="1235"/>
      <c r="B121" s="300"/>
      <c r="C121" s="1261">
        <v>44986</v>
      </c>
      <c r="D121" s="1449">
        <v>82264</v>
      </c>
      <c r="E121" s="476">
        <v>397557</v>
      </c>
      <c r="F121" s="6">
        <v>64510</v>
      </c>
      <c r="G121" s="6">
        <v>6402302</v>
      </c>
      <c r="H121" s="755"/>
      <c r="I121" s="755"/>
      <c r="J121" s="85">
        <v>85940</v>
      </c>
      <c r="K121" s="1255"/>
      <c r="L121" s="1297">
        <v>189695</v>
      </c>
      <c r="M121" s="1209"/>
      <c r="N121" s="5"/>
      <c r="O121" s="1449">
        <v>64100</v>
      </c>
      <c r="P121" s="476">
        <v>352606</v>
      </c>
      <c r="Q121" s="6">
        <v>50287</v>
      </c>
      <c r="R121" s="6">
        <v>3243776</v>
      </c>
      <c r="S121" s="755"/>
      <c r="T121" s="755"/>
      <c r="U121" s="85">
        <v>72390</v>
      </c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40" s="172" customFormat="1" x14ac:dyDescent="0.4">
      <c r="A122" s="1235"/>
      <c r="B122" s="300"/>
      <c r="C122" s="1261">
        <v>44987</v>
      </c>
      <c r="D122" s="1451">
        <v>72924</v>
      </c>
      <c r="E122" s="476">
        <v>381306</v>
      </c>
      <c r="F122" s="6">
        <v>58323</v>
      </c>
      <c r="G122" s="6">
        <v>5696187</v>
      </c>
      <c r="H122" s="31"/>
      <c r="I122" s="79"/>
      <c r="J122" s="85">
        <v>85750</v>
      </c>
      <c r="K122" s="85"/>
      <c r="L122" s="1297">
        <v>94000</v>
      </c>
      <c r="M122" s="1209"/>
      <c r="N122" s="5"/>
      <c r="O122" s="1451">
        <v>47455</v>
      </c>
      <c r="P122" s="476">
        <v>274841</v>
      </c>
      <c r="Q122" s="6">
        <v>37882</v>
      </c>
      <c r="R122" s="6">
        <v>2992313</v>
      </c>
      <c r="S122" s="31"/>
      <c r="T122" s="79"/>
      <c r="U122" s="85">
        <v>71700</v>
      </c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40" s="172" customFormat="1" ht="15.4" x14ac:dyDescent="0.45">
      <c r="A123" s="1235"/>
      <c r="B123" s="300"/>
      <c r="C123" s="1261">
        <v>44988</v>
      </c>
      <c r="D123" s="1451">
        <v>59524</v>
      </c>
      <c r="E123" s="476">
        <v>321745</v>
      </c>
      <c r="F123" s="6">
        <v>63928</v>
      </c>
      <c r="G123" s="6">
        <v>6327492</v>
      </c>
      <c r="H123" s="755">
        <v>118535</v>
      </c>
      <c r="I123" s="755">
        <v>88006938</v>
      </c>
      <c r="J123" s="85">
        <v>77030</v>
      </c>
      <c r="K123" s="755">
        <v>4004441</v>
      </c>
      <c r="L123" s="1297">
        <v>221475</v>
      </c>
      <c r="M123" s="1209"/>
      <c r="N123" s="5"/>
      <c r="O123" s="1451">
        <v>51343</v>
      </c>
      <c r="P123" s="476">
        <v>284320</v>
      </c>
      <c r="Q123" s="6">
        <v>35510</v>
      </c>
      <c r="R123" s="6">
        <v>2980113</v>
      </c>
      <c r="S123" s="31"/>
      <c r="T123" s="79"/>
      <c r="U123" s="85">
        <v>70770</v>
      </c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40" s="172" customFormat="1" ht="15.75" thickBot="1" x14ac:dyDescent="0.5">
      <c r="A124" s="1235"/>
      <c r="B124" s="300"/>
      <c r="C124" s="1261">
        <v>44989</v>
      </c>
      <c r="D124" s="1451"/>
      <c r="E124" s="476"/>
      <c r="F124" s="6"/>
      <c r="G124" s="6"/>
      <c r="H124" s="755"/>
      <c r="I124" s="755"/>
      <c r="J124" s="85"/>
      <c r="K124" s="824"/>
      <c r="L124" s="1297"/>
      <c r="M124" s="1209"/>
      <c r="N124" s="5"/>
      <c r="O124" s="1451">
        <v>50716</v>
      </c>
      <c r="P124" s="476">
        <v>287532</v>
      </c>
      <c r="Q124" s="6">
        <v>39138</v>
      </c>
      <c r="R124" s="6">
        <v>2848582</v>
      </c>
      <c r="S124" s="31"/>
      <c r="T124" s="79"/>
      <c r="U124" s="85">
        <v>70340</v>
      </c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40" s="172" customFormat="1" ht="15.75" thickBot="1" x14ac:dyDescent="0.5">
      <c r="A125" s="1235"/>
      <c r="B125" s="300"/>
      <c r="C125" s="1261">
        <v>44990</v>
      </c>
      <c r="D125" s="1451"/>
      <c r="E125" s="476"/>
      <c r="F125" s="6"/>
      <c r="G125" s="6"/>
      <c r="H125" s="824"/>
      <c r="I125" s="755"/>
      <c r="J125" s="85"/>
      <c r="K125" s="755"/>
      <c r="L125" s="1297"/>
      <c r="M125" s="1209"/>
      <c r="N125" s="5"/>
      <c r="O125" s="1451">
        <v>46074</v>
      </c>
      <c r="P125" s="476">
        <v>269365</v>
      </c>
      <c r="Q125" s="6">
        <v>35823</v>
      </c>
      <c r="R125" s="6">
        <v>3069600</v>
      </c>
      <c r="S125" s="31"/>
      <c r="T125" s="79"/>
      <c r="U125" s="85">
        <v>61840</v>
      </c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40" s="172" customFormat="1" ht="15.75" thickBot="1" x14ac:dyDescent="0.5">
      <c r="A126" s="1235"/>
      <c r="B126" s="300"/>
      <c r="C126" s="1261">
        <v>44991</v>
      </c>
      <c r="D126" s="1451"/>
      <c r="E126" s="476"/>
      <c r="F126" s="6"/>
      <c r="G126" s="6"/>
      <c r="H126" s="1255"/>
      <c r="I126" s="828"/>
      <c r="J126" s="85"/>
      <c r="K126" s="1255"/>
      <c r="L126" s="1297"/>
      <c r="M126" s="1209"/>
      <c r="N126" s="5"/>
      <c r="O126" s="1451">
        <v>44550</v>
      </c>
      <c r="P126" s="476">
        <v>324802</v>
      </c>
      <c r="Q126" s="6">
        <v>36929</v>
      </c>
      <c r="R126" s="6">
        <v>3450395</v>
      </c>
      <c r="S126" s="824"/>
      <c r="T126" s="755"/>
      <c r="U126" s="85">
        <v>79260</v>
      </c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40" s="172" customFormat="1" ht="15.75" thickBot="1" x14ac:dyDescent="0.5">
      <c r="A127" s="1235"/>
      <c r="B127" s="300"/>
      <c r="C127" s="1261">
        <v>44992</v>
      </c>
      <c r="D127" s="1451"/>
      <c r="E127" s="476"/>
      <c r="F127" s="6"/>
      <c r="G127" s="6"/>
      <c r="H127" s="824"/>
      <c r="I127" s="755"/>
      <c r="J127" s="85"/>
      <c r="K127" s="755"/>
      <c r="L127" s="1594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40" s="172" customFormat="1" x14ac:dyDescent="0.4">
      <c r="A128" s="1235"/>
      <c r="B128" s="300"/>
      <c r="C128" s="1261">
        <v>44993</v>
      </c>
      <c r="D128" s="1451"/>
      <c r="E128" s="476"/>
      <c r="F128" s="6"/>
      <c r="G128" s="6"/>
      <c r="H128" s="31"/>
      <c r="I128" s="79"/>
      <c r="J128" s="85"/>
      <c r="K128" s="85"/>
      <c r="L128" s="85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261">
        <v>44994</v>
      </c>
      <c r="D129" s="1451"/>
      <c r="E129" s="476"/>
      <c r="F129" s="6"/>
      <c r="G129" s="6"/>
      <c r="H129" s="31"/>
      <c r="I129" s="79"/>
      <c r="J129" s="85"/>
      <c r="K129" s="85"/>
      <c r="L129" s="1594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5.75" thickBot="1" x14ac:dyDescent="0.5">
      <c r="A130" s="1235"/>
      <c r="B130" s="300"/>
      <c r="C130" s="1261">
        <v>44995</v>
      </c>
      <c r="D130" s="1451"/>
      <c r="E130" s="476"/>
      <c r="F130" s="6"/>
      <c r="G130" s="6"/>
      <c r="H130" s="755"/>
      <c r="I130" s="824"/>
      <c r="J130" s="824"/>
      <c r="K130" s="824"/>
      <c r="L130" s="1297"/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5.4" thickBot="1" x14ac:dyDescent="0.45">
      <c r="A131" s="1235"/>
      <c r="B131" s="300"/>
      <c r="C131" s="1261">
        <v>44996</v>
      </c>
      <c r="D131" s="1451"/>
      <c r="E131" s="476"/>
      <c r="F131" s="6"/>
      <c r="G131" s="6"/>
      <c r="H131" s="1255"/>
      <c r="I131" s="1255"/>
      <c r="J131" s="1593"/>
      <c r="K131" s="824"/>
      <c r="L131" s="1297"/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5.4" x14ac:dyDescent="0.45">
      <c r="A132" s="1235"/>
      <c r="B132" s="300"/>
      <c r="C132" s="1261">
        <v>44997</v>
      </c>
      <c r="D132" s="1451"/>
      <c r="E132" s="476"/>
      <c r="F132" s="6"/>
      <c r="G132" s="6"/>
      <c r="H132" s="828"/>
      <c r="I132" s="828"/>
      <c r="J132" s="1593"/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x14ac:dyDescent="0.4">
      <c r="A133" s="1235"/>
      <c r="B133" s="300"/>
      <c r="C133" s="1261">
        <v>44998</v>
      </c>
      <c r="D133" s="1451"/>
      <c r="E133" s="476"/>
      <c r="F133" s="6"/>
      <c r="G133" s="6"/>
      <c r="H133" s="1255"/>
      <c r="I133" s="1255"/>
      <c r="J133" s="1593"/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5.75" thickBot="1" x14ac:dyDescent="0.5">
      <c r="A134" s="1235"/>
      <c r="B134" s="300"/>
      <c r="C134" s="1261">
        <v>44999</v>
      </c>
      <c r="D134" s="1451"/>
      <c r="E134" s="476"/>
      <c r="F134" s="6"/>
      <c r="G134" s="6"/>
      <c r="H134" s="755"/>
      <c r="I134" s="755"/>
      <c r="J134" s="1593"/>
      <c r="K134" s="824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ht="15.75" thickBot="1" x14ac:dyDescent="0.5">
      <c r="A135" s="1235"/>
      <c r="B135" s="300"/>
      <c r="C135" s="1261">
        <v>45000</v>
      </c>
      <c r="D135" s="1451"/>
      <c r="E135" s="476"/>
      <c r="F135" s="6"/>
      <c r="G135" s="6"/>
      <c r="H135" s="824"/>
      <c r="I135" s="755"/>
      <c r="J135" s="1593"/>
      <c r="K135" s="755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5.4" x14ac:dyDescent="0.45">
      <c r="A136" s="1235"/>
      <c r="B136" s="300"/>
      <c r="C136" s="1261">
        <v>45001</v>
      </c>
      <c r="D136" s="1451"/>
      <c r="E136" s="476"/>
      <c r="F136" s="6"/>
      <c r="G136" s="6"/>
      <c r="H136" s="828"/>
      <c r="I136" s="828"/>
      <c r="J136" s="1593"/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261">
        <v>45002</v>
      </c>
      <c r="D137" s="1451"/>
      <c r="E137" s="476"/>
      <c r="F137" s="6"/>
      <c r="G137" s="6"/>
      <c r="H137" s="31"/>
      <c r="I137" s="79"/>
      <c r="J137" s="85"/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5.4" x14ac:dyDescent="0.45">
      <c r="A138" s="1235"/>
      <c r="B138" s="300"/>
      <c r="C138" s="1261">
        <v>45003</v>
      </c>
      <c r="D138" s="1451"/>
      <c r="E138" s="476"/>
      <c r="F138" s="6"/>
      <c r="G138" s="6"/>
      <c r="H138" s="1255"/>
      <c r="I138" s="828"/>
      <c r="J138" s="85"/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ht="15.75" thickBot="1" x14ac:dyDescent="0.5">
      <c r="A139" s="1235"/>
      <c r="B139" s="300"/>
      <c r="C139" s="1261">
        <v>45004</v>
      </c>
      <c r="D139" s="1451"/>
      <c r="E139" s="476"/>
      <c r="F139" s="6"/>
      <c r="G139" s="6"/>
      <c r="H139" s="910"/>
      <c r="I139" s="755"/>
      <c r="J139" s="85"/>
      <c r="K139" s="755"/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ht="15.75" thickBot="1" x14ac:dyDescent="0.5">
      <c r="A140" s="1235"/>
      <c r="B140" s="300"/>
      <c r="C140" s="1261">
        <v>45005</v>
      </c>
      <c r="D140" s="1451"/>
      <c r="E140" s="210"/>
      <c r="F140" s="7"/>
      <c r="G140" s="7"/>
      <c r="H140" s="755"/>
      <c r="I140" s="755"/>
      <c r="J140" s="210"/>
      <c r="K140" s="910"/>
      <c r="L140" s="1488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5.4" thickBot="1" x14ac:dyDescent="0.45">
      <c r="A141" s="1235"/>
      <c r="B141" s="300"/>
      <c r="C141" s="1261">
        <v>45006</v>
      </c>
      <c r="D141" s="1451"/>
      <c r="E141" s="210"/>
      <c r="F141" s="7"/>
      <c r="G141" s="7"/>
      <c r="H141" s="824"/>
      <c r="I141" s="824"/>
      <c r="J141" s="1593"/>
      <c r="K141" s="824"/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5.4" x14ac:dyDescent="0.45">
      <c r="A142" s="1235"/>
      <c r="B142" s="300"/>
      <c r="C142" s="1261">
        <v>45007</v>
      </c>
      <c r="D142" s="1407"/>
      <c r="E142" s="33"/>
      <c r="F142" s="6"/>
      <c r="G142" s="6"/>
      <c r="H142" s="755"/>
      <c r="I142" s="755"/>
      <c r="J142" s="1593"/>
      <c r="K142" s="755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261">
        <v>45008</v>
      </c>
      <c r="D143" s="1407"/>
      <c r="E143" s="33"/>
      <c r="F143" s="6"/>
      <c r="G143" s="6"/>
      <c r="H143" s="31"/>
      <c r="I143" s="79"/>
      <c r="J143" s="1593"/>
      <c r="K143" s="1488"/>
      <c r="L143" s="1297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ht="15.75" thickBot="1" x14ac:dyDescent="0.5">
      <c r="A144" s="1235"/>
      <c r="B144" s="300"/>
      <c r="C144" s="1261">
        <v>45009</v>
      </c>
      <c r="D144" s="1454"/>
      <c r="E144" s="1243"/>
      <c r="F144" s="1246"/>
      <c r="G144" s="1246"/>
      <c r="H144" s="755"/>
      <c r="I144" s="755"/>
      <c r="J144" s="1595"/>
      <c r="K144" s="824"/>
      <c r="L144" s="1297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40" s="172" customFormat="1" ht="15.4" x14ac:dyDescent="0.45">
      <c r="A145" s="1235"/>
      <c r="B145" s="300"/>
      <c r="C145" s="1261">
        <v>45010</v>
      </c>
      <c r="D145" s="1407"/>
      <c r="E145" s="33"/>
      <c r="F145" s="6"/>
      <c r="G145" s="6"/>
      <c r="H145" s="755"/>
      <c r="I145" s="755"/>
      <c r="J145" s="1593"/>
      <c r="K145" s="755"/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J145" s="5"/>
      <c r="AK145" s="5"/>
      <c r="AL145" s="5"/>
      <c r="AM145" s="5"/>
      <c r="AN145" s="5"/>
    </row>
    <row r="146" spans="1:40" x14ac:dyDescent="0.4">
      <c r="C146" s="1261">
        <v>45011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40" x14ac:dyDescent="0.4">
      <c r="C147" s="1261">
        <v>45012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40" ht="15.4" thickBot="1" x14ac:dyDescent="0.45">
      <c r="C148" s="1261">
        <v>45013</v>
      </c>
      <c r="D148" s="1407"/>
      <c r="E148" s="33"/>
      <c r="F148" s="6"/>
      <c r="G148" s="6"/>
      <c r="H148" s="824"/>
      <c r="I148" s="824"/>
      <c r="J148" s="85"/>
      <c r="K148" s="910"/>
      <c r="L148" s="1297"/>
    </row>
    <row r="149" spans="1:40" x14ac:dyDescent="0.4">
      <c r="C149" s="1261">
        <v>45014</v>
      </c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40" x14ac:dyDescent="0.4">
      <c r="C150" s="1261">
        <v>45015</v>
      </c>
      <c r="D150" s="1407"/>
      <c r="E150" s="33"/>
      <c r="F150" s="6"/>
      <c r="G150" s="6"/>
      <c r="H150" s="31"/>
      <c r="I150" s="79"/>
      <c r="J150" s="85"/>
      <c r="K150" s="1488"/>
    </row>
    <row r="151" spans="1:40" ht="15.4" x14ac:dyDescent="0.45">
      <c r="C151" s="1261">
        <v>45016</v>
      </c>
      <c r="D151" s="1407"/>
      <c r="E151" s="33"/>
      <c r="F151" s="6"/>
      <c r="G151" s="6"/>
      <c r="H151" s="755"/>
      <c r="I151" s="755"/>
      <c r="J151" s="1462"/>
      <c r="K151" s="755"/>
    </row>
    <row r="152" spans="1:40" ht="13.9" x14ac:dyDescent="0.35">
      <c r="D152" s="1462">
        <f>SUM(D121:D151)</f>
        <v>214712</v>
      </c>
      <c r="E152" s="1462">
        <f t="shared" ref="E152:M152" si="26">SUM(E121:E151)</f>
        <v>1100608</v>
      </c>
      <c r="F152" s="1462">
        <f t="shared" si="26"/>
        <v>186761</v>
      </c>
      <c r="G152" s="1462">
        <f t="shared" si="26"/>
        <v>18425981</v>
      </c>
      <c r="H152" s="1462">
        <f t="shared" si="26"/>
        <v>118535</v>
      </c>
      <c r="I152" s="1462">
        <f t="shared" si="26"/>
        <v>88006938</v>
      </c>
      <c r="J152" s="1462">
        <f t="shared" si="26"/>
        <v>248720</v>
      </c>
      <c r="K152" s="1462">
        <f t="shared" si="26"/>
        <v>4004441</v>
      </c>
      <c r="L152" s="1462">
        <f t="shared" si="26"/>
        <v>505170</v>
      </c>
      <c r="M152" s="1462">
        <f t="shared" si="26"/>
        <v>0</v>
      </c>
    </row>
    <row r="153" spans="1:40" ht="15.75" thickBot="1" x14ac:dyDescent="0.5">
      <c r="C153" s="1239"/>
      <c r="D153" s="1407"/>
      <c r="E153" s="33"/>
      <c r="F153" s="6"/>
      <c r="G153" s="6"/>
      <c r="H153" s="824"/>
      <c r="I153" s="824"/>
      <c r="J153" s="1593"/>
      <c r="K153" s="755"/>
      <c r="L153" s="1297"/>
    </row>
  </sheetData>
  <mergeCells count="89">
    <mergeCell ref="AJ2:AO2"/>
    <mergeCell ref="A1:I1"/>
    <mergeCell ref="M1:U1"/>
    <mergeCell ref="A2:I2"/>
    <mergeCell ref="M2:U2"/>
    <mergeCell ref="AC2:AH2"/>
    <mergeCell ref="A3:A5"/>
    <mergeCell ref="B3:B5"/>
    <mergeCell ref="D3:E3"/>
    <mergeCell ref="F3:G3"/>
    <mergeCell ref="H3:I3"/>
    <mergeCell ref="AK3:AK5"/>
    <mergeCell ref="AL3:AM3"/>
    <mergeCell ref="AN3:AO3"/>
    <mergeCell ref="C4:C5"/>
    <mergeCell ref="O4:O5"/>
    <mergeCell ref="T4:T5"/>
    <mergeCell ref="U4:U5"/>
    <mergeCell ref="P5:Q5"/>
    <mergeCell ref="AL5:AM5"/>
    <mergeCell ref="N3:N5"/>
    <mergeCell ref="P3:Q3"/>
    <mergeCell ref="R3:S3"/>
    <mergeCell ref="T3:U3"/>
    <mergeCell ref="AC3:AH3"/>
    <mergeCell ref="AJ3:AJ5"/>
    <mergeCell ref="M3:M5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A11:I11"/>
    <mergeCell ref="M11:U11"/>
    <mergeCell ref="AJ11:AO11"/>
    <mergeCell ref="B13:I13"/>
    <mergeCell ref="N13:U13"/>
    <mergeCell ref="A18:A26"/>
    <mergeCell ref="C18:E18"/>
    <mergeCell ref="F18:I18"/>
    <mergeCell ref="M18:M26"/>
    <mergeCell ref="O18:Q18"/>
    <mergeCell ref="R18:U18"/>
    <mergeCell ref="B28:C29"/>
    <mergeCell ref="D28:E28"/>
    <mergeCell ref="F28:G28"/>
    <mergeCell ref="H28:I28"/>
    <mergeCell ref="N28:O29"/>
    <mergeCell ref="P28:Q28"/>
    <mergeCell ref="R28:S28"/>
    <mergeCell ref="T28:U28"/>
    <mergeCell ref="A30:A37"/>
    <mergeCell ref="B30:I30"/>
    <mergeCell ref="M30:M38"/>
    <mergeCell ref="N30:U30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P48:P49"/>
    <mergeCell ref="Q48:Q49"/>
    <mergeCell ref="T48:T49"/>
    <mergeCell ref="A50:A53"/>
    <mergeCell ref="B50:I50"/>
    <mergeCell ref="M50:M53"/>
    <mergeCell ref="N50:U50"/>
    <mergeCell ref="D51:D53"/>
    <mergeCell ref="E51:E53"/>
    <mergeCell ref="H51:H53"/>
    <mergeCell ref="P51:P53"/>
    <mergeCell ref="Q51:Q53"/>
    <mergeCell ref="T51:T53"/>
    <mergeCell ref="D83:E83"/>
    <mergeCell ref="F83:G83"/>
    <mergeCell ref="H83:I83"/>
    <mergeCell ref="D120:E120"/>
    <mergeCell ref="F120:G120"/>
    <mergeCell ref="H120:I120"/>
  </mergeCells>
  <conditionalFormatting sqref="H8">
    <cfRule type="cellIs" dxfId="1" priority="1" operator="greaterThan">
      <formula>1.6</formula>
    </cfRule>
  </conditionalFormatting>
  <pageMargins left="0.2" right="0.2" top="0.42" bottom="0.24" header="0.3" footer="0.3"/>
  <pageSetup paperSize="9" scale="24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97F49-05E5-43A7-B196-85A974978416}">
  <sheetPr>
    <tabColor rgb="FFFF0000"/>
    <pageSetUpPr fitToPage="1"/>
  </sheetPr>
  <dimension ref="A1:AO153"/>
  <sheetViews>
    <sheetView topLeftCell="N1" zoomScale="90" zoomScaleNormal="90" workbookViewId="0">
      <selection activeCell="P10" sqref="P10"/>
    </sheetView>
  </sheetViews>
  <sheetFormatPr defaultColWidth="9.1328125" defaultRowHeight="15" x14ac:dyDescent="0.4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4.59765625" style="84" bestFit="1" customWidth="1"/>
    <col min="11" max="11" width="13.59765625" style="84" bestFit="1" customWidth="1"/>
    <col min="12" max="12" width="11.1328125" style="172" customWidth="1"/>
    <col min="13" max="13" width="4.1328125" style="1209" customWidth="1"/>
    <col min="14" max="14" width="43.73046875" style="5" customWidth="1"/>
    <col min="15" max="15" width="10.86328125" style="5" customWidth="1"/>
    <col min="16" max="16" width="12.265625" style="5" customWidth="1"/>
    <col min="17" max="17" width="11.265625" style="5" bestFit="1" customWidth="1"/>
    <col min="18" max="18" width="11.73046875" style="5" customWidth="1"/>
    <col min="19" max="19" width="11.59765625" style="5" customWidth="1"/>
    <col min="20" max="20" width="10.265625" style="5" customWidth="1"/>
    <col min="21" max="21" width="10.59765625" style="5" customWidth="1"/>
    <col min="22" max="22" width="9.1328125" style="5"/>
    <col min="23" max="23" width="12.3984375" style="5" bestFit="1" customWidth="1"/>
    <col min="24" max="24" width="13.3984375" style="172" hidden="1" customWidth="1"/>
    <col min="25" max="25" width="11.265625" style="5" hidden="1" customWidth="1"/>
    <col min="26" max="26" width="10.265625" style="5" hidden="1" customWidth="1"/>
    <col min="27" max="27" width="10.59765625" style="5" hidden="1" customWidth="1"/>
    <col min="28" max="28" width="0" style="5" hidden="1" customWidth="1"/>
    <col min="29" max="29" width="37.3984375" style="5" hidden="1" customWidth="1"/>
    <col min="30" max="30" width="16.59765625" style="5" hidden="1" customWidth="1"/>
    <col min="31" max="31" width="16.86328125" style="5" hidden="1" customWidth="1"/>
    <col min="32" max="32" width="17.59765625" style="5" hidden="1" customWidth="1"/>
    <col min="33" max="33" width="16.3984375" style="5" hidden="1" customWidth="1"/>
    <col min="34" max="34" width="15.1328125" style="5" hidden="1" customWidth="1"/>
    <col min="35" max="35" width="0" style="5" hidden="1" customWidth="1"/>
    <col min="36" max="36" width="8.265625" style="5" customWidth="1"/>
    <col min="37" max="37" width="32" style="5" bestFit="1" customWidth="1"/>
    <col min="38" max="38" width="14.86328125" style="5" customWidth="1"/>
    <col min="39" max="39" width="17.86328125" style="5" customWidth="1"/>
    <col min="40" max="40" width="15.3984375" style="5" customWidth="1"/>
    <col min="41" max="41" width="14.59765625" style="5" customWidth="1"/>
    <col min="42" max="16384" width="9.1328125" style="5"/>
  </cols>
  <sheetData>
    <row r="1" spans="1:41" ht="21.75" customHeight="1" x14ac:dyDescent="0.35">
      <c r="A1" s="2156" t="s">
        <v>1078</v>
      </c>
      <c r="B1" s="2156"/>
      <c r="C1" s="2156"/>
      <c r="D1" s="2156"/>
      <c r="E1" s="2156"/>
      <c r="F1" s="2156"/>
      <c r="G1" s="2156"/>
      <c r="H1" s="2156"/>
      <c r="I1" s="2156"/>
      <c r="M1" s="2345" t="s">
        <v>1079</v>
      </c>
      <c r="N1" s="2345"/>
      <c r="O1" s="2345"/>
      <c r="P1" s="2345"/>
      <c r="Q1" s="2345"/>
      <c r="R1" s="2345"/>
      <c r="S1" s="2345"/>
      <c r="T1" s="2345"/>
      <c r="U1" s="2345"/>
    </row>
    <row r="2" spans="1:41" s="301" customFormat="1" ht="20.25" customHeight="1" thickBot="1" x14ac:dyDescent="0.4">
      <c r="A2" s="2346" t="s">
        <v>986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1019</v>
      </c>
      <c r="N2" s="2093"/>
      <c r="O2" s="2093"/>
      <c r="P2" s="2093"/>
      <c r="Q2" s="2093"/>
      <c r="R2" s="2093"/>
      <c r="S2" s="2093"/>
      <c r="T2" s="2093"/>
      <c r="U2" s="2094"/>
      <c r="X2" s="1149"/>
      <c r="AC2" s="2326" t="s">
        <v>781</v>
      </c>
      <c r="AD2" s="2326"/>
      <c r="AE2" s="2326"/>
      <c r="AF2" s="2326"/>
      <c r="AG2" s="2326"/>
      <c r="AH2" s="2326"/>
      <c r="AJ2" s="2092" t="s">
        <v>1011</v>
      </c>
      <c r="AK2" s="2093"/>
      <c r="AL2" s="2093"/>
      <c r="AM2" s="2093"/>
      <c r="AN2" s="2093"/>
      <c r="AO2" s="2093"/>
    </row>
    <row r="3" spans="1:41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M3" s="2358" t="s">
        <v>757</v>
      </c>
      <c r="N3" s="2342" t="s">
        <v>353</v>
      </c>
      <c r="O3" s="1190" t="s">
        <v>10</v>
      </c>
      <c r="P3" s="2107" t="s">
        <v>8</v>
      </c>
      <c r="Q3" s="2108"/>
      <c r="R3" s="2107" t="s">
        <v>10</v>
      </c>
      <c r="S3" s="2108"/>
      <c r="T3" s="2109" t="s">
        <v>813</v>
      </c>
      <c r="U3" s="2110"/>
      <c r="AC3" s="2341" t="s">
        <v>854</v>
      </c>
      <c r="AD3" s="2341"/>
      <c r="AE3" s="2341"/>
      <c r="AF3" s="2341"/>
      <c r="AG3" s="2341"/>
      <c r="AH3" s="2341"/>
      <c r="AJ3" s="2358" t="s">
        <v>757</v>
      </c>
      <c r="AK3" s="2342" t="s">
        <v>353</v>
      </c>
      <c r="AL3" s="2107" t="s">
        <v>8</v>
      </c>
      <c r="AM3" s="2108"/>
      <c r="AN3" s="2107" t="s">
        <v>10</v>
      </c>
      <c r="AO3" s="2108"/>
    </row>
    <row r="4" spans="1:41" s="35" customFormat="1" ht="28.5" customHeight="1" x14ac:dyDescent="0.35">
      <c r="A4" s="2360"/>
      <c r="B4" s="2343"/>
      <c r="C4" s="2333" t="s">
        <v>666</v>
      </c>
      <c r="D4" s="434" t="s">
        <v>879</v>
      </c>
      <c r="E4" s="434" t="str">
        <f>G4</f>
        <v xml:space="preserve"> FEB-24</v>
      </c>
      <c r="F4" s="434" t="s">
        <v>1064</v>
      </c>
      <c r="G4" s="434" t="s">
        <v>1065</v>
      </c>
      <c r="H4" s="1832" t="s">
        <v>12</v>
      </c>
      <c r="I4" s="1832" t="s">
        <v>13</v>
      </c>
      <c r="J4" s="323"/>
      <c r="K4" s="323"/>
      <c r="L4" s="1574"/>
      <c r="M4" s="2358"/>
      <c r="N4" s="2343"/>
      <c r="O4" s="2337" t="s">
        <v>666</v>
      </c>
      <c r="P4" s="1834" t="s">
        <v>9</v>
      </c>
      <c r="Q4" s="1836" t="str">
        <f>S4</f>
        <v>UPTO
 FEB-24</v>
      </c>
      <c r="R4" s="1836" t="s">
        <v>1067</v>
      </c>
      <c r="S4" s="1836" t="s">
        <v>1066</v>
      </c>
      <c r="T4" s="2331" t="s">
        <v>12</v>
      </c>
      <c r="U4" s="2331" t="s">
        <v>13</v>
      </c>
      <c r="V4" s="35" t="s">
        <v>1080</v>
      </c>
      <c r="X4" s="1150"/>
      <c r="AC4" s="1294" t="s">
        <v>353</v>
      </c>
      <c r="AD4" s="1294" t="s">
        <v>77</v>
      </c>
      <c r="AE4" s="1294" t="s">
        <v>249</v>
      </c>
      <c r="AF4" s="1365" t="s">
        <v>853</v>
      </c>
      <c r="AG4" s="1294" t="s">
        <v>438</v>
      </c>
      <c r="AH4" s="1294" t="s">
        <v>701</v>
      </c>
      <c r="AJ4" s="2358"/>
      <c r="AK4" s="2343"/>
      <c r="AL4" s="421" t="s">
        <v>9</v>
      </c>
      <c r="AM4" s="1057" t="s">
        <v>1009</v>
      </c>
      <c r="AN4" s="1057" t="s">
        <v>1010</v>
      </c>
      <c r="AO4" s="1057" t="s">
        <v>1009</v>
      </c>
    </row>
    <row r="5" spans="1:41" ht="18.75" hidden="1" customHeight="1" x14ac:dyDescent="0.5">
      <c r="A5" s="2361"/>
      <c r="B5" s="2344"/>
      <c r="C5" s="2334"/>
      <c r="D5" s="434" t="s">
        <v>249</v>
      </c>
      <c r="E5" s="434"/>
      <c r="F5" s="434" t="s">
        <v>249</v>
      </c>
      <c r="G5" s="434" t="s">
        <v>438</v>
      </c>
      <c r="H5" s="434"/>
      <c r="I5" s="434"/>
      <c r="M5" s="2359"/>
      <c r="N5" s="2344"/>
      <c r="O5" s="2338"/>
      <c r="P5" s="2531" t="s">
        <v>249</v>
      </c>
      <c r="Q5" s="2532"/>
      <c r="R5" s="602" t="s">
        <v>249</v>
      </c>
      <c r="S5" s="602" t="s">
        <v>438</v>
      </c>
      <c r="T5" s="2332"/>
      <c r="U5" s="2332"/>
      <c r="AC5" s="6"/>
      <c r="AD5" s="6"/>
      <c r="AE5" s="1363"/>
      <c r="AF5" s="1366"/>
      <c r="AG5" s="602" t="s">
        <v>249</v>
      </c>
      <c r="AH5" s="602" t="s">
        <v>438</v>
      </c>
      <c r="AJ5" s="2359"/>
      <c r="AK5" s="2344"/>
      <c r="AL5" s="2157" t="s">
        <v>249</v>
      </c>
      <c r="AM5" s="2158"/>
      <c r="AN5" s="602" t="s">
        <v>249</v>
      </c>
      <c r="AO5" s="602" t="s">
        <v>438</v>
      </c>
    </row>
    <row r="6" spans="1:41" ht="30" customHeight="1" x14ac:dyDescent="0.35">
      <c r="A6" s="1229">
        <v>1</v>
      </c>
      <c r="B6" s="1191" t="s">
        <v>290</v>
      </c>
      <c r="C6" s="1518">
        <v>1024.2159494</v>
      </c>
      <c r="D6" s="1835">
        <v>1119.72</v>
      </c>
      <c r="E6" s="1842">
        <f>E15+E16</f>
        <v>97.28</v>
      </c>
      <c r="F6" s="434">
        <f>F15+F16+F17</f>
        <v>88.861356900000004</v>
      </c>
      <c r="G6" s="1840">
        <f>G15+G16+G17</f>
        <v>103.35803540000001</v>
      </c>
      <c r="H6" s="1849">
        <f>(G6-E6)/E6*100</f>
        <v>6.2479804687500042</v>
      </c>
      <c r="I6" s="1837">
        <f>(G6-F6)/F6*100</f>
        <v>16.313816270343267</v>
      </c>
      <c r="J6" s="82">
        <f>G6/27</f>
        <v>3.8280753851851852</v>
      </c>
      <c r="K6" s="323">
        <f>J6*30</f>
        <v>114.84226155555555</v>
      </c>
      <c r="L6" s="491">
        <f>K6+'OCT-23'!S6</f>
        <v>806.06707985555545</v>
      </c>
      <c r="M6" s="1203">
        <v>1</v>
      </c>
      <c r="N6" s="1179" t="s">
        <v>290</v>
      </c>
      <c r="O6" s="1185">
        <v>1024.2159494</v>
      </c>
      <c r="P6" s="1835">
        <v>1119.72</v>
      </c>
      <c r="Q6" s="1848">
        <f>Q15+Q16</f>
        <v>1017.69</v>
      </c>
      <c r="R6" s="434">
        <f>R15+R16+R17</f>
        <v>931.93240189999995</v>
      </c>
      <c r="S6" s="1840">
        <f>S15+S16+S17</f>
        <v>1109.0152355</v>
      </c>
      <c r="T6" s="1849">
        <f>(S6-Q6)/Q6*100</f>
        <v>8.9737774273108659</v>
      </c>
      <c r="U6" s="1849">
        <f>(S6-R6)/R6*100</f>
        <v>19.001682229201187</v>
      </c>
      <c r="V6" s="12">
        <f>S6-P6</f>
        <v>-10.70476450000001</v>
      </c>
      <c r="W6" s="11"/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  <c r="AC6" s="1191" t="s">
        <v>855</v>
      </c>
      <c r="AD6" s="434">
        <v>873.14</v>
      </c>
      <c r="AE6" s="434">
        <v>615.09889696200003</v>
      </c>
      <c r="AF6" s="1315">
        <v>950.59</v>
      </c>
      <c r="AG6" s="434">
        <v>950.59</v>
      </c>
      <c r="AH6" s="434">
        <v>1024.2159494</v>
      </c>
      <c r="AJ6" s="1203">
        <v>1</v>
      </c>
      <c r="AK6" s="1179" t="s">
        <v>290</v>
      </c>
      <c r="AL6" s="1425">
        <v>1063.73</v>
      </c>
      <c r="AM6" s="1446">
        <f>'TARGET 23-24'!D18</f>
        <v>681.56</v>
      </c>
      <c r="AN6" s="434">
        <v>657.16742699999998</v>
      </c>
      <c r="AO6" s="434">
        <v>791.00769752222209</v>
      </c>
    </row>
    <row r="7" spans="1:41" ht="26.25" customHeight="1" x14ac:dyDescent="0.35">
      <c r="A7" s="1230">
        <v>2</v>
      </c>
      <c r="B7" s="1154" t="s">
        <v>291</v>
      </c>
      <c r="C7" s="1518">
        <v>403.10200000000003</v>
      </c>
      <c r="D7" s="1425">
        <v>444.7</v>
      </c>
      <c r="E7" s="1842">
        <v>31.37</v>
      </c>
      <c r="F7" s="434">
        <f>F20+F21+F22+F23+F24+F25+F26</f>
        <v>28.259999999999994</v>
      </c>
      <c r="G7" s="1840">
        <f>G20+G21+G22+G23+G24+G25+G26</f>
        <v>32.64</v>
      </c>
      <c r="H7" s="1846">
        <f>(G7-E7)/E7*100</f>
        <v>4.0484539368823702</v>
      </c>
      <c r="I7" s="1879">
        <f>(G7-F7)/F7*100</f>
        <v>15.498938428874759</v>
      </c>
      <c r="J7" s="82">
        <f t="shared" ref="J7:J8" si="0">G7/27</f>
        <v>1.2088888888888889</v>
      </c>
      <c r="K7" s="323">
        <f t="shared" ref="K7:K8" si="1">J7*30</f>
        <v>36.266666666666666</v>
      </c>
      <c r="L7" s="491">
        <f>K7+'OCT-23'!S7</f>
        <v>292.72366666666665</v>
      </c>
      <c r="M7" s="1204">
        <v>2</v>
      </c>
      <c r="N7" s="1154" t="s">
        <v>291</v>
      </c>
      <c r="O7" s="1186">
        <v>403.10200000000003</v>
      </c>
      <c r="P7" s="1425">
        <v>444.7</v>
      </c>
      <c r="Q7" s="1842">
        <f>E7+'JAN-2024'!Q7</f>
        <v>408.40999999999997</v>
      </c>
      <c r="R7" s="434">
        <f>R20+R21+R22+R23+R24+R25+R26</f>
        <v>370.16021639999991</v>
      </c>
      <c r="S7" s="1840">
        <f>S20+S21+S22+S23+S24+S25+S26</f>
        <v>389.25700000000001</v>
      </c>
      <c r="T7" s="1846">
        <f>(S7-Q7)/Q7*100</f>
        <v>-4.689650106510606</v>
      </c>
      <c r="U7" s="1849">
        <f>(S7-R7)/R7*100</f>
        <v>5.1590589031220642</v>
      </c>
      <c r="V7" s="12">
        <f t="shared" ref="V7:V10" si="2">S7-P7</f>
        <v>-55.442999999999984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  <c r="AC7" s="606" t="s">
        <v>856</v>
      </c>
      <c r="AD7" s="434">
        <v>194.94915280000004</v>
      </c>
      <c r="AE7" s="434">
        <v>275.33999999999997</v>
      </c>
      <c r="AF7" s="1315">
        <v>341.23</v>
      </c>
      <c r="AG7" s="434">
        <v>341.23</v>
      </c>
      <c r="AH7" s="434">
        <v>403.10200000000003</v>
      </c>
      <c r="AJ7" s="1204">
        <v>2</v>
      </c>
      <c r="AK7" s="1154" t="s">
        <v>291</v>
      </c>
      <c r="AL7" s="1425">
        <v>485.81999999999994</v>
      </c>
      <c r="AM7" s="1446">
        <f>'TARGET 23-24'!E18</f>
        <v>332.94</v>
      </c>
      <c r="AN7" s="434">
        <v>276.28809999999999</v>
      </c>
      <c r="AO7" s="434">
        <v>286.65699999999998</v>
      </c>
    </row>
    <row r="8" spans="1:41" ht="32.25" customHeight="1" x14ac:dyDescent="0.35">
      <c r="A8" s="1231">
        <v>3</v>
      </c>
      <c r="B8" s="1155" t="s">
        <v>292</v>
      </c>
      <c r="C8" s="1518">
        <v>106.68749520000001</v>
      </c>
      <c r="D8" s="1425">
        <v>124.03</v>
      </c>
      <c r="E8" s="1842">
        <v>8.2799999999999994</v>
      </c>
      <c r="F8" s="1314">
        <f>F31+F32+F33+F35+F36+F37+F38</f>
        <v>7.5491078999999992</v>
      </c>
      <c r="G8" s="1840">
        <f>G31+G34+G35+G36+G37+G38</f>
        <v>8.8490616999999983</v>
      </c>
      <c r="H8" s="1849">
        <f>(G8-E8)/E8*100</f>
        <v>6.8727258454106153</v>
      </c>
      <c r="I8" s="1837">
        <f>(G8-F8)/F8*100</f>
        <v>17.219965818742626</v>
      </c>
      <c r="J8" s="82">
        <f t="shared" si="0"/>
        <v>0.32774302592592586</v>
      </c>
      <c r="K8" s="323">
        <f t="shared" si="1"/>
        <v>9.832290777777775</v>
      </c>
      <c r="L8" s="491">
        <f>K8+'OCT-23'!S8</f>
        <v>79.697677633777786</v>
      </c>
      <c r="M8" s="1205">
        <v>3</v>
      </c>
      <c r="N8" s="1155" t="s">
        <v>292</v>
      </c>
      <c r="O8" s="1187">
        <v>106.68749520000001</v>
      </c>
      <c r="P8" s="1425">
        <v>124.03</v>
      </c>
      <c r="Q8" s="1842">
        <f>E8+'JAN-2024'!Q8</f>
        <v>114.32</v>
      </c>
      <c r="R8" s="1314">
        <f>R31+R32+R33+R35+R36+R37+R38</f>
        <v>97.924720800000003</v>
      </c>
      <c r="S8" s="1840">
        <f>S31+S32+S33+S35+S36+S37+S38</f>
        <v>109.01469465600002</v>
      </c>
      <c r="T8" s="1846">
        <f>(S8-Q8)/Q8*100</f>
        <v>-4.6407499510146746</v>
      </c>
      <c r="U8" s="1849">
        <f>(S8-R8)/R8*100</f>
        <v>11.324999208984227</v>
      </c>
      <c r="V8" s="12">
        <f t="shared" si="2"/>
        <v>-15.015305343999984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  <c r="AC8" s="1361" t="s">
        <v>857</v>
      </c>
      <c r="AD8" s="434">
        <v>85.182228199999997</v>
      </c>
      <c r="AE8" s="434">
        <v>71.674099700000014</v>
      </c>
      <c r="AF8" s="1315">
        <v>102.46000000000001</v>
      </c>
      <c r="AG8" s="434">
        <v>102.46000000000001</v>
      </c>
      <c r="AH8" s="434">
        <v>106.68749520000001</v>
      </c>
      <c r="AJ8" s="1205">
        <v>3</v>
      </c>
      <c r="AK8" s="1155" t="s">
        <v>292</v>
      </c>
      <c r="AL8" s="1425">
        <v>150.59</v>
      </c>
      <c r="AM8" s="1446">
        <f>'TARGET 23-24'!F18</f>
        <v>105.69</v>
      </c>
      <c r="AN8" s="1314">
        <v>73.268227600000003</v>
      </c>
      <c r="AO8" s="1314">
        <v>80.325848300444463</v>
      </c>
    </row>
    <row r="9" spans="1:41" ht="34.5" customHeight="1" x14ac:dyDescent="0.35">
      <c r="A9" s="1230">
        <v>4</v>
      </c>
      <c r="B9" s="1156" t="s">
        <v>293</v>
      </c>
      <c r="C9" s="1518">
        <v>17.701250099999996</v>
      </c>
      <c r="D9" s="1425">
        <v>19.989999999999995</v>
      </c>
      <c r="E9" s="1843">
        <v>1.67</v>
      </c>
      <c r="F9" s="434">
        <f>F40+F41+F42+F44+F45</f>
        <v>1.9914000000000001</v>
      </c>
      <c r="G9" s="1840">
        <f>G40+G41+G42+G44+G45</f>
        <v>2.2734546</v>
      </c>
      <c r="H9" s="1849">
        <f>(G9-E9)/E9*100</f>
        <v>36.135005988023956</v>
      </c>
      <c r="I9" s="1837">
        <f>(G9-F9)/F9*100</f>
        <v>14.163633624585714</v>
      </c>
      <c r="K9" s="84">
        <f>K10*31</f>
        <v>207.30623194090907</v>
      </c>
      <c r="M9" s="1204">
        <v>4</v>
      </c>
      <c r="N9" s="1156" t="s">
        <v>293</v>
      </c>
      <c r="O9" s="1185">
        <v>17.701250099999996</v>
      </c>
      <c r="P9" s="1425">
        <v>19.989999999999995</v>
      </c>
      <c r="Q9" s="1842">
        <f>E9+'JAN-2024'!Q9</f>
        <v>18.332500000000003</v>
      </c>
      <c r="R9" s="434">
        <f>R40+R41+R42+R44+R45</f>
        <v>15.5690747</v>
      </c>
      <c r="S9" s="1840">
        <f>S40+S41+S42+S44+S45</f>
        <v>17.936807899999998</v>
      </c>
      <c r="T9" s="1846">
        <f>(S9-Q9)/Q9*100</f>
        <v>-2.1584186553934548</v>
      </c>
      <c r="U9" s="1849">
        <f>(S9-R9)/R9*100</f>
        <v>15.207924977070078</v>
      </c>
      <c r="V9" s="12">
        <f t="shared" si="2"/>
        <v>-2.0531920999999969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  <c r="AC9" s="606" t="s">
        <v>858</v>
      </c>
      <c r="AD9" s="434">
        <v>9.3101146999999997</v>
      </c>
      <c r="AE9" s="434">
        <v>5.1459812999999999</v>
      </c>
      <c r="AF9" s="1315">
        <v>16.79</v>
      </c>
      <c r="AG9" s="434">
        <v>16.79</v>
      </c>
      <c r="AH9" s="434">
        <v>17.701250099999996</v>
      </c>
      <c r="AJ9" s="1204">
        <v>4</v>
      </c>
      <c r="AK9" s="1156" t="s">
        <v>293</v>
      </c>
      <c r="AL9" s="1425">
        <v>19.149999999999999</v>
      </c>
      <c r="AM9" s="1425">
        <f>'TARGET 23-24'!O45</f>
        <v>13.326666666666666</v>
      </c>
      <c r="AN9" s="434">
        <v>10.473413500000001</v>
      </c>
      <c r="AO9" s="434">
        <f>AO40+AO41+AO42+AO44+AO45</f>
        <v>0</v>
      </c>
    </row>
    <row r="10" spans="1:41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1708.44</v>
      </c>
      <c r="E10" s="1844">
        <f>E6+E7+E8+E9</f>
        <v>138.6</v>
      </c>
      <c r="F10" s="321">
        <f>SUM(F6:F9)</f>
        <v>126.66186479999999</v>
      </c>
      <c r="G10" s="1841">
        <f>SUM(G6:G9)</f>
        <v>147.12055169999999</v>
      </c>
      <c r="H10" s="1850">
        <f>(G10-E10)/E10*100</f>
        <v>6.1475841991341982</v>
      </c>
      <c r="I10" s="1838">
        <f>(G10-F10)/F10*100</f>
        <v>16.152207242728046</v>
      </c>
      <c r="K10" s="84">
        <f>G10/22</f>
        <v>6.6872978045454543</v>
      </c>
      <c r="M10" s="1205">
        <v>5</v>
      </c>
      <c r="N10" s="1157" t="s">
        <v>294</v>
      </c>
      <c r="O10" s="1185">
        <v>1551.7066947000001</v>
      </c>
      <c r="P10" s="321">
        <f t="shared" ref="P10" si="3">P6+P7+P8+P9</f>
        <v>1708.44</v>
      </c>
      <c r="Q10" s="445">
        <f>Q6+Q7+Q8+Q9</f>
        <v>1558.7524999999998</v>
      </c>
      <c r="R10" s="321">
        <f>R6+R7+R8+R9</f>
        <v>1415.5864137999999</v>
      </c>
      <c r="S10" s="1841">
        <f>S6+S7+S8+S9</f>
        <v>1625.2237380560002</v>
      </c>
      <c r="T10" s="1850">
        <f>(S10-Q10)/Q10*100</f>
        <v>4.264386941223858</v>
      </c>
      <c r="U10" s="1850">
        <f>(S10-R10)/R10*100</f>
        <v>14.809221267760678</v>
      </c>
      <c r="V10" s="12">
        <f t="shared" si="2"/>
        <v>-83.216261943999825</v>
      </c>
      <c r="X10" s="12">
        <f>SUM(X6:X9)</f>
        <v>389.94179218299996</v>
      </c>
      <c r="Y10" s="12">
        <f>SUM(Y6:Y9)</f>
        <v>752.12112639999998</v>
      </c>
      <c r="Z10" s="12">
        <f>S10-Y10</f>
        <v>873.10261165600025</v>
      </c>
      <c r="AC10" s="1362" t="s">
        <v>859</v>
      </c>
      <c r="AD10" s="1364">
        <f>SUM(AD6:AD9)</f>
        <v>1162.5814957</v>
      </c>
      <c r="AE10" s="1364">
        <f>SUM(AE6:AE9)</f>
        <v>967.25897796200002</v>
      </c>
      <c r="AF10" s="445">
        <f>SUM(AF6:AF9)</f>
        <v>1411.0700000000002</v>
      </c>
      <c r="AG10" s="321">
        <f>SUM(AG6:AG9)</f>
        <v>1411.0700000000002</v>
      </c>
      <c r="AH10" s="321">
        <f>SUM(AH6:AH9)</f>
        <v>1551.7066947000001</v>
      </c>
      <c r="AJ10" s="1205">
        <v>5</v>
      </c>
      <c r="AK10" s="1157" t="s">
        <v>294</v>
      </c>
      <c r="AL10" s="321">
        <f t="shared" ref="AL10" si="4">AL6+AL7+AL8+AL9</f>
        <v>1719.29</v>
      </c>
      <c r="AM10" s="321">
        <f>AM6+AM7+AM8+AM9</f>
        <v>1133.5166666666667</v>
      </c>
      <c r="AN10" s="321">
        <f>AN6+AN7+AN8+AN9</f>
        <v>1017.1971681</v>
      </c>
      <c r="AO10" s="321">
        <f>AO6+AO7+AO8+AO9</f>
        <v>1157.9905458226665</v>
      </c>
    </row>
    <row r="11" spans="1:41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  <c r="AC11" s="6"/>
      <c r="AD11" s="6"/>
      <c r="AE11" s="234"/>
      <c r="AF11" s="1297"/>
      <c r="AG11" s="6"/>
      <c r="AH11" s="6"/>
      <c r="AJ11" s="2061"/>
      <c r="AK11" s="2062"/>
      <c r="AL11" s="2062"/>
      <c r="AM11" s="2062"/>
      <c r="AN11" s="2062"/>
      <c r="AO11" s="2062"/>
    </row>
    <row r="12" spans="1:41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845">
        <f>E47+E48</f>
        <v>4.76</v>
      </c>
      <c r="F12" s="1294">
        <f>F47+F48+F49</f>
        <v>4.0953229999999996</v>
      </c>
      <c r="G12" s="1294">
        <f>G47+G48+G49</f>
        <v>4.5714620000000004</v>
      </c>
      <c r="H12" s="1847">
        <f>(G12-E12)/E12*100</f>
        <v>-3.960882352941165</v>
      </c>
      <c r="I12" s="1839">
        <f>(G12-F12)/F12*100</f>
        <v>11.626408954800411</v>
      </c>
      <c r="L12" s="1476"/>
      <c r="M12" s="1204">
        <v>6.3</v>
      </c>
      <c r="N12" s="1316" t="s">
        <v>814</v>
      </c>
      <c r="O12" s="1185">
        <v>47.027382000000003</v>
      </c>
      <c r="P12" s="332">
        <v>55.06</v>
      </c>
      <c r="Q12" s="1129">
        <f>Q47+Q48</f>
        <v>49.930000000000007</v>
      </c>
      <c r="R12" s="1294">
        <f>R47+R48+R49</f>
        <v>42.675134999999997</v>
      </c>
      <c r="S12" s="1294">
        <f>S47+S48+S49</f>
        <v>51.204601000000004</v>
      </c>
      <c r="T12" s="1852">
        <f>(S12-Q12)/Q12*100</f>
        <v>2.5527758862407306</v>
      </c>
      <c r="U12" s="1851">
        <f>(S12-R12)/R12*100</f>
        <v>19.986968992599571</v>
      </c>
      <c r="W12" s="12">
        <f>S12-P12</f>
        <v>-3.8553989999999985</v>
      </c>
      <c r="AC12" s="1316" t="s">
        <v>814</v>
      </c>
      <c r="AD12" s="1294">
        <v>77.260000000000005</v>
      </c>
      <c r="AE12" s="1294">
        <v>16.61</v>
      </c>
      <c r="AF12" s="1367">
        <v>62.53</v>
      </c>
      <c r="AG12" s="1294">
        <v>16.611401999999998</v>
      </c>
      <c r="AH12" s="1294">
        <v>47.027382000000003</v>
      </c>
      <c r="AJ12" s="1204">
        <v>6.3</v>
      </c>
      <c r="AK12" s="1293" t="s">
        <v>778</v>
      </c>
      <c r="AL12" s="332">
        <v>55.06</v>
      </c>
      <c r="AM12" s="307">
        <f>'TARGET 23-24'!D45</f>
        <v>34.68</v>
      </c>
      <c r="AN12" s="1294">
        <v>29.16</v>
      </c>
      <c r="AO12" s="1294">
        <f>AO47+AO48+AO49</f>
        <v>0</v>
      </c>
    </row>
    <row r="13" spans="1:41" s="1310" customFormat="1" ht="13.5" customHeight="1" x14ac:dyDescent="0.35">
      <c r="A13" s="1309"/>
      <c r="B13" s="2352" t="s">
        <v>229</v>
      </c>
      <c r="C13" s="2353"/>
      <c r="D13" s="2353"/>
      <c r="E13" s="2353"/>
      <c r="F13" s="2353"/>
      <c r="G13" s="2353"/>
      <c r="H13" s="2353"/>
      <c r="I13" s="2354"/>
      <c r="L13" s="1311"/>
      <c r="M13" s="1309"/>
      <c r="N13" s="2355" t="s">
        <v>229</v>
      </c>
      <c r="O13" s="2356"/>
      <c r="P13" s="2356"/>
      <c r="Q13" s="2356"/>
      <c r="R13" s="2356"/>
      <c r="S13" s="2356"/>
      <c r="T13" s="2356"/>
      <c r="U13" s="2357"/>
      <c r="X13" s="1311"/>
      <c r="AJ13" s="5"/>
      <c r="AK13" s="5"/>
      <c r="AL13" s="5"/>
      <c r="AM13" s="5"/>
      <c r="AN13" s="5"/>
    </row>
    <row r="14" spans="1:41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  <c r="L14" s="1476"/>
      <c r="M14" s="2368">
        <v>1</v>
      </c>
      <c r="N14" s="2021" t="s">
        <v>278</v>
      </c>
      <c r="O14" s="2022"/>
      <c r="P14" s="2022"/>
      <c r="Q14" s="2022"/>
      <c r="R14" s="2022"/>
      <c r="S14" s="2022"/>
      <c r="T14" s="2022"/>
      <c r="U14" s="2023"/>
    </row>
    <row r="15" spans="1:41" ht="15.4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v>1.1299999999999999</v>
      </c>
      <c r="F15" s="315">
        <v>0.97473710000000002</v>
      </c>
      <c r="G15" s="315">
        <v>1.0594441999999999</v>
      </c>
      <c r="H15" s="1859">
        <f>(G15-E15)/E15*100</f>
        <v>-6.2438761061946861</v>
      </c>
      <c r="I15" s="1853">
        <f>(G15-F15)/F15*100</f>
        <v>8.6902509404843542</v>
      </c>
      <c r="J15" s="1860">
        <f>373857/10000000</f>
        <v>3.7385700000000001E-2</v>
      </c>
      <c r="L15" s="1476"/>
      <c r="M15" s="2369"/>
      <c r="N15" s="378" t="s">
        <v>816</v>
      </c>
      <c r="O15" s="1282">
        <v>11.460276500000001</v>
      </c>
      <c r="P15" s="1428">
        <v>13.26</v>
      </c>
      <c r="Q15" s="307">
        <f>E15+'JAN-2024'!Q15</f>
        <v>12.060000000000002</v>
      </c>
      <c r="R15" s="315">
        <f>F15+'JAN-2024'!R15</f>
        <v>10.492724400000002</v>
      </c>
      <c r="S15" s="315">
        <f>G15+'JAN-2024'!S15</f>
        <v>12.625363299999998</v>
      </c>
      <c r="T15" s="1856">
        <f>(S15-Q15)/Q15*100</f>
        <v>4.6879212271973127</v>
      </c>
      <c r="U15" s="1853">
        <f>(S15-R15)/R15*100</f>
        <v>20.324930101089816</v>
      </c>
      <c r="V15" s="5">
        <f>S15/153</f>
        <v>8.2518714379084951E-2</v>
      </c>
      <c r="Y15" s="12">
        <f>R16+R17</f>
        <v>921.4396774999999</v>
      </c>
      <c r="Z15" s="12">
        <f>S16+S17</f>
        <v>1096.3898721999999</v>
      </c>
      <c r="AA15" s="5">
        <f>(Z15-Y15)/Y15*100</f>
        <v>18.986613988087139</v>
      </c>
    </row>
    <row r="16" spans="1:41" ht="15.4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v>96.15</v>
      </c>
      <c r="F16" s="315">
        <v>14.417260300000001</v>
      </c>
      <c r="G16" s="315">
        <v>17.336613499999999</v>
      </c>
      <c r="H16" s="2529">
        <f>L16</f>
        <v>6.3947906396255831</v>
      </c>
      <c r="I16" s="1853">
        <f>(G16-F16)/F16*100</f>
        <v>20.249014994894683</v>
      </c>
      <c r="J16" s="323">
        <f>F16+F17</f>
        <v>87.886619799999991</v>
      </c>
      <c r="K16" s="323">
        <f>G16+G17</f>
        <v>102.2985912</v>
      </c>
      <c r="L16" s="1476">
        <f>(K16-E16)/E16*100</f>
        <v>6.3947906396255831</v>
      </c>
      <c r="M16" s="2369"/>
      <c r="N16" s="1281" t="s">
        <v>817</v>
      </c>
      <c r="O16" s="1282">
        <v>126.72018780000001</v>
      </c>
      <c r="P16" s="2379">
        <v>1106.46</v>
      </c>
      <c r="Q16" s="2065">
        <f>E16+'JAN-2024'!Q16</f>
        <v>1005.63</v>
      </c>
      <c r="R16" s="315">
        <f>F16+'JAN-2024'!R16</f>
        <v>113.05163229999998</v>
      </c>
      <c r="S16" s="315">
        <f>G16+'JAN-2024'!S16</f>
        <v>184.7103395</v>
      </c>
      <c r="T16" s="2529">
        <f>X16</f>
        <v>9.0251754820361274</v>
      </c>
      <c r="U16" s="1853">
        <f>(S16-R16)/R16*100</f>
        <v>63.385822691920602</v>
      </c>
      <c r="V16" s="12">
        <f>R16+R17</f>
        <v>921.4396774999999</v>
      </c>
      <c r="W16" s="12">
        <f>S16+S17</f>
        <v>1096.3898721999999</v>
      </c>
      <c r="X16" s="1151">
        <f>(W16-Q16)/Q16*100</f>
        <v>9.0251754820361274</v>
      </c>
    </row>
    <row r="17" spans="1:40" ht="15.75" x14ac:dyDescent="0.45">
      <c r="A17" s="2375"/>
      <c r="B17" s="1606" t="s">
        <v>1018</v>
      </c>
      <c r="C17" s="1519">
        <v>886.03548510000007</v>
      </c>
      <c r="D17" s="2380"/>
      <c r="E17" s="2066"/>
      <c r="F17" s="315">
        <v>73.469359499999996</v>
      </c>
      <c r="G17" s="315">
        <v>84.961977700000006</v>
      </c>
      <c r="H17" s="2530"/>
      <c r="I17" s="1853">
        <f>(G17-F17)/F17*100</f>
        <v>15.642736343713478</v>
      </c>
      <c r="J17" s="323"/>
      <c r="L17" s="1477">
        <f>(K16-J16)/J16*100</f>
        <v>16.398368071040565</v>
      </c>
      <c r="M17" s="2245"/>
      <c r="N17" s="1606" t="s">
        <v>931</v>
      </c>
      <c r="O17" s="1282">
        <v>886.03548510000007</v>
      </c>
      <c r="P17" s="2380"/>
      <c r="Q17" s="2066"/>
      <c r="R17" s="315">
        <f>F17+'JAN-2024'!R17</f>
        <v>808.38804519999997</v>
      </c>
      <c r="S17" s="315">
        <f>G17+'JAN-2024'!S17</f>
        <v>911.67953269999998</v>
      </c>
      <c r="T17" s="2530"/>
      <c r="U17" s="1853">
        <f>(S17-R17)/R17*100</f>
        <v>12.777463510664003</v>
      </c>
      <c r="V17" s="84"/>
      <c r="W17" s="1198"/>
      <c r="X17" s="1477">
        <f>(W16-V16)/V16*100</f>
        <v>18.986613988087139</v>
      </c>
    </row>
    <row r="18" spans="1:40" ht="16.5" customHeight="1" x14ac:dyDescent="0.4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J18" s="323">
        <f>F16+F15</f>
        <v>15.391997400000001</v>
      </c>
      <c r="K18" s="323">
        <f>G16+G15</f>
        <v>18.3960577</v>
      </c>
      <c r="L18" s="314">
        <f>(K18-J18)/J18*100</f>
        <v>19.517027075381385</v>
      </c>
      <c r="M18" s="2368">
        <v>2</v>
      </c>
      <c r="N18" s="1155" t="s">
        <v>678</v>
      </c>
      <c r="O18" s="2370" t="s">
        <v>680</v>
      </c>
      <c r="P18" s="2371"/>
      <c r="Q18" s="2372"/>
      <c r="R18" s="2370" t="s">
        <v>684</v>
      </c>
      <c r="S18" s="2371"/>
      <c r="T18" s="2371"/>
      <c r="U18" s="2372"/>
      <c r="V18" s="323">
        <f>R16+R15</f>
        <v>123.54435669999998</v>
      </c>
      <c r="W18" s="323">
        <f>S16+S15</f>
        <v>197.33570280000001</v>
      </c>
      <c r="X18" s="314">
        <f>(W18-V18)/V18*100</f>
        <v>59.728625467843841</v>
      </c>
    </row>
    <row r="19" spans="1:40" ht="26.25" customHeight="1" x14ac:dyDescent="0.35">
      <c r="A19" s="1983"/>
      <c r="B19" s="1531" t="s">
        <v>230</v>
      </c>
      <c r="C19" s="1788" t="str">
        <f>F19</f>
        <v xml:space="preserve"> FEB-23</v>
      </c>
      <c r="D19" s="1788" t="str">
        <f>G19</f>
        <v xml:space="preserve"> FEB-24</v>
      </c>
      <c r="E19" s="1531" t="s">
        <v>681</v>
      </c>
      <c r="F19" s="1788" t="str">
        <f>F4</f>
        <v xml:space="preserve"> FEB-23</v>
      </c>
      <c r="G19" s="1788" t="str">
        <f>G4</f>
        <v xml:space="preserve"> FEB-24</v>
      </c>
      <c r="H19" s="1528" t="s">
        <v>682</v>
      </c>
      <c r="I19" s="1530" t="s">
        <v>681</v>
      </c>
      <c r="L19" s="1476"/>
      <c r="M19" s="2369"/>
      <c r="N19" s="1514" t="s">
        <v>230</v>
      </c>
      <c r="O19" s="1527" t="str">
        <f>R4</f>
        <v>UPTO
 FEB-23</v>
      </c>
      <c r="P19" s="1788" t="str">
        <f>S4</f>
        <v>UPTO
 FEB-24</v>
      </c>
      <c r="Q19" s="1789" t="s">
        <v>681</v>
      </c>
      <c r="R19" s="1788" t="str">
        <f>R4</f>
        <v>UPTO
 FEB-23</v>
      </c>
      <c r="S19" s="1788" t="str">
        <f>S4</f>
        <v>UPTO
 FEB-24</v>
      </c>
      <c r="T19" s="1528" t="s">
        <v>682</v>
      </c>
      <c r="U19" s="1526" t="s">
        <v>681</v>
      </c>
    </row>
    <row r="20" spans="1:40" ht="18.75" customHeight="1" x14ac:dyDescent="0.45">
      <c r="A20" s="1983"/>
      <c r="B20" s="1055" t="s">
        <v>231</v>
      </c>
      <c r="C20" s="85">
        <v>42789</v>
      </c>
      <c r="D20" s="1410">
        <v>54939.8</v>
      </c>
      <c r="E20" s="1744">
        <f>(D20-C20)/C20*100</f>
        <v>28.397017925167688</v>
      </c>
      <c r="F20" s="315">
        <v>9.3699999999999992</v>
      </c>
      <c r="G20" s="315">
        <v>15.53</v>
      </c>
      <c r="H20" s="1060">
        <f>G20/G7*100</f>
        <v>47.579656862745097</v>
      </c>
      <c r="I20" s="1853">
        <f>(G20-F20)/F20*100</f>
        <v>65.741728922091795</v>
      </c>
      <c r="L20" s="1476"/>
      <c r="M20" s="2369"/>
      <c r="N20" s="1055" t="s">
        <v>231</v>
      </c>
      <c r="O20" s="833">
        <v>900544</v>
      </c>
      <c r="P20" s="833">
        <v>592082</v>
      </c>
      <c r="Q20" s="314">
        <f>(P20-O20)/O20*100</f>
        <v>-34.2528516096937</v>
      </c>
      <c r="R20" s="315">
        <f>F20+'JAN-2024'!R20</f>
        <v>169.33321099999998</v>
      </c>
      <c r="S20" s="315">
        <v>166.32</v>
      </c>
      <c r="T20" s="1060">
        <f>S20/S7*100</f>
        <v>42.727555316924295</v>
      </c>
      <c r="U20" s="1853">
        <f>(S20-R20)/R20*100</f>
        <v>-1.7794566005129286</v>
      </c>
    </row>
    <row r="21" spans="1:40" ht="18.75" customHeight="1" x14ac:dyDescent="0.45">
      <c r="A21" s="1983"/>
      <c r="B21" s="1055" t="s">
        <v>232</v>
      </c>
      <c r="C21" s="85">
        <v>85254</v>
      </c>
      <c r="D21" s="1410">
        <v>49169</v>
      </c>
      <c r="E21" s="1744">
        <f>(D21-C21)/C21*100</f>
        <v>-42.326459755553991</v>
      </c>
      <c r="F21" s="315">
        <v>9.0399999999999991</v>
      </c>
      <c r="G21" s="315">
        <v>2.11</v>
      </c>
      <c r="H21" s="1060">
        <f>G21/G7*100</f>
        <v>6.464460784313725</v>
      </c>
      <c r="I21" s="1858">
        <f>(G21-F21)/F21*100</f>
        <v>-76.659292035398224</v>
      </c>
      <c r="L21" s="1476"/>
      <c r="M21" s="2369"/>
      <c r="N21" s="1055" t="s">
        <v>232</v>
      </c>
      <c r="O21" s="833">
        <v>915587</v>
      </c>
      <c r="P21" s="833">
        <v>852381</v>
      </c>
      <c r="Q21" s="314">
        <f>(P21-O21)/O21*100</f>
        <v>-6.9033308686121577</v>
      </c>
      <c r="R21" s="315">
        <f>F21+'JAN-2024'!R21</f>
        <v>92.239999999999981</v>
      </c>
      <c r="S21" s="315">
        <v>76.84</v>
      </c>
      <c r="T21" s="1060">
        <f>S21/S7*100</f>
        <v>19.740171660368343</v>
      </c>
      <c r="U21" s="1858">
        <f>(S21-R21)/R21*100</f>
        <v>-16.69557675628792</v>
      </c>
      <c r="W21" s="5">
        <v>2.17</v>
      </c>
      <c r="X21" s="172">
        <v>2.95</v>
      </c>
      <c r="Y21" s="5">
        <f>(X21-W21)/W21*100</f>
        <v>35.944700460829502</v>
      </c>
    </row>
    <row r="22" spans="1:40" ht="18.75" customHeight="1" x14ac:dyDescent="0.45">
      <c r="A22" s="1983"/>
      <c r="B22" s="1055" t="s">
        <v>239</v>
      </c>
      <c r="C22" s="85">
        <v>56559</v>
      </c>
      <c r="D22" s="1410">
        <v>99685</v>
      </c>
      <c r="E22" s="1861">
        <f>(D22-C22)/C22*100</f>
        <v>76.249580084513511</v>
      </c>
      <c r="F22" s="315">
        <v>8.7200000000000006</v>
      </c>
      <c r="G22" s="315">
        <v>14.35</v>
      </c>
      <c r="H22" s="1060">
        <f>G22/G7*100</f>
        <v>43.964460784313722</v>
      </c>
      <c r="I22" s="1858">
        <f>(G22-F22)/F22*100</f>
        <v>64.564220183486214</v>
      </c>
      <c r="J22" s="1486"/>
      <c r="L22" s="1476"/>
      <c r="M22" s="2369"/>
      <c r="N22" s="1055" t="s">
        <v>239</v>
      </c>
      <c r="O22" s="833">
        <v>785217</v>
      </c>
      <c r="P22" s="833">
        <v>925551</v>
      </c>
      <c r="Q22" s="314">
        <f>(P22-O22)/O22*100</f>
        <v>17.872002261795146</v>
      </c>
      <c r="R22" s="315">
        <f>F22+'JAN-2024'!R22</f>
        <v>98.477634600000002</v>
      </c>
      <c r="S22" s="315">
        <v>135.44</v>
      </c>
      <c r="T22" s="1060">
        <f>S22/S7*100</f>
        <v>34.794493098390014</v>
      </c>
      <c r="U22" s="1853">
        <f>(S22-R22)/R22*100</f>
        <v>37.533766474118778</v>
      </c>
    </row>
    <row r="23" spans="1:40" ht="18.75" customHeight="1" x14ac:dyDescent="0.45">
      <c r="A23" s="1983"/>
      <c r="B23" s="1055" t="s">
        <v>233</v>
      </c>
      <c r="C23" s="85">
        <v>27404</v>
      </c>
      <c r="D23" s="1410">
        <v>16153.8</v>
      </c>
      <c r="E23" s="1861">
        <f>(D23-C23)/C23*100</f>
        <v>-41.053130929791273</v>
      </c>
      <c r="F23" s="315">
        <v>1.1299999999999999</v>
      </c>
      <c r="G23" s="315">
        <v>0.65</v>
      </c>
      <c r="H23" s="1060">
        <f>G23/G7*100</f>
        <v>1.9914215686274508</v>
      </c>
      <c r="I23" s="1858">
        <f>(G23-F23)/F23*100</f>
        <v>-42.477876106194685</v>
      </c>
      <c r="J23" s="1486"/>
      <c r="L23" s="1476"/>
      <c r="M23" s="2369"/>
      <c r="N23" s="1055" t="s">
        <v>233</v>
      </c>
      <c r="O23" s="833">
        <v>261458</v>
      </c>
      <c r="P23" s="833">
        <v>265119.8</v>
      </c>
      <c r="Q23" s="314">
        <f>(P23-O23)/O23*100</f>
        <v>1.4005308692026974</v>
      </c>
      <c r="R23" s="315">
        <f>F23+'JAN-2024'!R23</f>
        <v>9.6790008000000007</v>
      </c>
      <c r="S23" s="315">
        <v>9.83</v>
      </c>
      <c r="T23" s="1060">
        <f>S23/S7*100</f>
        <v>2.5253238862756482</v>
      </c>
      <c r="U23" s="1853">
        <f>(S23-R23)/R23*100</f>
        <v>1.560070126246909</v>
      </c>
      <c r="Z23" s="5">
        <f>25.63+0.96</f>
        <v>26.59</v>
      </c>
    </row>
    <row r="24" spans="1:40" ht="18.75" customHeight="1" x14ac:dyDescent="0.45">
      <c r="A24" s="1983"/>
      <c r="B24" s="1055" t="s">
        <v>739</v>
      </c>
      <c r="C24" s="85"/>
      <c r="D24" s="1409"/>
      <c r="E24" s="1793">
        <v>0</v>
      </c>
      <c r="F24" s="833">
        <v>0</v>
      </c>
      <c r="G24" s="833">
        <v>0</v>
      </c>
      <c r="H24" s="1651">
        <f>G24/G7*100</f>
        <v>0</v>
      </c>
      <c r="I24" s="836">
        <v>0</v>
      </c>
      <c r="L24" s="1476"/>
      <c r="M24" s="2369"/>
      <c r="N24" s="1055" t="s">
        <v>739</v>
      </c>
      <c r="O24" s="833">
        <f>C24+'JAN-2024'!O24</f>
        <v>2661</v>
      </c>
      <c r="P24" s="833">
        <f>D24+'JAN-2024'!P24</f>
        <v>0</v>
      </c>
      <c r="Q24" s="836">
        <v>0</v>
      </c>
      <c r="R24" s="315">
        <f>F24+'JAN-2024'!R24</f>
        <v>4.1799999999999997E-2</v>
      </c>
      <c r="S24" s="315">
        <f>G24+'JAN-2024'!S24</f>
        <v>0.03</v>
      </c>
      <c r="T24" s="1060">
        <f>S24/S7*100</f>
        <v>7.7069904972807161E-3</v>
      </c>
      <c r="U24" s="314">
        <v>0</v>
      </c>
      <c r="AJ24" s="5">
        <f>0.32+0.48+0.04</f>
        <v>0.84000000000000008</v>
      </c>
    </row>
    <row r="25" spans="1:40" ht="18.75" customHeight="1" x14ac:dyDescent="0.45">
      <c r="A25" s="1983"/>
      <c r="B25" s="1055" t="s">
        <v>235</v>
      </c>
      <c r="C25" s="85"/>
      <c r="D25" s="1409"/>
      <c r="E25" s="1793">
        <v>0</v>
      </c>
      <c r="F25" s="833">
        <v>0</v>
      </c>
      <c r="G25" s="833">
        <v>0</v>
      </c>
      <c r="H25" s="1651">
        <f>G25/G7*100</f>
        <v>0</v>
      </c>
      <c r="I25" s="836">
        <v>0</v>
      </c>
      <c r="L25" s="1476"/>
      <c r="M25" s="2369"/>
      <c r="N25" s="1055" t="s">
        <v>235</v>
      </c>
      <c r="O25" s="833">
        <v>2748</v>
      </c>
      <c r="P25" s="833">
        <f>D25+'JAN-2024'!P25</f>
        <v>0</v>
      </c>
      <c r="Q25" s="836">
        <v>0</v>
      </c>
      <c r="R25" s="315">
        <f>F25+'JAN-2024'!R25</f>
        <v>4.3999999999999997E-2</v>
      </c>
      <c r="S25" s="315">
        <f>G25+'JAN-2024'!S25</f>
        <v>0</v>
      </c>
      <c r="T25" s="1060">
        <f>S25/S7*100</f>
        <v>0</v>
      </c>
      <c r="U25" s="314">
        <v>0</v>
      </c>
    </row>
    <row r="26" spans="1:40" ht="15.75" x14ac:dyDescent="0.45">
      <c r="A26" s="1984"/>
      <c r="B26" s="1056" t="s">
        <v>693</v>
      </c>
      <c r="C26" s="1520"/>
      <c r="D26" s="1411"/>
      <c r="E26" s="1793">
        <v>0</v>
      </c>
      <c r="F26" s="833">
        <v>0</v>
      </c>
      <c r="G26" s="833">
        <v>0</v>
      </c>
      <c r="H26" s="1060" t="s">
        <v>221</v>
      </c>
      <c r="I26" s="314" t="s">
        <v>221</v>
      </c>
      <c r="L26" s="1476"/>
      <c r="M26" s="2245"/>
      <c r="N26" s="1056" t="s">
        <v>693</v>
      </c>
      <c r="O26" s="833">
        <v>0</v>
      </c>
      <c r="P26" s="833">
        <f>1527+2356</f>
        <v>3883</v>
      </c>
      <c r="Q26" s="836">
        <v>0</v>
      </c>
      <c r="R26" s="315">
        <f>F26+'JAN-2024'!R26</f>
        <v>0.34457000000000004</v>
      </c>
      <c r="S26" s="315">
        <f>G26+'JAN-2024'!S26</f>
        <v>0.79700000000000004</v>
      </c>
      <c r="T26" s="1060">
        <f>S26/S7*100</f>
        <v>0.20474904754442438</v>
      </c>
      <c r="U26" s="1853">
        <f>(S26-R26)/R26*100</f>
        <v>131.30278317903472</v>
      </c>
      <c r="V26" s="5">
        <f>0.48+0.04+0.23</f>
        <v>0.75</v>
      </c>
      <c r="AJ26" s="26"/>
      <c r="AK26" s="26"/>
      <c r="AL26" s="26"/>
      <c r="AM26" s="26"/>
      <c r="AN26" s="26"/>
    </row>
    <row r="27" spans="1:40" s="26" customFormat="1" ht="19.5" customHeight="1" x14ac:dyDescent="0.4">
      <c r="A27" s="1216"/>
      <c r="B27" s="1063" t="s">
        <v>683</v>
      </c>
      <c r="C27" s="1513">
        <f>SUM(C20:C26)</f>
        <v>212006</v>
      </c>
      <c r="D27" s="1412">
        <f>SUM(D20:D26)</f>
        <v>219947.59999999998</v>
      </c>
      <c r="E27" s="1862">
        <f>(D27-C27)/C27*100</f>
        <v>3.7459317189136048</v>
      </c>
      <c r="F27" s="1054">
        <f>F26+F25+F24+F23+F22+F21+F20</f>
        <v>28.259999999999998</v>
      </c>
      <c r="G27" s="1054">
        <f>G20+G21+G22+G23+G24+G25+G26</f>
        <v>32.64</v>
      </c>
      <c r="H27" s="1066">
        <f>SUM(H20:H26)</f>
        <v>99.999999999999986</v>
      </c>
      <c r="I27" s="1854">
        <f>(G27-F27)/F27*100</f>
        <v>15.498938428874744</v>
      </c>
      <c r="J27" s="762"/>
      <c r="K27" s="762"/>
      <c r="L27" s="1475"/>
      <c r="M27" s="1202"/>
      <c r="N27" s="1063" t="s">
        <v>683</v>
      </c>
      <c r="O27" s="1259">
        <f>SUM(O20:O26)</f>
        <v>2868215</v>
      </c>
      <c r="P27" s="1259">
        <f>SUM(P20:P26)</f>
        <v>2639016.7999999998</v>
      </c>
      <c r="Q27" s="394">
        <f>(P27-O27)/O27*100</f>
        <v>-7.9909699935325689</v>
      </c>
      <c r="R27" s="1054">
        <f>SUM(R20:R26)</f>
        <v>370.16021639999991</v>
      </c>
      <c r="S27" s="1054">
        <f>SUM(S20:S26)</f>
        <v>389.25700000000001</v>
      </c>
      <c r="T27" s="1066">
        <f>SUM(T20:T26)</f>
        <v>100</v>
      </c>
      <c r="U27" s="1854">
        <f>(S27-R27)/R27*100</f>
        <v>5.1590589031220642</v>
      </c>
      <c r="V27" s="26">
        <f>76.54+0.12</f>
        <v>76.660000000000011</v>
      </c>
      <c r="W27" s="26">
        <f>P27/1000000</f>
        <v>2.6390167999999998</v>
      </c>
      <c r="X27" s="432"/>
      <c r="AJ27" s="5"/>
      <c r="AK27" s="5"/>
      <c r="AL27" s="5"/>
      <c r="AM27" s="5"/>
      <c r="AN27" s="5"/>
    </row>
    <row r="28" spans="1:40" hidden="1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L28" s="1476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40" ht="24" hidden="1" customHeight="1" x14ac:dyDescent="0.35">
      <c r="A29" s="135"/>
      <c r="B29" s="2313"/>
      <c r="C29" s="2313"/>
      <c r="D29" s="1413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L29" s="1476"/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40" x14ac:dyDescent="0.35">
      <c r="A30" s="2381">
        <v>3</v>
      </c>
      <c r="B30" s="2021" t="s">
        <v>623</v>
      </c>
      <c r="C30" s="2022"/>
      <c r="D30" s="2022"/>
      <c r="E30" s="2022"/>
      <c r="F30" s="2022"/>
      <c r="G30" s="2022"/>
      <c r="H30" s="2022"/>
      <c r="I30" s="2023"/>
      <c r="L30" s="1476"/>
      <c r="M30" s="2384">
        <v>3</v>
      </c>
      <c r="N30" s="2021" t="s">
        <v>623</v>
      </c>
      <c r="O30" s="2022"/>
      <c r="P30" s="2022"/>
      <c r="Q30" s="2022"/>
      <c r="R30" s="2022"/>
      <c r="S30" s="2022"/>
      <c r="T30" s="2022"/>
      <c r="U30" s="2023"/>
    </row>
    <row r="31" spans="1:40" ht="15.4" x14ac:dyDescent="0.4">
      <c r="A31" s="2382"/>
      <c r="B31" s="378" t="s">
        <v>2</v>
      </c>
      <c r="C31" s="1521">
        <v>24.66</v>
      </c>
      <c r="D31" s="1429">
        <v>22.5</v>
      </c>
      <c r="E31" s="307">
        <v>1.8</v>
      </c>
      <c r="F31" s="134">
        <v>2.1288459999999998</v>
      </c>
      <c r="G31" s="134">
        <f>'ACTUAL- 23-24'!P13/10000000</f>
        <v>2.253263</v>
      </c>
      <c r="H31" s="1858">
        <f>(G31-E31)/E31*100</f>
        <v>25.181277777777776</v>
      </c>
      <c r="I31" s="1858">
        <f>(G31-F31)/F31*100</f>
        <v>5.8443400790851117</v>
      </c>
      <c r="J31" s="84">
        <v>1.52</v>
      </c>
      <c r="K31" s="1128">
        <f>11596205/10000000</f>
        <v>1.1596204999999999</v>
      </c>
      <c r="L31" s="1749">
        <v>2.5110000000000001</v>
      </c>
      <c r="M31" s="2385"/>
      <c r="N31" s="378" t="s">
        <v>2</v>
      </c>
      <c r="O31" s="1283">
        <v>24.66</v>
      </c>
      <c r="P31" s="1429">
        <v>22.5</v>
      </c>
      <c r="Q31" s="307">
        <f>E31+'JAN-2024'!Q31</f>
        <v>20.650000000000002</v>
      </c>
      <c r="R31" s="315">
        <f>F31+'JAN-2024'!R31</f>
        <v>22.528845999999998</v>
      </c>
      <c r="S31" s="315">
        <f>G31+'JAN-2024'!S31</f>
        <v>25.541129700000003</v>
      </c>
      <c r="T31" s="1853">
        <f>(S31-Q31)/Q31*100</f>
        <v>23.685858111380146</v>
      </c>
      <c r="U31" s="1853">
        <f>(S31-R31)/R31*100</f>
        <v>13.370785614141109</v>
      </c>
      <c r="W31" s="5">
        <f>(Q31*10000000)/100000</f>
        <v>2065.0000000000005</v>
      </c>
    </row>
    <row r="32" spans="1:40" ht="15.4" x14ac:dyDescent="0.4">
      <c r="A32" s="2382"/>
      <c r="B32" s="378" t="s">
        <v>23</v>
      </c>
      <c r="C32" s="1521">
        <v>27.693304099999999</v>
      </c>
      <c r="D32" s="1429">
        <f>'TARGET 23-24'!K26</f>
        <v>37.010000000000005</v>
      </c>
      <c r="E32" s="307">
        <v>2.14</v>
      </c>
      <c r="F32" s="134">
        <v>1.6119235999999999</v>
      </c>
      <c r="G32" s="1452">
        <f>'ACTUAL- 23-24'!Q13/10000000</f>
        <v>2.0445175999999998</v>
      </c>
      <c r="H32" s="1858">
        <f>(G32-E32)/E32*100</f>
        <v>-4.4617943925233785</v>
      </c>
      <c r="I32" s="1853">
        <f>(G32-F32)/F32*100</f>
        <v>26.837128012766854</v>
      </c>
      <c r="J32" s="1128">
        <v>2.3697997000000002</v>
      </c>
      <c r="K32" s="84">
        <f>0.58-0.12</f>
        <v>0.45999999999999996</v>
      </c>
      <c r="L32" s="1749">
        <v>2.7853634999999999</v>
      </c>
      <c r="M32" s="2385"/>
      <c r="N32" s="378" t="s">
        <v>23</v>
      </c>
      <c r="O32" s="1283">
        <v>27.693304099999999</v>
      </c>
      <c r="P32" s="333">
        <f>D32</f>
        <v>37.010000000000005</v>
      </c>
      <c r="Q32" s="307">
        <f>E32+'JAN-2024'!Q32</f>
        <v>34.260000000000005</v>
      </c>
      <c r="R32" s="315">
        <f>F32+'JAN-2024'!R32</f>
        <v>25.6297614</v>
      </c>
      <c r="S32" s="315">
        <f>G32+'JAN-2024'!S32</f>
        <v>26.140598100000002</v>
      </c>
      <c r="T32" s="1858">
        <f>(S32-Q32)/Q32*100</f>
        <v>-23.699363397548169</v>
      </c>
      <c r="U32" s="1853">
        <f t="shared" ref="U32:U38" si="5">(S32-R32)/R32*100</f>
        <v>1.9931387266055558</v>
      </c>
      <c r="W32" s="5">
        <f>(Q32*10000000)/100000</f>
        <v>3426.0000000000005</v>
      </c>
    </row>
    <row r="33" spans="1:39" ht="15.4" x14ac:dyDescent="0.4">
      <c r="A33" s="2382"/>
      <c r="B33" s="378" t="s">
        <v>1</v>
      </c>
      <c r="C33" s="1521">
        <v>1.0446717999999999</v>
      </c>
      <c r="D33" s="1429">
        <f>'TARGET 23-24'!L26</f>
        <v>3.4</v>
      </c>
      <c r="E33" s="307">
        <v>0.2</v>
      </c>
      <c r="F33" s="134">
        <v>6.50815E-2</v>
      </c>
      <c r="G33" s="1452">
        <f>'ACTUAL- 23-24'!R13/10000000</f>
        <v>8.49993E-2</v>
      </c>
      <c r="H33" s="1858">
        <f>(G33-E33)/E33*100</f>
        <v>-57.500349999999997</v>
      </c>
      <c r="I33" s="1853">
        <f>(G33-F33)/F33*100</f>
        <v>30.604396026520593</v>
      </c>
      <c r="J33" s="1128">
        <v>7.7621999999999997E-2</v>
      </c>
      <c r="L33" s="1749">
        <v>0.10888689999999999</v>
      </c>
      <c r="M33" s="2385"/>
      <c r="N33" s="378" t="s">
        <v>1</v>
      </c>
      <c r="O33" s="1283">
        <v>1.0446717999999999</v>
      </c>
      <c r="P33" s="333">
        <f>D33</f>
        <v>3.4</v>
      </c>
      <c r="Q33" s="307">
        <f>E33+'JAN-2024'!Q33</f>
        <v>3.13</v>
      </c>
      <c r="R33" s="315">
        <f>F33+'JAN-2024'!R33</f>
        <v>0.96116999999999986</v>
      </c>
      <c r="S33" s="315">
        <f>G33+'JAN-2024'!S33</f>
        <v>1.0671958559999999</v>
      </c>
      <c r="T33" s="1858">
        <f>(S33-Q33)/Q33*100</f>
        <v>-65.904285750798735</v>
      </c>
      <c r="U33" s="1853">
        <f t="shared" si="5"/>
        <v>11.030916071038426</v>
      </c>
      <c r="W33" s="5">
        <f>(Q33*10000000)/100000</f>
        <v>313</v>
      </c>
    </row>
    <row r="34" spans="1:39" ht="15.4" x14ac:dyDescent="0.4">
      <c r="A34" s="2382"/>
      <c r="B34" s="1055" t="s">
        <v>904</v>
      </c>
      <c r="C34" s="1522">
        <f>C33+C32</f>
        <v>28.737975899999999</v>
      </c>
      <c r="D34" s="1483">
        <f>D33+D32</f>
        <v>40.410000000000004</v>
      </c>
      <c r="E34" s="1483">
        <f>SUM(E32:E33)</f>
        <v>2.3400000000000003</v>
      </c>
      <c r="F34" s="1483">
        <f>SUM(F32:F33)</f>
        <v>1.6770050999999999</v>
      </c>
      <c r="G34" s="1483">
        <f>SUM(G32:G33)</f>
        <v>2.1295168999999996</v>
      </c>
      <c r="H34" s="1857">
        <f>(G34-E34)/E34*100</f>
        <v>-8.9950042735043017</v>
      </c>
      <c r="I34" s="1855">
        <f>(G34-F34)/F34*100</f>
        <v>26.983328792500377</v>
      </c>
      <c r="L34" s="1749"/>
      <c r="M34" s="2385"/>
      <c r="N34" s="1055" t="s">
        <v>904</v>
      </c>
      <c r="O34" s="1505">
        <f>O33+O32</f>
        <v>28.737975899999999</v>
      </c>
      <c r="P34" s="1483">
        <f>P33+P32</f>
        <v>40.410000000000004</v>
      </c>
      <c r="Q34" s="1483">
        <f>Q33+Q32</f>
        <v>37.390000000000008</v>
      </c>
      <c r="R34" s="1814">
        <f>SUM(R32:R33)</f>
        <v>26.590931399999999</v>
      </c>
      <c r="S34" s="1814">
        <f>SUM(S32:S33)</f>
        <v>27.207793956000003</v>
      </c>
      <c r="T34" s="1857">
        <f>(S34-Q34)/Q34*100</f>
        <v>-27.232431248997063</v>
      </c>
      <c r="U34" s="1855">
        <f>(S34-R34)/R34*100</f>
        <v>2.3198230506510371</v>
      </c>
    </row>
    <row r="35" spans="1:39" ht="15.4" x14ac:dyDescent="0.4">
      <c r="A35" s="2382"/>
      <c r="B35" s="378" t="s">
        <v>24</v>
      </c>
      <c r="C35" s="1521">
        <v>3.1600820000000001</v>
      </c>
      <c r="D35" s="1429"/>
      <c r="E35" s="315" t="s">
        <v>221</v>
      </c>
      <c r="F35" s="313">
        <v>0.232293</v>
      </c>
      <c r="G35" s="313">
        <f>'ACTUAL- 23-24'!T13/10000000</f>
        <v>0.25304199999999999</v>
      </c>
      <c r="H35" s="517" t="s">
        <v>221</v>
      </c>
      <c r="I35" s="1853" t="s">
        <v>221</v>
      </c>
      <c r="J35" s="84">
        <v>0.21881</v>
      </c>
      <c r="L35" s="1749">
        <v>0.303392</v>
      </c>
      <c r="M35" s="2385"/>
      <c r="N35" s="378" t="s">
        <v>24</v>
      </c>
      <c r="O35" s="1283">
        <v>3.1600820000000001</v>
      </c>
      <c r="P35" s="603" t="s">
        <v>221</v>
      </c>
      <c r="Q35" s="315" t="s">
        <v>221</v>
      </c>
      <c r="R35" s="315">
        <f>F35+'JAN-2024'!R35</f>
        <v>2.9163779999999995</v>
      </c>
      <c r="S35" s="315">
        <f>G35+'JAN-2024'!S35</f>
        <v>2.9544860000000002</v>
      </c>
      <c r="T35" s="316" t="s">
        <v>221</v>
      </c>
      <c r="U35" s="1853">
        <f t="shared" si="5"/>
        <v>1.3066893249092093</v>
      </c>
      <c r="W35" s="5" t="e">
        <f>(Q35*10000000)/100000</f>
        <v>#VALUE!</v>
      </c>
    </row>
    <row r="36" spans="1:39" ht="15.4" x14ac:dyDescent="0.4">
      <c r="A36" s="2382"/>
      <c r="B36" s="1278" t="s">
        <v>25</v>
      </c>
      <c r="C36" s="1523">
        <v>6.2230024999999998</v>
      </c>
      <c r="D36" s="1429"/>
      <c r="E36" s="315" t="s">
        <v>221</v>
      </c>
      <c r="F36" s="313">
        <v>5.11618E-2</v>
      </c>
      <c r="G36" s="381">
        <f>'ACTUAL- 23-24'!S13/10000000</f>
        <v>1.9848999999999999E-2</v>
      </c>
      <c r="H36" s="517" t="s">
        <v>221</v>
      </c>
      <c r="I36" s="1853">
        <v>0</v>
      </c>
      <c r="J36" s="84">
        <v>3.63459E-2</v>
      </c>
      <c r="L36" s="1749">
        <v>5.1638000000000003E-2</v>
      </c>
      <c r="M36" s="2385"/>
      <c r="N36" s="1278" t="s">
        <v>25</v>
      </c>
      <c r="O36" s="1284">
        <v>6.2230024999999998</v>
      </c>
      <c r="P36" s="603" t="s">
        <v>221</v>
      </c>
      <c r="Q36" s="315" t="s">
        <v>221</v>
      </c>
      <c r="R36" s="315">
        <f>F36+'JAN-2024'!R36</f>
        <v>5.6843309999999994</v>
      </c>
      <c r="S36" s="315">
        <f>G36+'JAN-2024'!S36</f>
        <v>6.2872038999999988</v>
      </c>
      <c r="T36" s="316" t="s">
        <v>221</v>
      </c>
      <c r="U36" s="1853">
        <f t="shared" si="5"/>
        <v>10.605872529238701</v>
      </c>
    </row>
    <row r="37" spans="1:39" ht="17.25" customHeight="1" x14ac:dyDescent="0.4">
      <c r="A37" s="2383"/>
      <c r="B37" s="1467" t="s">
        <v>241</v>
      </c>
      <c r="C37" s="1523">
        <v>43.050880200000002</v>
      </c>
      <c r="D37" s="1429"/>
      <c r="E37" s="315" t="s">
        <v>221</v>
      </c>
      <c r="F37" s="313">
        <v>3.4085730999999999</v>
      </c>
      <c r="G37" s="313">
        <f>'ACTUAL- 23-24'!O13/10000000</f>
        <v>4.0576851999999999</v>
      </c>
      <c r="H37" s="517" t="s">
        <v>221</v>
      </c>
      <c r="I37" s="1853">
        <f>(G37-F37)/F37*100</f>
        <v>19.043514132057194</v>
      </c>
      <c r="J37" s="84">
        <v>3.210709</v>
      </c>
      <c r="K37" s="323">
        <f>(20880+ 10612529)/10000000</f>
        <v>1.0633409</v>
      </c>
      <c r="L37" s="1749">
        <v>3.7502597999999998</v>
      </c>
      <c r="M37" s="2385"/>
      <c r="N37" s="1279" t="s">
        <v>241</v>
      </c>
      <c r="O37" s="1284">
        <v>43.050880200000002</v>
      </c>
      <c r="P37" s="540" t="s">
        <v>221</v>
      </c>
      <c r="Q37" s="315" t="s">
        <v>221</v>
      </c>
      <c r="R37" s="315">
        <f>F37+'JAN-2024'!R37</f>
        <v>39.478573099999998</v>
      </c>
      <c r="S37" s="315">
        <f>G37+'JAN-2024'!S37</f>
        <v>46.016351300000011</v>
      </c>
      <c r="T37" s="316" t="s">
        <v>221</v>
      </c>
      <c r="U37" s="1853">
        <f t="shared" si="5"/>
        <v>16.560320413404234</v>
      </c>
    </row>
    <row r="38" spans="1:39" ht="15.4" x14ac:dyDescent="0.4">
      <c r="A38" s="1234"/>
      <c r="B38" s="378" t="s">
        <v>260</v>
      </c>
      <c r="C38" s="1521">
        <v>0.85555460000000005</v>
      </c>
      <c r="D38" s="1429"/>
      <c r="E38" s="315" t="s">
        <v>221</v>
      </c>
      <c r="F38" s="313">
        <v>5.1228900000000001E-2</v>
      </c>
      <c r="G38" s="313">
        <f>'ACTUAL- 23-24'!U13/10000000</f>
        <v>0.13570560000000001</v>
      </c>
      <c r="H38" s="413"/>
      <c r="I38" s="1853">
        <v>0</v>
      </c>
      <c r="J38" s="84">
        <v>6.4195500000000003E-2</v>
      </c>
      <c r="L38" s="1749">
        <v>8.1125600000000006E-2</v>
      </c>
      <c r="M38" s="2386"/>
      <c r="N38" s="378" t="s">
        <v>260</v>
      </c>
      <c r="O38" s="1283">
        <v>0.85555460000000005</v>
      </c>
      <c r="P38" s="540" t="s">
        <v>221</v>
      </c>
      <c r="Q38" s="315" t="s">
        <v>221</v>
      </c>
      <c r="R38" s="315">
        <f>F38+'JAN-2024'!R38</f>
        <v>0.72566130000000006</v>
      </c>
      <c r="S38" s="315">
        <f>G38+'JAN-2024'!S38</f>
        <v>1.0077297999999999</v>
      </c>
      <c r="T38" s="413"/>
      <c r="U38" s="1853">
        <f t="shared" si="5"/>
        <v>38.870544701777511</v>
      </c>
    </row>
    <row r="39" spans="1:39" x14ac:dyDescent="0.35">
      <c r="A39" s="2387">
        <v>4</v>
      </c>
      <c r="B39" s="2021" t="s">
        <v>861</v>
      </c>
      <c r="C39" s="2022"/>
      <c r="D39" s="2022"/>
      <c r="E39" s="2022"/>
      <c r="F39" s="2022"/>
      <c r="G39" s="2022"/>
      <c r="H39" s="2022"/>
      <c r="I39" s="2023"/>
      <c r="J39" s="323">
        <v>9.68218E-2</v>
      </c>
      <c r="L39" s="1749"/>
      <c r="M39" s="1286">
        <v>4</v>
      </c>
      <c r="N39" s="2021" t="s">
        <v>622</v>
      </c>
      <c r="O39" s="2022"/>
      <c r="P39" s="2022"/>
      <c r="Q39" s="2022"/>
      <c r="R39" s="2022"/>
      <c r="S39" s="2022"/>
      <c r="T39" s="2022"/>
      <c r="U39" s="2023"/>
    </row>
    <row r="40" spans="1:39" ht="15.4" x14ac:dyDescent="0.4">
      <c r="A40" s="2387"/>
      <c r="B40" s="378" t="s">
        <v>27</v>
      </c>
      <c r="C40" s="1521">
        <v>12.02</v>
      </c>
      <c r="D40" s="1429">
        <v>14.04</v>
      </c>
      <c r="E40" s="307">
        <v>1.17</v>
      </c>
      <c r="F40" s="313">
        <v>1.65</v>
      </c>
      <c r="G40" s="313">
        <f>'ACTUAL- 23-24'!O30/10000000</f>
        <v>1.16757</v>
      </c>
      <c r="H40" s="1853">
        <f>(G40-E40)/E40*100</f>
        <v>-0.20769230769230193</v>
      </c>
      <c r="I40" s="1853">
        <f>(G40-F40)/F40*100</f>
        <v>-29.238181818181815</v>
      </c>
      <c r="K40" s="1128">
        <v>0.5185746</v>
      </c>
      <c r="L40" s="1476"/>
      <c r="M40" s="1286"/>
      <c r="N40" s="378" t="s">
        <v>27</v>
      </c>
      <c r="O40" s="1283">
        <v>12.02</v>
      </c>
      <c r="P40" s="1429">
        <v>14.04</v>
      </c>
      <c r="Q40" s="308">
        <f>E40+'JAN-2024'!Q40</f>
        <v>12.87</v>
      </c>
      <c r="R40" s="315">
        <v>10.6089427</v>
      </c>
      <c r="S40" s="315">
        <f>G40+'JAN-2024'!S40</f>
        <v>11.650051499999998</v>
      </c>
      <c r="T40" s="1853">
        <f t="shared" ref="T40:T42" si="6">(S40-Q40)/Q40*100</f>
        <v>-9.4790093240093327</v>
      </c>
      <c r="U40" s="1853">
        <f>(S40-R40)/R40*100</f>
        <v>9.8135019618872867</v>
      </c>
      <c r="W40" s="12">
        <v>6.8847902000000003</v>
      </c>
      <c r="X40" s="491">
        <v>1.5093639999999999</v>
      </c>
      <c r="Y40" s="12">
        <v>0.98931259999999999</v>
      </c>
      <c r="Z40" s="12">
        <v>0.63322219999999996</v>
      </c>
      <c r="AA40" s="12">
        <v>0.67428080000000001</v>
      </c>
      <c r="AL40" s="5" t="s">
        <v>27</v>
      </c>
      <c r="AM40" s="12">
        <f>S40</f>
        <v>11.650051499999998</v>
      </c>
    </row>
    <row r="41" spans="1:39" ht="15.4" x14ac:dyDescent="0.4">
      <c r="A41" s="2387"/>
      <c r="B41" s="378" t="s">
        <v>28</v>
      </c>
      <c r="C41" s="1521">
        <v>1.94</v>
      </c>
      <c r="D41" s="1429">
        <v>2.7000000000000006</v>
      </c>
      <c r="E41" s="307">
        <v>0.22500000000000001</v>
      </c>
      <c r="F41" s="313">
        <v>0.11</v>
      </c>
      <c r="G41" s="313">
        <f>'ACTUAL- 23-24'!P30/10000000</f>
        <v>6.4928E-2</v>
      </c>
      <c r="H41" s="1853">
        <f>(G41-E41)/E41*100</f>
        <v>-71.143111111111097</v>
      </c>
      <c r="I41" s="1853">
        <f>(G41-F41)/F41*100</f>
        <v>-40.974545454545456</v>
      </c>
      <c r="J41" s="84">
        <f t="shared" ref="J41:J46" si="7">E40*8</f>
        <v>9.36</v>
      </c>
      <c r="K41" s="1128">
        <v>1.5909099999999999E-2</v>
      </c>
      <c r="L41" s="1476">
        <v>2.1361249999999998</v>
      </c>
      <c r="M41" s="1286"/>
      <c r="N41" s="378" t="s">
        <v>28</v>
      </c>
      <c r="O41" s="1283">
        <v>1.94</v>
      </c>
      <c r="P41" s="1429">
        <v>2.7000000000000006</v>
      </c>
      <c r="Q41" s="308">
        <f>E41+'JAN-2024'!Q41</f>
        <v>2.4750000000000005</v>
      </c>
      <c r="R41" s="315">
        <v>1.49</v>
      </c>
      <c r="S41" s="315">
        <f>G41+'JAN-2024'!S41</f>
        <v>2.254928</v>
      </c>
      <c r="T41" s="1853">
        <f t="shared" si="6"/>
        <v>-8.8917979797979978</v>
      </c>
      <c r="U41" s="1853">
        <f t="shared" ref="U41:U45" si="8">(S41-R41)/R41*100</f>
        <v>51.337449664429535</v>
      </c>
      <c r="W41" s="5">
        <f>(E41*10000000)/100000</f>
        <v>22.5</v>
      </c>
      <c r="X41" s="172">
        <v>19.73</v>
      </c>
      <c r="Y41" s="5">
        <v>3.12</v>
      </c>
      <c r="Z41" s="11">
        <f t="shared" ref="Z41:Z45" si="9">(X41-W41)/W41*100</f>
        <v>-12.311111111111108</v>
      </c>
      <c r="AA41" s="11">
        <f t="shared" ref="AA41:AA45" si="10">(X41-Y41)/Y41*100</f>
        <v>532.3717948717948</v>
      </c>
      <c r="AL41" s="5" t="str">
        <f>N41</f>
        <v>Pay &amp; Park</v>
      </c>
      <c r="AM41" s="12">
        <f t="shared" ref="AM41:AM45" si="11">S41</f>
        <v>2.254928</v>
      </c>
    </row>
    <row r="42" spans="1:39" ht="15.4" x14ac:dyDescent="0.4">
      <c r="A42" s="2387"/>
      <c r="B42" s="378" t="s">
        <v>224</v>
      </c>
      <c r="C42" s="1521">
        <v>1.96</v>
      </c>
      <c r="D42" s="1429">
        <v>3.25</v>
      </c>
      <c r="E42" s="307">
        <v>0.27</v>
      </c>
      <c r="F42" s="313">
        <v>0.15</v>
      </c>
      <c r="G42" s="313">
        <f>'ACTUAL- 23-24'!Q30/10000000</f>
        <v>0.65083519999999995</v>
      </c>
      <c r="H42" s="1858">
        <f>(G42-E42)/E42*100</f>
        <v>141.05007407407405</v>
      </c>
      <c r="I42" s="1853">
        <f>(G42-F42)/F42*100</f>
        <v>333.89013333333327</v>
      </c>
      <c r="J42" s="84">
        <f t="shared" si="7"/>
        <v>1.8</v>
      </c>
      <c r="K42" s="1128">
        <v>7.9338400000000003E-2</v>
      </c>
      <c r="L42" s="1476">
        <v>0.11442669999999999</v>
      </c>
      <c r="M42" s="1286"/>
      <c r="N42" s="378" t="s">
        <v>224</v>
      </c>
      <c r="O42" s="1283">
        <v>1.96</v>
      </c>
      <c r="P42" s="1429">
        <v>3.25</v>
      </c>
      <c r="Q42" s="308">
        <f>E42+'JAN-2024'!Q42</f>
        <v>2.97</v>
      </c>
      <c r="R42" s="315">
        <v>1.77</v>
      </c>
      <c r="S42" s="315">
        <f>G42+'JAN-2024'!S42</f>
        <v>1.9903116000000001</v>
      </c>
      <c r="T42" s="1853">
        <f t="shared" si="6"/>
        <v>-32.986141414141414</v>
      </c>
      <c r="U42" s="1853">
        <f t="shared" si="8"/>
        <v>12.446983050847461</v>
      </c>
      <c r="W42" s="11">
        <f>(E42*10000000)/100000</f>
        <v>27</v>
      </c>
      <c r="X42" s="172">
        <v>45.45</v>
      </c>
      <c r="Y42" s="5">
        <v>0</v>
      </c>
      <c r="Z42" s="11">
        <f t="shared" si="9"/>
        <v>68.333333333333343</v>
      </c>
      <c r="AA42" s="11" t="e">
        <f t="shared" si="10"/>
        <v>#DIV/0!</v>
      </c>
      <c r="AL42" s="5" t="s">
        <v>3</v>
      </c>
      <c r="AM42" s="12">
        <f t="shared" si="11"/>
        <v>1.9903116000000001</v>
      </c>
    </row>
    <row r="43" spans="1:39" ht="15.4" hidden="1" x14ac:dyDescent="0.4">
      <c r="A43" s="2387"/>
      <c r="B43" s="378" t="s">
        <v>64</v>
      </c>
      <c r="C43" s="1521">
        <v>0</v>
      </c>
      <c r="D43" s="1429">
        <v>0</v>
      </c>
      <c r="E43" s="315" t="s">
        <v>221</v>
      </c>
      <c r="F43" s="313">
        <v>0</v>
      </c>
      <c r="G43" s="313">
        <v>0</v>
      </c>
      <c r="H43" s="314" t="e">
        <f>(G43-E43)/E43*100</f>
        <v>#VALUE!</v>
      </c>
      <c r="I43" s="314" t="e">
        <f t="shared" ref="I43" si="12">(G43-F43)/F43*100</f>
        <v>#DIV/0!</v>
      </c>
      <c r="J43" s="323">
        <f t="shared" si="7"/>
        <v>2.16</v>
      </c>
      <c r="K43" s="1128">
        <v>0</v>
      </c>
      <c r="L43" s="1476">
        <v>0.1548958</v>
      </c>
      <c r="M43" s="1286"/>
      <c r="N43" s="378" t="s">
        <v>30</v>
      </c>
      <c r="O43" s="1283">
        <v>0</v>
      </c>
      <c r="P43" s="540" t="s">
        <v>221</v>
      </c>
      <c r="Q43" s="307" t="s">
        <v>221</v>
      </c>
      <c r="R43" s="315">
        <v>0</v>
      </c>
      <c r="S43" s="315">
        <f>G43+'JAN-2024'!S43</f>
        <v>0</v>
      </c>
      <c r="T43" s="314" t="s">
        <v>221</v>
      </c>
      <c r="U43" s="1853" t="e">
        <f t="shared" si="8"/>
        <v>#DIV/0!</v>
      </c>
      <c r="W43" s="5" t="e">
        <f>(E43*10000000)/100000</f>
        <v>#VALUE!</v>
      </c>
      <c r="Z43" s="11" t="e">
        <f t="shared" si="9"/>
        <v>#VALUE!</v>
      </c>
      <c r="AA43" s="11" t="e">
        <f t="shared" si="10"/>
        <v>#DIV/0!</v>
      </c>
      <c r="AM43" s="12">
        <f t="shared" si="11"/>
        <v>0</v>
      </c>
    </row>
    <row r="44" spans="1:39" ht="15.4" x14ac:dyDescent="0.4">
      <c r="A44" s="2387"/>
      <c r="B44" s="378" t="s">
        <v>4</v>
      </c>
      <c r="C44" s="1521">
        <v>0.211532</v>
      </c>
      <c r="D44" s="1429"/>
      <c r="E44" s="315" t="s">
        <v>221</v>
      </c>
      <c r="F44" s="313">
        <v>1.4E-3</v>
      </c>
      <c r="G44" s="313">
        <f>'ACTUAL- 23-24'!R30/10000000</f>
        <v>0.250025</v>
      </c>
      <c r="H44" s="314"/>
      <c r="I44" s="314" t="s">
        <v>221</v>
      </c>
      <c r="J44" s="84" t="e">
        <f t="shared" si="7"/>
        <v>#VALUE!</v>
      </c>
      <c r="K44" s="1128">
        <v>6.3045000000000002E-3</v>
      </c>
      <c r="L44" s="1476">
        <v>0</v>
      </c>
      <c r="M44" s="1286"/>
      <c r="N44" s="378" t="s">
        <v>4</v>
      </c>
      <c r="O44" s="1283">
        <v>0.211532</v>
      </c>
      <c r="P44" s="540" t="s">
        <v>221</v>
      </c>
      <c r="Q44" s="307" t="s">
        <v>221</v>
      </c>
      <c r="R44" s="315">
        <v>0.21013200000000001</v>
      </c>
      <c r="S44" s="315">
        <f>G44+'JAN-2024'!S44</f>
        <v>0.88489609999999996</v>
      </c>
      <c r="T44" s="314" t="s">
        <v>221</v>
      </c>
      <c r="U44" s="1853">
        <f t="shared" si="8"/>
        <v>321.11439476138804</v>
      </c>
      <c r="X44" s="172">
        <v>0</v>
      </c>
      <c r="Y44" s="5">
        <v>0.06</v>
      </c>
      <c r="Z44" s="11" t="e">
        <f t="shared" si="9"/>
        <v>#DIV/0!</v>
      </c>
      <c r="AA44" s="11">
        <f t="shared" si="10"/>
        <v>-100</v>
      </c>
      <c r="AL44" s="5" t="s">
        <v>1016</v>
      </c>
      <c r="AM44" s="12">
        <f t="shared" si="11"/>
        <v>0.88489609999999996</v>
      </c>
    </row>
    <row r="45" spans="1:39" ht="15.4" x14ac:dyDescent="0.4">
      <c r="A45" s="780"/>
      <c r="B45" s="378" t="s">
        <v>259</v>
      </c>
      <c r="C45" s="1521">
        <v>1.5697181</v>
      </c>
      <c r="D45" s="1429"/>
      <c r="E45" s="315" t="s">
        <v>221</v>
      </c>
      <c r="F45" s="313">
        <v>0.08</v>
      </c>
      <c r="G45" s="313">
        <f>'ACTUAL- 23-24'!S30/10000000</f>
        <v>0.14009640000000001</v>
      </c>
      <c r="H45" s="314"/>
      <c r="I45" s="1853">
        <f>(G45-F45)/F45*100</f>
        <v>75.120500000000007</v>
      </c>
      <c r="J45" s="84" t="e">
        <f t="shared" si="7"/>
        <v>#VALUE!</v>
      </c>
      <c r="K45" s="1128">
        <v>7.3470099999999997E-2</v>
      </c>
      <c r="L45" s="1476">
        <v>4.0018400000000003E-2</v>
      </c>
      <c r="M45" s="1204"/>
      <c r="N45" s="378" t="s">
        <v>259</v>
      </c>
      <c r="O45" s="1283">
        <v>1.5697181</v>
      </c>
      <c r="P45" s="540" t="s">
        <v>221</v>
      </c>
      <c r="Q45" s="315" t="s">
        <v>221</v>
      </c>
      <c r="R45" s="315">
        <v>1.49</v>
      </c>
      <c r="S45" s="315">
        <f>G45+'JAN-2024'!S45</f>
        <v>1.1566206999999999</v>
      </c>
      <c r="T45" s="407" t="s">
        <v>221</v>
      </c>
      <c r="U45" s="1853">
        <f t="shared" si="8"/>
        <v>-22.374449664429534</v>
      </c>
      <c r="W45" s="595">
        <f>W40+W41+W42+W44</f>
        <v>56.384790199999998</v>
      </c>
      <c r="X45" s="172">
        <f>X40+X41+X42+X44</f>
        <v>66.689364000000012</v>
      </c>
      <c r="Y45" s="172">
        <f>Y40+Y41+Y42+Y44</f>
        <v>4.1693125999999996</v>
      </c>
      <c r="Z45" s="11">
        <f t="shared" si="9"/>
        <v>18.27544939592595</v>
      </c>
      <c r="AA45" s="11">
        <f t="shared" si="10"/>
        <v>1499.528996698401</v>
      </c>
      <c r="AL45" s="5" t="s">
        <v>1017</v>
      </c>
      <c r="AM45" s="12">
        <f t="shared" si="11"/>
        <v>1.1566206999999999</v>
      </c>
    </row>
    <row r="46" spans="1:39" x14ac:dyDescent="0.35">
      <c r="A46" s="2387"/>
      <c r="B46" s="2021" t="s">
        <v>888</v>
      </c>
      <c r="C46" s="2022"/>
      <c r="D46" s="2022"/>
      <c r="E46" s="2022"/>
      <c r="F46" s="2022"/>
      <c r="G46" s="2022"/>
      <c r="H46" s="2022"/>
      <c r="I46" s="2023"/>
      <c r="J46" s="84" t="e">
        <f t="shared" si="7"/>
        <v>#VALUE!</v>
      </c>
      <c r="L46" s="1476">
        <v>0.93056630000000007</v>
      </c>
      <c r="M46" s="2388"/>
      <c r="N46" s="2021" t="s">
        <v>419</v>
      </c>
      <c r="O46" s="2022"/>
      <c r="P46" s="2022"/>
      <c r="Q46" s="2022"/>
      <c r="R46" s="2022"/>
      <c r="S46" s="2022"/>
      <c r="T46" s="2022"/>
      <c r="U46" s="2023"/>
    </row>
    <row r="47" spans="1:39" ht="15.4" x14ac:dyDescent="0.4">
      <c r="A47" s="2387"/>
      <c r="B47" s="378" t="s">
        <v>798</v>
      </c>
      <c r="C47" s="1521">
        <v>18.824966</v>
      </c>
      <c r="D47" s="307">
        <f>'TARGET 23-24'!B53</f>
        <v>22.09</v>
      </c>
      <c r="E47" s="307">
        <v>1.91</v>
      </c>
      <c r="F47" s="315">
        <v>1.641313</v>
      </c>
      <c r="G47" s="315">
        <v>1.7515559999999999</v>
      </c>
      <c r="H47" s="1859">
        <f>(G47-E47)/E47*100</f>
        <v>-8.2954973821989544</v>
      </c>
      <c r="I47" s="314">
        <f>(G47-F47)/F47*100</f>
        <v>6.716756645441782</v>
      </c>
      <c r="L47" s="1476"/>
      <c r="M47" s="2388"/>
      <c r="N47" s="378" t="s">
        <v>794</v>
      </c>
      <c r="O47" s="1283">
        <v>18.824966</v>
      </c>
      <c r="P47" s="331">
        <v>22.9</v>
      </c>
      <c r="Q47" s="307">
        <f>E47+'JAN-2024'!Q47</f>
        <v>20.09</v>
      </c>
      <c r="R47" s="315">
        <f>F47+'JAN-2024'!R47</f>
        <v>17.163236999999999</v>
      </c>
      <c r="S47" s="315">
        <f>G47+'JAN-2024'!S47</f>
        <v>19.933571000000001</v>
      </c>
      <c r="T47" s="1856">
        <f>(S47-Q47)/Q47*100</f>
        <v>-0.77864111498257471</v>
      </c>
      <c r="U47" s="1853">
        <f>(S47-R47)/R47*100</f>
        <v>16.141092732099441</v>
      </c>
      <c r="V47" s="5">
        <f>S47/153</f>
        <v>0.13028477777777778</v>
      </c>
    </row>
    <row r="48" spans="1:39" ht="15.4" x14ac:dyDescent="0.4">
      <c r="A48" s="2387"/>
      <c r="B48" s="1280" t="s">
        <v>799</v>
      </c>
      <c r="C48" s="1524">
        <v>15.344440000000001</v>
      </c>
      <c r="D48" s="2065">
        <f>'TARGET 23-24'!C53</f>
        <v>32.97</v>
      </c>
      <c r="E48" s="2065">
        <v>2.85</v>
      </c>
      <c r="F48" s="315">
        <v>1.4603029999999999</v>
      </c>
      <c r="G48" s="315">
        <v>1.70492</v>
      </c>
      <c r="H48" s="2533">
        <f>L48</f>
        <v>-1.0559298245614057</v>
      </c>
      <c r="I48" s="1853">
        <f>(G48-F48)/F48*100</f>
        <v>16.75111261156076</v>
      </c>
      <c r="J48" s="12">
        <f>F48+F49</f>
        <v>2.4540099999999998</v>
      </c>
      <c r="K48" s="12">
        <f>G48+G49</f>
        <v>2.819906</v>
      </c>
      <c r="L48" s="1151">
        <f>(K48-E48)/E48*100</f>
        <v>-1.0559298245614057</v>
      </c>
      <c r="M48" s="2388"/>
      <c r="N48" s="1280" t="s">
        <v>792</v>
      </c>
      <c r="O48" s="1285">
        <v>15.344440000000001</v>
      </c>
      <c r="P48" s="2067">
        <v>32.97</v>
      </c>
      <c r="Q48" s="2065">
        <f>E48+'JAN-2024'!Q48</f>
        <v>29.840000000000003</v>
      </c>
      <c r="R48" s="315">
        <f>F48+'JAN-2024'!R48</f>
        <v>13.811704999999998</v>
      </c>
      <c r="S48" s="315">
        <f>G48+'JAN-2024'!S48</f>
        <v>19.024961000000001</v>
      </c>
      <c r="T48" s="2527">
        <f>X48</f>
        <v>4.7956769436997311</v>
      </c>
      <c r="U48" s="1853">
        <f>(S48-R48)/R48*100</f>
        <v>37.745202348298086</v>
      </c>
      <c r="V48" s="12">
        <f>R48+R49</f>
        <v>25.511897999999999</v>
      </c>
      <c r="W48" s="12">
        <f>S48+S49</f>
        <v>31.271030000000003</v>
      </c>
      <c r="X48" s="1151">
        <f>(W48-Q48)/Q48*100</f>
        <v>4.7956769436997311</v>
      </c>
    </row>
    <row r="49" spans="1:33" ht="15.75" x14ac:dyDescent="0.45">
      <c r="A49" s="2387"/>
      <c r="B49" s="1606" t="s">
        <v>934</v>
      </c>
      <c r="C49" s="1524">
        <v>12.857975999999999</v>
      </c>
      <c r="D49" s="2066"/>
      <c r="E49" s="2066"/>
      <c r="F49" s="315">
        <v>0.99370700000000001</v>
      </c>
      <c r="G49" s="315">
        <v>1.114986</v>
      </c>
      <c r="H49" s="2534"/>
      <c r="I49" s="1853">
        <f>(G49-F49)/F49*100</f>
        <v>12.204704203552961</v>
      </c>
      <c r="J49" s="84">
        <v>31105</v>
      </c>
      <c r="K49" s="1198"/>
      <c r="L49" s="1477">
        <f>(K48-J48)/J48*100</f>
        <v>14.910126690600292</v>
      </c>
      <c r="M49" s="2388"/>
      <c r="N49" s="320" t="s">
        <v>931</v>
      </c>
      <c r="O49" s="1285">
        <v>12.857975999999999</v>
      </c>
      <c r="P49" s="2068"/>
      <c r="Q49" s="2066"/>
      <c r="R49" s="315">
        <f>F49+'JAN-2024'!R49</f>
        <v>11.700193000000001</v>
      </c>
      <c r="S49" s="315">
        <f>G49+'JAN-2024'!S49</f>
        <v>12.246069</v>
      </c>
      <c r="T49" s="2528"/>
      <c r="U49" s="1853">
        <f>(S49-R49)/R49*100</f>
        <v>4.6655298763020392</v>
      </c>
      <c r="V49" s="84"/>
      <c r="W49" s="1198"/>
      <c r="X49" s="1477">
        <f>(W48-V48)/V48*100</f>
        <v>22.574298470462704</v>
      </c>
    </row>
    <row r="50" spans="1:33" ht="16.5" customHeight="1" x14ac:dyDescent="0.45">
      <c r="A50" s="2387">
        <v>6</v>
      </c>
      <c r="B50" s="2021" t="s">
        <v>1063</v>
      </c>
      <c r="C50" s="2022"/>
      <c r="D50" s="2022"/>
      <c r="E50" s="2022"/>
      <c r="F50" s="2022"/>
      <c r="G50" s="2022"/>
      <c r="H50" s="2022"/>
      <c r="I50" s="2023"/>
      <c r="J50" s="1198">
        <v>205039</v>
      </c>
      <c r="L50" s="1476"/>
      <c r="M50" s="2387">
        <v>6</v>
      </c>
      <c r="N50" s="2021" t="s">
        <v>1063</v>
      </c>
      <c r="O50" s="2022"/>
      <c r="P50" s="2022"/>
      <c r="Q50" s="2022"/>
      <c r="R50" s="2022"/>
      <c r="S50" s="2022"/>
      <c r="T50" s="2022"/>
      <c r="U50" s="2023"/>
      <c r="V50" s="323">
        <f>R48+R47</f>
        <v>30.974941999999999</v>
      </c>
      <c r="W50" s="323">
        <f>S48+S47</f>
        <v>38.958532000000005</v>
      </c>
      <c r="X50" s="314">
        <f>(W50-V50)/V50*100</f>
        <v>25.774350118234302</v>
      </c>
    </row>
    <row r="51" spans="1:33" ht="15.4" x14ac:dyDescent="0.4">
      <c r="A51" s="2387"/>
      <c r="B51" s="378" t="s">
        <v>36</v>
      </c>
      <c r="C51" s="1525"/>
      <c r="D51" s="2368">
        <v>0.55000000000000004</v>
      </c>
      <c r="E51" s="2024" t="s">
        <v>221</v>
      </c>
      <c r="F51" s="313">
        <v>186.52</v>
      </c>
      <c r="G51" s="313">
        <v>361.66</v>
      </c>
      <c r="H51" s="2027" t="s">
        <v>221</v>
      </c>
      <c r="I51" s="1853">
        <f>(G51-F51)/F51*100</f>
        <v>93.898777610980062</v>
      </c>
      <c r="K51" s="84">
        <v>1.4243969999999999</v>
      </c>
      <c r="M51" s="2387"/>
      <c r="N51" s="378" t="s">
        <v>36</v>
      </c>
      <c r="O51" s="1525"/>
      <c r="P51" s="2368">
        <v>0.55000000000000004</v>
      </c>
      <c r="Q51" s="2024" t="s">
        <v>221</v>
      </c>
      <c r="R51" s="313">
        <v>186.52</v>
      </c>
      <c r="S51" s="313">
        <v>361.66</v>
      </c>
      <c r="T51" s="2027" t="s">
        <v>221</v>
      </c>
      <c r="U51" s="1853">
        <f>(S51-R51)/R51*100</f>
        <v>93.898777610980062</v>
      </c>
    </row>
    <row r="52" spans="1:33" ht="15.4" x14ac:dyDescent="0.4">
      <c r="A52" s="2387"/>
      <c r="B52" s="378" t="s">
        <v>37</v>
      </c>
      <c r="C52" s="1525"/>
      <c r="D52" s="2369"/>
      <c r="E52" s="2025"/>
      <c r="F52" s="313">
        <v>36.22</v>
      </c>
      <c r="G52" s="313">
        <v>25.01</v>
      </c>
      <c r="H52" s="2028"/>
      <c r="I52" s="314">
        <f>(G52-F52)/F52*100</f>
        <v>-30.949751518498058</v>
      </c>
      <c r="K52" s="84">
        <v>1.1149039999999999</v>
      </c>
      <c r="M52" s="2387"/>
      <c r="N52" s="378" t="s">
        <v>37</v>
      </c>
      <c r="O52" s="1525"/>
      <c r="P52" s="2369"/>
      <c r="Q52" s="2025"/>
      <c r="R52" s="313">
        <v>36.22</v>
      </c>
      <c r="S52" s="313">
        <v>25.01</v>
      </c>
      <c r="T52" s="2028"/>
      <c r="U52" s="314">
        <f>(S52-R52)/R52*100</f>
        <v>-30.949751518498058</v>
      </c>
    </row>
    <row r="53" spans="1:33" ht="15.4" x14ac:dyDescent="0.4">
      <c r="A53" s="2387"/>
      <c r="B53" s="378" t="s">
        <v>38</v>
      </c>
      <c r="C53" s="1525"/>
      <c r="D53" s="2245"/>
      <c r="E53" s="2026"/>
      <c r="F53" s="313">
        <f>F52+F51</f>
        <v>222.74</v>
      </c>
      <c r="G53" s="313">
        <f>SUM(G51:G52)</f>
        <v>386.67</v>
      </c>
      <c r="H53" s="2029"/>
      <c r="I53" s="1853">
        <f>(G53-F53)/F53*100</f>
        <v>73.597018945856149</v>
      </c>
      <c r="K53" s="84">
        <v>1.0979049999999999</v>
      </c>
      <c r="M53" s="2387"/>
      <c r="N53" s="378" t="s">
        <v>38</v>
      </c>
      <c r="O53" s="1525"/>
      <c r="P53" s="2245"/>
      <c r="Q53" s="2026"/>
      <c r="R53" s="313">
        <f>R52+R51</f>
        <v>222.74</v>
      </c>
      <c r="S53" s="313">
        <f>SUM(S51:S52)</f>
        <v>386.67</v>
      </c>
      <c r="T53" s="2029"/>
      <c r="U53" s="1853">
        <f>(S53-R53)/R53*100</f>
        <v>73.597018945856149</v>
      </c>
    </row>
    <row r="54" spans="1:33" x14ac:dyDescent="0.4">
      <c r="B54" s="1748"/>
      <c r="C54" s="1810" t="s">
        <v>195</v>
      </c>
      <c r="D54" s="1810" t="s">
        <v>227</v>
      </c>
      <c r="E54" s="1811" t="s">
        <v>494</v>
      </c>
      <c r="F54" s="1740"/>
      <c r="G54" s="1810" t="s">
        <v>195</v>
      </c>
      <c r="H54" s="1810" t="s">
        <v>227</v>
      </c>
      <c r="I54" s="1811" t="s">
        <v>494</v>
      </c>
      <c r="N54" s="1740"/>
      <c r="O54" s="1810" t="s">
        <v>195</v>
      </c>
      <c r="P54" s="1810" t="s">
        <v>227</v>
      </c>
      <c r="Q54" s="1811" t="s">
        <v>494</v>
      </c>
      <c r="R54" s="1810"/>
      <c r="S54" s="1810" t="s">
        <v>195</v>
      </c>
      <c r="T54" s="1810" t="s">
        <v>227</v>
      </c>
      <c r="U54" s="1811" t="s">
        <v>494</v>
      </c>
    </row>
    <row r="55" spans="1:33" ht="15.75" x14ac:dyDescent="0.45">
      <c r="B55" s="1742" t="s">
        <v>989</v>
      </c>
      <c r="C55" s="1743">
        <f>F15+F16</f>
        <v>15.391997400000001</v>
      </c>
      <c r="D55" s="1743">
        <f>G15+G16</f>
        <v>18.3960577</v>
      </c>
      <c r="E55" s="1744">
        <f>(D55-C55)/C55*100</f>
        <v>19.517027075381385</v>
      </c>
      <c r="F55" s="1745" t="s">
        <v>991</v>
      </c>
      <c r="G55" s="1745">
        <f>F48+F47</f>
        <v>3.1016159999999999</v>
      </c>
      <c r="H55" s="1745">
        <f>G48+G47</f>
        <v>3.4564759999999999</v>
      </c>
      <c r="I55" s="1744">
        <f>(H55-G55)/G55*100</f>
        <v>11.441132622478088</v>
      </c>
      <c r="N55" s="1742" t="s">
        <v>989</v>
      </c>
      <c r="O55" s="1743">
        <f>R15+R16</f>
        <v>123.54435669999998</v>
      </c>
      <c r="P55" s="1743">
        <f>S15+S16</f>
        <v>197.33570280000001</v>
      </c>
      <c r="Q55" s="1744">
        <f>(P55-O55)/O55*100</f>
        <v>59.728625467843841</v>
      </c>
      <c r="R55" s="1745" t="s">
        <v>991</v>
      </c>
      <c r="S55" s="1745">
        <f>R48+R47</f>
        <v>30.974941999999999</v>
      </c>
      <c r="T55" s="1745">
        <f>S48+S47</f>
        <v>38.958532000000005</v>
      </c>
      <c r="U55" s="1744">
        <f>(T55-S55)/S55*100</f>
        <v>25.774350118234302</v>
      </c>
      <c r="W55" s="12" t="e">
        <f>R56+R57</f>
        <v>#VALUE!</v>
      </c>
      <c r="X55" s="12">
        <f>S56+S57</f>
        <v>25.511897999999999</v>
      </c>
      <c r="Z55" s="314" t="e">
        <f>(X55-W55)/W55*100</f>
        <v>#VALUE!</v>
      </c>
    </row>
    <row r="56" spans="1:33" ht="15.75" x14ac:dyDescent="0.45">
      <c r="B56" s="1742" t="s">
        <v>990</v>
      </c>
      <c r="C56" s="1743">
        <f>F16+F17</f>
        <v>87.886619799999991</v>
      </c>
      <c r="D56" s="1743">
        <f>G16+G17</f>
        <v>102.2985912</v>
      </c>
      <c r="E56" s="1744">
        <f>(D56-C56)/C56*100</f>
        <v>16.398368071040565</v>
      </c>
      <c r="F56" s="1746" t="s">
        <v>992</v>
      </c>
      <c r="G56" s="1747">
        <f>F48+F49</f>
        <v>2.4540099999999998</v>
      </c>
      <c r="H56" s="1747">
        <f>G48+G49</f>
        <v>2.819906</v>
      </c>
      <c r="I56" s="1744">
        <f>(H56-G56)/G56*100</f>
        <v>14.910126690600292</v>
      </c>
      <c r="J56" s="314"/>
      <c r="K56" s="5"/>
      <c r="N56" s="1742" t="s">
        <v>990</v>
      </c>
      <c r="O56" s="1743">
        <f>R16+R17</f>
        <v>921.4396774999999</v>
      </c>
      <c r="P56" s="1743">
        <f>S16+S17</f>
        <v>1096.3898721999999</v>
      </c>
      <c r="Q56" s="1744">
        <f>(P56-O56)/O56*100</f>
        <v>18.986613988087139</v>
      </c>
      <c r="R56" s="1746" t="s">
        <v>992</v>
      </c>
      <c r="S56" s="1747">
        <f>R48+R49</f>
        <v>25.511897999999999</v>
      </c>
      <c r="T56" s="1747">
        <f>S48+S49</f>
        <v>31.271030000000003</v>
      </c>
      <c r="U56" s="1744">
        <f>(T56-S56)/S56*100</f>
        <v>22.574298470462704</v>
      </c>
    </row>
    <row r="57" spans="1:33" ht="15.75" x14ac:dyDescent="0.45">
      <c r="J57" s="35"/>
      <c r="L57" s="35"/>
      <c r="Q57" s="229"/>
      <c r="R57" s="12"/>
      <c r="S57" s="12"/>
      <c r="U57" s="314"/>
    </row>
    <row r="58" spans="1:33" x14ac:dyDescent="0.4">
      <c r="D58" s="1407"/>
      <c r="E58" s="1192">
        <v>44958</v>
      </c>
      <c r="F58" s="1192">
        <v>45323</v>
      </c>
      <c r="H58" s="1192">
        <f>E58</f>
        <v>44958</v>
      </c>
      <c r="I58" s="1192">
        <f>F58</f>
        <v>45323</v>
      </c>
      <c r="K58" s="84">
        <v>2.94</v>
      </c>
      <c r="R58" s="12">
        <f>SUM(R55:R57)</f>
        <v>0</v>
      </c>
      <c r="S58" s="12">
        <f>SUM(S55:S57)</f>
        <v>56.486840000000001</v>
      </c>
      <c r="T58" s="26" t="s">
        <v>156</v>
      </c>
      <c r="U58" s="26" t="s">
        <v>777</v>
      </c>
      <c r="W58" s="26" t="s">
        <v>156</v>
      </c>
      <c r="X58" s="26" t="s">
        <v>777</v>
      </c>
      <c r="Z58" s="26" t="s">
        <v>181</v>
      </c>
    </row>
    <row r="59" spans="1:33" x14ac:dyDescent="0.4">
      <c r="D59" s="1418" t="s">
        <v>766</v>
      </c>
      <c r="E59" s="33"/>
      <c r="F59" s="33"/>
      <c r="H59" s="1244"/>
      <c r="I59" s="1245"/>
      <c r="L59" s="172">
        <f>K58/30</f>
        <v>9.8000000000000004E-2</v>
      </c>
      <c r="Q59" s="12"/>
      <c r="S59" s="9" t="s">
        <v>152</v>
      </c>
      <c r="T59" s="1291">
        <f>E58</f>
        <v>44958</v>
      </c>
      <c r="U59" s="1291">
        <f>F58</f>
        <v>45323</v>
      </c>
      <c r="V59" s="26"/>
      <c r="W59" s="1291">
        <v>44958</v>
      </c>
      <c r="X59" s="1291">
        <v>44958</v>
      </c>
      <c r="Y59" s="26"/>
      <c r="Z59" s="1291">
        <f>T59</f>
        <v>44958</v>
      </c>
      <c r="AA59" s="1291">
        <f>X59</f>
        <v>44958</v>
      </c>
      <c r="AC59" s="5">
        <v>57578</v>
      </c>
      <c r="AD59" s="5">
        <v>76550</v>
      </c>
    </row>
    <row r="60" spans="1:33" ht="15.4" x14ac:dyDescent="0.45">
      <c r="D60" s="1407" t="s">
        <v>94</v>
      </c>
      <c r="E60" s="1193">
        <f>H60/10000000</f>
        <v>0.91718350000000004</v>
      </c>
      <c r="F60" s="1193">
        <f>I60/10000000</f>
        <v>0.9115162</v>
      </c>
      <c r="H60" s="598">
        <f>E152</f>
        <v>9171835</v>
      </c>
      <c r="I60" s="598">
        <f>E115</f>
        <v>9115162</v>
      </c>
      <c r="K60" s="1380">
        <v>0.39</v>
      </c>
      <c r="L60" s="172">
        <f>L59*16</f>
        <v>1.5680000000000001</v>
      </c>
      <c r="O60" s="5">
        <f>24827868+5958505</f>
        <v>30786373</v>
      </c>
      <c r="P60" s="5">
        <f>28013570+5841510</f>
        <v>33855080</v>
      </c>
      <c r="S60" s="6" t="s">
        <v>782</v>
      </c>
      <c r="T60" s="6">
        <v>253264</v>
      </c>
      <c r="U60" s="6">
        <v>1192326</v>
      </c>
      <c r="W60" s="6">
        <v>289113</v>
      </c>
      <c r="X60" s="1297">
        <v>1741576</v>
      </c>
      <c r="Z60" s="6">
        <v>125940</v>
      </c>
      <c r="AA60" s="6">
        <v>420680</v>
      </c>
      <c r="AC60" s="5">
        <v>53354</v>
      </c>
      <c r="AD60" s="5">
        <v>79370</v>
      </c>
    </row>
    <row r="61" spans="1:33" ht="15.4" x14ac:dyDescent="0.45">
      <c r="D61" s="1407" t="s">
        <v>502</v>
      </c>
      <c r="E61" s="1193">
        <f>H61/10000000</f>
        <v>13.3942798</v>
      </c>
      <c r="F61" s="1193">
        <f t="shared" ref="E61:F62" si="13">I61/10000000</f>
        <v>15.20806</v>
      </c>
      <c r="H61" s="598">
        <f>G152</f>
        <v>133942798</v>
      </c>
      <c r="I61" s="598">
        <f>G115</f>
        <v>152080600</v>
      </c>
      <c r="J61" s="1320"/>
      <c r="K61" s="1320"/>
      <c r="L61" s="172">
        <f>K60/30</f>
        <v>1.3000000000000001E-2</v>
      </c>
      <c r="S61" s="1261" t="s">
        <v>789</v>
      </c>
      <c r="T61" s="6">
        <v>216619</v>
      </c>
      <c r="U61" s="6">
        <v>1148002</v>
      </c>
      <c r="V61" s="632"/>
      <c r="W61" s="6">
        <v>597322</v>
      </c>
      <c r="X61" s="6">
        <v>3581375</v>
      </c>
      <c r="Y61" s="632"/>
      <c r="Z61" s="6">
        <v>149880</v>
      </c>
      <c r="AA61" s="6">
        <v>782160</v>
      </c>
      <c r="AC61" s="41">
        <v>50439</v>
      </c>
      <c r="AD61" s="5">
        <v>78160</v>
      </c>
      <c r="AE61" s="632"/>
      <c r="AF61" s="632"/>
      <c r="AG61" s="632"/>
    </row>
    <row r="62" spans="1:33" ht="16.149999999999999" thickBot="1" x14ac:dyDescent="0.5">
      <c r="D62" s="1407" t="s">
        <v>767</v>
      </c>
      <c r="E62" s="1193">
        <f t="shared" si="13"/>
        <v>65.733547400000006</v>
      </c>
      <c r="F62" s="1193">
        <f>I62/10000000</f>
        <v>73.6176873</v>
      </c>
      <c r="H62" s="1276">
        <f>I152</f>
        <v>657335474</v>
      </c>
      <c r="I62" s="1880">
        <f>I115</f>
        <v>736176873</v>
      </c>
      <c r="J62" s="1320"/>
      <c r="K62" s="824"/>
      <c r="L62" s="172">
        <f>L61*16</f>
        <v>0.20800000000000002</v>
      </c>
      <c r="S62" s="1273">
        <v>44947</v>
      </c>
      <c r="T62" s="1274">
        <v>195242</v>
      </c>
      <c r="U62" s="6">
        <v>1023506</v>
      </c>
      <c r="W62" s="6">
        <v>288290</v>
      </c>
      <c r="X62" s="1297">
        <v>1853697</v>
      </c>
      <c r="Z62" s="6">
        <v>127880</v>
      </c>
      <c r="AA62" s="6">
        <v>482050</v>
      </c>
      <c r="AB62" s="1239"/>
      <c r="AC62" s="41">
        <v>45071</v>
      </c>
      <c r="AD62" s="172">
        <v>70290</v>
      </c>
    </row>
    <row r="63" spans="1:33" ht="15.75" x14ac:dyDescent="0.45">
      <c r="E63" s="428"/>
      <c r="F63" s="428"/>
      <c r="J63" s="1215"/>
      <c r="K63" s="212"/>
      <c r="L63" s="1217"/>
      <c r="S63" s="1273">
        <v>44948</v>
      </c>
      <c r="T63" s="1274"/>
      <c r="U63" s="6"/>
      <c r="W63" s="6"/>
      <c r="X63" s="1297"/>
      <c r="Z63" s="6"/>
      <c r="AA63" s="6"/>
      <c r="AB63" s="1239"/>
      <c r="AC63" s="41">
        <v>41360</v>
      </c>
      <c r="AD63" s="172">
        <v>83580</v>
      </c>
    </row>
    <row r="64" spans="1:33" ht="16.5" x14ac:dyDescent="0.45">
      <c r="E64" s="428"/>
      <c r="F64" s="428"/>
      <c r="I64" s="82">
        <f>J65/1000000</f>
        <v>0.23699999999999999</v>
      </c>
      <c r="K64" s="212"/>
      <c r="L64" s="1217"/>
      <c r="N64" s="1917">
        <v>110050</v>
      </c>
      <c r="O64" s="5">
        <f>N64*5</f>
        <v>550250</v>
      </c>
      <c r="S64" s="1261"/>
      <c r="T64" s="331"/>
      <c r="U64" s="6"/>
      <c r="V64" s="26"/>
      <c r="W64" s="6"/>
      <c r="X64" s="1297"/>
      <c r="Z64" s="6"/>
      <c r="AA64" s="6"/>
      <c r="AB64" s="1239"/>
      <c r="AC64" s="41">
        <v>40488</v>
      </c>
      <c r="AD64" s="172">
        <v>94100</v>
      </c>
    </row>
    <row r="65" spans="3:30" ht="15.4" x14ac:dyDescent="0.45">
      <c r="D65" s="1418" t="s">
        <v>768</v>
      </c>
      <c r="E65" s="1193"/>
      <c r="F65" s="1193"/>
      <c r="J65" s="84">
        <f>2.37*100000</f>
        <v>237000</v>
      </c>
      <c r="K65" s="259"/>
      <c r="L65" s="1217"/>
      <c r="S65" s="26" t="s">
        <v>187</v>
      </c>
      <c r="T65" s="26">
        <f>SUM(T60:T64)</f>
        <v>665125</v>
      </c>
      <c r="U65" s="26">
        <f t="shared" ref="U65:AA65" si="14">SUM(U60:U64)</f>
        <v>3363834</v>
      </c>
      <c r="W65" s="9">
        <f>SUM(W60:W64)</f>
        <v>1174725</v>
      </c>
      <c r="X65" s="9">
        <f t="shared" si="14"/>
        <v>7176648</v>
      </c>
      <c r="Y65" s="26"/>
      <c r="Z65" s="9">
        <f t="shared" si="14"/>
        <v>403700</v>
      </c>
      <c r="AA65" s="9">
        <f t="shared" si="14"/>
        <v>1684890</v>
      </c>
      <c r="AB65" s="1262"/>
      <c r="AC65" s="41">
        <f>SUM(AC59:AC64)</f>
        <v>288290</v>
      </c>
      <c r="AD65" s="41">
        <f>SUM(AD59:AD64)</f>
        <v>482050</v>
      </c>
    </row>
    <row r="66" spans="3:30" ht="15.4" x14ac:dyDescent="0.45">
      <c r="D66" s="1407" t="s">
        <v>94</v>
      </c>
      <c r="E66" s="1193">
        <f>H66/1000000</f>
        <v>1.558813</v>
      </c>
      <c r="F66" s="1193">
        <f>I66/1000000</f>
        <v>1.499584</v>
      </c>
      <c r="H66" s="598">
        <f>D152</f>
        <v>1558813</v>
      </c>
      <c r="I66" s="598">
        <f>D115</f>
        <v>1499584</v>
      </c>
      <c r="J66" s="323">
        <f>H66/100000</f>
        <v>15.58813</v>
      </c>
      <c r="K66" s="323">
        <f t="shared" ref="K66:K68" si="15">I66/100000</f>
        <v>14.995839999999999</v>
      </c>
      <c r="L66" s="1217"/>
      <c r="S66" s="9" t="s">
        <v>783</v>
      </c>
      <c r="T66" s="6"/>
      <c r="U66" s="1261"/>
      <c r="W66" s="6"/>
      <c r="X66" s="1297"/>
      <c r="Z66" s="6"/>
      <c r="AA66" s="6"/>
      <c r="AB66" s="1239"/>
      <c r="AC66" s="41">
        <v>50768</v>
      </c>
      <c r="AD66" s="172"/>
    </row>
    <row r="67" spans="3:30" ht="15.4" x14ac:dyDescent="0.45">
      <c r="D67" s="1407" t="s">
        <v>502</v>
      </c>
      <c r="E67" s="1193">
        <f t="shared" ref="E67:F68" si="16">H67/1000000</f>
        <v>1.373491</v>
      </c>
      <c r="F67" s="1193">
        <f t="shared" si="16"/>
        <v>1.4772689999999999</v>
      </c>
      <c r="H67" s="598">
        <f>F152</f>
        <v>1373491</v>
      </c>
      <c r="I67" s="598">
        <f>F115</f>
        <v>1477269</v>
      </c>
      <c r="J67" s="323">
        <f>H67/100000</f>
        <v>13.734909999999999</v>
      </c>
      <c r="K67" s="323">
        <f t="shared" si="15"/>
        <v>14.772690000000001</v>
      </c>
      <c r="L67" s="491">
        <f>K66/100000</f>
        <v>1.499584E-4</v>
      </c>
      <c r="S67" s="6" t="s">
        <v>782</v>
      </c>
      <c r="T67" s="6">
        <v>58327</v>
      </c>
      <c r="U67" s="6">
        <v>1118200</v>
      </c>
      <c r="W67" s="6">
        <v>258000</v>
      </c>
      <c r="X67" s="1297">
        <v>24681160</v>
      </c>
      <c r="Z67" s="6"/>
      <c r="AA67" s="6"/>
      <c r="AB67" s="1239"/>
      <c r="AC67" s="41">
        <v>45797</v>
      </c>
      <c r="AD67" s="172"/>
    </row>
    <row r="68" spans="3:30" ht="15.4" x14ac:dyDescent="0.45">
      <c r="D68" s="1407" t="s">
        <v>767</v>
      </c>
      <c r="E68" s="1193">
        <f t="shared" si="16"/>
        <v>0.88859299999999997</v>
      </c>
      <c r="F68" s="1193">
        <f>I68/1000000</f>
        <v>0.96333599999999997</v>
      </c>
      <c r="H68" s="598">
        <f>H152</f>
        <v>888593</v>
      </c>
      <c r="I68" s="1215">
        <f>H115</f>
        <v>963336</v>
      </c>
      <c r="J68" s="323">
        <f>H68/100000</f>
        <v>8.8859300000000001</v>
      </c>
      <c r="K68" s="323">
        <f t="shared" si="15"/>
        <v>9.6333599999999997</v>
      </c>
      <c r="L68" s="491">
        <f>K67/100000</f>
        <v>1.477269E-4</v>
      </c>
      <c r="S68" s="1261" t="s">
        <v>789</v>
      </c>
      <c r="T68" s="6">
        <v>53742</v>
      </c>
      <c r="U68" s="6">
        <v>1266705</v>
      </c>
      <c r="W68" s="6">
        <v>552593</v>
      </c>
      <c r="X68" s="1297">
        <v>55522320</v>
      </c>
      <c r="Z68" s="6"/>
      <c r="AA68" s="6"/>
      <c r="AB68" s="1239"/>
      <c r="AC68" s="41">
        <v>44590</v>
      </c>
      <c r="AD68" s="172"/>
    </row>
    <row r="69" spans="3:30" x14ac:dyDescent="0.4">
      <c r="E69" s="428"/>
      <c r="F69" s="323"/>
      <c r="H69" s="1224"/>
      <c r="I69" s="1225"/>
      <c r="J69" s="323"/>
      <c r="K69" s="212"/>
      <c r="L69" s="491">
        <f>K68/100000</f>
        <v>9.6333600000000002E-5</v>
      </c>
      <c r="S69" s="1273">
        <v>44947</v>
      </c>
      <c r="T69" s="6">
        <v>49346</v>
      </c>
      <c r="U69" s="6">
        <v>1081490</v>
      </c>
      <c r="W69" s="6">
        <v>281573</v>
      </c>
      <c r="X69" s="1297">
        <v>29067783</v>
      </c>
      <c r="Z69" s="6"/>
      <c r="AA69" s="6"/>
      <c r="AB69" s="1239"/>
      <c r="AC69" s="5">
        <v>45433</v>
      </c>
      <c r="AD69" s="172"/>
    </row>
    <row r="70" spans="3:30" x14ac:dyDescent="0.4">
      <c r="E70" s="428"/>
      <c r="F70" s="323"/>
      <c r="H70" s="1224"/>
      <c r="I70" s="1225"/>
      <c r="K70" s="212"/>
      <c r="L70" s="1217"/>
      <c r="S70" s="1273">
        <v>44948</v>
      </c>
      <c r="T70" s="6"/>
      <c r="U70" s="6"/>
      <c r="W70" s="6"/>
      <c r="X70" s="1297"/>
      <c r="Z70" s="6"/>
      <c r="AA70" s="6"/>
      <c r="AB70" s="1239"/>
      <c r="AC70" s="5">
        <v>46734</v>
      </c>
      <c r="AD70" s="172"/>
    </row>
    <row r="71" spans="3:30" ht="15.4" x14ac:dyDescent="0.45">
      <c r="D71" s="1418" t="s">
        <v>436</v>
      </c>
      <c r="E71" s="1193">
        <f>H71/10000000</f>
        <v>1.7866115</v>
      </c>
      <c r="F71" s="1193">
        <f>I71/10000000</f>
        <v>1.5748664999999999</v>
      </c>
      <c r="H71">
        <v>17866115</v>
      </c>
      <c r="I71">
        <v>15748665</v>
      </c>
      <c r="J71" s="802"/>
      <c r="K71"/>
      <c r="L71" s="1217"/>
      <c r="N71" s="755">
        <v>185546505</v>
      </c>
      <c r="S71" s="1261"/>
      <c r="T71" s="6"/>
      <c r="U71" s="6"/>
      <c r="W71" s="6"/>
      <c r="X71" s="1297"/>
      <c r="Z71" s="6"/>
      <c r="AA71" s="6"/>
      <c r="AB71" s="1239"/>
      <c r="AC71" s="5">
        <v>48251</v>
      </c>
    </row>
    <row r="72" spans="3:30" x14ac:dyDescent="0.4">
      <c r="C72" s="5">
        <f>66.07-3.11</f>
        <v>62.959999999999994</v>
      </c>
      <c r="D72" s="1418" t="s">
        <v>769</v>
      </c>
      <c r="E72" s="134">
        <f>J79/100</f>
        <v>1.4432</v>
      </c>
      <c r="F72" s="134">
        <f>K79/100</f>
        <v>1.5466</v>
      </c>
      <c r="H72" s="1263"/>
      <c r="I72" s="1263"/>
      <c r="J72" s="85"/>
      <c r="K72" s="134"/>
      <c r="L72" s="1217"/>
      <c r="N72" s="5">
        <v>8209935</v>
      </c>
      <c r="S72" s="9" t="s">
        <v>784</v>
      </c>
      <c r="T72" s="9">
        <f>SUM(T67:T71)</f>
        <v>161415</v>
      </c>
      <c r="U72" s="9">
        <f>SUM(U67:U71)</f>
        <v>3466395</v>
      </c>
      <c r="V72" s="26"/>
      <c r="W72" s="9">
        <f>SUM(W67:W71)</f>
        <v>1092166</v>
      </c>
      <c r="X72" s="9">
        <f>SUM(X67:X71)</f>
        <v>109271263</v>
      </c>
      <c r="Y72" s="26"/>
      <c r="Z72" s="9">
        <f>SUM(Z67:Z71)</f>
        <v>0</v>
      </c>
      <c r="AA72" s="9">
        <f>SUM(AA67:AA71)</f>
        <v>0</v>
      </c>
      <c r="AB72" s="1262"/>
      <c r="AC72" s="41">
        <f>SUM(AC66:AC71)</f>
        <v>281573</v>
      </c>
    </row>
    <row r="73" spans="3:30" x14ac:dyDescent="0.4">
      <c r="D73" s="1418" t="s">
        <v>125</v>
      </c>
      <c r="E73" s="283">
        <f>J77/100</f>
        <v>8.3800000000000013E-2</v>
      </c>
      <c r="F73" s="283">
        <f>K77/100</f>
        <v>6.54E-2</v>
      </c>
      <c r="H73" s="1263"/>
      <c r="I73" s="1263"/>
      <c r="J73" s="283"/>
      <c r="K73" s="283"/>
      <c r="L73" s="1217"/>
      <c r="U73" s="1239"/>
      <c r="AB73" s="1239"/>
    </row>
    <row r="74" spans="3:30" ht="15.4" x14ac:dyDescent="0.45">
      <c r="D74" s="1418" t="s">
        <v>196</v>
      </c>
      <c r="E74" s="134">
        <f>H74/10000000</f>
        <v>0.21473900000000001</v>
      </c>
      <c r="F74" s="134">
        <f>I74/10000000</f>
        <v>0.21875600000000001</v>
      </c>
      <c r="H74" s="1578">
        <f>J152</f>
        <v>2147390</v>
      </c>
      <c r="I74" s="1578">
        <f>J115</f>
        <v>2187560</v>
      </c>
      <c r="J74" s="598"/>
      <c r="K74" s="210">
        <f>J116</f>
        <v>0</v>
      </c>
      <c r="L74" s="1217"/>
      <c r="M74" s="1210"/>
      <c r="N74" s="12"/>
      <c r="O74" s="1132">
        <v>0.41666666666666669</v>
      </c>
      <c r="P74" s="1132">
        <v>0.61805555555555558</v>
      </c>
      <c r="Q74" s="1132">
        <f>P74-O74</f>
        <v>0.2013888888888889</v>
      </c>
      <c r="X74" s="5"/>
    </row>
    <row r="75" spans="3:30" ht="15.4" x14ac:dyDescent="0.45">
      <c r="D75" s="1418" t="s">
        <v>123</v>
      </c>
      <c r="E75" s="425">
        <f>H75</f>
        <v>4.6504799999999999E-2</v>
      </c>
      <c r="F75" s="425">
        <f>I75</f>
        <v>0</v>
      </c>
      <c r="H75" s="1372">
        <f>J75/10000000</f>
        <v>4.6504799999999999E-2</v>
      </c>
      <c r="I75" s="1372">
        <f>K75/10000000</f>
        <v>0</v>
      </c>
      <c r="J75" s="210">
        <f>L152</f>
        <v>465048</v>
      </c>
      <c r="K75" s="1498">
        <f>L115</f>
        <v>0</v>
      </c>
    </row>
    <row r="76" spans="3:30" ht="15.4" x14ac:dyDescent="0.45">
      <c r="D76" s="1418" t="s">
        <v>435</v>
      </c>
      <c r="E76" s="134">
        <f>H76/10000000</f>
        <v>3.0367168000000002</v>
      </c>
      <c r="F76" s="134">
        <f>I76/10000000</f>
        <v>3.5018699999999998</v>
      </c>
      <c r="H76" s="1578">
        <f>K152</f>
        <v>30367168</v>
      </c>
      <c r="I76" s="1578">
        <f>K115</f>
        <v>35018700</v>
      </c>
      <c r="J76" s="1498"/>
      <c r="K76" s="1499"/>
      <c r="N76" s="755"/>
    </row>
    <row r="77" spans="3:30" x14ac:dyDescent="0.4">
      <c r="D77" s="1417" t="s">
        <v>266</v>
      </c>
      <c r="E77" s="134">
        <f>H77/10000000</f>
        <v>0</v>
      </c>
      <c r="F77" s="134">
        <f>I77/10000000</f>
        <v>0</v>
      </c>
      <c r="H77" s="1224"/>
      <c r="I77" s="1224"/>
      <c r="J77" s="85">
        <v>8.3800000000000008</v>
      </c>
      <c r="K77" s="134">
        <v>6.54</v>
      </c>
    </row>
    <row r="78" spans="3:30" x14ac:dyDescent="0.4">
      <c r="E78" s="428"/>
      <c r="F78" s="428"/>
      <c r="J78" s="85">
        <v>152.69999999999999</v>
      </c>
      <c r="K78" s="85">
        <v>161.19999999999999</v>
      </c>
      <c r="L78" s="172">
        <f>J77/100</f>
        <v>8.3800000000000013E-2</v>
      </c>
    </row>
    <row r="79" spans="3:30" x14ac:dyDescent="0.4">
      <c r="E79" s="428"/>
      <c r="F79" s="428"/>
      <c r="J79" s="85">
        <f>J78-J77</f>
        <v>144.32</v>
      </c>
      <c r="K79" s="134">
        <f>K78-K77</f>
        <v>154.66</v>
      </c>
    </row>
    <row r="80" spans="3:30" x14ac:dyDescent="0.4">
      <c r="E80" s="428"/>
      <c r="F80" s="428"/>
      <c r="L80" s="172">
        <f>J79/100</f>
        <v>1.4432</v>
      </c>
    </row>
    <row r="81" spans="3:21" x14ac:dyDescent="0.4">
      <c r="C81" s="9"/>
      <c r="D81" s="235" t="s">
        <v>164</v>
      </c>
      <c r="E81" s="265" t="s">
        <v>710</v>
      </c>
      <c r="F81" s="29" t="s">
        <v>164</v>
      </c>
      <c r="G81" s="265" t="s">
        <v>710</v>
      </c>
      <c r="H81" s="29" t="s">
        <v>164</v>
      </c>
      <c r="I81" s="265" t="s">
        <v>710</v>
      </c>
      <c r="J81" s="29"/>
      <c r="K81" s="29"/>
      <c r="L81" s="1596"/>
    </row>
    <row r="82" spans="3:21" x14ac:dyDescent="0.4">
      <c r="C82" s="9"/>
      <c r="D82" s="235">
        <v>23</v>
      </c>
      <c r="E82" s="29">
        <v>23</v>
      </c>
      <c r="F82" s="29">
        <v>23</v>
      </c>
      <c r="G82" s="29">
        <v>23</v>
      </c>
      <c r="H82" s="29">
        <v>23</v>
      </c>
      <c r="I82" s="29">
        <v>23</v>
      </c>
      <c r="J82" s="29" t="s">
        <v>196</v>
      </c>
      <c r="K82" s="780">
        <v>23</v>
      </c>
      <c r="L82" s="1596"/>
    </row>
    <row r="83" spans="3:21" x14ac:dyDescent="0.4">
      <c r="C83" s="9"/>
      <c r="D83" s="1939" t="s">
        <v>795</v>
      </c>
      <c r="E83" s="1939"/>
      <c r="F83" s="1939" t="s">
        <v>796</v>
      </c>
      <c r="G83" s="1939"/>
      <c r="H83" s="1939" t="s">
        <v>797</v>
      </c>
      <c r="I83" s="1939"/>
      <c r="J83" s="29">
        <v>23</v>
      </c>
      <c r="K83" s="9" t="s">
        <v>882</v>
      </c>
      <c r="L83" s="1596" t="s">
        <v>123</v>
      </c>
      <c r="O83" s="5" t="s">
        <v>195</v>
      </c>
      <c r="P83" s="5" t="s">
        <v>227</v>
      </c>
    </row>
    <row r="84" spans="3:21" ht="15.4" x14ac:dyDescent="0.45">
      <c r="C84" s="1239">
        <v>45323</v>
      </c>
      <c r="D84" s="1449"/>
      <c r="E84" s="476"/>
      <c r="F84" s="7"/>
      <c r="G84" s="7"/>
      <c r="H84" s="1453"/>
      <c r="I84" s="828"/>
      <c r="J84" s="85"/>
      <c r="K84" s="828"/>
      <c r="L84" s="1297"/>
      <c r="N84" s="378" t="s">
        <v>27</v>
      </c>
      <c r="O84" s="1449"/>
      <c r="P84" s="476">
        <v>905484</v>
      </c>
      <c r="Q84" s="27">
        <f>P84/10000000</f>
        <v>9.0548400000000001E-2</v>
      </c>
      <c r="R84" s="7"/>
      <c r="S84" s="1453"/>
      <c r="T84" s="828"/>
      <c r="U84" s="85"/>
    </row>
    <row r="85" spans="3:21" x14ac:dyDescent="0.4">
      <c r="C85" s="1239">
        <v>45324</v>
      </c>
      <c r="D85" s="1451"/>
      <c r="E85" s="476"/>
      <c r="F85" s="7"/>
      <c r="G85" s="7"/>
      <c r="H85" s="7"/>
      <c r="I85" s="210"/>
      <c r="J85" s="210"/>
      <c r="K85" s="85"/>
      <c r="L85" s="1297"/>
      <c r="N85" s="378" t="s">
        <v>28</v>
      </c>
      <c r="O85" s="1451"/>
      <c r="P85" s="476">
        <v>358386</v>
      </c>
      <c r="Q85" s="27">
        <f t="shared" ref="Q85:Q86" si="17">P85/10000000</f>
        <v>3.5838599999999998E-2</v>
      </c>
      <c r="R85" s="7"/>
      <c r="S85" s="224"/>
      <c r="T85" s="1576"/>
      <c r="U85" s="1576"/>
    </row>
    <row r="86" spans="3:21" x14ac:dyDescent="0.4">
      <c r="C86" s="1239">
        <v>45325</v>
      </c>
      <c r="D86" s="1451"/>
      <c r="E86" s="476"/>
      <c r="F86" s="7"/>
      <c r="G86" s="7"/>
      <c r="H86" s="7"/>
      <c r="I86" s="210"/>
      <c r="J86" s="210"/>
      <c r="K86" s="85"/>
      <c r="L86" s="1297"/>
      <c r="N86" s="378" t="s">
        <v>224</v>
      </c>
      <c r="O86" s="1451"/>
      <c r="P86" s="476">
        <v>1459000</v>
      </c>
      <c r="Q86" s="27">
        <f t="shared" si="17"/>
        <v>0.1459</v>
      </c>
      <c r="R86" s="7"/>
      <c r="S86" s="7"/>
      <c r="T86" s="210"/>
      <c r="U86" s="210"/>
    </row>
    <row r="87" spans="3:21" ht="15.75" thickBot="1" x14ac:dyDescent="0.5">
      <c r="C87" s="1239">
        <v>45326</v>
      </c>
      <c r="D87" s="1451"/>
      <c r="E87" s="476"/>
      <c r="F87" s="7"/>
      <c r="G87" s="7"/>
      <c r="H87" s="755"/>
      <c r="I87" s="910"/>
      <c r="J87" s="210"/>
      <c r="K87" s="755"/>
      <c r="L87" s="755"/>
      <c r="N87" s="378" t="s">
        <v>30</v>
      </c>
      <c r="O87" s="1451"/>
      <c r="P87" s="476"/>
      <c r="Q87" s="7"/>
      <c r="R87" s="7"/>
      <c r="S87" s="7"/>
      <c r="T87" s="210"/>
      <c r="U87" s="210"/>
    </row>
    <row r="88" spans="3:21" ht="15.4" x14ac:dyDescent="0.45">
      <c r="C88" s="1239">
        <v>45327</v>
      </c>
      <c r="D88" s="1451"/>
      <c r="E88" s="476"/>
      <c r="F88" s="7"/>
      <c r="G88" s="7"/>
      <c r="H88" s="1255"/>
      <c r="I88" s="828"/>
      <c r="J88" s="210"/>
      <c r="K88" s="828"/>
      <c r="L88" s="1297"/>
      <c r="N88" s="378" t="s">
        <v>4</v>
      </c>
      <c r="O88" s="1451"/>
      <c r="P88" s="476"/>
      <c r="Q88" s="7"/>
      <c r="R88" s="7"/>
      <c r="S88" s="7"/>
      <c r="T88" s="210"/>
      <c r="U88" s="210"/>
    </row>
    <row r="89" spans="3:21" ht="15.75" thickBot="1" x14ac:dyDescent="0.5">
      <c r="C89" s="1239">
        <v>45328</v>
      </c>
      <c r="D89" s="1451"/>
      <c r="E89" s="476"/>
      <c r="F89" s="6"/>
      <c r="G89" s="6"/>
      <c r="H89" s="1255"/>
      <c r="I89" s="828"/>
      <c r="J89" s="210"/>
      <c r="K89" s="828"/>
      <c r="L89" s="1297"/>
      <c r="O89" s="1451"/>
      <c r="P89" s="476"/>
      <c r="Q89" s="6"/>
      <c r="R89" s="6"/>
      <c r="S89" s="824"/>
      <c r="T89" s="755"/>
      <c r="U89" s="210"/>
    </row>
    <row r="90" spans="3:21" ht="15.4" x14ac:dyDescent="0.45">
      <c r="C90" s="1239">
        <v>45329</v>
      </c>
      <c r="D90" s="1451"/>
      <c r="E90" s="476"/>
      <c r="F90" s="6"/>
      <c r="G90" s="6"/>
      <c r="H90" s="828"/>
      <c r="I90" s="828"/>
      <c r="J90" s="85"/>
      <c r="K90" s="828"/>
      <c r="L90" s="1297"/>
    </row>
    <row r="91" spans="3:21" x14ac:dyDescent="0.4">
      <c r="C91" s="1239">
        <v>45330</v>
      </c>
      <c r="D91" s="1451"/>
      <c r="E91" s="476"/>
      <c r="F91" s="6"/>
      <c r="G91" s="6"/>
      <c r="H91" s="31"/>
      <c r="I91" s="79"/>
      <c r="J91" s="85"/>
      <c r="K91" s="85"/>
      <c r="L91" s="85"/>
    </row>
    <row r="92" spans="3:21" x14ac:dyDescent="0.4">
      <c r="C92" s="1239">
        <v>45331</v>
      </c>
      <c r="D92" s="1451"/>
      <c r="E92" s="476"/>
      <c r="F92" s="6"/>
      <c r="G92" s="6"/>
      <c r="H92" s="31"/>
      <c r="I92" s="79"/>
      <c r="J92" s="85"/>
      <c r="K92" s="85"/>
      <c r="L92" s="1594"/>
    </row>
    <row r="93" spans="3:21" ht="15.75" thickBot="1" x14ac:dyDescent="0.5">
      <c r="C93" s="1239">
        <v>45332</v>
      </c>
      <c r="D93" s="1451">
        <v>656222</v>
      </c>
      <c r="E93" s="476">
        <v>3804796</v>
      </c>
      <c r="F93" s="6">
        <v>588941</v>
      </c>
      <c r="G93" s="6">
        <v>56742441</v>
      </c>
      <c r="H93" s="824">
        <v>403478</v>
      </c>
      <c r="I93" s="755">
        <v>298109659</v>
      </c>
      <c r="J93" s="85">
        <v>843920</v>
      </c>
      <c r="K93" s="755">
        <v>13921725</v>
      </c>
      <c r="L93" s="1297"/>
      <c r="O93" s="41"/>
      <c r="P93" s="41"/>
      <c r="Q93" s="41"/>
      <c r="R93" s="41"/>
    </row>
    <row r="94" spans="3:21" ht="15.4" x14ac:dyDescent="0.45">
      <c r="C94" s="1239">
        <v>45333</v>
      </c>
      <c r="D94" s="1451"/>
      <c r="E94" s="476"/>
      <c r="F94" s="6"/>
      <c r="G94" s="6"/>
      <c r="H94" s="1255"/>
      <c r="I94" s="1255"/>
      <c r="J94" s="1593"/>
      <c r="K94" s="755"/>
      <c r="L94" s="1297"/>
      <c r="O94" s="41">
        <f>D103+F103</f>
        <v>140622</v>
      </c>
      <c r="P94" s="41">
        <f>E103+G103</f>
        <v>6696112</v>
      </c>
      <c r="Q94" s="5">
        <f>H103</f>
        <v>0</v>
      </c>
      <c r="R94" s="5">
        <f>I103</f>
        <v>0</v>
      </c>
    </row>
    <row r="95" spans="3:21" ht="15.4" x14ac:dyDescent="0.45">
      <c r="C95" s="1239">
        <v>45334</v>
      </c>
      <c r="D95" s="1451"/>
      <c r="E95" s="476"/>
      <c r="F95" s="6"/>
      <c r="G95" s="6"/>
      <c r="H95" s="828"/>
      <c r="I95" s="828"/>
      <c r="J95" s="1593"/>
      <c r="K95" s="1488"/>
      <c r="L95" s="1297"/>
      <c r="O95" s="41">
        <f>D116+F116</f>
        <v>0</v>
      </c>
      <c r="P95" s="41">
        <f>E116+G116</f>
        <v>0</v>
      </c>
      <c r="Q95" s="41">
        <f>H116</f>
        <v>0</v>
      </c>
      <c r="R95" s="41">
        <f>I116</f>
        <v>0</v>
      </c>
    </row>
    <row r="96" spans="3:21" x14ac:dyDescent="0.4">
      <c r="C96" s="1239">
        <v>45335</v>
      </c>
      <c r="D96" s="1451"/>
      <c r="E96" s="476"/>
      <c r="F96" s="6"/>
      <c r="G96" s="6"/>
      <c r="H96" s="1255"/>
      <c r="I96" s="1255"/>
      <c r="J96" s="1593"/>
      <c r="K96" s="1488"/>
      <c r="L96" s="1297"/>
    </row>
    <row r="97" spans="3:21" ht="15.75" thickBot="1" x14ac:dyDescent="0.5">
      <c r="C97" s="1239">
        <v>45336</v>
      </c>
      <c r="D97" s="1451"/>
      <c r="E97" s="476"/>
      <c r="F97" s="6"/>
      <c r="G97" s="6"/>
      <c r="H97" s="824"/>
      <c r="I97" s="824"/>
      <c r="J97" s="1593"/>
      <c r="K97" s="755"/>
      <c r="L97" s="1297"/>
      <c r="O97" s="1599">
        <v>52681</v>
      </c>
      <c r="P97" s="1600">
        <v>314216</v>
      </c>
      <c r="Q97" s="224">
        <v>47645</v>
      </c>
      <c r="R97" s="224">
        <v>4894612</v>
      </c>
      <c r="S97" s="1601"/>
      <c r="T97" s="1602"/>
      <c r="U97" s="1575">
        <v>84820</v>
      </c>
    </row>
    <row r="98" spans="3:21" ht="15.4" x14ac:dyDescent="0.45">
      <c r="C98" s="1239">
        <v>45337</v>
      </c>
      <c r="D98" s="1451"/>
      <c r="E98" s="476"/>
      <c r="F98" s="6"/>
      <c r="G98" s="6"/>
      <c r="H98" s="828"/>
      <c r="I98" s="828"/>
      <c r="J98" s="85"/>
      <c r="K98" s="1255"/>
      <c r="L98" s="1297"/>
      <c r="O98" s="1451">
        <v>53821</v>
      </c>
      <c r="P98" s="476">
        <v>323700</v>
      </c>
      <c r="Q98" s="7">
        <v>47979</v>
      </c>
      <c r="R98" s="7">
        <v>4746125</v>
      </c>
      <c r="S98" s="224"/>
      <c r="T98" s="1576"/>
      <c r="U98" s="1576">
        <v>82840</v>
      </c>
    </row>
    <row r="99" spans="3:21" ht="15.4" x14ac:dyDescent="0.45">
      <c r="C99" s="1239">
        <v>45338</v>
      </c>
      <c r="D99" s="1451"/>
      <c r="E99" s="476"/>
      <c r="F99" s="6"/>
      <c r="G99" s="6"/>
      <c r="H99" s="828"/>
      <c r="I99" s="1453"/>
      <c r="J99" s="85"/>
      <c r="K99" s="85"/>
      <c r="L99" s="1297"/>
      <c r="O99" s="1451">
        <v>56005</v>
      </c>
      <c r="P99" s="476">
        <v>337697</v>
      </c>
      <c r="Q99" s="7">
        <v>49409</v>
      </c>
      <c r="R99" s="7">
        <v>5129181</v>
      </c>
      <c r="S99" s="7"/>
      <c r="T99" s="210"/>
      <c r="U99" s="210">
        <v>78420</v>
      </c>
    </row>
    <row r="100" spans="3:21" ht="15.4" x14ac:dyDescent="0.45">
      <c r="C100" s="1239">
        <v>45339</v>
      </c>
      <c r="D100" s="1451"/>
      <c r="E100" s="476"/>
      <c r="F100" s="6"/>
      <c r="G100" s="6"/>
      <c r="H100" s="1255"/>
      <c r="I100" s="828"/>
      <c r="J100" s="85"/>
      <c r="K100" s="828"/>
      <c r="L100" s="1297"/>
      <c r="O100" s="1451">
        <v>52127</v>
      </c>
      <c r="P100" s="476">
        <v>353318</v>
      </c>
      <c r="Q100" s="7">
        <v>54219</v>
      </c>
      <c r="R100" s="7">
        <v>5651697</v>
      </c>
      <c r="S100" s="7"/>
      <c r="T100" s="210"/>
      <c r="U100" s="210">
        <v>88230</v>
      </c>
    </row>
    <row r="101" spans="3:21" ht="15.75" thickBot="1" x14ac:dyDescent="0.5">
      <c r="C101" s="1239">
        <v>45340</v>
      </c>
      <c r="D101" s="1451"/>
      <c r="E101" s="476"/>
      <c r="F101" s="6"/>
      <c r="G101" s="6"/>
      <c r="H101" s="1255"/>
      <c r="I101" s="828"/>
      <c r="J101" s="85"/>
      <c r="K101" s="828"/>
      <c r="L101" s="1297"/>
      <c r="O101" s="1451">
        <v>48621</v>
      </c>
      <c r="P101" s="476">
        <v>364051</v>
      </c>
      <c r="Q101" s="7">
        <v>54944</v>
      </c>
      <c r="R101" s="7">
        <v>6404635</v>
      </c>
      <c r="S101" s="824"/>
      <c r="T101" s="755"/>
      <c r="U101" s="1604">
        <v>104850</v>
      </c>
    </row>
    <row r="102" spans="3:21" ht="15.4" x14ac:dyDescent="0.45">
      <c r="C102" s="1239">
        <v>45341</v>
      </c>
      <c r="D102" s="1407">
        <v>497046</v>
      </c>
      <c r="E102" s="476">
        <v>3145959</v>
      </c>
      <c r="F102" s="6">
        <v>541674</v>
      </c>
      <c r="G102" s="6">
        <v>60417724</v>
      </c>
      <c r="H102" s="755">
        <v>338867</v>
      </c>
      <c r="I102" s="755">
        <v>266610321</v>
      </c>
      <c r="J102" s="85">
        <v>821350</v>
      </c>
      <c r="K102" s="755">
        <v>13096970</v>
      </c>
      <c r="L102" s="1297"/>
    </row>
    <row r="103" spans="3:21" ht="15.4" x14ac:dyDescent="0.45">
      <c r="C103" s="1239">
        <v>45342</v>
      </c>
      <c r="D103" s="1451">
        <v>74922</v>
      </c>
      <c r="E103" s="210">
        <v>421179</v>
      </c>
      <c r="F103" s="7">
        <v>65700</v>
      </c>
      <c r="G103" s="7">
        <v>6274933</v>
      </c>
      <c r="H103" s="1255"/>
      <c r="I103" s="828"/>
      <c r="J103" s="85">
        <v>93580</v>
      </c>
      <c r="K103" s="828"/>
      <c r="L103" s="1297"/>
    </row>
    <row r="104" spans="3:21" ht="15.75" thickBot="1" x14ac:dyDescent="0.5">
      <c r="C104" s="1239">
        <v>45343</v>
      </c>
      <c r="D104" s="1478">
        <v>64968</v>
      </c>
      <c r="E104" s="1479">
        <v>403107</v>
      </c>
      <c r="F104" s="1603">
        <v>54257</v>
      </c>
      <c r="G104" s="1603">
        <v>5667010</v>
      </c>
      <c r="H104" s="1255"/>
      <c r="I104" s="828"/>
      <c r="J104" s="85">
        <v>83350</v>
      </c>
      <c r="K104" s="824"/>
      <c r="L104" s="1297"/>
      <c r="O104" s="1449">
        <v>87082</v>
      </c>
      <c r="P104" s="476">
        <v>455322</v>
      </c>
      <c r="Q104" s="6"/>
      <c r="R104" s="6"/>
      <c r="S104" s="755"/>
      <c r="T104" s="755"/>
      <c r="U104" s="85">
        <v>97840</v>
      </c>
    </row>
    <row r="105" spans="3:21" ht="15.4" x14ac:dyDescent="0.45">
      <c r="C105" s="1239">
        <v>45344</v>
      </c>
      <c r="D105" s="1451">
        <v>65366</v>
      </c>
      <c r="E105" s="476">
        <v>358609</v>
      </c>
      <c r="F105" s="85">
        <v>52533</v>
      </c>
      <c r="G105" s="85">
        <v>5361524</v>
      </c>
      <c r="H105" s="828"/>
      <c r="I105" s="1255"/>
      <c r="J105" s="85">
        <v>81810</v>
      </c>
      <c r="K105" s="828"/>
      <c r="L105" s="1297"/>
      <c r="O105" s="1451">
        <v>71382</v>
      </c>
      <c r="P105" s="476">
        <v>391850</v>
      </c>
      <c r="Q105" s="6"/>
      <c r="R105" s="6"/>
      <c r="S105" s="31"/>
      <c r="T105" s="79"/>
      <c r="U105" s="85">
        <v>89880</v>
      </c>
    </row>
    <row r="106" spans="3:21" x14ac:dyDescent="0.4">
      <c r="C106" s="1239">
        <v>45345</v>
      </c>
      <c r="D106" s="1451">
        <v>58199</v>
      </c>
      <c r="E106" s="476">
        <v>338439</v>
      </c>
      <c r="F106" s="476">
        <v>59988</v>
      </c>
      <c r="G106" s="85">
        <v>5707328</v>
      </c>
      <c r="H106" s="31"/>
      <c r="I106" s="79"/>
      <c r="J106" s="85">
        <v>75030</v>
      </c>
      <c r="K106" s="85"/>
      <c r="L106" s="1297"/>
      <c r="O106" s="1451">
        <v>72756</v>
      </c>
      <c r="P106" s="476">
        <v>386616</v>
      </c>
      <c r="Q106" s="6"/>
      <c r="R106" s="6"/>
      <c r="S106" s="31"/>
      <c r="T106" s="79"/>
      <c r="U106" s="85">
        <v>91220</v>
      </c>
    </row>
    <row r="107" spans="3:21" ht="15.4" x14ac:dyDescent="0.45">
      <c r="C107" s="1239">
        <v>45346</v>
      </c>
      <c r="D107" s="1451">
        <v>46375</v>
      </c>
      <c r="E107" s="476">
        <v>355138</v>
      </c>
      <c r="F107" s="85">
        <v>57880</v>
      </c>
      <c r="G107" s="85">
        <v>5947268</v>
      </c>
      <c r="H107" s="1255"/>
      <c r="I107" s="828"/>
      <c r="J107" s="85">
        <v>90110</v>
      </c>
      <c r="K107" s="828"/>
      <c r="L107" s="1297"/>
      <c r="O107" s="1451">
        <v>57734</v>
      </c>
      <c r="P107" s="476">
        <v>327554</v>
      </c>
      <c r="Q107" s="6"/>
      <c r="R107" s="6"/>
      <c r="S107" s="31"/>
      <c r="T107" s="79"/>
      <c r="U107" s="85">
        <v>83100</v>
      </c>
    </row>
    <row r="108" spans="3:21" ht="15.75" thickBot="1" x14ac:dyDescent="0.5">
      <c r="C108" s="1239">
        <v>45347</v>
      </c>
      <c r="D108" s="1454">
        <v>36486</v>
      </c>
      <c r="E108" s="1243">
        <v>287935</v>
      </c>
      <c r="F108" s="1243">
        <v>56296</v>
      </c>
      <c r="G108" s="1243">
        <v>5962372</v>
      </c>
      <c r="H108" s="910">
        <v>220991</v>
      </c>
      <c r="I108" s="824">
        <v>171456893</v>
      </c>
      <c r="J108" s="85">
        <v>98410</v>
      </c>
      <c r="K108" s="755">
        <v>8000005</v>
      </c>
      <c r="L108" s="1297"/>
      <c r="O108" s="1451">
        <v>51377</v>
      </c>
      <c r="P108" s="476">
        <v>343313</v>
      </c>
      <c r="Q108" s="6"/>
      <c r="R108" s="6"/>
      <c r="S108" s="824"/>
      <c r="T108" s="755"/>
      <c r="U108" s="85">
        <v>100280</v>
      </c>
    </row>
    <row r="109" spans="3:21" x14ac:dyDescent="0.4">
      <c r="C109" s="1239">
        <v>45348</v>
      </c>
      <c r="D109" s="1407"/>
      <c r="E109" s="476"/>
      <c r="F109" s="85"/>
      <c r="G109" s="85"/>
      <c r="H109" s="31"/>
      <c r="I109" s="79"/>
      <c r="J109" s="1243"/>
      <c r="K109" s="85"/>
      <c r="L109" s="1297"/>
    </row>
    <row r="110" spans="3:21" ht="15.4" x14ac:dyDescent="0.45">
      <c r="C110" s="1239">
        <v>45349</v>
      </c>
      <c r="D110" s="1407"/>
      <c r="E110" s="476"/>
      <c r="F110" s="85"/>
      <c r="G110" s="85"/>
      <c r="H110" s="1863"/>
      <c r="I110" s="1863"/>
      <c r="J110" s="85"/>
      <c r="K110" s="1863"/>
      <c r="L110" s="1297"/>
    </row>
    <row r="111" spans="3:21" ht="15.75" thickBot="1" x14ac:dyDescent="0.5">
      <c r="C111" s="1239">
        <v>45350</v>
      </c>
      <c r="D111" s="1407"/>
      <c r="E111" s="476"/>
      <c r="F111" s="85"/>
      <c r="G111" s="85"/>
      <c r="H111" s="824"/>
      <c r="I111" s="755"/>
      <c r="J111" s="85"/>
      <c r="K111" s="755"/>
      <c r="L111" s="1297"/>
    </row>
    <row r="112" spans="3:21" x14ac:dyDescent="0.4">
      <c r="C112" s="1239">
        <v>45351</v>
      </c>
      <c r="D112" s="1407"/>
      <c r="E112" s="476"/>
      <c r="F112" s="6"/>
      <c r="G112" s="6"/>
      <c r="H112" s="31"/>
      <c r="I112" s="79"/>
      <c r="J112" s="85"/>
      <c r="K112" s="85"/>
      <c r="L112" s="1297"/>
    </row>
    <row r="113" spans="1:40" x14ac:dyDescent="0.4">
      <c r="C113" s="1239"/>
      <c r="D113" s="1407"/>
      <c r="E113" s="476"/>
      <c r="F113" s="6"/>
      <c r="G113" s="6"/>
      <c r="H113" s="1255"/>
      <c r="I113" s="1255"/>
      <c r="J113" s="85"/>
      <c r="K113" s="1255"/>
      <c r="L113" s="1297"/>
    </row>
    <row r="114" spans="1:40" x14ac:dyDescent="0.4">
      <c r="C114" s="1239"/>
      <c r="D114" s="1407"/>
      <c r="E114" s="33"/>
      <c r="F114" s="6"/>
      <c r="G114" s="6"/>
      <c r="H114" s="31"/>
      <c r="I114" s="79"/>
      <c r="J114" s="85"/>
      <c r="K114" s="85"/>
      <c r="L114" s="1297"/>
    </row>
    <row r="115" spans="1:40" ht="13.9" x14ac:dyDescent="0.35">
      <c r="C115" s="1239" t="s">
        <v>548</v>
      </c>
      <c r="D115" s="1462">
        <f>SUM(D84:D114)</f>
        <v>1499584</v>
      </c>
      <c r="E115" s="1462">
        <f t="shared" ref="E115:K115" si="18">SUM(E84:E114)</f>
        <v>9115162</v>
      </c>
      <c r="F115" s="1462">
        <f t="shared" si="18"/>
        <v>1477269</v>
      </c>
      <c r="G115" s="1462">
        <f>SUM(G84:G114)</f>
        <v>152080600</v>
      </c>
      <c r="H115" s="1462">
        <f>SUM(H84:H114)</f>
        <v>963336</v>
      </c>
      <c r="I115" s="1462">
        <f>SUM(I84:I114)</f>
        <v>736176873</v>
      </c>
      <c r="J115" s="1462">
        <f>SUM(J84:J114)</f>
        <v>2187560</v>
      </c>
      <c r="K115" s="1462">
        <f t="shared" si="18"/>
        <v>35018700</v>
      </c>
      <c r="L115" s="1462">
        <f>SUM(L84:L114)</f>
        <v>0</v>
      </c>
      <c r="M115" s="1462">
        <f t="shared" ref="M115" si="19">SUM(M84:M114)</f>
        <v>0</v>
      </c>
      <c r="P115" s="41">
        <f>E115+G115</f>
        <v>161195762</v>
      </c>
    </row>
    <row r="116" spans="1:40" ht="15.4" x14ac:dyDescent="0.45">
      <c r="C116" s="1239"/>
      <c r="D116" s="1454"/>
      <c r="E116" s="1243"/>
      <c r="F116" s="1243"/>
      <c r="G116" s="1243"/>
      <c r="H116" s="755"/>
      <c r="I116" s="1228"/>
      <c r="J116" s="85"/>
      <c r="K116" s="755"/>
    </row>
    <row r="117" spans="1:40" x14ac:dyDescent="0.4">
      <c r="L117" s="1297"/>
      <c r="AJ117" s="172"/>
      <c r="AK117" s="172"/>
      <c r="AL117" s="172"/>
      <c r="AM117" s="172"/>
      <c r="AN117" s="172"/>
    </row>
    <row r="118" spans="1:40" s="172" customFormat="1" x14ac:dyDescent="0.4">
      <c r="A118" s="1235"/>
      <c r="B118" s="300"/>
      <c r="C118" s="9"/>
      <c r="D118" s="235" t="s">
        <v>164</v>
      </c>
      <c r="E118" s="265" t="s">
        <v>710</v>
      </c>
      <c r="F118" s="29" t="s">
        <v>164</v>
      </c>
      <c r="G118" s="265" t="s">
        <v>710</v>
      </c>
      <c r="H118" s="29" t="s">
        <v>164</v>
      </c>
      <c r="I118" s="265" t="s">
        <v>710</v>
      </c>
      <c r="J118" s="29" t="s">
        <v>196</v>
      </c>
      <c r="K118" s="1592"/>
      <c r="L118" s="1596" t="s">
        <v>123</v>
      </c>
      <c r="M118" s="1209"/>
      <c r="N118" s="5"/>
      <c r="O118" s="5"/>
      <c r="P118" s="5"/>
      <c r="Q118" s="5"/>
      <c r="R118" s="5"/>
      <c r="S118" s="5"/>
      <c r="T118" s="5"/>
      <c r="U118" s="5"/>
      <c r="V118" s="5"/>
      <c r="W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40" s="172" customFormat="1" x14ac:dyDescent="0.4">
      <c r="A119" s="1235"/>
      <c r="B119" s="300"/>
      <c r="C119" s="9"/>
      <c r="D119" s="235">
        <v>22</v>
      </c>
      <c r="E119" s="29">
        <v>22</v>
      </c>
      <c r="F119" s="29">
        <v>22</v>
      </c>
      <c r="G119" s="29">
        <v>22</v>
      </c>
      <c r="H119" s="29">
        <v>22</v>
      </c>
      <c r="I119" s="29">
        <v>22</v>
      </c>
      <c r="J119" s="29">
        <v>22</v>
      </c>
      <c r="K119" s="1597">
        <v>22</v>
      </c>
      <c r="L119" s="1596"/>
      <c r="M119" s="1209"/>
      <c r="N119" s="5"/>
      <c r="O119" s="5"/>
      <c r="P119" s="5"/>
      <c r="Q119" s="5"/>
      <c r="R119" s="5"/>
      <c r="S119" s="5"/>
      <c r="T119" s="5"/>
      <c r="U119" s="5"/>
      <c r="V119" s="5"/>
      <c r="W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40" s="172" customFormat="1" x14ac:dyDescent="0.4">
      <c r="A120" s="1235"/>
      <c r="B120" s="300"/>
      <c r="C120" s="9"/>
      <c r="D120" s="1939" t="s">
        <v>795</v>
      </c>
      <c r="E120" s="1939"/>
      <c r="F120" s="1939" t="s">
        <v>796</v>
      </c>
      <c r="G120" s="1939"/>
      <c r="H120" s="1939" t="s">
        <v>797</v>
      </c>
      <c r="I120" s="1939"/>
      <c r="J120" s="9" t="s">
        <v>196</v>
      </c>
      <c r="K120" s="1598" t="s">
        <v>435</v>
      </c>
      <c r="L120" s="1596"/>
      <c r="M120" s="1209"/>
      <c r="N120" s="5"/>
      <c r="O120" s="5"/>
      <c r="P120" s="5"/>
      <c r="Q120" s="5"/>
      <c r="R120" s="5"/>
      <c r="S120" s="5"/>
      <c r="T120" s="5"/>
      <c r="U120" s="5"/>
      <c r="V120" s="5"/>
      <c r="W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40" s="172" customFormat="1" ht="15.4" x14ac:dyDescent="0.45">
      <c r="A121" s="1235"/>
      <c r="B121" s="300"/>
      <c r="C121" s="1261">
        <v>44958</v>
      </c>
      <c r="D121" s="1449"/>
      <c r="E121" s="476"/>
      <c r="F121" s="6"/>
      <c r="G121" s="6"/>
      <c r="H121" s="755"/>
      <c r="I121" s="755"/>
      <c r="J121" s="85"/>
      <c r="K121" s="1255"/>
      <c r="L121" s="1297"/>
      <c r="M121" s="1209"/>
      <c r="N121" s="5"/>
      <c r="O121" s="1449">
        <v>64100</v>
      </c>
      <c r="P121" s="476">
        <v>352606</v>
      </c>
      <c r="Q121" s="6">
        <v>50287</v>
      </c>
      <c r="R121" s="6">
        <v>3243776</v>
      </c>
      <c r="S121" s="755"/>
      <c r="T121" s="755"/>
      <c r="U121" s="85">
        <v>72390</v>
      </c>
      <c r="V121" s="5"/>
      <c r="W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40" s="172" customFormat="1" x14ac:dyDescent="0.4">
      <c r="A122" s="1235"/>
      <c r="B122" s="300"/>
      <c r="C122" s="1261">
        <v>44959</v>
      </c>
      <c r="D122" s="1451"/>
      <c r="E122" s="476"/>
      <c r="F122" s="6"/>
      <c r="G122" s="6"/>
      <c r="H122" s="31"/>
      <c r="I122" s="79"/>
      <c r="J122" s="85"/>
      <c r="K122" s="85"/>
      <c r="L122" s="1297"/>
      <c r="M122" s="1209"/>
      <c r="N122" s="5"/>
      <c r="O122" s="1451">
        <v>47455</v>
      </c>
      <c r="P122" s="476">
        <v>274841</v>
      </c>
      <c r="Q122" s="6">
        <v>37882</v>
      </c>
      <c r="R122" s="6">
        <v>2992313</v>
      </c>
      <c r="S122" s="31"/>
      <c r="T122" s="79"/>
      <c r="U122" s="85">
        <v>71700</v>
      </c>
      <c r="V122" s="5"/>
      <c r="W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40" s="172" customFormat="1" x14ac:dyDescent="0.4">
      <c r="A123" s="1235"/>
      <c r="B123" s="300"/>
      <c r="C123" s="1261">
        <v>44960</v>
      </c>
      <c r="D123" s="1451"/>
      <c r="E123" s="476"/>
      <c r="F123" s="6"/>
      <c r="G123" s="6"/>
      <c r="H123" s="31"/>
      <c r="I123" s="79"/>
      <c r="J123" s="85"/>
      <c r="K123" s="85"/>
      <c r="L123" s="1297"/>
      <c r="M123" s="1209"/>
      <c r="N123" s="5"/>
      <c r="O123" s="1451">
        <v>51343</v>
      </c>
      <c r="P123" s="476">
        <v>284320</v>
      </c>
      <c r="Q123" s="6">
        <v>35510</v>
      </c>
      <c r="R123" s="6">
        <v>2980113</v>
      </c>
      <c r="S123" s="31"/>
      <c r="T123" s="79"/>
      <c r="U123" s="85">
        <v>70770</v>
      </c>
      <c r="V123" s="5"/>
      <c r="W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40" s="172" customFormat="1" ht="15.75" thickBot="1" x14ac:dyDescent="0.5">
      <c r="A124" s="1235"/>
      <c r="B124" s="300"/>
      <c r="C124" s="1261">
        <v>44961</v>
      </c>
      <c r="D124" s="1451"/>
      <c r="E124" s="476"/>
      <c r="F124" s="6"/>
      <c r="G124" s="6"/>
      <c r="H124" s="755"/>
      <c r="I124" s="755"/>
      <c r="J124" s="85"/>
      <c r="K124" s="824"/>
      <c r="L124" s="1297"/>
      <c r="M124" s="1209"/>
      <c r="N124" s="5"/>
      <c r="O124" s="1451">
        <v>50716</v>
      </c>
      <c r="P124" s="476">
        <v>287532</v>
      </c>
      <c r="Q124" s="6">
        <v>39138</v>
      </c>
      <c r="R124" s="6">
        <v>2848582</v>
      </c>
      <c r="S124" s="31"/>
      <c r="T124" s="79"/>
      <c r="U124" s="85">
        <v>70340</v>
      </c>
      <c r="V124" s="5"/>
      <c r="W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40" s="172" customFormat="1" ht="15.75" thickBot="1" x14ac:dyDescent="0.5">
      <c r="A125" s="1235"/>
      <c r="B125" s="300"/>
      <c r="C125" s="1261">
        <v>44962</v>
      </c>
      <c r="D125" s="1451"/>
      <c r="E125" s="476"/>
      <c r="F125" s="6"/>
      <c r="G125" s="6"/>
      <c r="H125" s="824"/>
      <c r="I125" s="755"/>
      <c r="J125" s="85"/>
      <c r="K125" s="755"/>
      <c r="L125" s="1297"/>
      <c r="M125" s="1209"/>
      <c r="N125" s="5"/>
      <c r="O125" s="1451">
        <v>46074</v>
      </c>
      <c r="P125" s="476">
        <v>269365</v>
      </c>
      <c r="Q125" s="6">
        <v>35823</v>
      </c>
      <c r="R125" s="6">
        <v>3069600</v>
      </c>
      <c r="S125" s="31"/>
      <c r="T125" s="79"/>
      <c r="U125" s="85">
        <v>61840</v>
      </c>
      <c r="V125" s="5"/>
      <c r="W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40" s="172" customFormat="1" ht="15.75" thickBot="1" x14ac:dyDescent="0.5">
      <c r="A126" s="1235"/>
      <c r="B126" s="300"/>
      <c r="C126" s="1261">
        <v>44963</v>
      </c>
      <c r="D126" s="1451"/>
      <c r="E126" s="476"/>
      <c r="F126" s="6"/>
      <c r="G126" s="6"/>
      <c r="H126" s="1255"/>
      <c r="I126" s="828"/>
      <c r="J126" s="85"/>
      <c r="K126" s="1255"/>
      <c r="L126" s="1297"/>
      <c r="M126" s="1209"/>
      <c r="N126" s="5"/>
      <c r="O126" s="1451">
        <v>44550</v>
      </c>
      <c r="P126" s="476">
        <v>324802</v>
      </c>
      <c r="Q126" s="6">
        <v>36929</v>
      </c>
      <c r="R126" s="6">
        <v>3450395</v>
      </c>
      <c r="S126" s="824"/>
      <c r="T126" s="755"/>
      <c r="U126" s="85">
        <v>79260</v>
      </c>
      <c r="V126" s="5"/>
      <c r="W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40" s="172" customFormat="1" ht="15.75" thickBot="1" x14ac:dyDescent="0.5">
      <c r="A127" s="1235"/>
      <c r="B127" s="300"/>
      <c r="C127" s="1261">
        <v>44964</v>
      </c>
      <c r="D127" s="1451"/>
      <c r="E127" s="476"/>
      <c r="F127" s="6"/>
      <c r="G127" s="6"/>
      <c r="H127" s="824"/>
      <c r="I127" s="755"/>
      <c r="J127" s="85"/>
      <c r="K127" s="755"/>
      <c r="L127" s="1594"/>
      <c r="M127" s="1209"/>
      <c r="N127" s="5"/>
      <c r="O127" s="5"/>
      <c r="P127" s="5"/>
      <c r="Q127" s="5"/>
      <c r="R127" s="5"/>
      <c r="S127" s="5"/>
      <c r="T127" s="5"/>
      <c r="U127" s="5"/>
      <c r="V127" s="5"/>
      <c r="W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40" s="172" customFormat="1" x14ac:dyDescent="0.4">
      <c r="A128" s="1235"/>
      <c r="B128" s="300"/>
      <c r="C128" s="1261">
        <v>44965</v>
      </c>
      <c r="D128" s="1451"/>
      <c r="E128" s="476"/>
      <c r="F128" s="6"/>
      <c r="G128" s="6"/>
      <c r="H128" s="31"/>
      <c r="I128" s="79"/>
      <c r="J128" s="85"/>
      <c r="K128" s="85"/>
      <c r="L128" s="85"/>
      <c r="M128" s="1209"/>
      <c r="N128" s="5"/>
      <c r="O128" s="5"/>
      <c r="P128" s="5"/>
      <c r="Q128" s="5"/>
      <c r="R128" s="5"/>
      <c r="S128" s="5"/>
      <c r="T128" s="5"/>
      <c r="U128" s="5"/>
      <c r="V128" s="5"/>
      <c r="W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s="172" customFormat="1" x14ac:dyDescent="0.4">
      <c r="A129" s="1235"/>
      <c r="B129" s="300"/>
      <c r="C129" s="1261">
        <v>44966</v>
      </c>
      <c r="D129" s="1451"/>
      <c r="E129" s="476"/>
      <c r="F129" s="6"/>
      <c r="G129" s="6"/>
      <c r="H129" s="31"/>
      <c r="I129" s="79"/>
      <c r="J129" s="85"/>
      <c r="K129" s="85"/>
      <c r="L129" s="1594"/>
      <c r="M129" s="1209"/>
      <c r="N129" s="5"/>
      <c r="O129" s="5"/>
      <c r="P129" s="5"/>
      <c r="Q129" s="5"/>
      <c r="R129" s="5"/>
      <c r="S129" s="5"/>
      <c r="T129" s="5"/>
      <c r="U129" s="5"/>
      <c r="V129" s="5"/>
      <c r="W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s="172" customFormat="1" ht="15.75" thickBot="1" x14ac:dyDescent="0.5">
      <c r="A130" s="1235"/>
      <c r="B130" s="300"/>
      <c r="C130" s="1261">
        <v>44967</v>
      </c>
      <c r="D130" s="1451">
        <v>636697</v>
      </c>
      <c r="E130" s="476">
        <v>3638224</v>
      </c>
      <c r="F130" s="6">
        <v>524326</v>
      </c>
      <c r="G130" s="6">
        <v>49266986</v>
      </c>
      <c r="H130" s="755">
        <v>361811</v>
      </c>
      <c r="I130" s="824">
        <v>263006323</v>
      </c>
      <c r="J130" s="824">
        <v>814520</v>
      </c>
      <c r="K130" s="824">
        <v>12134149</v>
      </c>
      <c r="L130" s="1297">
        <v>465048</v>
      </c>
      <c r="M130" s="1209"/>
      <c r="N130" s="5"/>
      <c r="O130" s="5"/>
      <c r="P130" s="5"/>
      <c r="Q130" s="5"/>
      <c r="R130" s="5"/>
      <c r="S130" s="5"/>
      <c r="T130" s="5"/>
      <c r="U130" s="5"/>
      <c r="V130" s="5"/>
      <c r="W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s="172" customFormat="1" ht="15.4" thickBot="1" x14ac:dyDescent="0.45">
      <c r="A131" s="1235"/>
      <c r="B131" s="300"/>
      <c r="C131" s="1261">
        <v>44968</v>
      </c>
      <c r="D131" s="1451"/>
      <c r="E131" s="476"/>
      <c r="F131" s="6"/>
      <c r="G131" s="6"/>
      <c r="H131" s="1255"/>
      <c r="I131" s="1255"/>
      <c r="J131" s="1593"/>
      <c r="K131" s="824"/>
      <c r="L131" s="1297"/>
      <c r="M131" s="1209"/>
      <c r="N131" s="5"/>
      <c r="O131" s="5"/>
      <c r="P131" s="5"/>
      <c r="Q131" s="5"/>
      <c r="R131" s="5"/>
      <c r="S131" s="5"/>
      <c r="T131" s="5"/>
      <c r="U131" s="5"/>
      <c r="V131" s="5"/>
      <c r="W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s="172" customFormat="1" ht="15.4" x14ac:dyDescent="0.45">
      <c r="A132" s="1235"/>
      <c r="B132" s="300"/>
      <c r="C132" s="1261">
        <v>44969</v>
      </c>
      <c r="D132" s="1451"/>
      <c r="E132" s="476"/>
      <c r="F132" s="6"/>
      <c r="G132" s="6"/>
      <c r="H132" s="828"/>
      <c r="I132" s="828"/>
      <c r="J132" s="1593"/>
      <c r="K132" s="1488"/>
      <c r="L132" s="1297"/>
      <c r="M132" s="1209"/>
      <c r="N132" s="5"/>
      <c r="O132" s="5"/>
      <c r="P132" s="5"/>
      <c r="Q132" s="5"/>
      <c r="R132" s="5"/>
      <c r="S132" s="5"/>
      <c r="T132" s="5"/>
      <c r="U132" s="5"/>
      <c r="V132" s="5"/>
      <c r="W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s="172" customFormat="1" x14ac:dyDescent="0.4">
      <c r="A133" s="1235"/>
      <c r="B133" s="300"/>
      <c r="C133" s="1261">
        <v>44970</v>
      </c>
      <c r="D133" s="1451"/>
      <c r="E133" s="476"/>
      <c r="F133" s="6"/>
      <c r="G133" s="6"/>
      <c r="H133" s="1255"/>
      <c r="I133" s="1255"/>
      <c r="J133" s="1593"/>
      <c r="K133" s="1488"/>
      <c r="L133" s="1297"/>
      <c r="M133" s="1209"/>
      <c r="N133" s="5"/>
      <c r="O133" s="5"/>
      <c r="P133" s="5"/>
      <c r="Q133" s="5"/>
      <c r="R133" s="5"/>
      <c r="S133" s="5"/>
      <c r="T133" s="5"/>
      <c r="U133" s="5"/>
      <c r="V133" s="5"/>
      <c r="W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s="172" customFormat="1" ht="15.75" thickBot="1" x14ac:dyDescent="0.5">
      <c r="A134" s="1235"/>
      <c r="B134" s="300"/>
      <c r="C134" s="1261">
        <v>44971</v>
      </c>
      <c r="D134" s="1451"/>
      <c r="E134" s="476"/>
      <c r="F134" s="6"/>
      <c r="G134" s="6"/>
      <c r="H134" s="755"/>
      <c r="I134" s="755"/>
      <c r="J134" s="1593"/>
      <c r="K134" s="824"/>
      <c r="L134" s="1297"/>
      <c r="M134" s="1209"/>
      <c r="N134" s="5"/>
      <c r="O134" s="5"/>
      <c r="P134" s="5"/>
      <c r="Q134" s="5"/>
      <c r="R134" s="5"/>
      <c r="S134" s="5"/>
      <c r="T134" s="5"/>
      <c r="U134" s="5"/>
      <c r="V134" s="5"/>
      <c r="W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s="172" customFormat="1" ht="15.75" thickBot="1" x14ac:dyDescent="0.5">
      <c r="A135" s="1235"/>
      <c r="B135" s="300"/>
      <c r="C135" s="1261">
        <v>44972</v>
      </c>
      <c r="D135" s="1451"/>
      <c r="E135" s="476"/>
      <c r="F135" s="6"/>
      <c r="G135" s="6"/>
      <c r="H135" s="824"/>
      <c r="I135" s="755"/>
      <c r="J135" s="1593"/>
      <c r="K135" s="755"/>
      <c r="L135" s="1297"/>
      <c r="M135" s="1209"/>
      <c r="N135" s="5"/>
      <c r="O135" s="5"/>
      <c r="P135" s="5"/>
      <c r="Q135" s="5"/>
      <c r="R135" s="5"/>
      <c r="S135" s="5"/>
      <c r="T135" s="5"/>
      <c r="U135" s="5"/>
      <c r="V135" s="5"/>
      <c r="W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s="172" customFormat="1" ht="15.4" x14ac:dyDescent="0.45">
      <c r="A136" s="1235"/>
      <c r="B136" s="300"/>
      <c r="C136" s="1261">
        <v>44973</v>
      </c>
      <c r="D136" s="1451"/>
      <c r="E136" s="476"/>
      <c r="F136" s="6"/>
      <c r="G136" s="6"/>
      <c r="H136" s="828"/>
      <c r="I136" s="828"/>
      <c r="J136" s="1593"/>
      <c r="K136" s="1488"/>
      <c r="L136" s="1297"/>
      <c r="M136" s="1209"/>
      <c r="N136" s="5"/>
      <c r="O136" s="5"/>
      <c r="P136" s="5"/>
      <c r="Q136" s="5"/>
      <c r="R136" s="5"/>
      <c r="S136" s="5"/>
      <c r="T136" s="5"/>
      <c r="U136" s="5"/>
      <c r="V136" s="5"/>
      <c r="W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s="172" customFormat="1" x14ac:dyDescent="0.4">
      <c r="A137" s="1235"/>
      <c r="B137" s="300"/>
      <c r="C137" s="1261">
        <v>44974</v>
      </c>
      <c r="D137" s="1451"/>
      <c r="E137" s="476"/>
      <c r="F137" s="6"/>
      <c r="G137" s="6"/>
      <c r="H137" s="31"/>
      <c r="I137" s="79"/>
      <c r="J137" s="85"/>
      <c r="K137" s="1488"/>
      <c r="L137" s="1297"/>
      <c r="M137" s="1209"/>
      <c r="N137" s="5"/>
      <c r="O137" s="5"/>
      <c r="P137" s="5"/>
      <c r="Q137" s="5"/>
      <c r="R137" s="5"/>
      <c r="S137" s="5"/>
      <c r="T137" s="5"/>
      <c r="U137" s="5"/>
      <c r="V137" s="5"/>
      <c r="W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s="172" customFormat="1" ht="15.4" x14ac:dyDescent="0.45">
      <c r="A138" s="1235"/>
      <c r="B138" s="300"/>
      <c r="C138" s="1261">
        <v>44975</v>
      </c>
      <c r="D138" s="1451"/>
      <c r="E138" s="476"/>
      <c r="F138" s="6"/>
      <c r="G138" s="6"/>
      <c r="H138" s="1255"/>
      <c r="I138" s="828"/>
      <c r="J138" s="85"/>
      <c r="K138" s="755"/>
      <c r="L138" s="1297"/>
      <c r="M138" s="1209"/>
      <c r="N138" s="5"/>
      <c r="O138" s="5"/>
      <c r="P138" s="5"/>
      <c r="Q138" s="5"/>
      <c r="R138" s="5"/>
      <c r="S138" s="5"/>
      <c r="T138" s="5"/>
      <c r="U138" s="5"/>
      <c r="V138" s="5"/>
      <c r="W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s="172" customFormat="1" ht="15.75" thickBot="1" x14ac:dyDescent="0.5">
      <c r="A139" s="1235"/>
      <c r="B139" s="300"/>
      <c r="C139" s="1261">
        <v>44976</v>
      </c>
      <c r="D139" s="1451">
        <v>597322</v>
      </c>
      <c r="E139" s="476">
        <v>3581375</v>
      </c>
      <c r="F139" s="6">
        <v>552713</v>
      </c>
      <c r="G139" s="6">
        <v>55536515</v>
      </c>
      <c r="H139" s="910">
        <v>309994</v>
      </c>
      <c r="I139" s="755">
        <v>231427333</v>
      </c>
      <c r="J139" s="85">
        <v>863540</v>
      </c>
      <c r="K139" s="755">
        <v>10888068</v>
      </c>
      <c r="L139" s="1297"/>
      <c r="M139" s="1209"/>
      <c r="N139" s="5"/>
      <c r="O139" s="5"/>
      <c r="P139" s="5"/>
      <c r="Q139" s="5"/>
      <c r="R139" s="5"/>
      <c r="S139" s="5"/>
      <c r="T139" s="5"/>
      <c r="U139" s="5"/>
      <c r="V139" s="5"/>
      <c r="W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s="172" customFormat="1" ht="15.75" thickBot="1" x14ac:dyDescent="0.5">
      <c r="A140" s="1235"/>
      <c r="B140" s="300"/>
      <c r="C140" s="1261">
        <v>44977</v>
      </c>
      <c r="D140" s="1451">
        <v>76992</v>
      </c>
      <c r="E140" s="210">
        <v>405622</v>
      </c>
      <c r="F140" s="7">
        <v>63130</v>
      </c>
      <c r="G140" s="7">
        <v>5413150</v>
      </c>
      <c r="H140" s="755"/>
      <c r="I140" s="755"/>
      <c r="J140" s="210">
        <v>81380</v>
      </c>
      <c r="K140" s="910"/>
      <c r="L140" s="1488"/>
      <c r="M140" s="1209"/>
      <c r="N140" s="5"/>
      <c r="O140" s="5"/>
      <c r="P140" s="5"/>
      <c r="Q140" s="5"/>
      <c r="R140" s="5"/>
      <c r="S140" s="5"/>
      <c r="T140" s="5"/>
      <c r="U140" s="5"/>
      <c r="V140" s="5"/>
      <c r="W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s="172" customFormat="1" ht="15.4" thickBot="1" x14ac:dyDescent="0.45">
      <c r="A141" s="1235"/>
      <c r="B141" s="300"/>
      <c r="C141" s="1261">
        <v>44978</v>
      </c>
      <c r="D141" s="1451">
        <v>57578</v>
      </c>
      <c r="E141" s="210">
        <v>330299</v>
      </c>
      <c r="F141" s="7">
        <v>50768</v>
      </c>
      <c r="G141" s="7">
        <v>4923097</v>
      </c>
      <c r="H141" s="824"/>
      <c r="I141" s="824"/>
      <c r="J141" s="1593">
        <v>76550</v>
      </c>
      <c r="K141" s="824"/>
      <c r="L141" s="1297"/>
      <c r="M141" s="1209"/>
      <c r="N141" s="5"/>
      <c r="O141" s="5"/>
      <c r="P141" s="5"/>
      <c r="Q141" s="5"/>
      <c r="R141" s="5"/>
      <c r="S141" s="5"/>
      <c r="T141" s="5"/>
      <c r="U141" s="5"/>
      <c r="V141" s="5"/>
      <c r="W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s="172" customFormat="1" ht="15.4" x14ac:dyDescent="0.45">
      <c r="A142" s="1235"/>
      <c r="B142" s="300"/>
      <c r="C142" s="1261">
        <v>44979</v>
      </c>
      <c r="D142" s="1407">
        <v>53354</v>
      </c>
      <c r="E142" s="33">
        <v>314365</v>
      </c>
      <c r="F142" s="6">
        <v>45797</v>
      </c>
      <c r="G142" s="6">
        <v>4545698</v>
      </c>
      <c r="H142" s="755"/>
      <c r="I142" s="755"/>
      <c r="J142" s="1593">
        <v>79370</v>
      </c>
      <c r="K142" s="755"/>
      <c r="L142" s="1297"/>
      <c r="M142" s="1209"/>
      <c r="N142" s="5"/>
      <c r="O142" s="5"/>
      <c r="P142" s="5"/>
      <c r="Q142" s="5"/>
      <c r="R142" s="5"/>
      <c r="S142" s="5"/>
      <c r="T142" s="5"/>
      <c r="U142" s="5"/>
      <c r="V142" s="5"/>
      <c r="W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s="172" customFormat="1" x14ac:dyDescent="0.4">
      <c r="A143" s="1235"/>
      <c r="B143" s="300"/>
      <c r="C143" s="1261">
        <v>44980</v>
      </c>
      <c r="D143" s="1407">
        <v>50439</v>
      </c>
      <c r="E143" s="33">
        <v>309020</v>
      </c>
      <c r="F143" s="6">
        <v>44590</v>
      </c>
      <c r="G143" s="6">
        <v>4366605</v>
      </c>
      <c r="H143" s="31"/>
      <c r="I143" s="79"/>
      <c r="J143" s="1593">
        <v>78160</v>
      </c>
      <c r="K143" s="1488"/>
      <c r="L143" s="1297"/>
      <c r="M143" s="1209"/>
      <c r="N143" s="5"/>
      <c r="O143" s="5"/>
      <c r="P143" s="5"/>
      <c r="Q143" s="5"/>
      <c r="R143" s="5"/>
      <c r="S143" s="5"/>
      <c r="T143" s="5"/>
      <c r="U143" s="5"/>
      <c r="V143" s="5"/>
      <c r="W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s="172" customFormat="1" ht="15.75" thickBot="1" x14ac:dyDescent="0.5">
      <c r="A144" s="1235"/>
      <c r="B144" s="300"/>
      <c r="C144" s="1261">
        <v>44981</v>
      </c>
      <c r="D144" s="1454">
        <v>45071</v>
      </c>
      <c r="E144" s="1243">
        <v>280882</v>
      </c>
      <c r="F144" s="1246">
        <v>45433</v>
      </c>
      <c r="G144" s="1246">
        <v>4746788</v>
      </c>
      <c r="H144" s="755"/>
      <c r="I144" s="755"/>
      <c r="J144" s="1595">
        <v>70290</v>
      </c>
      <c r="K144" s="824"/>
      <c r="L144" s="1297"/>
      <c r="M144" s="1209"/>
      <c r="N144" s="5"/>
      <c r="O144" s="5"/>
      <c r="P144" s="5"/>
      <c r="Q144" s="5"/>
      <c r="R144" s="5"/>
      <c r="S144" s="5"/>
      <c r="T144" s="5"/>
      <c r="U144" s="5"/>
      <c r="V144" s="5"/>
      <c r="W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40" s="172" customFormat="1" ht="15.4" x14ac:dyDescent="0.45">
      <c r="A145" s="1235"/>
      <c r="B145" s="300"/>
      <c r="C145" s="1261">
        <v>44982</v>
      </c>
      <c r="D145" s="1407">
        <v>41360</v>
      </c>
      <c r="E145" s="33">
        <v>312048</v>
      </c>
      <c r="F145" s="6">
        <v>46734</v>
      </c>
      <c r="G145" s="6">
        <v>5143959</v>
      </c>
      <c r="H145" s="755">
        <v>216788</v>
      </c>
      <c r="I145" s="755">
        <v>162901818</v>
      </c>
      <c r="J145" s="1593">
        <v>83580</v>
      </c>
      <c r="K145" s="755">
        <v>7344951</v>
      </c>
      <c r="L145" s="1297"/>
      <c r="M145" s="1209"/>
      <c r="N145" s="5"/>
      <c r="O145" s="5"/>
      <c r="P145" s="5"/>
      <c r="Q145" s="5"/>
      <c r="R145" s="5"/>
      <c r="S145" s="5"/>
      <c r="T145" s="5"/>
      <c r="U145" s="5"/>
      <c r="V145" s="5"/>
      <c r="W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J145" s="5"/>
      <c r="AK145" s="5"/>
      <c r="AL145" s="5"/>
      <c r="AM145" s="5"/>
      <c r="AN145" s="5"/>
    </row>
    <row r="146" spans="1:40" x14ac:dyDescent="0.4">
      <c r="C146" s="1261">
        <v>44983</v>
      </c>
      <c r="D146" s="1407"/>
      <c r="E146" s="33"/>
      <c r="F146" s="6"/>
      <c r="G146" s="6"/>
      <c r="H146" s="31"/>
      <c r="I146" s="79"/>
      <c r="J146" s="85"/>
      <c r="K146" s="1488"/>
      <c r="L146" s="1297"/>
    </row>
    <row r="147" spans="1:40" x14ac:dyDescent="0.4">
      <c r="C147" s="1261">
        <v>44984</v>
      </c>
      <c r="D147" s="1407"/>
      <c r="E147" s="33"/>
      <c r="F147" s="6"/>
      <c r="G147" s="6"/>
      <c r="H147" s="31"/>
      <c r="I147" s="79"/>
      <c r="J147" s="85"/>
      <c r="K147" s="1488"/>
      <c r="L147" s="1297"/>
    </row>
    <row r="148" spans="1:40" ht="15.4" thickBot="1" x14ac:dyDescent="0.45">
      <c r="C148" s="1261">
        <v>44985</v>
      </c>
      <c r="D148" s="1407"/>
      <c r="E148" s="33"/>
      <c r="F148" s="6"/>
      <c r="G148" s="6"/>
      <c r="H148" s="824"/>
      <c r="I148" s="824"/>
      <c r="J148" s="85"/>
      <c r="K148" s="910"/>
      <c r="L148" s="1297"/>
    </row>
    <row r="149" spans="1:40" x14ac:dyDescent="0.4">
      <c r="C149" s="1261"/>
      <c r="D149" s="1407"/>
      <c r="E149" s="33"/>
      <c r="F149" s="6"/>
      <c r="G149" s="6"/>
      <c r="H149" s="31"/>
      <c r="I149" s="79"/>
      <c r="J149" s="85"/>
      <c r="K149" s="1488"/>
      <c r="L149" s="1462"/>
    </row>
    <row r="150" spans="1:40" x14ac:dyDescent="0.4">
      <c r="C150" s="1261"/>
      <c r="D150" s="1407"/>
      <c r="E150" s="33"/>
      <c r="F150" s="6"/>
      <c r="G150" s="6"/>
      <c r="H150" s="31"/>
      <c r="I150" s="79"/>
      <c r="J150" s="85"/>
      <c r="K150" s="1488"/>
    </row>
    <row r="151" spans="1:40" ht="15.4" x14ac:dyDescent="0.45">
      <c r="C151" s="1261"/>
      <c r="D151" s="1407"/>
      <c r="E151" s="33"/>
      <c r="F151" s="6"/>
      <c r="G151" s="6"/>
      <c r="H151" s="755"/>
      <c r="I151" s="755"/>
      <c r="J151" s="1462"/>
      <c r="K151" s="755"/>
    </row>
    <row r="152" spans="1:40" ht="13.9" x14ac:dyDescent="0.35">
      <c r="D152" s="1462">
        <f>SUM(D121:D151)</f>
        <v>1558813</v>
      </c>
      <c r="E152" s="1462">
        <f t="shared" ref="E152:M152" si="20">SUM(E121:E151)</f>
        <v>9171835</v>
      </c>
      <c r="F152" s="1462">
        <f t="shared" si="20"/>
        <v>1373491</v>
      </c>
      <c r="G152" s="1462">
        <f t="shared" ref="G152:L152" si="21">SUM(G121:G151)</f>
        <v>133942798</v>
      </c>
      <c r="H152" s="1462">
        <f t="shared" si="21"/>
        <v>888593</v>
      </c>
      <c r="I152" s="1462">
        <f t="shared" si="21"/>
        <v>657335474</v>
      </c>
      <c r="J152" s="1462">
        <f t="shared" si="21"/>
        <v>2147390</v>
      </c>
      <c r="K152" s="1462">
        <f t="shared" si="21"/>
        <v>30367168</v>
      </c>
      <c r="L152" s="1462">
        <f t="shared" si="21"/>
        <v>465048</v>
      </c>
      <c r="M152" s="1462">
        <f t="shared" si="20"/>
        <v>0</v>
      </c>
    </row>
    <row r="153" spans="1:40" ht="15.75" thickBot="1" x14ac:dyDescent="0.5">
      <c r="C153" s="1239"/>
      <c r="D153" s="1407"/>
      <c r="E153" s="33"/>
      <c r="F153" s="6"/>
      <c r="G153" s="6"/>
      <c r="H153" s="824"/>
      <c r="I153" s="824"/>
      <c r="J153" s="1593"/>
      <c r="K153" s="755"/>
      <c r="L153" s="1297"/>
    </row>
  </sheetData>
  <mergeCells count="89">
    <mergeCell ref="AJ2:AO2"/>
    <mergeCell ref="A1:I1"/>
    <mergeCell ref="M1:U1"/>
    <mergeCell ref="A2:I2"/>
    <mergeCell ref="M2:U2"/>
    <mergeCell ref="AC2:AH2"/>
    <mergeCell ref="A3:A5"/>
    <mergeCell ref="B3:B5"/>
    <mergeCell ref="D3:E3"/>
    <mergeCell ref="F3:G3"/>
    <mergeCell ref="H3:I3"/>
    <mergeCell ref="AK3:AK5"/>
    <mergeCell ref="AL3:AM3"/>
    <mergeCell ref="AN3:AO3"/>
    <mergeCell ref="C4:C5"/>
    <mergeCell ref="O4:O5"/>
    <mergeCell ref="T4:T5"/>
    <mergeCell ref="U4:U5"/>
    <mergeCell ref="P5:Q5"/>
    <mergeCell ref="AL5:AM5"/>
    <mergeCell ref="N3:N5"/>
    <mergeCell ref="P3:Q3"/>
    <mergeCell ref="R3:S3"/>
    <mergeCell ref="T3:U3"/>
    <mergeCell ref="AC3:AH3"/>
    <mergeCell ref="AJ3:AJ5"/>
    <mergeCell ref="M3:M5"/>
    <mergeCell ref="A14:A17"/>
    <mergeCell ref="B14:I14"/>
    <mergeCell ref="M14:M17"/>
    <mergeCell ref="N14:U14"/>
    <mergeCell ref="D16:D17"/>
    <mergeCell ref="E16:E17"/>
    <mergeCell ref="H16:H17"/>
    <mergeCell ref="P16:P17"/>
    <mergeCell ref="Q16:Q17"/>
    <mergeCell ref="T16:T17"/>
    <mergeCell ref="A11:I11"/>
    <mergeCell ref="M11:U11"/>
    <mergeCell ref="AJ11:AO11"/>
    <mergeCell ref="B13:I13"/>
    <mergeCell ref="N13:U13"/>
    <mergeCell ref="A18:A26"/>
    <mergeCell ref="C18:E18"/>
    <mergeCell ref="F18:I18"/>
    <mergeCell ref="M18:M26"/>
    <mergeCell ref="O18:Q18"/>
    <mergeCell ref="R18:U18"/>
    <mergeCell ref="B28:C29"/>
    <mergeCell ref="D28:E28"/>
    <mergeCell ref="F28:G28"/>
    <mergeCell ref="H28:I28"/>
    <mergeCell ref="N28:O29"/>
    <mergeCell ref="P28:Q28"/>
    <mergeCell ref="R28:S28"/>
    <mergeCell ref="T28:U28"/>
    <mergeCell ref="A30:A37"/>
    <mergeCell ref="B30:I30"/>
    <mergeCell ref="M30:M38"/>
    <mergeCell ref="N30:U30"/>
    <mergeCell ref="A39:A44"/>
    <mergeCell ref="B39:I39"/>
    <mergeCell ref="N39:U39"/>
    <mergeCell ref="A46:A49"/>
    <mergeCell ref="B46:I46"/>
    <mergeCell ref="M46:M49"/>
    <mergeCell ref="N46:U46"/>
    <mergeCell ref="D48:D49"/>
    <mergeCell ref="E48:E49"/>
    <mergeCell ref="H48:H49"/>
    <mergeCell ref="P48:P49"/>
    <mergeCell ref="Q48:Q49"/>
    <mergeCell ref="T48:T49"/>
    <mergeCell ref="A50:A53"/>
    <mergeCell ref="B50:I50"/>
    <mergeCell ref="M50:M53"/>
    <mergeCell ref="N50:U50"/>
    <mergeCell ref="D51:D53"/>
    <mergeCell ref="E51:E53"/>
    <mergeCell ref="H51:H53"/>
    <mergeCell ref="P51:P53"/>
    <mergeCell ref="Q51:Q53"/>
    <mergeCell ref="T51:T53"/>
    <mergeCell ref="D83:E83"/>
    <mergeCell ref="F83:G83"/>
    <mergeCell ref="H83:I83"/>
    <mergeCell ref="D120:E120"/>
    <mergeCell ref="F120:G120"/>
    <mergeCell ref="H120:I120"/>
  </mergeCells>
  <conditionalFormatting sqref="H8">
    <cfRule type="cellIs" dxfId="0" priority="1" operator="greaterThan">
      <formula>1.6</formula>
    </cfRule>
  </conditionalFormatting>
  <pageMargins left="0.2" right="0.2" top="0.42" bottom="0.24" header="0.3" footer="0.3"/>
  <pageSetup paperSize="9" scale="24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A481E-0D88-47E3-ADA9-2480656EF55F}">
  <sheetPr>
    <pageSetUpPr fitToPage="1"/>
  </sheetPr>
  <dimension ref="A1:AR72"/>
  <sheetViews>
    <sheetView topLeftCell="A29" zoomScale="90" zoomScaleNormal="90" workbookViewId="0">
      <selection activeCell="G43" sqref="G43"/>
    </sheetView>
  </sheetViews>
  <sheetFormatPr defaultRowHeight="14.25" x14ac:dyDescent="0.45"/>
  <cols>
    <col min="1" max="2" width="14" customWidth="1"/>
    <col min="3" max="5" width="13.1328125" customWidth="1"/>
    <col min="6" max="6" width="15.3984375" customWidth="1"/>
    <col min="7" max="8" width="14.59765625" customWidth="1"/>
    <col min="9" max="9" width="13.265625" customWidth="1"/>
    <col min="10" max="10" width="9.1328125" customWidth="1"/>
    <col min="11" max="11" width="11.1328125" customWidth="1"/>
    <col min="12" max="12" width="9.59765625" customWidth="1"/>
    <col min="13" max="13" width="13.265625" style="93" bestFit="1" customWidth="1"/>
    <col min="14" max="14" width="16.1328125" customWidth="1"/>
    <col min="15" max="15" width="12.86328125" bestFit="1" customWidth="1"/>
    <col min="16" max="16" width="13.265625" customWidth="1"/>
    <col min="17" max="17" width="11.3984375" customWidth="1"/>
    <col min="18" max="18" width="12.265625" customWidth="1"/>
    <col min="19" max="19" width="11" customWidth="1"/>
    <col min="20" max="20" width="10.86328125" customWidth="1"/>
    <col min="21" max="21" width="10.59765625" customWidth="1"/>
    <col min="22" max="22" width="12.59765625" style="89" customWidth="1"/>
    <col min="23" max="23" width="12.59765625" style="1877" customWidth="1"/>
    <col min="24" max="33" width="12.59765625" customWidth="1"/>
    <col min="34" max="34" width="10" bestFit="1" customWidth="1"/>
    <col min="35" max="35" width="14.73046875" style="89" customWidth="1"/>
    <col min="36" max="36" width="11.3984375" customWidth="1"/>
    <col min="37" max="37" width="13.3984375" customWidth="1"/>
    <col min="38" max="38" width="11" customWidth="1"/>
    <col min="39" max="39" width="11.59765625" customWidth="1"/>
    <col min="40" max="40" width="11.3984375" customWidth="1"/>
    <col min="41" max="41" width="10.59765625" customWidth="1"/>
    <col min="42" max="42" width="11.265625" customWidth="1"/>
    <col min="43" max="43" width="10.3984375" customWidth="1"/>
  </cols>
  <sheetData>
    <row r="1" spans="1:44" x14ac:dyDescent="0.45">
      <c r="A1" s="2536" t="s">
        <v>278</v>
      </c>
      <c r="B1" s="2537"/>
      <c r="C1" s="2537"/>
      <c r="D1" s="2537"/>
      <c r="E1" s="2537"/>
      <c r="F1" s="2537"/>
      <c r="G1" s="2537"/>
      <c r="H1" s="2537"/>
      <c r="I1" s="2537"/>
      <c r="J1" s="2538"/>
      <c r="K1" s="628" t="s">
        <v>614</v>
      </c>
      <c r="L1" s="628"/>
      <c r="N1" s="2542" t="s">
        <v>371</v>
      </c>
      <c r="O1" s="2542"/>
      <c r="P1" s="2542"/>
      <c r="Q1" s="2542"/>
      <c r="R1" s="2542"/>
      <c r="S1" s="2542"/>
      <c r="T1" s="2542"/>
      <c r="U1" s="2542"/>
      <c r="V1" s="2542"/>
      <c r="W1" s="1875"/>
      <c r="X1" s="1426"/>
      <c r="Y1" s="1426"/>
      <c r="Z1" s="1426"/>
      <c r="AA1" s="1426"/>
      <c r="AB1" s="1426"/>
      <c r="AC1" s="1426"/>
      <c r="AD1" s="1426"/>
      <c r="AE1" s="1426"/>
      <c r="AF1" s="1426"/>
      <c r="AG1" s="1426"/>
      <c r="AI1" s="2535" t="s">
        <v>868</v>
      </c>
      <c r="AJ1" s="2535"/>
      <c r="AK1" s="2535"/>
      <c r="AL1" s="2535"/>
      <c r="AM1" s="2535"/>
      <c r="AN1" s="2535"/>
      <c r="AO1" s="2535"/>
      <c r="AP1" s="2535"/>
      <c r="AQ1" s="2535"/>
    </row>
    <row r="2" spans="1:44" s="909" customFormat="1" ht="28.5" x14ac:dyDescent="0.45">
      <c r="A2" s="398"/>
      <c r="B2" s="1082" t="s">
        <v>869</v>
      </c>
      <c r="C2" s="1867" t="s">
        <v>870</v>
      </c>
      <c r="D2" s="1867" t="s">
        <v>878</v>
      </c>
      <c r="E2" s="1868" t="s">
        <v>432</v>
      </c>
      <c r="F2" s="1868" t="s">
        <v>433</v>
      </c>
      <c r="G2" s="1868" t="s">
        <v>434</v>
      </c>
      <c r="H2" s="1867" t="s">
        <v>871</v>
      </c>
      <c r="I2" s="398" t="s">
        <v>63</v>
      </c>
      <c r="J2" s="398" t="s">
        <v>440</v>
      </c>
      <c r="K2" s="1081"/>
      <c r="L2" s="1081"/>
      <c r="M2" s="1869"/>
      <c r="N2" s="398" t="s">
        <v>127</v>
      </c>
      <c r="O2" s="398" t="s">
        <v>443</v>
      </c>
      <c r="P2" s="398" t="s">
        <v>436</v>
      </c>
      <c r="Q2" s="398" t="s">
        <v>124</v>
      </c>
      <c r="R2" s="398" t="s">
        <v>125</v>
      </c>
      <c r="S2" s="398" t="s">
        <v>123</v>
      </c>
      <c r="T2" s="398" t="s">
        <v>196</v>
      </c>
      <c r="U2" s="398" t="s">
        <v>275</v>
      </c>
      <c r="V2" s="398" t="s">
        <v>63</v>
      </c>
      <c r="W2" s="1873"/>
      <c r="X2" s="398" t="s">
        <v>449</v>
      </c>
      <c r="Y2" s="398" t="s">
        <v>450</v>
      </c>
      <c r="Z2" s="398" t="s">
        <v>451</v>
      </c>
      <c r="AA2" s="398" t="s">
        <v>452</v>
      </c>
      <c r="AB2" s="398" t="s">
        <v>646</v>
      </c>
      <c r="AC2" s="1866" t="s">
        <v>697</v>
      </c>
      <c r="AD2" s="1866" t="s">
        <v>925</v>
      </c>
      <c r="AE2" s="1866"/>
      <c r="AF2" s="398" t="s">
        <v>190</v>
      </c>
      <c r="AG2" s="398" t="s">
        <v>520</v>
      </c>
      <c r="AH2" s="398"/>
      <c r="AI2" s="398" t="s">
        <v>127</v>
      </c>
      <c r="AJ2" s="398" t="s">
        <v>862</v>
      </c>
      <c r="AK2" s="398" t="s">
        <v>865</v>
      </c>
      <c r="AL2" s="398" t="s">
        <v>866</v>
      </c>
      <c r="AM2" s="398" t="s">
        <v>867</v>
      </c>
      <c r="AN2" s="398" t="s">
        <v>862</v>
      </c>
      <c r="AO2" s="398" t="s">
        <v>865</v>
      </c>
      <c r="AP2" s="398" t="s">
        <v>866</v>
      </c>
      <c r="AQ2" s="398" t="s">
        <v>867</v>
      </c>
      <c r="AR2" s="398" t="s">
        <v>194</v>
      </c>
    </row>
    <row r="3" spans="1:44" x14ac:dyDescent="0.45">
      <c r="A3" s="98" t="s">
        <v>131</v>
      </c>
      <c r="B3" s="1377">
        <f>SUMIF('TARGET 23-24'!$A$4:$A$26,'ACTUAL- 23-24'!A3,'TARGET 23-24'!$B$4:$B$26)</f>
        <v>0.71</v>
      </c>
      <c r="C3" s="1377">
        <f>SUMIF('TARGET 23-24'!$A$4:$A$26,'ACTUAL- 23-24'!A3,'TARGET 23-24'!$C$4:$C$26)</f>
        <v>74.790000000000006</v>
      </c>
      <c r="D3" s="1377">
        <f t="shared" ref="D3:D14" si="0">B3+C3</f>
        <v>75.5</v>
      </c>
      <c r="E3" s="598">
        <v>10765871</v>
      </c>
      <c r="F3" s="598">
        <v>175235053</v>
      </c>
      <c r="G3" s="1124">
        <v>694801121</v>
      </c>
      <c r="H3" s="1408">
        <f>F3+G3</f>
        <v>870036174</v>
      </c>
      <c r="I3" s="598">
        <f t="shared" ref="I3:I14" si="1">H3+E3</f>
        <v>880802045</v>
      </c>
      <c r="J3" s="103">
        <f>I3/10000000</f>
        <v>88.080204499999994</v>
      </c>
      <c r="K3" s="229">
        <f>(J3-D3)/D3*100</f>
        <v>16.662522516556283</v>
      </c>
      <c r="L3" s="229"/>
      <c r="M3" s="93">
        <f>I3/10000000</f>
        <v>88.080204499999994</v>
      </c>
      <c r="N3" s="98" t="s">
        <v>131</v>
      </c>
      <c r="O3" s="911">
        <f>37822753+177755</f>
        <v>38000508</v>
      </c>
      <c r="P3" s="98">
        <v>28013570</v>
      </c>
      <c r="Q3" s="98">
        <v>19914996</v>
      </c>
      <c r="R3" s="98">
        <v>1022027</v>
      </c>
      <c r="S3" s="98">
        <v>7647887</v>
      </c>
      <c r="T3" s="98">
        <v>2684240</v>
      </c>
      <c r="U3" s="850">
        <f>(800+19335+225+98757+95608+1400+200+18767)+AF3</f>
        <v>800807</v>
      </c>
      <c r="V3" s="226">
        <f t="shared" ref="V3:V14" si="2">SUM(O3:U3)</f>
        <v>98084035</v>
      </c>
      <c r="X3" s="280">
        <v>36962</v>
      </c>
      <c r="Y3" s="98">
        <v>493654</v>
      </c>
      <c r="Z3" s="98">
        <v>450</v>
      </c>
      <c r="AA3" s="98">
        <v>12261</v>
      </c>
      <c r="AB3" s="98">
        <v>19229</v>
      </c>
      <c r="AC3" s="98">
        <v>40121</v>
      </c>
      <c r="AD3" s="98"/>
      <c r="AE3" s="98"/>
      <c r="AF3" s="98">
        <f>Y3+Z3+AA3+AG3+AB3+AC3</f>
        <v>565715</v>
      </c>
      <c r="AG3" s="650"/>
      <c r="AH3" s="650">
        <f t="shared" ref="AH3:AH14" si="3">P3+AG3</f>
        <v>28013570</v>
      </c>
      <c r="AI3" s="226" t="s">
        <v>131</v>
      </c>
      <c r="AJ3" s="98"/>
      <c r="AK3" s="98"/>
      <c r="AL3" s="98"/>
      <c r="AM3" s="98"/>
      <c r="AN3" s="98"/>
      <c r="AO3" s="98"/>
      <c r="AP3" s="98"/>
      <c r="AQ3" s="98"/>
      <c r="AR3" s="98"/>
    </row>
    <row r="4" spans="1:44" x14ac:dyDescent="0.45">
      <c r="A4" s="98" t="s">
        <v>132</v>
      </c>
      <c r="B4" s="1377">
        <f>SUMIF('TARGET 23-24'!$A$4:$A$26,'ACTUAL- 23-24'!A4,'TARGET 23-24'!$B$4:$B$26)</f>
        <v>0.93</v>
      </c>
      <c r="C4" s="1377">
        <f>SUMIF('TARGET 23-24'!$A$4:$A$26,'ACTUAL- 23-24'!A4,'TARGET 23-24'!$C$4:$C$26)</f>
        <v>77.08</v>
      </c>
      <c r="D4" s="1377">
        <f t="shared" si="0"/>
        <v>78.010000000000005</v>
      </c>
      <c r="E4" s="598">
        <v>11882772</v>
      </c>
      <c r="F4" s="598">
        <v>192016822</v>
      </c>
      <c r="G4" s="1124">
        <v>737264223</v>
      </c>
      <c r="H4" s="1408">
        <f t="shared" ref="H4:H14" si="4">F4+G4</f>
        <v>929281045</v>
      </c>
      <c r="I4" s="598">
        <f t="shared" si="1"/>
        <v>941163817</v>
      </c>
      <c r="J4" s="103">
        <f>I4/10000000</f>
        <v>94.116381700000005</v>
      </c>
      <c r="K4" s="229">
        <f t="shared" ref="K4:K15" si="5">(J4-D4)/D4*100</f>
        <v>20.646560312780412</v>
      </c>
      <c r="L4" s="229"/>
      <c r="M4" s="93">
        <f t="shared" ref="M4:M13" si="6">I4/10000000</f>
        <v>94.116381700000005</v>
      </c>
      <c r="N4" s="98" t="s">
        <v>132</v>
      </c>
      <c r="O4" s="1124">
        <v>42475022</v>
      </c>
      <c r="P4" s="828">
        <v>27613980</v>
      </c>
      <c r="Q4" s="755">
        <v>21723061</v>
      </c>
      <c r="R4" s="755">
        <v>1215575</v>
      </c>
      <c r="S4" s="98">
        <v>3136891</v>
      </c>
      <c r="T4" s="98">
        <v>3126920</v>
      </c>
      <c r="U4" s="98">
        <f>(775+23090+675+20813+47095+1350+1470+805+1700+30)+AF4</f>
        <v>190429</v>
      </c>
      <c r="V4" s="226">
        <f>SUM(O4:U4)</f>
        <v>99481878</v>
      </c>
      <c r="X4" s="280">
        <v>34152</v>
      </c>
      <c r="Y4" s="98">
        <v>58839</v>
      </c>
      <c r="Z4" s="98">
        <v>8465</v>
      </c>
      <c r="AA4" s="98">
        <v>4590</v>
      </c>
      <c r="AB4" s="98">
        <v>15445</v>
      </c>
      <c r="AC4" s="98">
        <v>5287</v>
      </c>
      <c r="AD4" s="98"/>
      <c r="AE4" s="98"/>
      <c r="AF4" s="98">
        <f t="shared" ref="AF4:AF5" si="7">Y4+Z4+AA4+AG4+AB4+AC4</f>
        <v>92626</v>
      </c>
      <c r="AG4" s="650"/>
      <c r="AH4" s="650">
        <f t="shared" si="3"/>
        <v>27613980</v>
      </c>
      <c r="AI4" s="226" t="s">
        <v>132</v>
      </c>
      <c r="AJ4" s="98"/>
      <c r="AK4" s="98"/>
      <c r="AL4" s="98"/>
      <c r="AM4" s="98"/>
      <c r="AN4" s="98"/>
      <c r="AO4" s="98"/>
      <c r="AP4" s="98"/>
      <c r="AQ4" s="98"/>
      <c r="AR4" s="98"/>
    </row>
    <row r="5" spans="1:44" x14ac:dyDescent="0.45">
      <c r="A5" s="98" t="s">
        <v>133</v>
      </c>
      <c r="B5" s="1377">
        <f>SUMIF('TARGET 23-24'!$A$4:$A$26,'ACTUAL- 23-24'!A5,'TARGET 23-24'!$B$4:$B$26)</f>
        <v>0.94</v>
      </c>
      <c r="C5" s="1377">
        <f>SUMIF('TARGET 23-24'!$A$4:$A$26,'ACTUAL- 23-24'!A5,'TARGET 23-24'!$C$4:$C$26)</f>
        <v>79.77</v>
      </c>
      <c r="D5" s="1377">
        <f t="shared" si="0"/>
        <v>80.709999999999994</v>
      </c>
      <c r="E5" s="598">
        <v>11307984</v>
      </c>
      <c r="F5" s="598">
        <v>162625700</v>
      </c>
      <c r="G5" s="1131">
        <v>725818639</v>
      </c>
      <c r="H5" s="1408">
        <f t="shared" si="4"/>
        <v>888444339</v>
      </c>
      <c r="I5" s="598">
        <f t="shared" si="1"/>
        <v>899752323</v>
      </c>
      <c r="J5" s="103">
        <f t="shared" ref="J5:J14" si="8">I5/10000000</f>
        <v>89.975232300000002</v>
      </c>
      <c r="K5" s="229">
        <f t="shared" si="5"/>
        <v>11.479658406641072</v>
      </c>
      <c r="L5" s="229"/>
      <c r="M5" s="93">
        <f t="shared" si="6"/>
        <v>89.975232300000002</v>
      </c>
      <c r="N5" s="98" t="s">
        <v>133</v>
      </c>
      <c r="O5" s="98">
        <f>37052785+168300</f>
        <v>37221085</v>
      </c>
      <c r="P5" s="828">
        <v>26578196</v>
      </c>
      <c r="Q5" s="755">
        <v>24424983</v>
      </c>
      <c r="R5" s="755">
        <v>1000381</v>
      </c>
      <c r="S5" s="98">
        <v>7793028</v>
      </c>
      <c r="T5" s="98">
        <v>2807720</v>
      </c>
      <c r="U5" s="1240">
        <f>(500+18030+1160+129687+422352+5086+1470+3500+2935)+AF5</f>
        <v>1200512</v>
      </c>
      <c r="V5" s="226">
        <f t="shared" si="2"/>
        <v>101025905</v>
      </c>
      <c r="X5" s="280">
        <v>34018</v>
      </c>
      <c r="Y5" s="98">
        <v>569849</v>
      </c>
      <c r="Z5" s="98">
        <v>900</v>
      </c>
      <c r="AA5" s="98">
        <v>14357</v>
      </c>
      <c r="AB5" s="98">
        <v>21076</v>
      </c>
      <c r="AC5" s="98">
        <v>9610</v>
      </c>
      <c r="AD5" s="98"/>
      <c r="AE5" s="98"/>
      <c r="AF5" s="98">
        <f t="shared" si="7"/>
        <v>615792</v>
      </c>
      <c r="AG5" s="650"/>
      <c r="AH5" s="650">
        <f>P5+AG5</f>
        <v>26578196</v>
      </c>
      <c r="AI5" s="226" t="s">
        <v>133</v>
      </c>
      <c r="AJ5" s="98"/>
      <c r="AK5" s="98"/>
      <c r="AL5" s="98"/>
      <c r="AM5" s="98"/>
      <c r="AN5" s="98"/>
      <c r="AO5" s="98"/>
      <c r="AP5" s="98"/>
      <c r="AQ5" s="98"/>
      <c r="AR5" s="98"/>
    </row>
    <row r="6" spans="1:44" x14ac:dyDescent="0.45">
      <c r="A6" s="98" t="s">
        <v>51</v>
      </c>
      <c r="B6" s="1377">
        <f>SUMIF('TARGET 23-24'!$A$4:$A$26,'ACTUAL- 23-24'!A6,'TARGET 23-24'!$B$4:$B$26)</f>
        <v>1.02</v>
      </c>
      <c r="C6" s="1377">
        <f>SUMIF('TARGET 23-24'!$A$4:$A$26,'ACTUAL- 23-24'!A6,'TARGET 23-24'!$C$4:$C$26)</f>
        <v>91.24</v>
      </c>
      <c r="D6" s="1377">
        <f t="shared" si="0"/>
        <v>92.259999999999991</v>
      </c>
      <c r="E6" s="598">
        <v>13062503</v>
      </c>
      <c r="F6" s="598">
        <v>144766896</v>
      </c>
      <c r="G6" s="1124">
        <v>1027973286</v>
      </c>
      <c r="H6" s="1408">
        <f t="shared" si="4"/>
        <v>1172740182</v>
      </c>
      <c r="I6" s="598">
        <f t="shared" si="1"/>
        <v>1185802685</v>
      </c>
      <c r="J6" s="103">
        <f t="shared" si="8"/>
        <v>118.5802685</v>
      </c>
      <c r="K6" s="229">
        <f t="shared" si="5"/>
        <v>28.528363862995899</v>
      </c>
      <c r="L6" s="229"/>
      <c r="M6" s="93">
        <f t="shared" si="6"/>
        <v>118.5802685</v>
      </c>
      <c r="N6" s="98" t="s">
        <v>51</v>
      </c>
      <c r="O6" s="98">
        <f>37321386+147150</f>
        <v>37468536</v>
      </c>
      <c r="P6" s="1277">
        <v>20247700</v>
      </c>
      <c r="Q6" s="802">
        <v>29642007</v>
      </c>
      <c r="R6" s="98">
        <v>1056911</v>
      </c>
      <c r="S6" s="98">
        <v>534702</v>
      </c>
      <c r="T6" s="98">
        <v>2423310</v>
      </c>
      <c r="U6" s="98">
        <f>(200+15525+450+9492+835+218222)+AF6</f>
        <v>963621</v>
      </c>
      <c r="V6" s="226">
        <f t="shared" si="2"/>
        <v>92336787</v>
      </c>
      <c r="W6" s="1877">
        <f>V6/10000000</f>
        <v>9.2336787000000005</v>
      </c>
      <c r="X6" s="280">
        <v>28784</v>
      </c>
      <c r="Y6" s="98">
        <v>617860</v>
      </c>
      <c r="Z6" s="98">
        <v>18050</v>
      </c>
      <c r="AA6" s="98">
        <v>17415</v>
      </c>
      <c r="AB6" s="98">
        <v>57942</v>
      </c>
      <c r="AC6" s="98">
        <v>7630</v>
      </c>
      <c r="AD6" s="98"/>
      <c r="AE6" s="98"/>
      <c r="AF6" s="98">
        <f>Y6+Z6+AA6+AG6+AB6+AC6</f>
        <v>718897</v>
      </c>
      <c r="AG6" s="650"/>
      <c r="AH6" s="650">
        <f t="shared" si="3"/>
        <v>20247700</v>
      </c>
      <c r="AI6" s="226" t="s">
        <v>51</v>
      </c>
      <c r="AJ6" s="98"/>
      <c r="AK6" s="98"/>
      <c r="AL6" s="98"/>
      <c r="AM6" s="98"/>
      <c r="AN6" s="98"/>
      <c r="AO6" s="98"/>
      <c r="AP6" s="98"/>
      <c r="AQ6" s="98"/>
      <c r="AR6" s="98"/>
    </row>
    <row r="7" spans="1:44" x14ac:dyDescent="0.45">
      <c r="A7" s="98" t="s">
        <v>134</v>
      </c>
      <c r="B7" s="1377">
        <f>SUMIF('TARGET 23-24'!$A$4:$A$26,'ACTUAL- 23-24'!A7,'TARGET 23-24'!$B$4:$B$26)</f>
        <v>1.0900000000000001</v>
      </c>
      <c r="C7" s="1377">
        <f>SUMIF('TARGET 23-24'!$A$4:$A$26,'ACTUAL- 23-24'!A7,'TARGET 23-24'!$C$4:$C$26)</f>
        <v>87.84</v>
      </c>
      <c r="D7" s="1377">
        <f t="shared" si="0"/>
        <v>88.93</v>
      </c>
      <c r="E7" s="598">
        <v>12690825</v>
      </c>
      <c r="F7" s="598">
        <v>156294357</v>
      </c>
      <c r="G7" s="1124">
        <v>879694251</v>
      </c>
      <c r="H7" s="1408">
        <f t="shared" si="4"/>
        <v>1035988608</v>
      </c>
      <c r="I7" s="598">
        <f t="shared" si="1"/>
        <v>1048679433</v>
      </c>
      <c r="J7" s="103">
        <f t="shared" si="8"/>
        <v>104.86794329999999</v>
      </c>
      <c r="K7" s="229">
        <f t="shared" si="5"/>
        <v>17.921897334982553</v>
      </c>
      <c r="L7" s="229"/>
      <c r="M7" s="93">
        <f t="shared" si="6"/>
        <v>104.86794329999999</v>
      </c>
      <c r="N7" s="98" t="s">
        <v>134</v>
      </c>
      <c r="O7" s="911">
        <f>40498716+156210</f>
        <v>40654926</v>
      </c>
      <c r="P7" s="911">
        <v>19527635</v>
      </c>
      <c r="Q7" s="911">
        <v>30820250</v>
      </c>
      <c r="R7" s="1703">
        <v>883438.56</v>
      </c>
      <c r="S7" s="911">
        <v>0</v>
      </c>
      <c r="T7" s="911">
        <v>2528700</v>
      </c>
      <c r="U7" s="911">
        <f>(1675+18720+900+110165+240255+9971+400+4725)+AF7</f>
        <v>982773</v>
      </c>
      <c r="V7" s="1871">
        <f t="shared" si="2"/>
        <v>95397722.560000002</v>
      </c>
      <c r="W7" s="1877">
        <f>V7/100000</f>
        <v>953.9772256</v>
      </c>
      <c r="X7" s="280">
        <v>28484</v>
      </c>
      <c r="Y7" s="98">
        <v>522343</v>
      </c>
      <c r="Z7" s="98">
        <v>10579</v>
      </c>
      <c r="AA7" s="98">
        <v>18300</v>
      </c>
      <c r="AB7" s="98">
        <v>34000</v>
      </c>
      <c r="AC7" s="98">
        <v>4040</v>
      </c>
      <c r="AD7" s="98">
        <v>6700</v>
      </c>
      <c r="AE7" s="98"/>
      <c r="AF7" s="98">
        <f>Y7+Z7+AA7+AG7+AB7+AC7+AD7</f>
        <v>595962</v>
      </c>
      <c r="AG7" s="650"/>
      <c r="AH7" s="650">
        <f t="shared" si="3"/>
        <v>19527635</v>
      </c>
      <c r="AI7" s="226" t="s">
        <v>134</v>
      </c>
      <c r="AJ7" s="98"/>
      <c r="AK7" s="98"/>
      <c r="AL7" s="98"/>
      <c r="AM7" s="98"/>
      <c r="AN7" s="98"/>
      <c r="AO7" s="98"/>
      <c r="AP7" s="98"/>
      <c r="AQ7" s="98"/>
      <c r="AR7" s="98"/>
    </row>
    <row r="8" spans="1:44" x14ac:dyDescent="0.45">
      <c r="A8" s="98" t="s">
        <v>135</v>
      </c>
      <c r="B8" s="1377">
        <f>SUMIF('TARGET 23-24'!$A$4:$A$26,'ACTUAL- 23-24'!A8,'TARGET 23-24'!$B$4:$B$26)</f>
        <v>1.1100000000000001</v>
      </c>
      <c r="C8" s="1377">
        <f>SUMIF('TARGET 23-24'!$A$4:$A$26,'ACTUAL- 23-24'!A8,'TARGET 23-24'!$C$4:$C$26)</f>
        <v>88.45</v>
      </c>
      <c r="D8" s="1377">
        <f t="shared" si="0"/>
        <v>89.56</v>
      </c>
      <c r="E8" s="1182">
        <v>11621068</v>
      </c>
      <c r="F8" s="1182">
        <v>153036523</v>
      </c>
      <c r="G8" s="755">
        <v>796139697</v>
      </c>
      <c r="H8" s="1408">
        <f t="shared" si="4"/>
        <v>949176220</v>
      </c>
      <c r="I8" s="598">
        <f t="shared" si="1"/>
        <v>960797288</v>
      </c>
      <c r="J8" s="103">
        <f t="shared" si="8"/>
        <v>96.079728799999998</v>
      </c>
      <c r="K8" s="229">
        <f t="shared" si="5"/>
        <v>7.2797329164805662</v>
      </c>
      <c r="L8" s="229"/>
      <c r="M8" s="93">
        <f t="shared" si="6"/>
        <v>96.079728799999998</v>
      </c>
      <c r="N8" s="98" t="s">
        <v>135</v>
      </c>
      <c r="O8" s="969">
        <f>142290+39329658</f>
        <v>39471948</v>
      </c>
      <c r="P8" s="98">
        <v>19763465</v>
      </c>
      <c r="Q8" s="98">
        <v>25351788</v>
      </c>
      <c r="R8" s="98">
        <v>901568</v>
      </c>
      <c r="S8" s="98">
        <v>24784545</v>
      </c>
      <c r="T8" s="98">
        <v>2449150</v>
      </c>
      <c r="U8" s="98">
        <f>(2975+17850+225+210+164894+11096+44450)+AF8</f>
        <v>784836</v>
      </c>
      <c r="V8" s="226">
        <f t="shared" si="2"/>
        <v>113507300</v>
      </c>
      <c r="X8" s="280">
        <v>27142</v>
      </c>
      <c r="Y8" s="98">
        <v>490378</v>
      </c>
      <c r="Z8" s="98">
        <v>12658</v>
      </c>
      <c r="AA8" s="98">
        <v>12165</v>
      </c>
      <c r="AB8" s="98">
        <v>21651</v>
      </c>
      <c r="AC8" s="98">
        <v>4190</v>
      </c>
      <c r="AD8" s="98">
        <v>1365</v>
      </c>
      <c r="AE8" s="98">
        <v>729</v>
      </c>
      <c r="AF8" s="98">
        <f>Y8+Z8+AA8+AG8+AB8+AC8+AD8+AE8</f>
        <v>543136</v>
      </c>
      <c r="AG8" s="650"/>
      <c r="AH8" s="650">
        <f t="shared" si="3"/>
        <v>19763465</v>
      </c>
      <c r="AI8" s="226" t="s">
        <v>135</v>
      </c>
      <c r="AJ8" s="98"/>
      <c r="AK8" s="98"/>
      <c r="AL8" s="98"/>
      <c r="AM8" s="98"/>
      <c r="AN8" s="98"/>
      <c r="AO8" s="98"/>
      <c r="AP8" s="98"/>
      <c r="AQ8" s="98"/>
      <c r="AR8" s="98"/>
    </row>
    <row r="9" spans="1:44" x14ac:dyDescent="0.45">
      <c r="A9" s="98" t="s">
        <v>136</v>
      </c>
      <c r="B9" s="1377">
        <f>SUMIF('TARGET 23-24'!$A$4:$A$26,'ACTUAL- 23-24'!A9,'TARGET 23-24'!$B$4:$B$26)</f>
        <v>1.0900000000000001</v>
      </c>
      <c r="C9" s="1377">
        <f>SUMIF('TARGET 23-24'!$A$4:$A$26,'ACTUAL- 23-24'!A9,'TARGET 23-24'!$C$4:$C$26)</f>
        <v>80.95</v>
      </c>
      <c r="D9" s="1377">
        <f t="shared" si="0"/>
        <v>82.04</v>
      </c>
      <c r="E9" s="598">
        <v>11250362</v>
      </c>
      <c r="F9" s="598">
        <v>156081528</v>
      </c>
      <c r="G9" s="1254">
        <v>827918702</v>
      </c>
      <c r="H9" s="1408">
        <f t="shared" si="4"/>
        <v>984000230</v>
      </c>
      <c r="I9" s="598">
        <f t="shared" si="1"/>
        <v>995250592</v>
      </c>
      <c r="J9" s="103">
        <f t="shared" si="8"/>
        <v>99.525059200000001</v>
      </c>
      <c r="K9" s="229">
        <f t="shared" si="5"/>
        <v>21.312846416382243</v>
      </c>
      <c r="L9" s="229"/>
      <c r="M9" s="93">
        <f t="shared" si="6"/>
        <v>99.525059200000001</v>
      </c>
      <c r="N9" s="98" t="s">
        <v>136</v>
      </c>
      <c r="O9" s="1131">
        <f>41114409+150+164280</f>
        <v>41278839</v>
      </c>
      <c r="P9" s="98">
        <v>26593660</v>
      </c>
      <c r="Q9" s="98">
        <v>25169741</v>
      </c>
      <c r="R9" s="98">
        <v>1043504</v>
      </c>
      <c r="S9" s="850">
        <v>737878</v>
      </c>
      <c r="T9" s="98">
        <v>2621550</v>
      </c>
      <c r="U9" s="98">
        <f>(408054+9055+19730+450+575+15776+200)+AF9</f>
        <v>1392570</v>
      </c>
      <c r="V9" s="226">
        <f t="shared" si="2"/>
        <v>98837742</v>
      </c>
      <c r="W9" s="1877">
        <f>1.03+0.27</f>
        <v>1.3</v>
      </c>
      <c r="X9" s="280">
        <v>34045</v>
      </c>
      <c r="Y9" s="98">
        <v>444864</v>
      </c>
      <c r="Z9" s="98">
        <v>21052</v>
      </c>
      <c r="AA9" s="98">
        <v>9705</v>
      </c>
      <c r="AB9" s="98">
        <v>19130</v>
      </c>
      <c r="AC9" s="98">
        <v>434411</v>
      </c>
      <c r="AD9" s="98">
        <v>7975</v>
      </c>
      <c r="AE9" s="98">
        <f>1593</f>
        <v>1593</v>
      </c>
      <c r="AF9" s="98">
        <f t="shared" ref="AF9:AF14" si="9">Y9+Z9+AA9+AG9+AB9+AC9+AD9+AE9</f>
        <v>938730</v>
      </c>
      <c r="AG9" s="650"/>
      <c r="AH9" s="650">
        <f t="shared" si="3"/>
        <v>26593660</v>
      </c>
      <c r="AI9" s="226" t="s">
        <v>136</v>
      </c>
      <c r="AJ9" s="98"/>
      <c r="AK9" s="98"/>
      <c r="AL9" s="98"/>
      <c r="AM9" s="98"/>
      <c r="AN9" s="98"/>
      <c r="AO9" s="98"/>
      <c r="AP9" s="98"/>
      <c r="AQ9" s="98"/>
      <c r="AR9" s="98"/>
    </row>
    <row r="10" spans="1:44" x14ac:dyDescent="0.45">
      <c r="A10" s="98" t="s">
        <v>137</v>
      </c>
      <c r="B10" s="1377">
        <f>SUMIF('TARGET 23-24'!$A$4:$A$26,'ACTUAL- 23-24'!A10,'TARGET 23-24'!$B$4:$B$26)</f>
        <v>1.18</v>
      </c>
      <c r="C10" s="1377">
        <f>SUMIF('TARGET 23-24'!$A$4:$A$26,'ACTUAL- 23-24'!A10,'TARGET 23-24'!$C$4:$C$26)</f>
        <v>93.37</v>
      </c>
      <c r="D10" s="1377">
        <f t="shared" si="0"/>
        <v>94.550000000000011</v>
      </c>
      <c r="E10" s="598">
        <v>10810917</v>
      </c>
      <c r="F10" s="598">
        <v>205222322</v>
      </c>
      <c r="G10" s="598">
        <v>781563158</v>
      </c>
      <c r="H10" s="1408">
        <f t="shared" si="4"/>
        <v>986785480</v>
      </c>
      <c r="I10" s="598">
        <f t="shared" si="1"/>
        <v>997596397</v>
      </c>
      <c r="J10" s="103">
        <f t="shared" si="8"/>
        <v>99.759639699999994</v>
      </c>
      <c r="K10" s="229">
        <f t="shared" si="5"/>
        <v>5.5099309360126725</v>
      </c>
      <c r="L10" s="229"/>
      <c r="M10" s="93">
        <f t="shared" si="6"/>
        <v>99.759639699999994</v>
      </c>
      <c r="N10" s="98" t="s">
        <v>137</v>
      </c>
      <c r="O10" s="98">
        <v>50726461</v>
      </c>
      <c r="P10" s="98">
        <v>30935824</v>
      </c>
      <c r="Q10" s="98">
        <v>22530515</v>
      </c>
      <c r="R10" s="98">
        <v>864536</v>
      </c>
      <c r="S10" s="98">
        <v>3262783</v>
      </c>
      <c r="T10" s="98">
        <v>3079270</v>
      </c>
      <c r="U10" s="98">
        <f>(850+22995+176638+79880+18839+113+200)+AF10</f>
        <v>855617</v>
      </c>
      <c r="V10" s="226">
        <f t="shared" si="2"/>
        <v>112255006</v>
      </c>
      <c r="X10" s="280">
        <v>37892</v>
      </c>
      <c r="Y10" s="98">
        <v>437298</v>
      </c>
      <c r="Z10" s="98">
        <v>10547</v>
      </c>
      <c r="AA10" s="98">
        <v>3750</v>
      </c>
      <c r="AB10" s="98">
        <v>55660</v>
      </c>
      <c r="AC10" s="98">
        <v>37492</v>
      </c>
      <c r="AD10" s="98">
        <v>11075</v>
      </c>
      <c r="AE10" s="98">
        <v>280</v>
      </c>
      <c r="AF10" s="98">
        <f t="shared" si="9"/>
        <v>556102</v>
      </c>
      <c r="AG10" s="650"/>
      <c r="AH10" s="650">
        <f t="shared" si="3"/>
        <v>30935824</v>
      </c>
      <c r="AI10" s="226" t="s">
        <v>137</v>
      </c>
      <c r="AJ10" s="98"/>
      <c r="AK10" s="98"/>
      <c r="AL10" s="98"/>
      <c r="AM10" s="98"/>
      <c r="AN10" s="98"/>
      <c r="AO10" s="98"/>
      <c r="AP10" s="98"/>
      <c r="AQ10" s="98"/>
      <c r="AR10" s="98"/>
    </row>
    <row r="11" spans="1:44" x14ac:dyDescent="0.45">
      <c r="A11" s="98" t="s">
        <v>138</v>
      </c>
      <c r="B11" s="1377">
        <f>SUMIF('TARGET 23-24'!$A$4:$A$26,'ACTUAL- 23-24'!A11,'TARGET 23-24'!$B$4:$B$26)</f>
        <v>1.1599999999999999</v>
      </c>
      <c r="C11" s="1377">
        <f>SUMIF('TARGET 23-24'!$A$4:$A$26,'ACTUAL- 23-24'!A11,'TARGET 23-24'!$C$4:$C$26)</f>
        <v>93.43</v>
      </c>
      <c r="D11" s="1377">
        <f t="shared" si="0"/>
        <v>94.59</v>
      </c>
      <c r="E11" s="598">
        <v>10960202</v>
      </c>
      <c r="F11" s="598">
        <v>163510917</v>
      </c>
      <c r="G11" s="1277">
        <v>905586171</v>
      </c>
      <c r="H11" s="1408">
        <f t="shared" si="4"/>
        <v>1069097088</v>
      </c>
      <c r="I11" s="598">
        <f t="shared" si="1"/>
        <v>1080057290</v>
      </c>
      <c r="J11" s="103">
        <f t="shared" si="8"/>
        <v>108.005729</v>
      </c>
      <c r="K11" s="229">
        <f t="shared" si="5"/>
        <v>14.183030975790251</v>
      </c>
      <c r="L11" s="229"/>
      <c r="M11" s="1882">
        <v>910682</v>
      </c>
      <c r="N11" s="98" t="s">
        <v>138</v>
      </c>
      <c r="O11" s="1254">
        <f>48301120+169350</f>
        <v>48470470</v>
      </c>
      <c r="P11" s="1872">
        <v>16328242</v>
      </c>
      <c r="Q11" s="98">
        <v>22831901</v>
      </c>
      <c r="R11" s="98">
        <v>927537</v>
      </c>
      <c r="S11" s="98">
        <v>854150</v>
      </c>
      <c r="T11" s="98">
        <v>2699340</v>
      </c>
      <c r="U11" s="98">
        <f>(23895+675+3675+154708+24949+500+3150)+AF11</f>
        <v>918532</v>
      </c>
      <c r="V11" s="226">
        <f t="shared" si="2"/>
        <v>93030172</v>
      </c>
      <c r="X11" s="280">
        <v>22529</v>
      </c>
      <c r="Y11" s="98">
        <v>483707</v>
      </c>
      <c r="Z11" s="98">
        <v>29855</v>
      </c>
      <c r="AA11" s="98">
        <v>6150</v>
      </c>
      <c r="AB11" s="98">
        <v>28299</v>
      </c>
      <c r="AC11" s="98">
        <v>148750</v>
      </c>
      <c r="AD11" s="98">
        <v>10175</v>
      </c>
      <c r="AE11" s="98">
        <f>32+12</f>
        <v>44</v>
      </c>
      <c r="AF11" s="98">
        <f t="shared" si="9"/>
        <v>706980</v>
      </c>
      <c r="AG11" s="98"/>
      <c r="AH11" s="650">
        <f t="shared" si="3"/>
        <v>16328242</v>
      </c>
      <c r="AI11" s="226" t="s">
        <v>138</v>
      </c>
      <c r="AJ11" s="98"/>
      <c r="AK11" s="98"/>
      <c r="AL11" s="98"/>
      <c r="AM11" s="98"/>
      <c r="AN11" s="98"/>
      <c r="AO11" s="98"/>
      <c r="AP11" s="98"/>
      <c r="AQ11" s="98"/>
      <c r="AR11" s="98"/>
    </row>
    <row r="12" spans="1:44" ht="14.65" thickBot="1" x14ac:dyDescent="0.5">
      <c r="A12" s="98" t="s">
        <v>139</v>
      </c>
      <c r="B12" s="1377">
        <v>1.1599999999999999</v>
      </c>
      <c r="C12" s="1377">
        <v>97.09</v>
      </c>
      <c r="D12" s="1377">
        <f t="shared" si="0"/>
        <v>98.25</v>
      </c>
      <c r="E12" s="598">
        <v>11306687</v>
      </c>
      <c r="F12" s="598">
        <v>164947142</v>
      </c>
      <c r="G12" s="910">
        <v>890416302</v>
      </c>
      <c r="H12" s="1408">
        <f t="shared" si="4"/>
        <v>1055363444</v>
      </c>
      <c r="I12" s="598">
        <f t="shared" si="1"/>
        <v>1066670131</v>
      </c>
      <c r="J12" s="103">
        <f t="shared" si="8"/>
        <v>106.66701310000001</v>
      </c>
      <c r="K12" s="229">
        <f t="shared" si="5"/>
        <v>8.5669344529262137</v>
      </c>
      <c r="L12" s="229"/>
      <c r="M12" s="93">
        <f t="shared" si="6"/>
        <v>106.66701310000001</v>
      </c>
      <c r="N12" s="98" t="s">
        <v>139</v>
      </c>
      <c r="O12" s="824">
        <f>43667967+177360</f>
        <v>43845327</v>
      </c>
      <c r="P12" s="802">
        <v>17289965</v>
      </c>
      <c r="Q12" s="98">
        <v>18521304</v>
      </c>
      <c r="R12" s="98">
        <v>909992</v>
      </c>
      <c r="S12" s="98">
        <v>13921685</v>
      </c>
      <c r="T12" s="98">
        <v>2594240</v>
      </c>
      <c r="U12" s="98">
        <f>(1850+21375+225+28930)+AF12</f>
        <v>661231</v>
      </c>
      <c r="V12" s="226">
        <f t="shared" si="2"/>
        <v>97743744</v>
      </c>
      <c r="X12" s="280">
        <v>27801</v>
      </c>
      <c r="Y12" s="98">
        <v>405549</v>
      </c>
      <c r="Z12" s="98">
        <v>29299</v>
      </c>
      <c r="AA12" s="98">
        <v>0</v>
      </c>
      <c r="AB12" s="98">
        <v>15075</v>
      </c>
      <c r="AC12" s="98">
        <v>151653</v>
      </c>
      <c r="AD12" s="98">
        <v>7275</v>
      </c>
      <c r="AE12" s="98"/>
      <c r="AF12" s="98">
        <f t="shared" si="9"/>
        <v>608851</v>
      </c>
      <c r="AG12" s="650"/>
      <c r="AH12" s="650">
        <f t="shared" si="3"/>
        <v>17289965</v>
      </c>
      <c r="AI12" s="226" t="s">
        <v>139</v>
      </c>
      <c r="AJ12" s="98"/>
      <c r="AK12" s="98"/>
      <c r="AL12" s="98"/>
      <c r="AM12" s="98"/>
      <c r="AN12" s="98"/>
      <c r="AO12" s="98"/>
      <c r="AP12" s="98"/>
      <c r="AQ12" s="98"/>
      <c r="AR12" s="98"/>
    </row>
    <row r="13" spans="1:44" ht="14.65" thickBot="1" x14ac:dyDescent="0.5">
      <c r="A13" s="98" t="s">
        <v>140</v>
      </c>
      <c r="B13" s="1377">
        <f>SUMIF('TARGET 23-24'!$A$4:$A$26,'ACTUAL- 23-24'!A13,'TARGET 23-24'!$B$4:$B$26)</f>
        <v>1.07</v>
      </c>
      <c r="C13" s="1377">
        <f>SUMIF('TARGET 23-24'!$A$4:$A$26,'ACTUAL- 23-24'!A13,'TARGET 23-24'!$C$4:$C$26)</f>
        <v>91.34</v>
      </c>
      <c r="D13" s="1377">
        <f t="shared" si="0"/>
        <v>92.41</v>
      </c>
      <c r="E13" s="598">
        <v>10594442</v>
      </c>
      <c r="F13" s="598">
        <v>173366135</v>
      </c>
      <c r="G13" s="824">
        <v>849619777</v>
      </c>
      <c r="H13" s="1408">
        <f t="shared" si="4"/>
        <v>1022985912</v>
      </c>
      <c r="I13" s="598">
        <f t="shared" si="1"/>
        <v>1033580354</v>
      </c>
      <c r="J13" s="103">
        <f t="shared" si="8"/>
        <v>103.35803540000001</v>
      </c>
      <c r="K13" s="229">
        <f t="shared" si="5"/>
        <v>11.847240991234726</v>
      </c>
      <c r="L13" s="229"/>
      <c r="M13" s="93">
        <f t="shared" si="6"/>
        <v>103.35803540000001</v>
      </c>
      <c r="N13" s="98" t="s">
        <v>140</v>
      </c>
      <c r="O13" s="696">
        <f>40396912+179940</f>
        <v>40576852</v>
      </c>
      <c r="P13" s="98">
        <v>22532630</v>
      </c>
      <c r="Q13" s="280">
        <v>20445176</v>
      </c>
      <c r="R13" s="280">
        <v>849993</v>
      </c>
      <c r="S13" s="778">
        <f>86745+111745</f>
        <v>198490</v>
      </c>
      <c r="T13" s="98">
        <v>2530420</v>
      </c>
      <c r="U13" s="969">
        <f>(1950+18960+900117+28459+180)+AF13</f>
        <v>1357056</v>
      </c>
      <c r="V13" s="226">
        <f t="shared" si="2"/>
        <v>88490617</v>
      </c>
      <c r="X13" s="280">
        <v>27113</v>
      </c>
      <c r="Y13" s="98">
        <v>368870</v>
      </c>
      <c r="Z13" s="98">
        <v>7691</v>
      </c>
      <c r="AA13" s="98"/>
      <c r="AB13" s="98">
        <v>14597</v>
      </c>
      <c r="AC13" s="98">
        <v>7810</v>
      </c>
      <c r="AD13" s="98">
        <v>7175</v>
      </c>
      <c r="AE13" s="98">
        <f>1120+105+22</f>
        <v>1247</v>
      </c>
      <c r="AF13" s="98">
        <f t="shared" si="9"/>
        <v>407390</v>
      </c>
      <c r="AG13" s="650"/>
      <c r="AH13" s="650">
        <f t="shared" si="3"/>
        <v>22532630</v>
      </c>
      <c r="AI13" s="226" t="s">
        <v>140</v>
      </c>
      <c r="AJ13" s="98"/>
      <c r="AK13" s="98"/>
      <c r="AL13" s="98"/>
      <c r="AM13" s="98"/>
      <c r="AN13" s="98"/>
      <c r="AO13" s="98"/>
      <c r="AP13" s="98"/>
      <c r="AQ13" s="98"/>
      <c r="AR13" s="98"/>
    </row>
    <row r="14" spans="1:44" x14ac:dyDescent="0.45">
      <c r="A14" s="98" t="s">
        <v>141</v>
      </c>
      <c r="B14" s="1377">
        <f>SUMIF('TARGET 23-24'!$A$4:$A$26,'ACTUAL- 23-24'!A14,'TARGET 23-24'!$B$4:$B$26)</f>
        <v>1.1399999999999999</v>
      </c>
      <c r="C14" s="1377">
        <f>SUMIF('TARGET 23-24'!$A$4:$A$26,'ACTUAL- 23-24'!A14,'TARGET 23-24'!$C$4:$C$26)</f>
        <v>95.78</v>
      </c>
      <c r="D14" s="1377">
        <f t="shared" si="0"/>
        <v>96.92</v>
      </c>
      <c r="E14" s="598"/>
      <c r="F14" s="598"/>
      <c r="G14" s="598"/>
      <c r="H14" s="1408">
        <f t="shared" si="4"/>
        <v>0</v>
      </c>
      <c r="I14" s="598">
        <f t="shared" si="1"/>
        <v>0</v>
      </c>
      <c r="J14" s="103">
        <f t="shared" si="8"/>
        <v>0</v>
      </c>
      <c r="K14" s="229">
        <f t="shared" si="5"/>
        <v>-100</v>
      </c>
      <c r="L14" s="229"/>
      <c r="M14" s="93">
        <f>173490/10000000</f>
        <v>1.7349E-2</v>
      </c>
      <c r="N14" s="98" t="s">
        <v>141</v>
      </c>
      <c r="O14" s="98"/>
      <c r="P14" s="98"/>
      <c r="Q14" s="98"/>
      <c r="R14" s="98"/>
      <c r="S14" s="98"/>
      <c r="T14" s="98"/>
      <c r="U14" s="98"/>
      <c r="V14" s="226">
        <f t="shared" si="2"/>
        <v>0</v>
      </c>
      <c r="X14" s="280"/>
      <c r="Y14" s="98"/>
      <c r="Z14" s="98"/>
      <c r="AA14" s="98"/>
      <c r="AB14" s="98"/>
      <c r="AC14" s="98"/>
      <c r="AD14" s="98"/>
      <c r="AE14" s="98"/>
      <c r="AF14" s="98">
        <f t="shared" si="9"/>
        <v>0</v>
      </c>
      <c r="AG14" s="650"/>
      <c r="AH14" s="650">
        <f t="shared" si="3"/>
        <v>0</v>
      </c>
      <c r="AI14" s="226" t="s">
        <v>141</v>
      </c>
      <c r="AJ14" s="98"/>
      <c r="AK14" s="98"/>
      <c r="AL14" s="98"/>
      <c r="AM14" s="98"/>
      <c r="AN14" s="98"/>
      <c r="AO14" s="98"/>
      <c r="AP14" s="98"/>
      <c r="AQ14" s="98"/>
      <c r="AR14" s="98"/>
    </row>
    <row r="15" spans="1:44" x14ac:dyDescent="0.45">
      <c r="A15" s="226" t="s">
        <v>63</v>
      </c>
      <c r="B15" s="1376">
        <f>SUM(B3:B14)</f>
        <v>12.600000000000001</v>
      </c>
      <c r="C15" s="1376">
        <f>SUM(C3:C14)</f>
        <v>1051.1300000000001</v>
      </c>
      <c r="D15" s="1376">
        <f>SUM(D3:D14)</f>
        <v>1063.73</v>
      </c>
      <c r="E15" s="599">
        <f>E3+E4+E5+E6+E7+E8+E9+E10+E11+E12+E13+E14</f>
        <v>126253633</v>
      </c>
      <c r="F15" s="599">
        <f>F3+F4+F5+F6+F7+F8+F9+F10+F11+F12+F13+F14</f>
        <v>1847103395</v>
      </c>
      <c r="G15" s="599">
        <f>G3+G4+G5+G6+G7+G8+G9+G10+G11+G12+G13+G14</f>
        <v>9116795327</v>
      </c>
      <c r="H15" s="772">
        <f>SUM(H3:H14)</f>
        <v>10963898722</v>
      </c>
      <c r="I15" s="599">
        <f>I3+I4+I5+I6+I7+I8+I9+I10+I11+I12+I13+I14</f>
        <v>11090152355</v>
      </c>
      <c r="J15" s="600">
        <f>I15/10000000</f>
        <v>1109.0152355</v>
      </c>
      <c r="K15" s="229">
        <f t="shared" si="5"/>
        <v>4.2572114634352705</v>
      </c>
      <c r="L15" s="629"/>
      <c r="N15" s="226" t="s">
        <v>63</v>
      </c>
      <c r="O15" s="599">
        <f>O3+O4+O5+O6+O7+O8+O9+O10+O11+O12+O13+O14</f>
        <v>460189974</v>
      </c>
      <c r="P15" s="599">
        <f>P3+P4+P5+P6+P7+P8+P9+P10+P11+P12+P13+P14</f>
        <v>255424867</v>
      </c>
      <c r="Q15" s="599">
        <f>Q3+Q4+Q5+Q6+Q7+Q8+Q9+Q10+Q11+Q12+Q13+Q14</f>
        <v>261375722</v>
      </c>
      <c r="R15" s="599">
        <f>R3+R4+R5+R6+R7+R8+R9+R10+R11+R12+R13+R14</f>
        <v>10675462.560000001</v>
      </c>
      <c r="S15" s="599">
        <f>S3+S4+S5+S6+S7+S8+S9+S10+S11+S12+S13+S14</f>
        <v>62872039</v>
      </c>
      <c r="T15" s="599">
        <f t="shared" ref="T15" si="10">T3+T4+T5+T6+T7+T8+T9+T10+T11+T12+T13+T14</f>
        <v>29544860</v>
      </c>
      <c r="U15" s="599">
        <f>U3+U4+U5+U6+U7+U8+U9+U10+U11+U12+U13+U14</f>
        <v>10107984</v>
      </c>
      <c r="V15" s="599">
        <f>V3+V4+V5+V6+V7+V8+V9+V10+V11+V12+V13+V14</f>
        <v>1090190908.5599999</v>
      </c>
      <c r="W15" s="1873"/>
      <c r="X15" s="280">
        <f t="shared" ref="X15:AC15" si="11">SUM(X3:X14)</f>
        <v>338922</v>
      </c>
      <c r="Y15" s="98">
        <f>SUM(Y3:Y14)</f>
        <v>4893211</v>
      </c>
      <c r="Z15" s="98">
        <f t="shared" si="11"/>
        <v>149546</v>
      </c>
      <c r="AA15" s="98">
        <f>SUM(AA3:AA14)</f>
        <v>98693</v>
      </c>
      <c r="AB15" s="98">
        <f t="shared" si="11"/>
        <v>302104</v>
      </c>
      <c r="AC15" s="98">
        <f t="shared" si="11"/>
        <v>850994</v>
      </c>
      <c r="AD15" s="98"/>
      <c r="AE15" s="98"/>
      <c r="AF15" s="98">
        <f>Y15+Z15+AA15</f>
        <v>5141450</v>
      </c>
      <c r="AG15" s="802">
        <f>AG3+AG4+AG5+AG6</f>
        <v>0</v>
      </c>
      <c r="AH15" s="98">
        <f>AH3+AH4+AH5+AH6</f>
        <v>102453446</v>
      </c>
      <c r="AI15" s="226" t="s">
        <v>63</v>
      </c>
      <c r="AJ15" s="98"/>
      <c r="AK15" s="98"/>
      <c r="AL15" s="98"/>
      <c r="AM15" s="98"/>
      <c r="AN15" s="98"/>
      <c r="AO15" s="98"/>
      <c r="AP15" s="98"/>
      <c r="AQ15" s="98"/>
      <c r="AR15" s="98"/>
    </row>
    <row r="16" spans="1:44" x14ac:dyDescent="0.45">
      <c r="A16" s="778" t="s">
        <v>894</v>
      </c>
      <c r="B16" s="229">
        <f>B15/365</f>
        <v>3.4520547945205482E-2</v>
      </c>
      <c r="C16" s="229">
        <f>C15/365</f>
        <v>2.8798082191780825</v>
      </c>
      <c r="D16" s="229">
        <f>D15/365</f>
        <v>2.9143287671232878</v>
      </c>
      <c r="E16" s="273">
        <f>(E15/10000000)/275</f>
        <v>4.5910411999999998E-2</v>
      </c>
      <c r="F16" s="273">
        <f>(F15/61)/10000000</f>
        <v>3.0280383524590166</v>
      </c>
      <c r="G16" s="273">
        <f>(G15/61)/10000000</f>
        <v>14.945566109836065</v>
      </c>
      <c r="H16" s="273">
        <f>(H15/61)/10000000</f>
        <v>17.973604462295082</v>
      </c>
      <c r="I16" s="273">
        <f>(I15/306)/10000000</f>
        <v>3.624232795751634</v>
      </c>
      <c r="J16" s="273"/>
      <c r="K16" s="229">
        <f>24.3</f>
        <v>24.3</v>
      </c>
      <c r="M16" s="190">
        <f>S16-0.018</f>
        <v>1.8489999999999999E-3</v>
      </c>
      <c r="O16" s="229">
        <f>O13/10000000</f>
        <v>4.0576851999999999</v>
      </c>
      <c r="P16" s="229">
        <f t="shared" ref="P16:V16" si="12">P13/10000000</f>
        <v>2.253263</v>
      </c>
      <c r="Q16" s="229">
        <f t="shared" si="12"/>
        <v>2.0445175999999998</v>
      </c>
      <c r="R16" s="229">
        <f t="shared" si="12"/>
        <v>8.49993E-2</v>
      </c>
      <c r="S16" s="229">
        <f t="shared" si="12"/>
        <v>1.9848999999999999E-2</v>
      </c>
      <c r="T16" s="229">
        <f t="shared" si="12"/>
        <v>0.25304199999999999</v>
      </c>
      <c r="U16" s="229">
        <f>U13/10000000</f>
        <v>0.13570560000000001</v>
      </c>
      <c r="V16" s="229">
        <f t="shared" si="12"/>
        <v>8.8490617</v>
      </c>
      <c r="W16" s="1877">
        <f>S17-0.046</f>
        <v>6.2412038999999995</v>
      </c>
      <c r="X16" s="273">
        <f>U16-Y16</f>
        <v>9.8818600000000006E-2</v>
      </c>
      <c r="Y16" s="273">
        <f>(Y13+AA13)/10000000</f>
        <v>3.6887000000000003E-2</v>
      </c>
      <c r="AA16" s="273"/>
    </row>
    <row r="17" spans="1:35" x14ac:dyDescent="0.45">
      <c r="A17" s="1373"/>
      <c r="B17" s="1375"/>
      <c r="C17" s="1374"/>
      <c r="D17" s="1374"/>
      <c r="E17" s="1918">
        <f>E15/100000</f>
        <v>1262.5363299999999</v>
      </c>
      <c r="F17" s="1918">
        <f t="shared" ref="F17:I17" si="13">F15/100000</f>
        <v>18471.033950000001</v>
      </c>
      <c r="G17" s="1918">
        <f t="shared" si="13"/>
        <v>91167.953269999998</v>
      </c>
      <c r="H17" s="1918">
        <f t="shared" si="13"/>
        <v>109638.98722</v>
      </c>
      <c r="I17" s="1918">
        <f t="shared" si="13"/>
        <v>110901.52355</v>
      </c>
      <c r="J17" s="1918">
        <f t="shared" ref="J17" si="14">J15/10000000</f>
        <v>1.1090152355E-4</v>
      </c>
      <c r="K17" s="629">
        <f>K16/I16</f>
        <v>6.7048673110857369</v>
      </c>
      <c r="L17" s="629"/>
      <c r="N17" s="1500"/>
      <c r="O17" s="229">
        <f>O15/10000000</f>
        <v>46.018997400000003</v>
      </c>
      <c r="P17" s="1500">
        <f t="shared" ref="P17" si="15">P15/10000000</f>
        <v>25.542486700000001</v>
      </c>
      <c r="Q17" s="1500">
        <f t="shared" ref="Q17:V17" si="16">Q15/10000000</f>
        <v>26.137572200000001</v>
      </c>
      <c r="R17" s="1500">
        <f>R15/10000000</f>
        <v>1.067546256</v>
      </c>
      <c r="S17" s="1500">
        <f>S15/10000000</f>
        <v>6.2872038999999997</v>
      </c>
      <c r="T17" s="1500">
        <f t="shared" si="16"/>
        <v>2.9544860000000002</v>
      </c>
      <c r="U17" s="1500">
        <f>U15/10000000</f>
        <v>1.0107984000000001</v>
      </c>
      <c r="V17" s="1500">
        <f t="shared" si="16"/>
        <v>109.01909085599999</v>
      </c>
      <c r="W17" s="1873"/>
      <c r="X17" s="273">
        <f>U17-Y17</f>
        <v>0.51160800000000006</v>
      </c>
      <c r="Y17" s="1509">
        <f>(Y15+AA15)/10000000</f>
        <v>0.49919039999999998</v>
      </c>
      <c r="Z17" s="781"/>
      <c r="AA17" s="781"/>
      <c r="AB17" s="781"/>
      <c r="AC17" s="781"/>
      <c r="AD17" s="781"/>
      <c r="AE17" s="781"/>
      <c r="AF17" s="781"/>
      <c r="AG17" s="781"/>
    </row>
    <row r="18" spans="1:35" ht="17.25" customHeight="1" x14ac:dyDescent="0.45">
      <c r="A18" s="2539" t="s">
        <v>442</v>
      </c>
      <c r="B18" s="2540"/>
      <c r="C18" s="2540"/>
      <c r="D18" s="2540"/>
      <c r="E18" s="2540"/>
      <c r="F18" s="2540"/>
      <c r="G18" s="2540"/>
      <c r="H18" s="2540"/>
      <c r="I18" s="2540"/>
      <c r="J18" s="2541"/>
      <c r="K18" s="630"/>
      <c r="L18" s="630"/>
      <c r="N18" s="2543" t="s">
        <v>203</v>
      </c>
      <c r="O18" s="2543"/>
      <c r="P18" s="2543"/>
      <c r="Q18" s="2543"/>
      <c r="R18" s="2543"/>
      <c r="S18" s="2543"/>
      <c r="T18" s="2543"/>
      <c r="U18" s="2543"/>
      <c r="V18" s="2543"/>
      <c r="W18" s="1876"/>
      <c r="X18" s="1427"/>
      <c r="Y18" s="1427"/>
      <c r="Z18" s="1427"/>
      <c r="AA18" s="1427"/>
      <c r="AB18" s="1427"/>
      <c r="AC18" s="1427"/>
      <c r="AD18" s="1427"/>
      <c r="AE18" s="1427"/>
      <c r="AF18" s="1427"/>
      <c r="AG18" s="1427"/>
    </row>
    <row r="19" spans="1:35" s="909" customFormat="1" ht="24.75" customHeight="1" x14ac:dyDescent="0.45">
      <c r="A19" s="398"/>
      <c r="B19" s="1082" t="s">
        <v>869</v>
      </c>
      <c r="C19" s="1867" t="s">
        <v>870</v>
      </c>
      <c r="D19" s="1867" t="s">
        <v>878</v>
      </c>
      <c r="E19" s="1868" t="s">
        <v>432</v>
      </c>
      <c r="F19" s="1868" t="s">
        <v>433</v>
      </c>
      <c r="G19" s="1868" t="s">
        <v>434</v>
      </c>
      <c r="H19" s="1867" t="s">
        <v>871</v>
      </c>
      <c r="I19" s="398" t="s">
        <v>63</v>
      </c>
      <c r="J19" s="398" t="s">
        <v>892</v>
      </c>
      <c r="K19" s="1081"/>
      <c r="L19" s="1081"/>
      <c r="M19" s="1869"/>
      <c r="N19" s="398" t="s">
        <v>127</v>
      </c>
      <c r="O19" s="398" t="s">
        <v>445</v>
      </c>
      <c r="P19" s="398" t="s">
        <v>446</v>
      </c>
      <c r="Q19" s="398" t="s">
        <v>447</v>
      </c>
      <c r="R19" s="398" t="s">
        <v>448</v>
      </c>
      <c r="S19" s="398" t="s">
        <v>266</v>
      </c>
      <c r="T19" s="398"/>
      <c r="U19" s="398"/>
      <c r="V19" s="398" t="s">
        <v>63</v>
      </c>
      <c r="W19" s="1874"/>
      <c r="X19" s="1865" t="s">
        <v>275</v>
      </c>
      <c r="Y19" s="1870"/>
      <c r="Z19" s="401" t="s">
        <v>462</v>
      </c>
      <c r="AA19" s="401"/>
      <c r="AB19" s="1081"/>
      <c r="AC19" s="1081"/>
      <c r="AD19" s="1081"/>
      <c r="AE19" s="1081"/>
      <c r="AF19" s="1081"/>
      <c r="AG19" s="1081"/>
      <c r="AI19" s="1081"/>
    </row>
    <row r="20" spans="1:35" x14ac:dyDescent="0.45">
      <c r="A20" s="98" t="s">
        <v>131</v>
      </c>
      <c r="B20" s="1377">
        <f>SUMIF('TARGET 23-24'!$A$31:$A$53,'ACTUAL- 23-24'!A20,'TARGET 23-24'!$B$31:$B$53)</f>
        <v>1.32</v>
      </c>
      <c r="C20" s="1377">
        <f>SUMIF('TARGET 23-24'!$A$31:$A$53,'ACTUAL- 23-24'!A20,'TARGET 23-24'!$C$31:$C$53)</f>
        <v>2.0499999999999998</v>
      </c>
      <c r="D20" s="1377">
        <f t="shared" ref="D20:D31" si="17">B20+C20</f>
        <v>3.37</v>
      </c>
      <c r="E20" s="598">
        <v>1699299</v>
      </c>
      <c r="F20" s="598">
        <v>1718941</v>
      </c>
      <c r="G20" s="598">
        <v>984719</v>
      </c>
      <c r="H20" s="1408">
        <f>F20+G20</f>
        <v>2703660</v>
      </c>
      <c r="I20" s="598">
        <f>H20+E20</f>
        <v>4402959</v>
      </c>
      <c r="J20" s="103">
        <f>I20/1000000</f>
        <v>4.4029590000000001</v>
      </c>
      <c r="K20" s="229">
        <f>(J20-D20)/D20*100</f>
        <v>30.651602373887236</v>
      </c>
      <c r="L20" s="259">
        <f>400292+10008+54740</f>
        <v>465040</v>
      </c>
      <c r="N20" s="98" t="s">
        <v>131</v>
      </c>
      <c r="O20" s="98">
        <v>7369885</v>
      </c>
      <c r="P20" s="98">
        <v>1442686</v>
      </c>
      <c r="Q20" s="98">
        <v>463148</v>
      </c>
      <c r="R20" s="98">
        <v>2153795</v>
      </c>
      <c r="S20" s="98">
        <f>Z20</f>
        <v>906689</v>
      </c>
      <c r="T20" s="103"/>
      <c r="U20" s="98"/>
      <c r="V20" s="226">
        <f>SUM(O20:U20)</f>
        <v>12336203</v>
      </c>
      <c r="W20" s="1878">
        <f>Q20/100000</f>
        <v>4.6314799999999998</v>
      </c>
      <c r="X20" s="98">
        <v>1130174</v>
      </c>
      <c r="Y20" s="98">
        <f>54740+3705+10008+100292+54740</f>
        <v>223485</v>
      </c>
      <c r="Z20" s="98">
        <f t="shared" ref="Z20:Z31" si="18">X20-Y20</f>
        <v>906689</v>
      </c>
      <c r="AA20" s="98"/>
    </row>
    <row r="21" spans="1:35" x14ac:dyDescent="0.45">
      <c r="A21" s="98" t="s">
        <v>132</v>
      </c>
      <c r="B21" s="1377">
        <f>SUMIF('TARGET 23-24'!$A$31:$A$53,'ACTUAL- 23-24'!A21,'TARGET 23-24'!$B$31:$B$53)</f>
        <v>1.57</v>
      </c>
      <c r="C21" s="1377">
        <f>SUMIF('TARGET 23-24'!$A$31:$A$53,'ACTUAL- 23-24'!A21,'TARGET 23-24'!$C$31:$C$53)</f>
        <v>2.12</v>
      </c>
      <c r="D21" s="1377">
        <f t="shared" si="17"/>
        <v>3.6900000000000004</v>
      </c>
      <c r="E21" s="598">
        <v>1778316</v>
      </c>
      <c r="F21" s="598">
        <v>1922124</v>
      </c>
      <c r="G21" s="598">
        <v>979500</v>
      </c>
      <c r="H21" s="1408">
        <f t="shared" ref="H21:H31" si="19">F21+G21</f>
        <v>2901624</v>
      </c>
      <c r="I21" s="598">
        <f t="shared" ref="I21:I31" si="20">H21+E21</f>
        <v>4679940</v>
      </c>
      <c r="J21" s="103">
        <f t="shared" ref="J21:J32" si="21">I21/1000000</f>
        <v>4.6799400000000002</v>
      </c>
      <c r="K21" s="229">
        <f>(J21-D21)/D21*100</f>
        <v>26.827642276422758</v>
      </c>
      <c r="L21" s="229"/>
      <c r="N21" s="98" t="s">
        <v>132</v>
      </c>
      <c r="O21" s="98">
        <v>10164221</v>
      </c>
      <c r="P21" s="98">
        <v>615805</v>
      </c>
      <c r="Q21" s="98">
        <v>1361604</v>
      </c>
      <c r="R21" s="98">
        <v>20659</v>
      </c>
      <c r="S21" s="98">
        <f t="shared" ref="S21:S31" si="22">Z21</f>
        <v>963963</v>
      </c>
      <c r="T21" s="103"/>
      <c r="U21" s="98"/>
      <c r="V21" s="226">
        <f>SUM(O21:U21)</f>
        <v>13126252</v>
      </c>
      <c r="W21" s="1878">
        <f t="shared" ref="W21:W32" si="23">Q21/100000</f>
        <v>13.61604</v>
      </c>
      <c r="X21" s="98">
        <v>1448147</v>
      </c>
      <c r="Y21" s="5">
        <f>(5060+477192+1932)</f>
        <v>484184</v>
      </c>
      <c r="Z21" s="98">
        <f t="shared" si="18"/>
        <v>963963</v>
      </c>
      <c r="AA21" s="98"/>
    </row>
    <row r="22" spans="1:35" x14ac:dyDescent="0.45">
      <c r="A22" s="98" t="s">
        <v>133</v>
      </c>
      <c r="B22" s="1377">
        <f>SUMIF('TARGET 23-24'!$A$31:$A$53,'ACTUAL- 23-24'!A22,'TARGET 23-24'!$B$31:$B$53)</f>
        <v>1.64</v>
      </c>
      <c r="C22" s="1377">
        <f>SUMIF('TARGET 23-24'!$A$31:$A$53,'ACTUAL- 23-24'!A22,'TARGET 23-24'!$C$31:$C$53)</f>
        <v>2.21</v>
      </c>
      <c r="D22" s="1377">
        <f t="shared" si="17"/>
        <v>3.8499999999999996</v>
      </c>
      <c r="E22" s="598">
        <v>1740932</v>
      </c>
      <c r="F22" s="598">
        <v>1686331</v>
      </c>
      <c r="G22" s="598">
        <v>965871</v>
      </c>
      <c r="H22" s="1408">
        <f>F22+G22</f>
        <v>2652202</v>
      </c>
      <c r="I22" s="598">
        <f>H22+E22</f>
        <v>4393134</v>
      </c>
      <c r="J22" s="103">
        <f t="shared" si="21"/>
        <v>4.3931339999999999</v>
      </c>
      <c r="K22" s="259">
        <f>E22+F22+G22</f>
        <v>4393134</v>
      </c>
      <c r="L22" s="229">
        <f>K22/1000000</f>
        <v>4.3931339999999999</v>
      </c>
      <c r="N22" s="98" t="s">
        <v>133</v>
      </c>
      <c r="O22" s="98">
        <v>10995943</v>
      </c>
      <c r="P22" s="98">
        <v>4797417</v>
      </c>
      <c r="Q22" s="98">
        <v>1448660</v>
      </c>
      <c r="R22" s="98">
        <v>0</v>
      </c>
      <c r="S22" s="98">
        <f t="shared" si="22"/>
        <v>520981</v>
      </c>
      <c r="T22" s="103"/>
      <c r="U22" s="98"/>
      <c r="V22" s="226">
        <f>SUM(O22:U22)</f>
        <v>17763001</v>
      </c>
      <c r="W22" s="1878">
        <f t="shared" si="23"/>
        <v>14.486599999999999</v>
      </c>
      <c r="X22" s="98">
        <v>1043726</v>
      </c>
      <c r="Y22" s="98">
        <f>505417+17328</f>
        <v>522745</v>
      </c>
      <c r="Z22" s="98">
        <f t="shared" si="18"/>
        <v>520981</v>
      </c>
      <c r="AA22" s="98"/>
    </row>
    <row r="23" spans="1:35" ht="14.65" thickBot="1" x14ac:dyDescent="0.5">
      <c r="A23" s="98" t="s">
        <v>51</v>
      </c>
      <c r="B23" s="1377">
        <f>SUMIF('TARGET 23-24'!$A$31:$A$53,'ACTUAL- 23-24'!A23,'TARGET 23-24'!$B$31:$B$53)</f>
        <v>1.64</v>
      </c>
      <c r="C23" s="1377">
        <f>SUMIF('TARGET 23-24'!$A$31:$A$53,'ACTUAL- 23-24'!A23,'TARGET 23-24'!$C$31:$C$53)</f>
        <v>2.56</v>
      </c>
      <c r="D23" s="1377">
        <f t="shared" si="17"/>
        <v>4.2</v>
      </c>
      <c r="E23" s="598">
        <v>1893672</v>
      </c>
      <c r="F23" s="598">
        <v>1547388</v>
      </c>
      <c r="G23" s="598">
        <v>1319284</v>
      </c>
      <c r="H23" s="1408">
        <f t="shared" si="19"/>
        <v>2866672</v>
      </c>
      <c r="I23" s="598">
        <f>H23+E23</f>
        <v>4760344</v>
      </c>
      <c r="J23" s="103">
        <f t="shared" si="21"/>
        <v>4.7603439999999999</v>
      </c>
      <c r="K23" s="229"/>
      <c r="L23" s="229"/>
      <c r="N23" s="98" t="s">
        <v>51</v>
      </c>
      <c r="O23" s="98">
        <v>14010620</v>
      </c>
      <c r="P23" s="98">
        <v>1430362</v>
      </c>
      <c r="Q23" s="98">
        <v>413955</v>
      </c>
      <c r="R23" s="98">
        <v>2108819</v>
      </c>
      <c r="S23" s="98">
        <f t="shared" si="22"/>
        <v>658642</v>
      </c>
      <c r="T23" s="103"/>
      <c r="U23" s="98"/>
      <c r="V23" s="226">
        <f t="shared" ref="V23:V31" si="24">SUM(O23:U23)</f>
        <v>18622398</v>
      </c>
      <c r="W23" s="1878">
        <f t="shared" si="23"/>
        <v>4.1395499999999998</v>
      </c>
      <c r="X23" s="98">
        <v>777998</v>
      </c>
      <c r="Y23" s="98">
        <f>(103695+15661)</f>
        <v>119356</v>
      </c>
      <c r="Z23" s="98">
        <f t="shared" si="18"/>
        <v>658642</v>
      </c>
      <c r="AA23" s="98"/>
      <c r="AB23" s="824">
        <v>39329658</v>
      </c>
    </row>
    <row r="24" spans="1:35" x14ac:dyDescent="0.45">
      <c r="A24" s="98" t="s">
        <v>134</v>
      </c>
      <c r="B24" s="1377">
        <f>SUMIF('TARGET 23-24'!$A$31:$A$53,'ACTUAL- 23-24'!A24,'TARGET 23-24'!$B$31:$B$53)</f>
        <v>1.82</v>
      </c>
      <c r="C24" s="1377">
        <f>SUMIF('TARGET 23-24'!$A$31:$A$53,'ACTUAL- 23-24'!A24,'TARGET 23-24'!$C$31:$C$53)</f>
        <v>2.68</v>
      </c>
      <c r="D24" s="1377">
        <f t="shared" si="17"/>
        <v>4.5</v>
      </c>
      <c r="E24" s="598">
        <v>2002648</v>
      </c>
      <c r="F24" s="598">
        <v>1709488</v>
      </c>
      <c r="G24" s="1131">
        <v>1210564</v>
      </c>
      <c r="H24" s="1408">
        <f t="shared" si="19"/>
        <v>2920052</v>
      </c>
      <c r="I24" s="598">
        <f t="shared" si="20"/>
        <v>4922700</v>
      </c>
      <c r="J24" s="103">
        <f t="shared" si="21"/>
        <v>4.9226999999999999</v>
      </c>
      <c r="K24" s="229"/>
      <c r="L24" s="229"/>
      <c r="N24" s="98" t="s">
        <v>134</v>
      </c>
      <c r="O24" s="98">
        <v>13437513</v>
      </c>
      <c r="P24" s="98">
        <v>679345</v>
      </c>
      <c r="Q24" s="98">
        <v>3531348</v>
      </c>
      <c r="R24" s="98">
        <v>21172</v>
      </c>
      <c r="S24" s="98">
        <f t="shared" si="22"/>
        <v>906728</v>
      </c>
      <c r="T24" s="103"/>
      <c r="U24" s="98"/>
      <c r="V24" s="226">
        <f t="shared" si="24"/>
        <v>18576106</v>
      </c>
      <c r="W24" s="1878">
        <f t="shared" si="23"/>
        <v>35.313479999999998</v>
      </c>
      <c r="X24" s="98">
        <v>2013243</v>
      </c>
      <c r="Y24" s="98">
        <f>1097475+9040</f>
        <v>1106515</v>
      </c>
      <c r="Z24" s="98">
        <f t="shared" si="18"/>
        <v>906728</v>
      </c>
      <c r="AA24" s="98"/>
    </row>
    <row r="25" spans="1:35" x14ac:dyDescent="0.45">
      <c r="A25" s="98" t="s">
        <v>135</v>
      </c>
      <c r="B25" s="1377">
        <f>SUMIF('TARGET 23-24'!$A$31:$A$53,'ACTUAL- 23-24'!A25,'TARGET 23-24'!$B$31:$B$53)</f>
        <v>2.04</v>
      </c>
      <c r="C25" s="1377">
        <f>SUMIF('TARGET 23-24'!$A$31:$A$53,'ACTUAL- 23-24'!A25,'TARGET 23-24'!$C$31:$C$53)</f>
        <v>2.85</v>
      </c>
      <c r="D25" s="1377">
        <f t="shared" si="17"/>
        <v>4.8900000000000006</v>
      </c>
      <c r="E25" s="1182">
        <v>1896402</v>
      </c>
      <c r="F25" s="1182">
        <v>1661884</v>
      </c>
      <c r="G25" s="755">
        <v>1081549</v>
      </c>
      <c r="H25" s="1408">
        <f t="shared" si="19"/>
        <v>2743433</v>
      </c>
      <c r="I25" s="598">
        <f>H25+E25</f>
        <v>4639835</v>
      </c>
      <c r="J25" s="103">
        <f t="shared" si="21"/>
        <v>4.6398349999999997</v>
      </c>
      <c r="K25" s="229"/>
      <c r="L25" s="229"/>
      <c r="N25" s="98" t="s">
        <v>135</v>
      </c>
      <c r="O25" s="98">
        <v>7862959</v>
      </c>
      <c r="P25" s="98">
        <v>5354407</v>
      </c>
      <c r="Q25" s="98">
        <v>1088359</v>
      </c>
      <c r="R25" s="98">
        <v>0</v>
      </c>
      <c r="S25" s="98">
        <f t="shared" si="22"/>
        <v>1462215</v>
      </c>
      <c r="T25" s="103"/>
      <c r="U25" s="98"/>
      <c r="V25" s="226">
        <f t="shared" si="24"/>
        <v>15767940</v>
      </c>
      <c r="W25" s="1878">
        <f t="shared" si="23"/>
        <v>10.88359</v>
      </c>
      <c r="X25" s="98">
        <v>1550775</v>
      </c>
      <c r="Y25" s="98">
        <f>80960+7600</f>
        <v>88560</v>
      </c>
      <c r="Z25" s="98">
        <f t="shared" si="18"/>
        <v>1462215</v>
      </c>
      <c r="AA25" s="98"/>
    </row>
    <row r="26" spans="1:35" x14ac:dyDescent="0.45">
      <c r="A26" s="98" t="s">
        <v>136</v>
      </c>
      <c r="B26" s="1377">
        <f>SUMIF('TARGET 23-24'!$A$31:$A$53,'ACTUAL- 23-24'!A26,'TARGET 23-24'!$B$31:$B$53)</f>
        <v>1.86</v>
      </c>
      <c r="C26" s="1377">
        <f>SUMIF('TARGET 23-24'!$A$31:$A$53,'ACTUAL- 23-24'!A26,'TARGET 23-24'!$C$31:$C$53)</f>
        <v>2.97</v>
      </c>
      <c r="D26" s="1377">
        <f t="shared" si="17"/>
        <v>4.83</v>
      </c>
      <c r="E26" s="598">
        <v>1892029</v>
      </c>
      <c r="F26" s="598">
        <v>1630535</v>
      </c>
      <c r="G26" s="1254">
        <v>1186497</v>
      </c>
      <c r="H26" s="1408">
        <f t="shared" si="19"/>
        <v>2817032</v>
      </c>
      <c r="I26" s="598">
        <f t="shared" si="20"/>
        <v>4709061</v>
      </c>
      <c r="J26" s="103">
        <f t="shared" si="21"/>
        <v>4.7090610000000002</v>
      </c>
      <c r="K26" s="229"/>
      <c r="L26" s="229"/>
      <c r="N26" s="98" t="s">
        <v>136</v>
      </c>
      <c r="O26" s="98">
        <v>5006761</v>
      </c>
      <c r="P26" s="98">
        <v>773618</v>
      </c>
      <c r="Q26" s="98">
        <v>1586052</v>
      </c>
      <c r="R26" s="98">
        <v>2027777</v>
      </c>
      <c r="S26" s="98">
        <f>Z26</f>
        <v>1323590</v>
      </c>
      <c r="T26" s="103"/>
      <c r="U26" s="98"/>
      <c r="V26" s="226">
        <f>SUM(O26:U26)</f>
        <v>10717798</v>
      </c>
      <c r="W26" s="1878">
        <f t="shared" si="23"/>
        <v>15.860519999999999</v>
      </c>
      <c r="X26" s="98">
        <v>1500642</v>
      </c>
      <c r="Y26" s="98">
        <f>177052</f>
        <v>177052</v>
      </c>
      <c r="Z26" s="98">
        <f t="shared" si="18"/>
        <v>1323590</v>
      </c>
      <c r="AA26" s="98"/>
    </row>
    <row r="27" spans="1:35" x14ac:dyDescent="0.45">
      <c r="A27" s="98" t="s">
        <v>137</v>
      </c>
      <c r="B27" s="1377">
        <f>SUMIF('TARGET 23-24'!$A$31:$A$53,'ACTUAL- 23-24'!A27,'TARGET 23-24'!$B$31:$B$53)</f>
        <v>2.15</v>
      </c>
      <c r="C27" s="1377">
        <f>SUMIF('TARGET 23-24'!$A$31:$A$53,'ACTUAL- 23-24'!A27,'TARGET 23-24'!$C$31:$C$53)</f>
        <v>3.2</v>
      </c>
      <c r="D27" s="1377">
        <f t="shared" si="17"/>
        <v>5.35</v>
      </c>
      <c r="E27" s="598">
        <v>1706731</v>
      </c>
      <c r="F27" s="598">
        <v>1958023</v>
      </c>
      <c r="G27" s="598">
        <v>1034518</v>
      </c>
      <c r="H27" s="1408">
        <f t="shared" si="19"/>
        <v>2992541</v>
      </c>
      <c r="I27" s="598">
        <f t="shared" si="20"/>
        <v>4699272</v>
      </c>
      <c r="J27" s="103">
        <f t="shared" si="21"/>
        <v>4.6992719999999997</v>
      </c>
      <c r="K27" s="229"/>
      <c r="L27" s="229"/>
      <c r="N27" s="98" t="s">
        <v>137</v>
      </c>
      <c r="O27" s="98">
        <v>13363186</v>
      </c>
      <c r="P27" s="98">
        <v>897892</v>
      </c>
      <c r="Q27" s="98">
        <v>1405762</v>
      </c>
      <c r="R27" s="98">
        <v>0</v>
      </c>
      <c r="S27" s="98">
        <f t="shared" si="22"/>
        <v>857080</v>
      </c>
      <c r="T27" s="103"/>
      <c r="U27" s="98"/>
      <c r="V27" s="226">
        <f>SUM(O27:U27)</f>
        <v>16523920</v>
      </c>
      <c r="W27" s="1878">
        <f t="shared" si="23"/>
        <v>14.05762</v>
      </c>
      <c r="X27" s="98">
        <v>1283329</v>
      </c>
      <c r="Y27" s="98">
        <f>411720+200+14329</f>
        <v>426249</v>
      </c>
      <c r="Z27" s="98">
        <f t="shared" si="18"/>
        <v>857080</v>
      </c>
      <c r="AA27" s="98"/>
    </row>
    <row r="28" spans="1:35" x14ac:dyDescent="0.45">
      <c r="A28" s="98" t="s">
        <v>138</v>
      </c>
      <c r="B28" s="1377">
        <f>SUMIF('TARGET 23-24'!$A$31:$A$53,'ACTUAL- 23-24'!A28,'TARGET 23-24'!$B$31:$B$53)</f>
        <v>2.08</v>
      </c>
      <c r="C28" s="1377">
        <f>SUMIF('TARGET 23-24'!$A$31:$A$53,'ACTUAL- 23-24'!A28,'TARGET 23-24'!$C$31:$C$53)</f>
        <v>3.14</v>
      </c>
      <c r="D28" s="1377">
        <f t="shared" si="17"/>
        <v>5.2200000000000006</v>
      </c>
      <c r="E28" s="598">
        <v>1716467</v>
      </c>
      <c r="F28" s="598">
        <v>1760205</v>
      </c>
      <c r="G28" s="1277">
        <v>1199436</v>
      </c>
      <c r="H28" s="1408">
        <f t="shared" si="19"/>
        <v>2959641</v>
      </c>
      <c r="I28" s="598">
        <f t="shared" si="20"/>
        <v>4676108</v>
      </c>
      <c r="J28" s="103">
        <f t="shared" si="21"/>
        <v>4.6761080000000002</v>
      </c>
      <c r="K28" s="229"/>
      <c r="L28" s="229"/>
      <c r="N28" s="98" t="s">
        <v>138</v>
      </c>
      <c r="O28" s="98">
        <v>12633583</v>
      </c>
      <c r="P28" s="850">
        <v>5488180</v>
      </c>
      <c r="Q28" s="98">
        <v>1084563</v>
      </c>
      <c r="R28" s="98">
        <v>16489</v>
      </c>
      <c r="S28" s="98">
        <f t="shared" si="22"/>
        <v>673547</v>
      </c>
      <c r="T28" s="103"/>
      <c r="U28" s="98"/>
      <c r="V28" s="226">
        <f>SUM(O28:U28)</f>
        <v>19896362</v>
      </c>
      <c r="W28" s="1878">
        <f t="shared" si="23"/>
        <v>10.84563</v>
      </c>
      <c r="X28" s="98">
        <v>1381698</v>
      </c>
      <c r="Y28" s="98">
        <f>707551+600</f>
        <v>708151</v>
      </c>
      <c r="Z28" s="98">
        <f t="shared" si="18"/>
        <v>673547</v>
      </c>
      <c r="AA28" s="98"/>
    </row>
    <row r="29" spans="1:35" x14ac:dyDescent="0.45">
      <c r="A29" s="98" t="s">
        <v>139</v>
      </c>
      <c r="B29" s="1377">
        <f>SUMIF('TARGET 23-24'!$A$31:$A$53,'ACTUAL- 23-24'!A29,'TARGET 23-24'!$B$31:$B$53)</f>
        <v>2.06</v>
      </c>
      <c r="C29" s="1377">
        <f>SUMIF('TARGET 23-24'!$A$31:$A$53,'ACTUAL- 23-24'!A29,'TARGET 23-24'!$C$31:$C$53)</f>
        <v>3.21</v>
      </c>
      <c r="D29" s="1377">
        <f t="shared" si="17"/>
        <v>5.27</v>
      </c>
      <c r="E29" s="598">
        <v>1855519</v>
      </c>
      <c r="F29" s="598">
        <v>1725122</v>
      </c>
      <c r="G29" s="755">
        <v>1169145</v>
      </c>
      <c r="H29" s="1408">
        <f t="shared" si="19"/>
        <v>2894267</v>
      </c>
      <c r="I29" s="598">
        <f t="shared" si="20"/>
        <v>4749786</v>
      </c>
      <c r="J29" s="103">
        <f t="shared" si="21"/>
        <v>4.7497860000000003</v>
      </c>
      <c r="K29" s="229"/>
      <c r="L29" s="229"/>
      <c r="N29" s="98" t="s">
        <v>139</v>
      </c>
      <c r="O29" s="98">
        <v>10028046</v>
      </c>
      <c r="P29" s="98">
        <v>415367</v>
      </c>
      <c r="Q29" s="850">
        <v>1011313</v>
      </c>
      <c r="R29" s="98">
        <v>0</v>
      </c>
      <c r="S29" s="98">
        <f t="shared" si="22"/>
        <v>1891808</v>
      </c>
      <c r="T29" s="103"/>
      <c r="U29" s="98"/>
      <c r="V29" s="226">
        <f>SUM(O29:U29)</f>
        <v>13346534</v>
      </c>
      <c r="W29" s="1878">
        <f t="shared" si="23"/>
        <v>10.11313</v>
      </c>
      <c r="X29" s="98">
        <v>2071406</v>
      </c>
      <c r="Y29" s="98">
        <f>164965+14633</f>
        <v>179598</v>
      </c>
      <c r="Z29" s="98">
        <f t="shared" si="18"/>
        <v>1891808</v>
      </c>
      <c r="AA29" s="98"/>
    </row>
    <row r="30" spans="1:35" ht="14.65" thickBot="1" x14ac:dyDescent="0.5">
      <c r="A30" s="98" t="s">
        <v>140</v>
      </c>
      <c r="B30" s="1377">
        <f>SUMIF('TARGET 23-24'!$A$31:$A$53,'ACTUAL- 23-24'!A30,'TARGET 23-24'!$B$31:$B$53)</f>
        <v>1.91</v>
      </c>
      <c r="C30" s="1377">
        <f>SUMIF('TARGET 23-24'!$A$31:$A$53,'ACTUAL- 23-24'!A30,'TARGET 23-24'!$C$31:$C$53)</f>
        <v>2.85</v>
      </c>
      <c r="D30" s="1377">
        <f t="shared" si="17"/>
        <v>4.76</v>
      </c>
      <c r="E30" s="598">
        <v>1751556</v>
      </c>
      <c r="F30" s="598">
        <v>1704920</v>
      </c>
      <c r="G30" s="824">
        <v>1114986</v>
      </c>
      <c r="H30" s="1408">
        <f t="shared" si="19"/>
        <v>2819906</v>
      </c>
      <c r="I30" s="598">
        <f t="shared" si="20"/>
        <v>4571462</v>
      </c>
      <c r="J30" s="103">
        <f t="shared" si="21"/>
        <v>4.5714620000000004</v>
      </c>
      <c r="K30" s="229"/>
      <c r="L30" s="229"/>
      <c r="N30" s="98" t="s">
        <v>140</v>
      </c>
      <c r="O30" s="98">
        <v>11675700</v>
      </c>
      <c r="P30" s="98">
        <v>649280</v>
      </c>
      <c r="Q30" s="98">
        <v>6508352</v>
      </c>
      <c r="R30" s="98">
        <v>2500250</v>
      </c>
      <c r="S30" s="98">
        <f t="shared" si="22"/>
        <v>1400964</v>
      </c>
      <c r="T30" s="103"/>
      <c r="U30" s="98"/>
      <c r="V30" s="226">
        <f t="shared" si="24"/>
        <v>22734546</v>
      </c>
      <c r="W30" s="1878">
        <f t="shared" si="23"/>
        <v>65.083519999999993</v>
      </c>
      <c r="X30" s="98">
        <v>1976151</v>
      </c>
      <c r="Y30" s="98">
        <f>560037+14650+500</f>
        <v>575187</v>
      </c>
      <c r="Z30" s="98">
        <f t="shared" si="18"/>
        <v>1400964</v>
      </c>
      <c r="AA30" s="98"/>
    </row>
    <row r="31" spans="1:35" x14ac:dyDescent="0.45">
      <c r="A31" s="98" t="s">
        <v>141</v>
      </c>
      <c r="B31" s="1485">
        <f>SUMIF('TARGET 23-24'!$A$31:$A$53,'ACTUAL- 23-24'!A31,'TARGET 23-24'!$B$31:$B$53)</f>
        <v>2</v>
      </c>
      <c r="C31" s="1377">
        <f>SUMIF('TARGET 23-24'!$A$31:$A$53,'ACTUAL- 23-24'!A31,'TARGET 23-24'!$C$31:$C$53)</f>
        <v>3.13</v>
      </c>
      <c r="D31" s="1377">
        <f t="shared" si="17"/>
        <v>5.13</v>
      </c>
      <c r="E31" s="598"/>
      <c r="F31" s="598"/>
      <c r="G31" s="598"/>
      <c r="H31" s="1408">
        <f t="shared" si="19"/>
        <v>0</v>
      </c>
      <c r="I31" s="598">
        <f t="shared" si="20"/>
        <v>0</v>
      </c>
      <c r="J31" s="103">
        <f t="shared" si="21"/>
        <v>0</v>
      </c>
      <c r="K31" s="229"/>
      <c r="L31" s="229"/>
      <c r="N31" s="98" t="s">
        <v>141</v>
      </c>
      <c r="O31" s="98"/>
      <c r="P31" s="98"/>
      <c r="Q31" s="98"/>
      <c r="R31" s="98"/>
      <c r="S31" s="98">
        <f t="shared" si="22"/>
        <v>0</v>
      </c>
      <c r="T31" s="98"/>
      <c r="U31" s="98"/>
      <c r="V31" s="226">
        <f t="shared" si="24"/>
        <v>0</v>
      </c>
      <c r="W31" s="1878">
        <f t="shared" si="23"/>
        <v>0</v>
      </c>
      <c r="X31" s="98"/>
      <c r="Y31" s="98"/>
      <c r="Z31" s="98">
        <f t="shared" si="18"/>
        <v>0</v>
      </c>
      <c r="AA31" s="98"/>
    </row>
    <row r="32" spans="1:35" x14ac:dyDescent="0.45">
      <c r="A32" s="778" t="s">
        <v>63</v>
      </c>
      <c r="B32" s="1376">
        <f>SUM(B20:B31)</f>
        <v>22.09</v>
      </c>
      <c r="C32" s="1376">
        <f>SUM(C20:C31)</f>
        <v>32.97</v>
      </c>
      <c r="D32" s="1376">
        <f>SUM(D20:D31)</f>
        <v>55.06</v>
      </c>
      <c r="E32" s="599">
        <f>E20+E21+E22+E23+E24+E25+E26+E27+E28+E29+E30+E31</f>
        <v>19933571</v>
      </c>
      <c r="F32" s="599">
        <f>F20+F21+F22+F23+F24+F25+F26+F27+F28+F29+F30+F31</f>
        <v>19024961</v>
      </c>
      <c r="G32" s="599">
        <f>G20+G21+G22+G23+G24+G25+G26+G27+G28+G29+G30+G31</f>
        <v>12246069</v>
      </c>
      <c r="H32" s="772">
        <f>SUM(H20:H31)</f>
        <v>31271030</v>
      </c>
      <c r="I32" s="599">
        <f>I20+I21+I22+I23+I24+I25+I26+I27+I28+I29+I30+I31</f>
        <v>51204601</v>
      </c>
      <c r="J32" s="103">
        <f t="shared" si="21"/>
        <v>51.204600999999997</v>
      </c>
      <c r="K32" s="229"/>
      <c r="L32" s="229"/>
      <c r="N32" s="226" t="s">
        <v>63</v>
      </c>
      <c r="O32" s="226">
        <f>SUM(O20:O31)</f>
        <v>116548417</v>
      </c>
      <c r="P32" s="98">
        <f>SUM(P20:P31)</f>
        <v>22544359</v>
      </c>
      <c r="Q32" s="98">
        <f t="shared" ref="Q32:U32" si="25">SUM(Q20:Q31)</f>
        <v>19903116</v>
      </c>
      <c r="R32" s="98">
        <f t="shared" si="25"/>
        <v>8848961</v>
      </c>
      <c r="S32" s="98">
        <f t="shared" si="25"/>
        <v>11566207</v>
      </c>
      <c r="T32" s="98">
        <f t="shared" si="25"/>
        <v>0</v>
      </c>
      <c r="U32" s="98">
        <f t="shared" si="25"/>
        <v>0</v>
      </c>
      <c r="V32" s="226">
        <f>SUM(V20:V31)</f>
        <v>179411060</v>
      </c>
      <c r="W32" s="1878">
        <f t="shared" si="23"/>
        <v>199.03116</v>
      </c>
      <c r="X32" s="98"/>
      <c r="Y32" s="98"/>
      <c r="Z32" s="98"/>
      <c r="AA32" s="98"/>
    </row>
    <row r="33" spans="1:36" x14ac:dyDescent="0.45">
      <c r="A33" s="778" t="s">
        <v>894</v>
      </c>
      <c r="B33" s="229">
        <f>B32/365</f>
        <v>6.0520547945205477E-2</v>
      </c>
      <c r="C33" s="229">
        <f>C32/365</f>
        <v>9.0328767123287662E-2</v>
      </c>
      <c r="D33" s="229">
        <f>D32/365</f>
        <v>0.15084931506849317</v>
      </c>
      <c r="E33" s="273">
        <f>(E32/61)/1000000</f>
        <v>0.32677985245901636</v>
      </c>
      <c r="F33" s="273">
        <f>(F32/61)/1000000</f>
        <v>0.31188460655737704</v>
      </c>
      <c r="G33" s="273">
        <f>(G32/61)/1000000</f>
        <v>0.20075522950819674</v>
      </c>
      <c r="H33" s="273">
        <f>(H32/61)/1000000</f>
        <v>0.51263983606557384</v>
      </c>
      <c r="I33" s="273">
        <f>(I32/306)/1000000</f>
        <v>0.16733529738562092</v>
      </c>
      <c r="K33">
        <f>L33/I33</f>
        <v>26.832354381591607</v>
      </c>
      <c r="L33">
        <v>4.49</v>
      </c>
      <c r="O33" s="229">
        <f>O32/100000</f>
        <v>1165.4841699999999</v>
      </c>
      <c r="P33" s="229">
        <f t="shared" ref="P33:S33" si="26">P32/100000</f>
        <v>225.44359</v>
      </c>
      <c r="Q33" s="229">
        <f t="shared" si="26"/>
        <v>199.03116</v>
      </c>
      <c r="R33" s="229">
        <f t="shared" si="26"/>
        <v>88.489609999999999</v>
      </c>
      <c r="S33" s="229">
        <f t="shared" si="26"/>
        <v>115.66207</v>
      </c>
      <c r="T33" s="229">
        <f t="shared" ref="T33:U33" si="27">T29/10000000</f>
        <v>0</v>
      </c>
      <c r="U33" s="229">
        <f t="shared" si="27"/>
        <v>0</v>
      </c>
      <c r="V33" s="229">
        <f t="shared" ref="V33" si="28">V29/100000</f>
        <v>133.46534</v>
      </c>
    </row>
    <row r="34" spans="1:36" x14ac:dyDescent="0.45">
      <c r="E34" s="1881">
        <f>E32/100000</f>
        <v>199.33571000000001</v>
      </c>
      <c r="F34" s="1881">
        <f t="shared" ref="F34:I34" si="29">F32/100000</f>
        <v>190.24960999999999</v>
      </c>
      <c r="G34" s="1881">
        <f t="shared" si="29"/>
        <v>122.46069</v>
      </c>
      <c r="H34" s="1881">
        <f t="shared" si="29"/>
        <v>312.71030000000002</v>
      </c>
      <c r="I34" s="1881">
        <f t="shared" si="29"/>
        <v>512.04601000000002</v>
      </c>
      <c r="K34">
        <v>11307984</v>
      </c>
      <c r="L34">
        <v>162625700</v>
      </c>
      <c r="O34" s="229">
        <f>O32/10000000</f>
        <v>11.6548417</v>
      </c>
      <c r="P34" s="229">
        <f>P32/10000000</f>
        <v>2.2544358999999998</v>
      </c>
      <c r="Q34" s="229">
        <f t="shared" ref="Q34:V34" si="30">Q32/10000000</f>
        <v>1.9903116000000001</v>
      </c>
      <c r="R34" s="229">
        <f t="shared" si="30"/>
        <v>0.88489609999999996</v>
      </c>
      <c r="S34" s="229">
        <f t="shared" si="30"/>
        <v>1.1566206999999999</v>
      </c>
      <c r="T34" s="229">
        <f t="shared" si="30"/>
        <v>0</v>
      </c>
      <c r="U34" s="229">
        <f t="shared" si="30"/>
        <v>0</v>
      </c>
      <c r="V34" s="629">
        <f t="shared" si="30"/>
        <v>17.941106000000001</v>
      </c>
    </row>
    <row r="35" spans="1:36" x14ac:dyDescent="0.45">
      <c r="E35" s="229">
        <f>E32/100000</f>
        <v>199.33571000000001</v>
      </c>
      <c r="F35" s="229">
        <f t="shared" ref="F35:H35" si="31">F32/100000</f>
        <v>190.24960999999999</v>
      </c>
      <c r="G35" s="229">
        <f t="shared" si="31"/>
        <v>122.46069</v>
      </c>
      <c r="H35" s="229">
        <f t="shared" si="31"/>
        <v>312.71030000000002</v>
      </c>
      <c r="I35" s="229">
        <f>I32/100000</f>
        <v>512.04601000000002</v>
      </c>
      <c r="O35" s="229">
        <f>O30/100000</f>
        <v>116.75700000000001</v>
      </c>
      <c r="P35" s="229">
        <f t="shared" ref="P35:R35" si="32">P30/100000</f>
        <v>6.4927999999999999</v>
      </c>
      <c r="Q35" s="229">
        <f t="shared" si="32"/>
        <v>65.083519999999993</v>
      </c>
      <c r="R35" s="229">
        <f t="shared" si="32"/>
        <v>25.002500000000001</v>
      </c>
      <c r="S35" s="229">
        <f t="shared" ref="S35:T35" si="33">S30/10000000</f>
        <v>0.14009640000000001</v>
      </c>
      <c r="T35" s="229">
        <f t="shared" si="33"/>
        <v>0</v>
      </c>
      <c r="U35" s="229">
        <f t="shared" ref="U35:V35" si="34">U29/10000000</f>
        <v>0</v>
      </c>
      <c r="V35" s="229">
        <f t="shared" si="34"/>
        <v>1.3346534000000001</v>
      </c>
    </row>
    <row r="36" spans="1:36" ht="25.5" customHeight="1" x14ac:dyDescent="0.45">
      <c r="A36" s="2258" t="s">
        <v>127</v>
      </c>
      <c r="B36" s="2275" t="s">
        <v>237</v>
      </c>
      <c r="C36" s="2276"/>
      <c r="D36" s="2276"/>
      <c r="E36" s="2277"/>
      <c r="F36" s="2258" t="s">
        <v>370</v>
      </c>
      <c r="G36" s="2262" t="s">
        <v>371</v>
      </c>
      <c r="H36" s="2258" t="s">
        <v>63</v>
      </c>
      <c r="I36" s="2271" t="s">
        <v>203</v>
      </c>
      <c r="J36" s="2287" t="s">
        <v>477</v>
      </c>
      <c r="M36"/>
      <c r="N36" s="93"/>
      <c r="O36" s="229">
        <f>O32/100000</f>
        <v>1165.4841699999999</v>
      </c>
      <c r="P36" s="229">
        <f t="shared" ref="P36:V36" si="35">P32/100000</f>
        <v>225.44359</v>
      </c>
      <c r="Q36" s="229">
        <f t="shared" si="35"/>
        <v>199.03116</v>
      </c>
      <c r="R36" s="229">
        <f t="shared" si="35"/>
        <v>88.489609999999999</v>
      </c>
      <c r="S36" s="229">
        <f t="shared" si="35"/>
        <v>115.66207</v>
      </c>
      <c r="T36" s="229">
        <f t="shared" si="35"/>
        <v>0</v>
      </c>
      <c r="U36" s="229">
        <f t="shared" si="35"/>
        <v>0</v>
      </c>
      <c r="V36" s="229">
        <f t="shared" si="35"/>
        <v>1794.1106</v>
      </c>
      <c r="W36" s="1877">
        <f>V32/10000000</f>
        <v>17.941106000000001</v>
      </c>
      <c r="AI36"/>
      <c r="AJ36" s="89"/>
    </row>
    <row r="37" spans="1:36" ht="25.5" customHeight="1" x14ac:dyDescent="0.45">
      <c r="A37" s="2259"/>
      <c r="B37" s="855" t="s">
        <v>94</v>
      </c>
      <c r="C37" s="855" t="s">
        <v>1025</v>
      </c>
      <c r="D37" s="855" t="s">
        <v>228</v>
      </c>
      <c r="E37" s="855" t="s">
        <v>63</v>
      </c>
      <c r="F37" s="2259"/>
      <c r="G37" s="2263"/>
      <c r="H37" s="2259"/>
      <c r="I37" s="2271"/>
      <c r="J37" s="2287"/>
      <c r="M37"/>
      <c r="N37" s="93"/>
      <c r="Q37">
        <f>134616</f>
        <v>134616</v>
      </c>
      <c r="R37">
        <v>102962121</v>
      </c>
      <c r="AI37"/>
      <c r="AJ37" s="89"/>
    </row>
    <row r="38" spans="1:36" ht="25.5" customHeight="1" thickBot="1" x14ac:dyDescent="0.5">
      <c r="A38" s="977" t="s">
        <v>131</v>
      </c>
      <c r="B38" s="978">
        <f t="shared" ref="B38:B42" si="36">E3/10000000</f>
        <v>1.0765871</v>
      </c>
      <c r="C38" s="978">
        <f>F3/10000000</f>
        <v>17.5235053</v>
      </c>
      <c r="D38" s="978">
        <f>G3/10000000</f>
        <v>69.480112099999999</v>
      </c>
      <c r="E38" s="927">
        <f t="shared" ref="E38:E45" si="37">SUM(B38:D38)</f>
        <v>88.080204500000008</v>
      </c>
      <c r="F38" s="978">
        <v>30.76</v>
      </c>
      <c r="G38" s="978">
        <f>V3/10000000</f>
        <v>9.8084035000000007</v>
      </c>
      <c r="H38" s="927">
        <f>SUM(E38:G38)</f>
        <v>128.64860800000002</v>
      </c>
      <c r="I38" s="930">
        <f t="shared" ref="I38:I46" si="38">V20/10000000</f>
        <v>1.2336202999999999</v>
      </c>
      <c r="J38" s="647">
        <f t="shared" ref="J38:J44" si="39">I38+H38</f>
        <v>129.88222830000004</v>
      </c>
      <c r="M38"/>
      <c r="N38" s="93"/>
      <c r="Q38">
        <f>Q37-700</f>
        <v>133916</v>
      </c>
      <c r="R38">
        <f>R37-508675</f>
        <v>102453446</v>
      </c>
      <c r="T38" s="229">
        <v>454830</v>
      </c>
      <c r="AI38"/>
      <c r="AJ38" s="89"/>
    </row>
    <row r="39" spans="1:36" ht="25.5" customHeight="1" thickBot="1" x14ac:dyDescent="0.5">
      <c r="A39" s="977" t="s">
        <v>132</v>
      </c>
      <c r="B39" s="978">
        <f t="shared" si="36"/>
        <v>1.1882771999999999</v>
      </c>
      <c r="C39" s="978">
        <f t="shared" ref="C39:D39" si="40">F4/10000000</f>
        <v>19.2016822</v>
      </c>
      <c r="D39" s="978">
        <f t="shared" si="40"/>
        <v>73.726422299999996</v>
      </c>
      <c r="E39" s="927">
        <f t="shared" si="37"/>
        <v>94.116381700000005</v>
      </c>
      <c r="F39" s="978">
        <v>28.04</v>
      </c>
      <c r="G39" s="978">
        <f t="shared" ref="G39:G48" si="41">V4/10000000</f>
        <v>9.9481877999999995</v>
      </c>
      <c r="H39" s="927">
        <f t="shared" ref="H39:H44" si="42">SUM(E39:G39)</f>
        <v>132.1045695</v>
      </c>
      <c r="I39" s="930">
        <f t="shared" si="38"/>
        <v>1.3126252</v>
      </c>
      <c r="J39" s="647">
        <f t="shared" si="39"/>
        <v>133.41719470000001</v>
      </c>
      <c r="M39"/>
      <c r="N39" s="93"/>
      <c r="O39">
        <v>321816</v>
      </c>
      <c r="P39" s="229">
        <f>O39/10000000</f>
        <v>3.2181599999999998E-2</v>
      </c>
      <c r="Q39" s="916">
        <v>465</v>
      </c>
      <c r="R39" s="917">
        <v>425.4</v>
      </c>
      <c r="S39" s="846">
        <v>253.3</v>
      </c>
      <c r="T39" s="229">
        <f>S6-T38</f>
        <v>79872</v>
      </c>
      <c r="U39" s="229">
        <f>(R39-Q39)/Q39*100</f>
        <v>-8.5161290322580694</v>
      </c>
      <c r="V39" s="1387">
        <f>(R39-S39)/S39*100</f>
        <v>67.943150414528205</v>
      </c>
      <c r="X39">
        <v>30</v>
      </c>
      <c r="AI39"/>
      <c r="AJ39" s="89"/>
    </row>
    <row r="40" spans="1:36" ht="25.5" customHeight="1" thickBot="1" x14ac:dyDescent="0.5">
      <c r="A40" s="977" t="s">
        <v>133</v>
      </c>
      <c r="B40" s="978">
        <f t="shared" si="36"/>
        <v>1.1307984</v>
      </c>
      <c r="C40" s="978">
        <f t="shared" ref="C40:D40" si="43">F5/10000000</f>
        <v>16.26257</v>
      </c>
      <c r="D40" s="978">
        <f t="shared" si="43"/>
        <v>72.581863900000002</v>
      </c>
      <c r="E40" s="927">
        <f t="shared" si="37"/>
        <v>89.975232300000002</v>
      </c>
      <c r="F40" s="978">
        <v>36.14</v>
      </c>
      <c r="G40" s="978">
        <f t="shared" si="41"/>
        <v>10.1025905</v>
      </c>
      <c r="H40" s="927">
        <f t="shared" si="42"/>
        <v>136.21782279999999</v>
      </c>
      <c r="I40" s="930">
        <f t="shared" si="38"/>
        <v>1.7763001</v>
      </c>
      <c r="J40" s="647">
        <f t="shared" si="39"/>
        <v>137.99412289999998</v>
      </c>
      <c r="M40"/>
      <c r="N40" s="93"/>
      <c r="O40">
        <v>0</v>
      </c>
      <c r="P40" s="229">
        <f t="shared" ref="O40:P56" si="44">O40/10000000</f>
        <v>0</v>
      </c>
      <c r="Q40" s="480">
        <v>108</v>
      </c>
      <c r="R40" s="915">
        <v>36.869999999999997</v>
      </c>
      <c r="S40" s="844">
        <v>13.5</v>
      </c>
      <c r="T40">
        <f>T39/10000000</f>
        <v>7.9871999999999999E-3</v>
      </c>
      <c r="U40" s="229">
        <f t="shared" ref="U40:U49" si="45">(R40-Q40)/Q40*100</f>
        <v>-65.8611111111111</v>
      </c>
      <c r="V40" s="1387">
        <f t="shared" ref="V40:V49" si="46">(R40-S40)/S40*100</f>
        <v>173.11111111111109</v>
      </c>
      <c r="X40">
        <v>31</v>
      </c>
      <c r="AI40"/>
      <c r="AJ40" s="89"/>
    </row>
    <row r="41" spans="1:36" ht="25.5" customHeight="1" thickBot="1" x14ac:dyDescent="0.5">
      <c r="A41" s="977" t="s">
        <v>51</v>
      </c>
      <c r="B41" s="978">
        <f t="shared" si="36"/>
        <v>1.3062503000000001</v>
      </c>
      <c r="C41" s="978">
        <f t="shared" ref="C41:D41" si="47">F6/10000000</f>
        <v>14.4766896</v>
      </c>
      <c r="D41" s="978">
        <f t="shared" si="47"/>
        <v>102.7973286</v>
      </c>
      <c r="E41" s="927">
        <f t="shared" si="37"/>
        <v>118.5802685</v>
      </c>
      <c r="F41" s="978">
        <v>34.99</v>
      </c>
      <c r="G41" s="978">
        <f t="shared" si="41"/>
        <v>9.2336787000000005</v>
      </c>
      <c r="H41" s="927">
        <f t="shared" si="42"/>
        <v>162.80394720000001</v>
      </c>
      <c r="I41" s="930">
        <f t="shared" si="38"/>
        <v>1.8622398</v>
      </c>
      <c r="J41" s="647">
        <f t="shared" si="39"/>
        <v>164.66618700000001</v>
      </c>
      <c r="M41"/>
      <c r="N41" s="93"/>
      <c r="O41">
        <v>234786</v>
      </c>
      <c r="P41" s="229">
        <f t="shared" si="44"/>
        <v>2.3478599999999999E-2</v>
      </c>
      <c r="Q41" s="480">
        <v>0</v>
      </c>
      <c r="R41" s="915">
        <v>0</v>
      </c>
      <c r="S41" s="844">
        <v>0</v>
      </c>
      <c r="U41" s="229" t="e">
        <f t="shared" si="45"/>
        <v>#DIV/0!</v>
      </c>
      <c r="V41" s="1387" t="e">
        <f t="shared" si="46"/>
        <v>#DIV/0!</v>
      </c>
      <c r="X41">
        <v>30</v>
      </c>
      <c r="AI41"/>
      <c r="AJ41" s="89"/>
    </row>
    <row r="42" spans="1:36" ht="25.5" customHeight="1" thickBot="1" x14ac:dyDescent="0.5">
      <c r="A42" s="977" t="s">
        <v>134</v>
      </c>
      <c r="B42" s="978">
        <f t="shared" si="36"/>
        <v>1.2690824999999999</v>
      </c>
      <c r="C42" s="978">
        <f t="shared" ref="C42:D42" si="48">F7/10000000</f>
        <v>15.6294357</v>
      </c>
      <c r="D42" s="978">
        <f t="shared" si="48"/>
        <v>87.969425099999995</v>
      </c>
      <c r="E42" s="927">
        <f t="shared" si="37"/>
        <v>104.86794329999999</v>
      </c>
      <c r="F42" s="978">
        <v>43.98</v>
      </c>
      <c r="G42" s="978">
        <f t="shared" si="41"/>
        <v>9.5397722560000009</v>
      </c>
      <c r="H42" s="927">
        <f t="shared" si="42"/>
        <v>158.38771555599999</v>
      </c>
      <c r="I42" s="930">
        <f t="shared" si="38"/>
        <v>1.8576105999999999</v>
      </c>
      <c r="J42" s="647">
        <f t="shared" si="39"/>
        <v>160.24532615599998</v>
      </c>
      <c r="M42"/>
      <c r="N42" s="93"/>
      <c r="P42" s="229"/>
      <c r="Q42" s="480"/>
      <c r="R42" s="915"/>
      <c r="S42" s="844"/>
      <c r="U42" s="229"/>
      <c r="V42" s="1387"/>
      <c r="X42">
        <v>31</v>
      </c>
      <c r="AI42"/>
      <c r="AJ42" s="89"/>
    </row>
    <row r="43" spans="1:36" ht="25.5" customHeight="1" thickBot="1" x14ac:dyDescent="0.5">
      <c r="A43" s="977" t="s">
        <v>135</v>
      </c>
      <c r="B43" s="978">
        <f t="shared" ref="B43:B48" si="49">E8/10000000</f>
        <v>1.1621068000000001</v>
      </c>
      <c r="C43" s="978">
        <f t="shared" ref="C43:D43" si="50">F8/10000000</f>
        <v>15.3036523</v>
      </c>
      <c r="D43" s="978">
        <f t="shared" si="50"/>
        <v>79.613969699999998</v>
      </c>
      <c r="E43" s="927">
        <f t="shared" si="37"/>
        <v>96.079728799999998</v>
      </c>
      <c r="F43" s="978">
        <v>40.17</v>
      </c>
      <c r="G43" s="978">
        <f t="shared" si="41"/>
        <v>11.35073</v>
      </c>
      <c r="H43" s="927">
        <f t="shared" si="42"/>
        <v>147.60045880000001</v>
      </c>
      <c r="I43" s="930">
        <f t="shared" si="38"/>
        <v>1.576794</v>
      </c>
      <c r="J43" s="647">
        <f t="shared" si="39"/>
        <v>149.17725280000002</v>
      </c>
      <c r="M43"/>
      <c r="N43" s="93"/>
      <c r="O43">
        <v>793384</v>
      </c>
      <c r="P43" s="229">
        <f t="shared" si="44"/>
        <v>7.9338400000000003E-2</v>
      </c>
      <c r="Q43" s="480">
        <v>65</v>
      </c>
      <c r="R43" s="915">
        <v>82.86</v>
      </c>
      <c r="S43" s="844">
        <v>9.75</v>
      </c>
      <c r="U43" s="229">
        <f t="shared" si="45"/>
        <v>27.476923076923075</v>
      </c>
      <c r="V43" s="1387">
        <f t="shared" si="46"/>
        <v>749.84615384615381</v>
      </c>
      <c r="X43">
        <v>31</v>
      </c>
      <c r="AI43"/>
      <c r="AJ43" s="89"/>
    </row>
    <row r="44" spans="1:36" ht="25.5" customHeight="1" thickBot="1" x14ac:dyDescent="0.5">
      <c r="A44" s="977" t="s">
        <v>136</v>
      </c>
      <c r="B44" s="978">
        <f t="shared" si="49"/>
        <v>1.1250362</v>
      </c>
      <c r="C44" s="978">
        <f t="shared" ref="C44:D44" si="51">F9/10000000</f>
        <v>15.608152799999999</v>
      </c>
      <c r="D44" s="978">
        <f t="shared" si="51"/>
        <v>82.791870200000005</v>
      </c>
      <c r="E44" s="927">
        <f t="shared" si="37"/>
        <v>99.525059200000001</v>
      </c>
      <c r="F44" s="978">
        <v>42.38</v>
      </c>
      <c r="G44" s="978">
        <f t="shared" si="41"/>
        <v>9.8837741999999995</v>
      </c>
      <c r="H44" s="927">
        <f t="shared" si="42"/>
        <v>151.78883340000002</v>
      </c>
      <c r="I44" s="930">
        <f t="shared" si="38"/>
        <v>1.0717798000000001</v>
      </c>
      <c r="J44" s="647">
        <f t="shared" si="39"/>
        <v>152.86061320000002</v>
      </c>
      <c r="M44"/>
      <c r="N44" s="93"/>
      <c r="P44" s="229"/>
      <c r="Q44" s="480"/>
      <c r="R44" s="915"/>
      <c r="S44" s="844"/>
      <c r="U44" s="229"/>
      <c r="V44" s="1387"/>
      <c r="X44">
        <v>30</v>
      </c>
      <c r="AI44"/>
      <c r="AJ44" s="89"/>
    </row>
    <row r="45" spans="1:36" ht="25.5" customHeight="1" thickBot="1" x14ac:dyDescent="0.5">
      <c r="A45" s="977" t="s">
        <v>137</v>
      </c>
      <c r="B45" s="978">
        <f t="shared" si="49"/>
        <v>1.0810917</v>
      </c>
      <c r="C45" s="978">
        <f t="shared" ref="C45:D45" si="52">F10/10000000</f>
        <v>20.522232200000001</v>
      </c>
      <c r="D45" s="978">
        <f t="shared" si="52"/>
        <v>78.156315800000002</v>
      </c>
      <c r="E45" s="927">
        <f t="shared" si="37"/>
        <v>99.759639700000008</v>
      </c>
      <c r="F45" s="978">
        <v>31.41</v>
      </c>
      <c r="G45" s="978">
        <f t="shared" si="41"/>
        <v>11.2255006</v>
      </c>
      <c r="H45" s="927">
        <f>SUM(E45:G45)</f>
        <v>142.39514030000001</v>
      </c>
      <c r="I45" s="930">
        <f t="shared" si="38"/>
        <v>1.6523920000000001</v>
      </c>
      <c r="J45" s="647">
        <f>I45+H45</f>
        <v>144.0475323</v>
      </c>
      <c r="M45"/>
      <c r="N45" s="93"/>
      <c r="P45" s="229"/>
      <c r="Q45" s="480"/>
      <c r="R45" s="915"/>
      <c r="S45" s="844"/>
      <c r="U45" s="229"/>
      <c r="V45" s="1387"/>
      <c r="AI45"/>
      <c r="AJ45" s="89"/>
    </row>
    <row r="46" spans="1:36" ht="25.5" customHeight="1" thickBot="1" x14ac:dyDescent="0.5">
      <c r="A46" s="977" t="s">
        <v>138</v>
      </c>
      <c r="B46" s="978">
        <f t="shared" si="49"/>
        <v>1.0960202000000001</v>
      </c>
      <c r="C46" s="978">
        <f t="shared" ref="C46:D48" si="53">F11/10000000</f>
        <v>16.351091700000001</v>
      </c>
      <c r="D46" s="978">
        <f t="shared" si="53"/>
        <v>90.558617100000006</v>
      </c>
      <c r="E46" s="927">
        <f>SUM(B46:D46)</f>
        <v>108.005729</v>
      </c>
      <c r="F46" s="978">
        <v>40.700000000000003</v>
      </c>
      <c r="G46" s="978">
        <f t="shared" si="41"/>
        <v>9.3030171999999993</v>
      </c>
      <c r="H46" s="927">
        <f>SUM(E46:G46)</f>
        <v>158.00874620000002</v>
      </c>
      <c r="I46" s="930">
        <f t="shared" si="38"/>
        <v>1.9896362000000001</v>
      </c>
      <c r="J46" s="647">
        <f>I46+H46</f>
        <v>159.99838240000003</v>
      </c>
      <c r="K46" s="978">
        <f t="shared" ref="K46:M46" si="54">SUM(K38:K44)</f>
        <v>0</v>
      </c>
      <c r="L46" s="978">
        <f t="shared" si="54"/>
        <v>0</v>
      </c>
      <c r="M46" s="978">
        <f t="shared" si="54"/>
        <v>0</v>
      </c>
      <c r="N46" s="93"/>
      <c r="O46">
        <v>666592</v>
      </c>
      <c r="P46" s="229">
        <f t="shared" si="44"/>
        <v>6.6659200000000002E-2</v>
      </c>
      <c r="Q46" s="480">
        <v>0</v>
      </c>
      <c r="R46" s="915">
        <v>42.83</v>
      </c>
      <c r="S46" s="844">
        <v>2.46</v>
      </c>
      <c r="U46" s="229" t="e">
        <f t="shared" si="45"/>
        <v>#DIV/0!</v>
      </c>
      <c r="V46" s="1387">
        <f t="shared" si="46"/>
        <v>1641.0569105691056</v>
      </c>
      <c r="X46">
        <v>31</v>
      </c>
      <c r="AI46"/>
      <c r="AJ46" s="89"/>
    </row>
    <row r="47" spans="1:36" ht="25.5" customHeight="1" thickBot="1" x14ac:dyDescent="0.5">
      <c r="A47" s="977" t="s">
        <v>872</v>
      </c>
      <c r="B47" s="978">
        <f t="shared" si="49"/>
        <v>1.1306687</v>
      </c>
      <c r="C47" s="978">
        <f t="shared" si="53"/>
        <v>16.494714200000001</v>
      </c>
      <c r="D47" s="978">
        <f t="shared" si="53"/>
        <v>89.0416302</v>
      </c>
      <c r="E47" s="927">
        <f>SUM(B47:D47)</f>
        <v>106.66701310000001</v>
      </c>
      <c r="F47" s="978">
        <v>28.05</v>
      </c>
      <c r="G47" s="978">
        <f t="shared" si="41"/>
        <v>9.7743743999999992</v>
      </c>
      <c r="H47" s="927">
        <f>SUM(E47:G47)</f>
        <v>144.4913875</v>
      </c>
      <c r="I47" s="647">
        <f>V29/10000000</f>
        <v>1.3346534000000001</v>
      </c>
      <c r="J47" s="647">
        <f>I47+H47</f>
        <v>145.82604090000001</v>
      </c>
      <c r="K47" s="978"/>
      <c r="L47" s="978"/>
      <c r="M47" s="978"/>
      <c r="N47" s="93"/>
      <c r="P47" s="229"/>
      <c r="Q47" s="480"/>
      <c r="R47" s="915"/>
      <c r="S47" s="844"/>
      <c r="U47" s="229"/>
      <c r="V47" s="1387"/>
      <c r="AI47"/>
      <c r="AJ47" s="89"/>
    </row>
    <row r="48" spans="1:36" ht="25.5" customHeight="1" thickBot="1" x14ac:dyDescent="0.5">
      <c r="A48" s="977" t="s">
        <v>140</v>
      </c>
      <c r="B48" s="978">
        <f t="shared" si="49"/>
        <v>1.0594441999999999</v>
      </c>
      <c r="C48" s="978">
        <f t="shared" si="53"/>
        <v>17.336613499999999</v>
      </c>
      <c r="D48" s="978">
        <f t="shared" si="53"/>
        <v>84.961977700000006</v>
      </c>
      <c r="E48" s="927">
        <f>SUM(B48:D48)</f>
        <v>103.35803540000001</v>
      </c>
      <c r="F48" s="978">
        <f>'FEB-2024'!G7</f>
        <v>32.64</v>
      </c>
      <c r="G48" s="978">
        <f t="shared" si="41"/>
        <v>8.8490617</v>
      </c>
      <c r="H48" s="927">
        <f>SUM(E48:G48)</f>
        <v>144.84709709999998</v>
      </c>
      <c r="I48" s="647">
        <f>V30/10000000</f>
        <v>2.2734546</v>
      </c>
      <c r="J48" s="647">
        <f>I48+H48</f>
        <v>147.12055169999999</v>
      </c>
      <c r="K48" s="978"/>
      <c r="L48" s="978"/>
      <c r="M48" s="978"/>
      <c r="N48" s="93"/>
      <c r="P48" s="229"/>
      <c r="Q48" s="480"/>
      <c r="R48" s="915"/>
      <c r="S48" s="844"/>
      <c r="U48" s="229"/>
      <c r="V48" s="1387"/>
      <c r="AI48"/>
      <c r="AJ48" s="89"/>
    </row>
    <row r="49" spans="1:36" ht="25.5" customHeight="1" thickBot="1" x14ac:dyDescent="0.55000000000000004">
      <c r="A49" s="977" t="s">
        <v>215</v>
      </c>
      <c r="B49" s="978">
        <f>SUM(B38:B48)</f>
        <v>12.625363299999998</v>
      </c>
      <c r="C49" s="978">
        <f t="shared" ref="C49:J49" si="55">SUM(C38:C48)</f>
        <v>184.7103395</v>
      </c>
      <c r="D49" s="978">
        <f t="shared" si="55"/>
        <v>911.67953269999998</v>
      </c>
      <c r="E49" s="978">
        <f t="shared" si="55"/>
        <v>1109.0152354999998</v>
      </c>
      <c r="F49" s="978">
        <f t="shared" si="55"/>
        <v>389.26</v>
      </c>
      <c r="G49" s="978">
        <f t="shared" si="55"/>
        <v>109.01909085599999</v>
      </c>
      <c r="H49" s="978">
        <f t="shared" si="55"/>
        <v>1607.2943263560001</v>
      </c>
      <c r="I49" s="978">
        <f t="shared" si="55"/>
        <v>17.941106000000001</v>
      </c>
      <c r="J49" s="978">
        <f t="shared" si="55"/>
        <v>1625.2354323560003</v>
      </c>
      <c r="K49" s="1605">
        <f t="shared" ref="K49:M49" si="56">K46/214</f>
        <v>0</v>
      </c>
      <c r="L49" s="1605">
        <f t="shared" si="56"/>
        <v>0</v>
      </c>
      <c r="M49" s="1605">
        <f t="shared" si="56"/>
        <v>0</v>
      </c>
      <c r="N49" s="1813"/>
      <c r="O49">
        <v>4819407</v>
      </c>
      <c r="P49" s="229">
        <f t="shared" si="44"/>
        <v>0.4819407</v>
      </c>
      <c r="Q49" s="1295">
        <v>638</v>
      </c>
      <c r="R49" s="498">
        <v>587.96</v>
      </c>
      <c r="S49" s="499">
        <v>279.01</v>
      </c>
      <c r="U49" s="229">
        <f t="shared" si="45"/>
        <v>-7.8432601880877684</v>
      </c>
      <c r="V49" s="1387">
        <f t="shared" si="46"/>
        <v>110.73079817927676</v>
      </c>
      <c r="AI49"/>
      <c r="AJ49" s="89"/>
    </row>
    <row r="50" spans="1:36" x14ac:dyDescent="0.45">
      <c r="A50" s="977" t="s">
        <v>162</v>
      </c>
      <c r="B50" s="1822">
        <f>B49/11</f>
        <v>1.1477602999999998</v>
      </c>
      <c r="C50" s="1822">
        <f t="shared" ref="C50:J50" si="57">C49/11</f>
        <v>16.791849045454544</v>
      </c>
      <c r="D50" s="1822">
        <f t="shared" si="57"/>
        <v>82.879957518181811</v>
      </c>
      <c r="E50" s="1822">
        <f t="shared" si="57"/>
        <v>100.81956686363634</v>
      </c>
      <c r="F50" s="1822">
        <f t="shared" si="57"/>
        <v>35.387272727272723</v>
      </c>
      <c r="G50" s="1822">
        <f t="shared" si="57"/>
        <v>9.9108264414545442</v>
      </c>
      <c r="H50" s="1822">
        <f t="shared" si="57"/>
        <v>146.11766603236364</v>
      </c>
      <c r="I50" s="1822">
        <f t="shared" si="57"/>
        <v>1.6310096363636364</v>
      </c>
      <c r="J50" s="1822">
        <f t="shared" si="57"/>
        <v>147.74867566872729</v>
      </c>
      <c r="M50"/>
      <c r="N50" s="93"/>
      <c r="O50">
        <v>1203597</v>
      </c>
      <c r="P50" s="229">
        <f t="shared" si="44"/>
        <v>0.1203597</v>
      </c>
      <c r="AI50"/>
      <c r="AJ50" s="89"/>
    </row>
    <row r="51" spans="1:36" ht="15.75" x14ac:dyDescent="0.45">
      <c r="A51" s="1920" t="s">
        <v>168</v>
      </c>
      <c r="B51" s="1921">
        <f>B49/335</f>
        <v>3.768765164179104E-2</v>
      </c>
      <c r="C51" s="1922">
        <f t="shared" ref="C51:J51" si="58">C49/335</f>
        <v>0.55137414776119409</v>
      </c>
      <c r="D51" s="1922">
        <f t="shared" si="58"/>
        <v>2.7214314408955222</v>
      </c>
      <c r="E51" s="1922">
        <f t="shared" si="58"/>
        <v>3.310493240298507</v>
      </c>
      <c r="F51" s="1922">
        <f t="shared" si="58"/>
        <v>1.1619701492537313</v>
      </c>
      <c r="G51" s="1922">
        <f t="shared" si="58"/>
        <v>0.32543012195820892</v>
      </c>
      <c r="H51" s="1922">
        <f t="shared" si="58"/>
        <v>4.7978935115104475</v>
      </c>
      <c r="I51" s="1922">
        <f t="shared" si="58"/>
        <v>5.3555540298507467E-2</v>
      </c>
      <c r="J51" s="1922">
        <f t="shared" si="58"/>
        <v>4.8514490518089559</v>
      </c>
      <c r="N51">
        <v>4454316</v>
      </c>
      <c r="O51" s="229">
        <f t="shared" si="44"/>
        <v>0.44543159999999998</v>
      </c>
      <c r="S51" s="755">
        <v>2930090</v>
      </c>
    </row>
    <row r="52" spans="1:36" ht="18" customHeight="1" x14ac:dyDescent="0.45">
      <c r="B52" s="470"/>
      <c r="C52" s="470"/>
      <c r="D52" s="927"/>
      <c r="E52" s="470"/>
      <c r="F52" s="470"/>
      <c r="G52" s="470"/>
      <c r="H52" s="470"/>
      <c r="I52" s="470"/>
      <c r="N52">
        <v>2668827</v>
      </c>
      <c r="O52" s="229">
        <f t="shared" si="44"/>
        <v>0.26688269999999997</v>
      </c>
      <c r="S52" s="755">
        <v>1213257</v>
      </c>
    </row>
    <row r="53" spans="1:36" ht="18" customHeight="1" x14ac:dyDescent="0.55000000000000004">
      <c r="N53">
        <v>976511</v>
      </c>
      <c r="O53" s="229">
        <f t="shared" si="44"/>
        <v>9.7651100000000005E-2</v>
      </c>
      <c r="S53" s="755">
        <v>615058</v>
      </c>
      <c r="V53" s="89">
        <v>3801786</v>
      </c>
    </row>
    <row r="54" spans="1:36" ht="18" customHeight="1" x14ac:dyDescent="0.45">
      <c r="N54">
        <v>1516779</v>
      </c>
      <c r="O54" s="229">
        <f t="shared" si="44"/>
        <v>0.1516779</v>
      </c>
      <c r="S54">
        <f>SUM(S52:S53)</f>
        <v>1828315</v>
      </c>
      <c r="V54" s="89">
        <v>3801786</v>
      </c>
    </row>
    <row r="55" spans="1:36" ht="18" customHeight="1" x14ac:dyDescent="0.45">
      <c r="A55" s="2258" t="s">
        <v>127</v>
      </c>
      <c r="B55" s="2275" t="s">
        <v>237</v>
      </c>
      <c r="C55" s="2276"/>
      <c r="D55" s="2276"/>
      <c r="E55" s="2277"/>
      <c r="F55" s="2258" t="s">
        <v>370</v>
      </c>
      <c r="G55" s="2262" t="s">
        <v>371</v>
      </c>
      <c r="H55" s="2258" t="s">
        <v>63</v>
      </c>
      <c r="I55" s="2271" t="s">
        <v>203</v>
      </c>
      <c r="J55" s="2287" t="s">
        <v>477</v>
      </c>
      <c r="N55">
        <v>1972632</v>
      </c>
      <c r="O55" s="229">
        <f t="shared" si="44"/>
        <v>0.1972632</v>
      </c>
      <c r="S55">
        <f>S51-S54</f>
        <v>1101775</v>
      </c>
      <c r="V55" s="89">
        <v>3801786</v>
      </c>
    </row>
    <row r="56" spans="1:36" ht="18" customHeight="1" x14ac:dyDescent="0.45">
      <c r="A56" s="2259"/>
      <c r="B56" s="855" t="s">
        <v>94</v>
      </c>
      <c r="C56" s="855" t="s">
        <v>1025</v>
      </c>
      <c r="D56" s="855" t="s">
        <v>228</v>
      </c>
      <c r="E56" s="855" t="s">
        <v>63</v>
      </c>
      <c r="F56" s="2259"/>
      <c r="G56" s="2263"/>
      <c r="H56" s="2259"/>
      <c r="I56" s="2271"/>
      <c r="J56" s="2287"/>
      <c r="N56">
        <v>19628647</v>
      </c>
      <c r="O56" s="229">
        <f t="shared" si="44"/>
        <v>1.9628646999999999</v>
      </c>
      <c r="S56" s="259">
        <f>S55/91</f>
        <v>12107.417582417582</v>
      </c>
      <c r="V56" s="89">
        <f>SUM(V53:V55)</f>
        <v>11405358</v>
      </c>
    </row>
    <row r="57" spans="1:36" ht="25.5" customHeight="1" x14ac:dyDescent="0.55000000000000004">
      <c r="A57" s="1825" t="s">
        <v>139</v>
      </c>
      <c r="B57" s="927">
        <f>'actual fig'!L13/10000000</f>
        <v>1.0602129</v>
      </c>
      <c r="C57" s="927">
        <f>'actual fig'!M13/10000000</f>
        <v>14.918684799999999</v>
      </c>
      <c r="D57" s="927">
        <f>'actual fig'!N13/10000000</f>
        <v>78.501682099999996</v>
      </c>
      <c r="E57" s="927">
        <f>D57+C57+B57</f>
        <v>94.480579799999987</v>
      </c>
      <c r="F57" s="1828">
        <f>29.01+0.3</f>
        <v>29.310000000000002</v>
      </c>
      <c r="G57" s="927">
        <f>'JAN-23'!G8</f>
        <v>7.97</v>
      </c>
      <c r="H57" s="927">
        <f>G57+F57+E57</f>
        <v>131.76057979999999</v>
      </c>
      <c r="I57" s="647">
        <f>'JAN-23'!G9</f>
        <v>1.0965029000000002</v>
      </c>
      <c r="J57" s="103">
        <f>I57+H57</f>
        <v>132.85708269999998</v>
      </c>
      <c r="U57" s="755">
        <v>55373536</v>
      </c>
      <c r="V57" s="89">
        <f>V55*1.1</f>
        <v>4181964.6000000006</v>
      </c>
      <c r="W57" s="1877">
        <f>V57*2</f>
        <v>8363929.2000000011</v>
      </c>
    </row>
    <row r="58" spans="1:36" ht="25.5" customHeight="1" x14ac:dyDescent="0.45">
      <c r="A58" s="1825" t="s">
        <v>140</v>
      </c>
      <c r="B58" s="927">
        <f>'actual fig'!L14/10000000</f>
        <v>0.97473710000000002</v>
      </c>
      <c r="C58" s="927">
        <f>'actual fig'!M14/10000000</f>
        <v>14.417260300000001</v>
      </c>
      <c r="D58" s="927">
        <f>'actual fig'!N14/10000000</f>
        <v>73.469359499999996</v>
      </c>
      <c r="E58" s="927">
        <f t="shared" ref="E58:E68" si="59">D58+C58+B58</f>
        <v>88.86135689999999</v>
      </c>
      <c r="F58" s="1828">
        <f>'FEB -23'!G7</f>
        <v>28.249999999999996</v>
      </c>
      <c r="G58" s="927">
        <f>'FEB -23'!G8</f>
        <v>7.5491078999999992</v>
      </c>
      <c r="H58" s="927">
        <f t="shared" ref="H58:H68" si="60">G58+F58+E58</f>
        <v>124.66046479999999</v>
      </c>
      <c r="I58" s="647">
        <f>'FEB -23'!G9</f>
        <v>1.9947129000000001</v>
      </c>
      <c r="J58" s="103">
        <f t="shared" ref="J58:J68" si="61">I58+H58</f>
        <v>126.65517769999998</v>
      </c>
      <c r="U58">
        <f>U57/10000000</f>
        <v>5.5373536000000003</v>
      </c>
      <c r="V58" s="1387">
        <f>V56+W57</f>
        <v>19769287.200000003</v>
      </c>
    </row>
    <row r="59" spans="1:36" ht="25.5" customHeight="1" x14ac:dyDescent="0.45">
      <c r="A59" s="1825" t="s">
        <v>141</v>
      </c>
      <c r="B59" s="927">
        <f>'actual fig'!L15/10000000</f>
        <v>1.0327909</v>
      </c>
      <c r="C59" s="927">
        <f>'actual fig'!M15/10000000</f>
        <v>14.6200163</v>
      </c>
      <c r="D59" s="927">
        <f>'actual fig'!N15/10000000</f>
        <v>77.650251999999995</v>
      </c>
      <c r="E59" s="927">
        <f t="shared" si="59"/>
        <v>93.303059199999993</v>
      </c>
      <c r="F59" s="1828">
        <f>'MARCH -23 '!G7</f>
        <v>32.89</v>
      </c>
      <c r="G59" s="927">
        <f>'MARCH -23 '!G8</f>
        <v>8.7627875999999993</v>
      </c>
      <c r="H59" s="927">
        <f t="shared" si="60"/>
        <v>134.95584679999999</v>
      </c>
      <c r="I59" s="647">
        <f>'MARCH -23 '!G9</f>
        <v>2.1396953999999999</v>
      </c>
      <c r="J59" s="103">
        <f t="shared" si="61"/>
        <v>137.09554219999998</v>
      </c>
    </row>
    <row r="60" spans="1:36" ht="25.5" customHeight="1" x14ac:dyDescent="0.45">
      <c r="A60" s="1825" t="s">
        <v>131</v>
      </c>
      <c r="B60" s="978">
        <f>B38</f>
        <v>1.0765871</v>
      </c>
      <c r="C60" s="978">
        <f t="shared" ref="C60:I60" si="62">C38</f>
        <v>17.5235053</v>
      </c>
      <c r="D60" s="978">
        <f t="shared" si="62"/>
        <v>69.480112099999999</v>
      </c>
      <c r="E60" s="927">
        <f t="shared" si="59"/>
        <v>88.080204499999994</v>
      </c>
      <c r="F60" s="978">
        <f t="shared" si="62"/>
        <v>30.76</v>
      </c>
      <c r="G60" s="978">
        <f t="shared" si="62"/>
        <v>9.8084035000000007</v>
      </c>
      <c r="H60" s="927">
        <f t="shared" si="60"/>
        <v>128.648608</v>
      </c>
      <c r="I60" s="978">
        <f t="shared" si="62"/>
        <v>1.2336202999999999</v>
      </c>
      <c r="J60" s="103">
        <f t="shared" si="61"/>
        <v>129.88222830000001</v>
      </c>
    </row>
    <row r="61" spans="1:36" ht="25.5" customHeight="1" x14ac:dyDescent="0.45">
      <c r="A61" s="1825" t="s">
        <v>132</v>
      </c>
      <c r="B61" s="978">
        <f t="shared" ref="B61:I61" si="63">B39</f>
        <v>1.1882771999999999</v>
      </c>
      <c r="C61" s="978">
        <f t="shared" si="63"/>
        <v>19.2016822</v>
      </c>
      <c r="D61" s="978">
        <f t="shared" si="63"/>
        <v>73.726422299999996</v>
      </c>
      <c r="E61" s="927">
        <f t="shared" si="59"/>
        <v>94.116381699999991</v>
      </c>
      <c r="F61" s="978">
        <f t="shared" si="63"/>
        <v>28.04</v>
      </c>
      <c r="G61" s="978">
        <f t="shared" si="63"/>
        <v>9.9481877999999995</v>
      </c>
      <c r="H61" s="927">
        <f t="shared" si="60"/>
        <v>132.1045695</v>
      </c>
      <c r="I61" s="978">
        <f t="shared" si="63"/>
        <v>1.3126252</v>
      </c>
      <c r="J61" s="103">
        <f t="shared" si="61"/>
        <v>133.41719470000001</v>
      </c>
    </row>
    <row r="62" spans="1:36" ht="25.5" customHeight="1" x14ac:dyDescent="0.45">
      <c r="A62" s="1825" t="s">
        <v>133</v>
      </c>
      <c r="B62" s="978">
        <f t="shared" ref="B62:I62" si="64">B40</f>
        <v>1.1307984</v>
      </c>
      <c r="C62" s="978">
        <f t="shared" si="64"/>
        <v>16.26257</v>
      </c>
      <c r="D62" s="978">
        <f t="shared" si="64"/>
        <v>72.581863900000002</v>
      </c>
      <c r="E62" s="927">
        <f t="shared" si="59"/>
        <v>89.975232300000002</v>
      </c>
      <c r="F62" s="978">
        <f t="shared" si="64"/>
        <v>36.14</v>
      </c>
      <c r="G62" s="978">
        <f t="shared" si="64"/>
        <v>10.1025905</v>
      </c>
      <c r="H62" s="927">
        <f t="shared" si="60"/>
        <v>136.21782279999999</v>
      </c>
      <c r="I62" s="978">
        <f t="shared" si="64"/>
        <v>1.7763001</v>
      </c>
      <c r="J62" s="103">
        <f t="shared" si="61"/>
        <v>137.99412289999998</v>
      </c>
    </row>
    <row r="63" spans="1:36" ht="25.5" customHeight="1" x14ac:dyDescent="0.45">
      <c r="A63" s="1825" t="s">
        <v>51</v>
      </c>
      <c r="B63" s="978">
        <f t="shared" ref="B63:I63" si="65">B41</f>
        <v>1.3062503000000001</v>
      </c>
      <c r="C63" s="978">
        <f t="shared" si="65"/>
        <v>14.4766896</v>
      </c>
      <c r="D63" s="978">
        <f t="shared" si="65"/>
        <v>102.7973286</v>
      </c>
      <c r="E63" s="927">
        <f t="shared" si="59"/>
        <v>118.5802685</v>
      </c>
      <c r="F63" s="978">
        <f t="shared" si="65"/>
        <v>34.99</v>
      </c>
      <c r="G63" s="978">
        <f t="shared" si="65"/>
        <v>9.2336787000000005</v>
      </c>
      <c r="H63" s="927">
        <f t="shared" si="60"/>
        <v>162.80394720000001</v>
      </c>
      <c r="I63" s="978">
        <f t="shared" si="65"/>
        <v>1.8622398</v>
      </c>
      <c r="J63" s="103">
        <f t="shared" si="61"/>
        <v>164.66618700000001</v>
      </c>
    </row>
    <row r="64" spans="1:36" ht="25.5" customHeight="1" x14ac:dyDescent="0.45">
      <c r="A64" s="1825" t="s">
        <v>134</v>
      </c>
      <c r="B64" s="978">
        <f t="shared" ref="B64:I64" si="66">B42</f>
        <v>1.2690824999999999</v>
      </c>
      <c r="C64" s="978">
        <f t="shared" si="66"/>
        <v>15.6294357</v>
      </c>
      <c r="D64" s="978">
        <f t="shared" si="66"/>
        <v>87.969425099999995</v>
      </c>
      <c r="E64" s="927">
        <f t="shared" si="59"/>
        <v>104.86794329999999</v>
      </c>
      <c r="F64" s="978">
        <f t="shared" si="66"/>
        <v>43.98</v>
      </c>
      <c r="G64" s="978">
        <f t="shared" si="66"/>
        <v>9.5397722560000009</v>
      </c>
      <c r="H64" s="927">
        <f t="shared" si="60"/>
        <v>158.38771555599999</v>
      </c>
      <c r="I64" s="978">
        <f t="shared" si="66"/>
        <v>1.8576105999999999</v>
      </c>
      <c r="J64" s="103">
        <f t="shared" si="61"/>
        <v>160.24532615599998</v>
      </c>
    </row>
    <row r="65" spans="1:10" ht="25.5" customHeight="1" x14ac:dyDescent="0.45">
      <c r="A65" s="1825" t="s">
        <v>135</v>
      </c>
      <c r="B65" s="978">
        <f t="shared" ref="B65:I65" si="67">B43</f>
        <v>1.1621068000000001</v>
      </c>
      <c r="C65" s="978">
        <f t="shared" si="67"/>
        <v>15.3036523</v>
      </c>
      <c r="D65" s="978">
        <f t="shared" si="67"/>
        <v>79.613969699999998</v>
      </c>
      <c r="E65" s="927">
        <f t="shared" si="59"/>
        <v>96.079728799999998</v>
      </c>
      <c r="F65" s="978">
        <f t="shared" si="67"/>
        <v>40.17</v>
      </c>
      <c r="G65" s="978">
        <f t="shared" si="67"/>
        <v>11.35073</v>
      </c>
      <c r="H65" s="927">
        <f t="shared" si="60"/>
        <v>147.60045880000001</v>
      </c>
      <c r="I65" s="978">
        <f t="shared" si="67"/>
        <v>1.576794</v>
      </c>
      <c r="J65" s="103">
        <f t="shared" si="61"/>
        <v>149.17725280000002</v>
      </c>
    </row>
    <row r="66" spans="1:10" ht="25.5" customHeight="1" x14ac:dyDescent="0.45">
      <c r="A66" s="1825" t="s">
        <v>136</v>
      </c>
      <c r="B66" s="978">
        <f t="shared" ref="B66:I66" si="68">B44</f>
        <v>1.1250362</v>
      </c>
      <c r="C66" s="978">
        <f t="shared" si="68"/>
        <v>15.608152799999999</v>
      </c>
      <c r="D66" s="978">
        <f t="shared" si="68"/>
        <v>82.791870200000005</v>
      </c>
      <c r="E66" s="927">
        <f t="shared" si="59"/>
        <v>99.525059200000001</v>
      </c>
      <c r="F66" s="978">
        <f t="shared" si="68"/>
        <v>42.38</v>
      </c>
      <c r="G66" s="978">
        <f t="shared" si="68"/>
        <v>9.8837741999999995</v>
      </c>
      <c r="H66" s="927">
        <f t="shared" si="60"/>
        <v>151.78883339999999</v>
      </c>
      <c r="I66" s="978">
        <f t="shared" si="68"/>
        <v>1.0717798000000001</v>
      </c>
      <c r="J66" s="103">
        <f t="shared" si="61"/>
        <v>152.86061319999999</v>
      </c>
    </row>
    <row r="67" spans="1:10" ht="25.5" customHeight="1" x14ac:dyDescent="0.45">
      <c r="A67" s="1825" t="s">
        <v>137</v>
      </c>
      <c r="B67" s="978">
        <f t="shared" ref="B67:I67" si="69">B45</f>
        <v>1.0810917</v>
      </c>
      <c r="C67" s="978">
        <f t="shared" si="69"/>
        <v>20.522232200000001</v>
      </c>
      <c r="D67" s="978">
        <f t="shared" si="69"/>
        <v>78.156315800000002</v>
      </c>
      <c r="E67" s="927">
        <f t="shared" si="59"/>
        <v>99.759639700000008</v>
      </c>
      <c r="F67" s="978">
        <f t="shared" si="69"/>
        <v>31.41</v>
      </c>
      <c r="G67" s="978">
        <f t="shared" si="69"/>
        <v>11.2255006</v>
      </c>
      <c r="H67" s="927">
        <f t="shared" si="60"/>
        <v>142.39514030000001</v>
      </c>
      <c r="I67" s="978">
        <f t="shared" si="69"/>
        <v>1.6523920000000001</v>
      </c>
      <c r="J67" s="103">
        <f t="shared" si="61"/>
        <v>144.0475323</v>
      </c>
    </row>
    <row r="68" spans="1:10" ht="25.5" customHeight="1" x14ac:dyDescent="0.45">
      <c r="A68" s="1825" t="s">
        <v>138</v>
      </c>
      <c r="B68" s="978">
        <f t="shared" ref="B68:G68" si="70">B46</f>
        <v>1.0960202000000001</v>
      </c>
      <c r="C68" s="978">
        <f t="shared" si="70"/>
        <v>16.351091700000001</v>
      </c>
      <c r="D68" s="978">
        <f t="shared" si="70"/>
        <v>90.558617100000006</v>
      </c>
      <c r="E68" s="927">
        <f t="shared" si="59"/>
        <v>108.005729</v>
      </c>
      <c r="F68" s="978">
        <f t="shared" si="70"/>
        <v>40.700000000000003</v>
      </c>
      <c r="G68" s="978">
        <f t="shared" si="70"/>
        <v>9.3030171999999993</v>
      </c>
      <c r="H68" s="927">
        <f t="shared" si="60"/>
        <v>158.00874620000002</v>
      </c>
      <c r="I68" s="978"/>
      <c r="J68" s="103">
        <f t="shared" si="61"/>
        <v>158.00874620000002</v>
      </c>
    </row>
    <row r="69" spans="1:10" ht="25.5" customHeight="1" x14ac:dyDescent="0.45">
      <c r="A69" s="1825" t="s">
        <v>1033</v>
      </c>
      <c r="B69" s="978">
        <f>SUM(B60:B68)</f>
        <v>10.435250399999999</v>
      </c>
      <c r="C69" s="978">
        <f t="shared" ref="C69:H69" si="71">SUM(C60:C68)</f>
        <v>150.8790118</v>
      </c>
      <c r="D69" s="978">
        <f t="shared" si="71"/>
        <v>737.67592479999996</v>
      </c>
      <c r="E69" s="978">
        <f t="shared" si="71"/>
        <v>898.99018699999988</v>
      </c>
      <c r="F69" s="978">
        <f t="shared" si="71"/>
        <v>328.57</v>
      </c>
      <c r="G69" s="978">
        <f t="shared" si="71"/>
        <v>90.395654755999999</v>
      </c>
      <c r="H69" s="978">
        <f t="shared" si="71"/>
        <v>1317.9558417560002</v>
      </c>
      <c r="I69" s="978">
        <f>SUM(I60:I68)</f>
        <v>12.3433618</v>
      </c>
      <c r="J69" s="978">
        <f>SUM(J60:J68)</f>
        <v>1330.2992035560001</v>
      </c>
    </row>
    <row r="70" spans="1:10" x14ac:dyDescent="0.45">
      <c r="A70" s="855" t="s">
        <v>1032</v>
      </c>
      <c r="B70" s="927">
        <f>SUM(B57:B69)</f>
        <v>23.938241699999999</v>
      </c>
      <c r="C70" s="927">
        <f>SUM(C57:C68)</f>
        <v>194.83497320000001</v>
      </c>
      <c r="D70" s="927">
        <f>SUM(D57:D68)</f>
        <v>967.29721839999991</v>
      </c>
      <c r="E70" s="927">
        <f>SUM(E57:E68)</f>
        <v>1175.6351828999998</v>
      </c>
      <c r="F70" s="927">
        <f>SUM(F57:F68)</f>
        <v>419.02000000000004</v>
      </c>
      <c r="G70" s="927">
        <f>SUM(G57:G68)</f>
        <v>114.677550256</v>
      </c>
      <c r="H70" s="927">
        <f>G70+F70+E70</f>
        <v>1709.3327331559999</v>
      </c>
      <c r="I70" s="927">
        <v>12.34</v>
      </c>
      <c r="J70" s="927">
        <f>SUM(J57:J68)</f>
        <v>1726.9070061560001</v>
      </c>
    </row>
    <row r="71" spans="1:10" x14ac:dyDescent="0.45">
      <c r="F71" s="1827"/>
    </row>
    <row r="72" spans="1:10" x14ac:dyDescent="0.45">
      <c r="F72" s="229"/>
    </row>
  </sheetData>
  <mergeCells count="19">
    <mergeCell ref="A55:A56"/>
    <mergeCell ref="A1:J1"/>
    <mergeCell ref="A18:J18"/>
    <mergeCell ref="N1:V1"/>
    <mergeCell ref="N18:V18"/>
    <mergeCell ref="F55:F56"/>
    <mergeCell ref="G55:G56"/>
    <mergeCell ref="H55:H56"/>
    <mergeCell ref="I55:I56"/>
    <mergeCell ref="J55:J56"/>
    <mergeCell ref="B55:E55"/>
    <mergeCell ref="AI1:AQ1"/>
    <mergeCell ref="I36:I37"/>
    <mergeCell ref="J36:J37"/>
    <mergeCell ref="A36:A37"/>
    <mergeCell ref="F36:F37"/>
    <mergeCell ref="G36:G37"/>
    <mergeCell ref="H36:H37"/>
    <mergeCell ref="B36:E36"/>
  </mergeCells>
  <phoneticPr fontId="166" type="noConversion"/>
  <pageMargins left="0.24" right="0.16" top="0.75" bottom="0.75" header="0.3" footer="0.3"/>
  <pageSetup paperSize="9" scale="26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B4565-4DA0-458B-9FCC-9ADCCEAD4B3E}">
  <sheetPr>
    <pageSetUpPr fitToPage="1"/>
  </sheetPr>
  <dimension ref="A1:AE120"/>
  <sheetViews>
    <sheetView tabSelected="1" topLeftCell="A80" zoomScale="90" zoomScaleNormal="90" workbookViewId="0">
      <selection activeCell="K97" sqref="K97"/>
    </sheetView>
  </sheetViews>
  <sheetFormatPr defaultRowHeight="14.25" x14ac:dyDescent="0.45"/>
  <cols>
    <col min="1" max="1" width="15.59765625" customWidth="1"/>
    <col min="2" max="2" width="12.265625" customWidth="1"/>
    <col min="3" max="3" width="11" customWidth="1"/>
    <col min="4" max="4" width="12.73046875" customWidth="1"/>
    <col min="5" max="5" width="11.86328125" customWidth="1"/>
    <col min="6" max="6" width="16.265625" customWidth="1"/>
    <col min="7" max="7" width="13.86328125" customWidth="1"/>
    <col min="8" max="8" width="12.265625" customWidth="1"/>
    <col min="10" max="10" width="10.86328125" customWidth="1"/>
    <col min="11" max="11" width="11.59765625" customWidth="1"/>
    <col min="12" max="12" width="10.59765625" customWidth="1"/>
    <col min="13" max="13" width="11.265625" customWidth="1"/>
    <col min="14" max="14" width="10.265625" customWidth="1"/>
    <col min="16" max="16" width="11.1328125" bestFit="1" customWidth="1"/>
    <col min="17" max="17" width="13.59765625" customWidth="1"/>
    <col min="18" max="18" width="10.59765625" bestFit="1" customWidth="1"/>
    <col min="19" max="20" width="9.3984375" bestFit="1" customWidth="1"/>
    <col min="21" max="21" width="11.3984375" bestFit="1" customWidth="1"/>
    <col min="22" max="22" width="9.73046875" bestFit="1" customWidth="1"/>
    <col min="23" max="23" width="9.265625" bestFit="1" customWidth="1"/>
    <col min="24" max="24" width="11.1328125" bestFit="1" customWidth="1"/>
    <col min="26" max="27" width="10.3984375" bestFit="1" customWidth="1"/>
    <col min="31" max="31" width="10" bestFit="1" customWidth="1"/>
  </cols>
  <sheetData>
    <row r="1" spans="1:28" x14ac:dyDescent="0.45">
      <c r="A1" s="2421" t="s">
        <v>896</v>
      </c>
      <c r="B1" s="2421"/>
      <c r="C1" s="2421"/>
      <c r="D1" s="2421"/>
      <c r="E1" s="2421"/>
      <c r="F1" s="2421"/>
      <c r="G1" s="2421"/>
      <c r="H1" s="2421"/>
      <c r="K1">
        <f>K8*10000000</f>
        <v>100000000</v>
      </c>
    </row>
    <row r="2" spans="1:28" x14ac:dyDescent="0.45">
      <c r="A2" s="2258" t="s">
        <v>127</v>
      </c>
      <c r="B2" s="2275" t="s">
        <v>237</v>
      </c>
      <c r="C2" s="2276"/>
      <c r="D2" s="2277"/>
      <c r="E2" s="2258" t="s">
        <v>370</v>
      </c>
      <c r="F2" s="2262" t="s">
        <v>371</v>
      </c>
      <c r="G2" s="2258" t="s">
        <v>63</v>
      </c>
      <c r="H2" s="2258" t="s">
        <v>203</v>
      </c>
      <c r="K2">
        <f>K1/100000</f>
        <v>1000</v>
      </c>
    </row>
    <row r="3" spans="1:28" x14ac:dyDescent="0.45">
      <c r="A3" s="2259"/>
      <c r="B3" s="855" t="s">
        <v>94</v>
      </c>
      <c r="C3" s="855" t="s">
        <v>97</v>
      </c>
      <c r="D3" s="855" t="s">
        <v>63</v>
      </c>
      <c r="E3" s="2259"/>
      <c r="F3" s="2263"/>
      <c r="G3" s="2259"/>
      <c r="H3" s="2259"/>
      <c r="K3" s="777" t="s">
        <v>124</v>
      </c>
      <c r="L3" s="777" t="s">
        <v>489</v>
      </c>
      <c r="M3" s="777" t="s">
        <v>548</v>
      </c>
      <c r="N3" s="777" t="s">
        <v>436</v>
      </c>
      <c r="O3" s="777" t="s">
        <v>449</v>
      </c>
      <c r="Q3" s="855" t="s">
        <v>94</v>
      </c>
      <c r="R3" s="855" t="s">
        <v>97</v>
      </c>
      <c r="S3" s="855" t="s">
        <v>63</v>
      </c>
      <c r="T3" t="s">
        <v>370</v>
      </c>
      <c r="U3" t="s">
        <v>371</v>
      </c>
      <c r="V3" s="1112" t="s">
        <v>548</v>
      </c>
      <c r="W3" t="s">
        <v>124</v>
      </c>
      <c r="X3" t="s">
        <v>489</v>
      </c>
      <c r="Z3" t="s">
        <v>436</v>
      </c>
      <c r="AA3" t="s">
        <v>449</v>
      </c>
    </row>
    <row r="4" spans="1:28" x14ac:dyDescent="0.45">
      <c r="A4" s="977" t="s">
        <v>131</v>
      </c>
      <c r="B4" s="977">
        <v>0.71</v>
      </c>
      <c r="C4" s="978">
        <v>74.790000000000006</v>
      </c>
      <c r="D4" s="977">
        <f>SUM(B4:C4)</f>
        <v>75.5</v>
      </c>
      <c r="E4" s="977">
        <v>33.58</v>
      </c>
      <c r="F4" s="977">
        <v>11.35</v>
      </c>
      <c r="G4" s="977">
        <f>SUM(D4:F4)</f>
        <v>120.42999999999999</v>
      </c>
      <c r="H4" s="977">
        <v>1.6</v>
      </c>
      <c r="I4">
        <f>G4+H4</f>
        <v>122.02999999999999</v>
      </c>
      <c r="J4" s="1790" t="s">
        <v>131</v>
      </c>
      <c r="K4" s="122">
        <v>2.94</v>
      </c>
      <c r="L4" s="122">
        <v>0.39</v>
      </c>
      <c r="M4" s="977">
        <f>SUM(K4:L4)</f>
        <v>3.33</v>
      </c>
      <c r="N4" s="122">
        <v>1.85</v>
      </c>
      <c r="O4" s="1296">
        <v>33600</v>
      </c>
      <c r="Q4" s="229">
        <f>B87/31</f>
        <v>3.870967741935484E-2</v>
      </c>
      <c r="R4" s="229">
        <f t="shared" ref="R4:S4" si="0">C87/31</f>
        <v>3.2525806451612902</v>
      </c>
      <c r="S4" s="229">
        <f t="shared" si="0"/>
        <v>3.2912903225806454</v>
      </c>
      <c r="T4" s="229">
        <f>E87/31</f>
        <v>1.1706451612903226</v>
      </c>
      <c r="U4" s="229">
        <f>F87/31</f>
        <v>0.31322580645161291</v>
      </c>
      <c r="V4" s="229">
        <f>G87/31</f>
        <v>4.7751612903225809</v>
      </c>
      <c r="W4" s="229">
        <f>K25/31</f>
        <v>8.8709677419354843E-2</v>
      </c>
      <c r="X4" s="229">
        <f t="shared" ref="X4:Y4" si="1">L25/31</f>
        <v>8.7096774193548398E-3</v>
      </c>
      <c r="Y4" s="229">
        <f t="shared" si="1"/>
        <v>9.7419354838709685E-2</v>
      </c>
      <c r="Z4" s="229">
        <f>N25/31</f>
        <v>5.9677419354838709E-2</v>
      </c>
      <c r="AA4" s="259">
        <f>O25/31</f>
        <v>851.29032258064512</v>
      </c>
    </row>
    <row r="5" spans="1:28" x14ac:dyDescent="0.45">
      <c r="A5" s="977" t="s">
        <v>132</v>
      </c>
      <c r="B5" s="977">
        <v>0.93</v>
      </c>
      <c r="C5" s="978">
        <v>77.08</v>
      </c>
      <c r="D5" s="977">
        <f>SUM(B5:C5)</f>
        <v>78.010000000000005</v>
      </c>
      <c r="E5" s="977">
        <v>31.71</v>
      </c>
      <c r="F5" s="977">
        <v>15.18</v>
      </c>
      <c r="G5" s="977">
        <f>SUM(D5:F5)</f>
        <v>124.9</v>
      </c>
      <c r="H5" s="977">
        <v>1.6</v>
      </c>
      <c r="I5">
        <f t="shared" ref="I5:I27" si="2">G5+H5</f>
        <v>126.5</v>
      </c>
      <c r="J5" s="1790" t="s">
        <v>132</v>
      </c>
      <c r="K5" s="122">
        <v>3.73</v>
      </c>
      <c r="L5" s="122">
        <v>0.36</v>
      </c>
      <c r="M5" s="977">
        <f>SUM(K5:L5)</f>
        <v>4.09</v>
      </c>
      <c r="N5" s="122">
        <v>1.85</v>
      </c>
      <c r="O5" s="1296">
        <v>33930</v>
      </c>
      <c r="Q5" s="229">
        <f>Q4*3</f>
        <v>0.11612903225806452</v>
      </c>
      <c r="R5" s="229">
        <f t="shared" ref="R5:AA5" si="3">R4*3</f>
        <v>9.757741935483871</v>
      </c>
      <c r="S5" s="229">
        <f t="shared" si="3"/>
        <v>9.8738709677419365</v>
      </c>
      <c r="T5" s="229">
        <f t="shared" si="3"/>
        <v>3.5119354838709675</v>
      </c>
      <c r="U5" s="229">
        <f t="shared" si="3"/>
        <v>0.93967741935483873</v>
      </c>
      <c r="V5" s="229">
        <f t="shared" si="3"/>
        <v>14.325483870967743</v>
      </c>
      <c r="W5" s="229">
        <f t="shared" si="3"/>
        <v>0.2661290322580645</v>
      </c>
      <c r="X5" s="229">
        <f t="shared" si="3"/>
        <v>2.6129032258064518E-2</v>
      </c>
      <c r="Y5" s="229">
        <f t="shared" si="3"/>
        <v>0.29225806451612907</v>
      </c>
      <c r="Z5" s="229">
        <f t="shared" si="3"/>
        <v>0.17903225806451611</v>
      </c>
      <c r="AA5" s="229">
        <f t="shared" si="3"/>
        <v>2553.8709677419356</v>
      </c>
      <c r="AB5" s="229">
        <f t="shared" ref="AB5" si="4">AB4*11</f>
        <v>0</v>
      </c>
    </row>
    <row r="6" spans="1:28" x14ac:dyDescent="0.45">
      <c r="A6" s="980" t="s">
        <v>204</v>
      </c>
      <c r="B6" s="980">
        <f>SUM(B4:B5)</f>
        <v>1.6400000000000001</v>
      </c>
      <c r="C6" s="981">
        <f>SUM(C4:C5)</f>
        <v>151.87</v>
      </c>
      <c r="D6" s="1379">
        <f>SUM(B6:C6)</f>
        <v>153.51</v>
      </c>
      <c r="E6" s="980">
        <f>SUM(E4:E5)</f>
        <v>65.289999999999992</v>
      </c>
      <c r="F6" s="980">
        <f>SUM(F4:F5)</f>
        <v>26.53</v>
      </c>
      <c r="G6" s="980">
        <f>SUM(G4:G5)</f>
        <v>245.32999999999998</v>
      </c>
      <c r="H6" s="980">
        <f>SUM(H4:H5)</f>
        <v>3.2</v>
      </c>
      <c r="I6">
        <f t="shared" si="2"/>
        <v>248.52999999999997</v>
      </c>
      <c r="J6" s="1791" t="s">
        <v>204</v>
      </c>
      <c r="K6" s="980">
        <f>SUM(K4:K5)</f>
        <v>6.67</v>
      </c>
      <c r="L6" s="981">
        <f>SUM(L4:L5)</f>
        <v>0.75</v>
      </c>
      <c r="M6" s="981">
        <f>K6+L6</f>
        <v>7.42</v>
      </c>
      <c r="N6" s="981">
        <f>SUM(N4:N5)</f>
        <v>3.7</v>
      </c>
      <c r="O6" s="1487">
        <f>SUM(O4:O5)</f>
        <v>67530</v>
      </c>
      <c r="Q6" s="189">
        <f>B86+Q5</f>
        <v>12.176129032258066</v>
      </c>
      <c r="R6" s="189">
        <f t="shared" ref="R6:U6" si="5">C86+R5</f>
        <v>1015.3877419354839</v>
      </c>
      <c r="S6" s="189">
        <f t="shared" si="5"/>
        <v>1027.5638709677419</v>
      </c>
      <c r="T6" s="189">
        <f t="shared" si="5"/>
        <v>411.92193548387093</v>
      </c>
      <c r="U6" s="189">
        <f t="shared" si="5"/>
        <v>115.25967741935483</v>
      </c>
      <c r="V6" s="189">
        <f>G86+V5</f>
        <v>1554.7454838709677</v>
      </c>
      <c r="W6" s="189">
        <f>K24+W5</f>
        <v>34.526129032258069</v>
      </c>
      <c r="X6" s="189">
        <f>L24+X5</f>
        <v>3.1561290322580646</v>
      </c>
      <c r="Y6" s="189">
        <f>M24+Y5</f>
        <v>37.682258064516134</v>
      </c>
      <c r="Z6" s="189">
        <f>N24+Z5</f>
        <v>20.829032258064519</v>
      </c>
      <c r="AA6" s="215">
        <f t="shared" ref="AA6" si="6">O24+AA5</f>
        <v>286403.87096774194</v>
      </c>
    </row>
    <row r="7" spans="1:28" x14ac:dyDescent="0.45">
      <c r="A7" s="977" t="s">
        <v>133</v>
      </c>
      <c r="B7" s="977">
        <v>0.94</v>
      </c>
      <c r="C7" s="978">
        <v>79.77</v>
      </c>
      <c r="D7" s="978">
        <f>B7+C7</f>
        <v>80.709999999999994</v>
      </c>
      <c r="E7" s="977">
        <v>42.52</v>
      </c>
      <c r="F7" s="977">
        <v>16.22</v>
      </c>
      <c r="G7" s="977">
        <f>SUM(D7:F7)</f>
        <v>139.44999999999999</v>
      </c>
      <c r="H7" s="977">
        <v>1.6</v>
      </c>
      <c r="I7">
        <f t="shared" si="2"/>
        <v>141.04999999999998</v>
      </c>
      <c r="J7" s="1790" t="s">
        <v>133</v>
      </c>
      <c r="K7" s="122">
        <v>3.33</v>
      </c>
      <c r="L7" s="122">
        <v>0.28999999999999998</v>
      </c>
      <c r="M7" s="977">
        <f>SUM(K7:L7)</f>
        <v>3.62</v>
      </c>
      <c r="N7" s="122">
        <v>2.15</v>
      </c>
      <c r="O7" s="1296">
        <v>27930</v>
      </c>
    </row>
    <row r="8" spans="1:28" x14ac:dyDescent="0.45">
      <c r="A8" s="980" t="s">
        <v>205</v>
      </c>
      <c r="B8" s="980">
        <f t="shared" ref="B8:G8" si="7">SUM(B6:B7)</f>
        <v>2.58</v>
      </c>
      <c r="C8" s="981">
        <f t="shared" si="7"/>
        <v>231.64</v>
      </c>
      <c r="D8" s="980">
        <f t="shared" si="7"/>
        <v>234.21999999999997</v>
      </c>
      <c r="E8" s="980">
        <f t="shared" si="7"/>
        <v>107.81</v>
      </c>
      <c r="F8" s="980">
        <f t="shared" si="7"/>
        <v>42.75</v>
      </c>
      <c r="G8" s="980">
        <f t="shared" si="7"/>
        <v>384.78</v>
      </c>
      <c r="H8" s="980">
        <f>SUM(H6:H7)</f>
        <v>4.8000000000000007</v>
      </c>
      <c r="I8">
        <f t="shared" si="2"/>
        <v>389.58</v>
      </c>
      <c r="J8" s="1791" t="s">
        <v>205</v>
      </c>
      <c r="K8" s="980">
        <f>SUM(K6:K7)</f>
        <v>10</v>
      </c>
      <c r="L8" s="981">
        <f>SUM(L6:L7)</f>
        <v>1.04</v>
      </c>
      <c r="M8" s="981">
        <f>K8+L8</f>
        <v>11.04</v>
      </c>
      <c r="N8" s="981">
        <f>SUM(N6:N7)</f>
        <v>5.85</v>
      </c>
      <c r="O8" s="1487">
        <f>SUM(O6:O7)</f>
        <v>95460</v>
      </c>
      <c r="Q8" s="229"/>
      <c r="R8" s="229"/>
      <c r="S8" s="229"/>
      <c r="T8" s="229"/>
      <c r="U8" s="229" t="s">
        <v>932</v>
      </c>
      <c r="V8" s="229" t="s">
        <v>932</v>
      </c>
      <c r="W8" s="229" t="s">
        <v>714</v>
      </c>
      <c r="X8" s="229"/>
    </row>
    <row r="9" spans="1:28" ht="14.65" thickBot="1" x14ac:dyDescent="0.5">
      <c r="A9" s="977" t="s">
        <v>51</v>
      </c>
      <c r="B9" s="977">
        <v>1.02</v>
      </c>
      <c r="C9" s="978">
        <v>91.24</v>
      </c>
      <c r="D9" s="977">
        <f>SUM(B9:C9)</f>
        <v>92.259999999999991</v>
      </c>
      <c r="E9" s="977">
        <v>48.87</v>
      </c>
      <c r="F9" s="977">
        <v>12.19</v>
      </c>
      <c r="G9" s="977">
        <f>SUM(D9:F9)</f>
        <v>153.32</v>
      </c>
      <c r="H9" s="977">
        <v>1.6</v>
      </c>
      <c r="I9">
        <f t="shared" si="2"/>
        <v>154.91999999999999</v>
      </c>
      <c r="J9" s="1790" t="s">
        <v>51</v>
      </c>
      <c r="K9" s="122">
        <v>3.78</v>
      </c>
      <c r="L9" s="122">
        <v>0.33</v>
      </c>
      <c r="M9" s="977">
        <f>SUM(K9:L9)</f>
        <v>4.1099999999999994</v>
      </c>
      <c r="N9" s="122">
        <v>1.55</v>
      </c>
      <c r="O9" s="1296">
        <v>18700</v>
      </c>
      <c r="P9" t="s">
        <v>131</v>
      </c>
      <c r="Q9">
        <f>SUMIF($A$4:$A$26,P9,$O$4:$O$26)</f>
        <v>33600</v>
      </c>
      <c r="R9">
        <f>'ACTUAL- 23-24'!X3</f>
        <v>36962</v>
      </c>
      <c r="S9">
        <f>SUMIF($A$4:$A$26,P9,$N$4:$N$26)</f>
        <v>1.85</v>
      </c>
      <c r="T9" s="229">
        <f>'ACTUAL- 23-24'!P3/10000000</f>
        <v>2.8013569999999999</v>
      </c>
      <c r="U9" s="216">
        <f>(R9-Q9)/Q9*100</f>
        <v>10.005952380952381</v>
      </c>
      <c r="V9" s="216">
        <f>(T9-S9)/S9*100</f>
        <v>51.424702702702682</v>
      </c>
      <c r="W9">
        <f>(R9-X9)/X9*100</f>
        <v>2.4355262089681487E-2</v>
      </c>
      <c r="X9" s="1385">
        <v>36953</v>
      </c>
      <c r="Y9" s="1384">
        <v>2.48</v>
      </c>
      <c r="Z9" s="229">
        <f>(T9-Y9)/Y9*100</f>
        <v>12.957943548387094</v>
      </c>
    </row>
    <row r="10" spans="1:28" ht="14.65" thickBot="1" x14ac:dyDescent="0.5">
      <c r="A10" s="980" t="s">
        <v>207</v>
      </c>
      <c r="B10" s="981">
        <f t="shared" ref="B10:G10" si="8">SUM(B8:B9)</f>
        <v>3.6</v>
      </c>
      <c r="C10" s="981">
        <f t="shared" si="8"/>
        <v>322.88</v>
      </c>
      <c r="D10" s="980">
        <f t="shared" si="8"/>
        <v>326.47999999999996</v>
      </c>
      <c r="E10" s="980">
        <f t="shared" si="8"/>
        <v>156.68</v>
      </c>
      <c r="F10" s="980">
        <f t="shared" si="8"/>
        <v>54.94</v>
      </c>
      <c r="G10" s="980">
        <f t="shared" si="8"/>
        <v>538.09999999999991</v>
      </c>
      <c r="H10" s="980">
        <f>SUM(H8:H9)</f>
        <v>6.4</v>
      </c>
      <c r="I10">
        <f t="shared" si="2"/>
        <v>544.49999999999989</v>
      </c>
      <c r="J10" s="1791" t="s">
        <v>207</v>
      </c>
      <c r="K10" s="980">
        <f>SUM(K8:K9)</f>
        <v>13.78</v>
      </c>
      <c r="L10" s="981">
        <f>SUM(L8:L9)</f>
        <v>1.37</v>
      </c>
      <c r="M10" s="981">
        <f>K10+L10</f>
        <v>15.149999999999999</v>
      </c>
      <c r="N10" s="981">
        <f>SUM(N8:N9)</f>
        <v>7.3999999999999995</v>
      </c>
      <c r="O10" s="1487">
        <f>SUM(O8:O9)</f>
        <v>114160</v>
      </c>
      <c r="P10" t="s">
        <v>132</v>
      </c>
      <c r="Q10">
        <f t="shared" ref="Q10:Q20" si="9">SUMIF($A$4:$A$26,P10,$O$4:$O$26)</f>
        <v>33930</v>
      </c>
      <c r="R10">
        <f>'ACTUAL- 23-24'!X4</f>
        <v>34152</v>
      </c>
      <c r="S10">
        <f t="shared" ref="S10:S20" si="10">SUMIF($A$4:$A$26,P10,$N$4:$N$26)</f>
        <v>1.85</v>
      </c>
      <c r="T10" s="229">
        <f>'ACTUAL- 23-24'!P4/10000000</f>
        <v>2.7613979999999998</v>
      </c>
      <c r="U10" s="216">
        <f>(R10-Q10)/Q10*100</f>
        <v>0.65428824049513701</v>
      </c>
      <c r="V10" s="216">
        <f t="shared" ref="V10:V20" si="11">(T10-S10)/S10*100</f>
        <v>49.264756756756739</v>
      </c>
      <c r="W10">
        <f>(R10-X10)/X10*100</f>
        <v>-8.4691252144082334</v>
      </c>
      <c r="X10" s="1385">
        <v>37312</v>
      </c>
      <c r="Y10" s="1384">
        <v>2.5499999999999998</v>
      </c>
      <c r="Z10" s="229">
        <f t="shared" ref="Z10:Z20" si="12">(T10-Y10)/Y10*100</f>
        <v>8.2901176470588229</v>
      </c>
    </row>
    <row r="11" spans="1:28" ht="14.65" thickBot="1" x14ac:dyDescent="0.5">
      <c r="A11" s="977" t="s">
        <v>134</v>
      </c>
      <c r="B11" s="977">
        <v>1.0900000000000001</v>
      </c>
      <c r="C11" s="978">
        <v>87.84</v>
      </c>
      <c r="D11" s="977">
        <f>SUM(B11:C11)</f>
        <v>88.93</v>
      </c>
      <c r="E11" s="977">
        <v>41.59</v>
      </c>
      <c r="F11" s="977">
        <v>10.85</v>
      </c>
      <c r="G11" s="977">
        <f>SUM(D11:F11)</f>
        <v>141.37</v>
      </c>
      <c r="H11" s="977">
        <v>1.6</v>
      </c>
      <c r="I11">
        <f t="shared" si="2"/>
        <v>142.97</v>
      </c>
      <c r="J11" s="1790" t="s">
        <v>134</v>
      </c>
      <c r="K11" s="122">
        <v>3.17</v>
      </c>
      <c r="L11" s="122">
        <v>0.26</v>
      </c>
      <c r="M11" s="977">
        <f>SUM(K11:L11)</f>
        <v>3.4299999999999997</v>
      </c>
      <c r="N11" s="122">
        <v>1.55</v>
      </c>
      <c r="O11" s="1296">
        <v>19130</v>
      </c>
      <c r="P11" t="s">
        <v>133</v>
      </c>
      <c r="Q11">
        <f t="shared" si="9"/>
        <v>27930</v>
      </c>
      <c r="R11">
        <f>'ACTUAL- 23-24'!X5</f>
        <v>34018</v>
      </c>
      <c r="S11">
        <f t="shared" si="10"/>
        <v>2.15</v>
      </c>
      <c r="T11" s="229">
        <f>'ACTUAL- 23-24'!P5/10000000</f>
        <v>2.6578195999999998</v>
      </c>
      <c r="U11" s="216">
        <f>(R11-Q11)/Q11*100</f>
        <v>21.797350519155032</v>
      </c>
      <c r="V11" s="216">
        <f t="shared" si="11"/>
        <v>23.619516279069767</v>
      </c>
      <c r="W11">
        <f t="shared" ref="W11:W20" si="13">(R11-X11)/X11*100</f>
        <v>10.757309370319724</v>
      </c>
      <c r="X11" s="1385">
        <v>30714</v>
      </c>
      <c r="Y11" s="1384">
        <v>2.0499999999999998</v>
      </c>
      <c r="Z11" s="229">
        <f t="shared" si="12"/>
        <v>29.649736585365854</v>
      </c>
    </row>
    <row r="12" spans="1:28" ht="14.65" thickBot="1" x14ac:dyDescent="0.5">
      <c r="A12" s="980" t="s">
        <v>208</v>
      </c>
      <c r="B12" s="980">
        <f t="shared" ref="B12:H12" si="14">SUM(B10:B11)</f>
        <v>4.6900000000000004</v>
      </c>
      <c r="C12" s="981">
        <f t="shared" si="14"/>
        <v>410.72</v>
      </c>
      <c r="D12" s="980">
        <f t="shared" si="14"/>
        <v>415.40999999999997</v>
      </c>
      <c r="E12" s="980">
        <f t="shared" si="14"/>
        <v>198.27</v>
      </c>
      <c r="F12" s="980">
        <f t="shared" si="14"/>
        <v>65.789999999999992</v>
      </c>
      <c r="G12" s="980">
        <f t="shared" si="14"/>
        <v>679.46999999999991</v>
      </c>
      <c r="H12" s="980">
        <f t="shared" si="14"/>
        <v>8</v>
      </c>
      <c r="I12">
        <f t="shared" si="2"/>
        <v>687.46999999999991</v>
      </c>
      <c r="J12" s="1791" t="s">
        <v>208</v>
      </c>
      <c r="K12" s="980">
        <f>SUM(K10:K11)</f>
        <v>16.95</v>
      </c>
      <c r="L12" s="981">
        <f>SUM(L10:L11)</f>
        <v>1.6300000000000001</v>
      </c>
      <c r="M12" s="981">
        <f>K12+L12</f>
        <v>18.579999999999998</v>
      </c>
      <c r="N12" s="981">
        <f>SUM(N10:N11)</f>
        <v>8.9499999999999993</v>
      </c>
      <c r="O12" s="1487">
        <f>SUM(O10:O11)</f>
        <v>133290</v>
      </c>
      <c r="P12" t="s">
        <v>51</v>
      </c>
      <c r="Q12">
        <f t="shared" si="9"/>
        <v>18700</v>
      </c>
      <c r="R12">
        <f>'ACTUAL- 23-24'!X6</f>
        <v>28784</v>
      </c>
      <c r="S12">
        <f t="shared" si="10"/>
        <v>1.55</v>
      </c>
      <c r="T12" s="229">
        <f>'ACTUAL- 23-24'!P6/10000000</f>
        <v>2.0247700000000002</v>
      </c>
      <c r="U12" s="216">
        <f>(R12-Q12)/Q12*100</f>
        <v>53.925133689839576</v>
      </c>
      <c r="V12" s="216">
        <f>(T12-S12)/S12*100</f>
        <v>30.630322580645171</v>
      </c>
      <c r="W12">
        <f>(R12-X12)/X12*100</f>
        <v>40.034054974458769</v>
      </c>
      <c r="X12" s="1385">
        <v>20555</v>
      </c>
      <c r="Y12" s="1384">
        <v>1.53</v>
      </c>
      <c r="Z12" s="229">
        <f t="shared" si="12"/>
        <v>32.337908496732041</v>
      </c>
    </row>
    <row r="13" spans="1:28" ht="14.65" thickBot="1" x14ac:dyDescent="0.5">
      <c r="A13" s="977" t="s">
        <v>135</v>
      </c>
      <c r="B13" s="977">
        <v>1.1100000000000001</v>
      </c>
      <c r="C13" s="978">
        <v>88.45</v>
      </c>
      <c r="D13" s="977">
        <f>SUM(B13:C13)</f>
        <v>89.56</v>
      </c>
      <c r="E13" s="977">
        <v>46.87</v>
      </c>
      <c r="F13" s="977">
        <v>14.16</v>
      </c>
      <c r="G13" s="977">
        <f>SUM(D13:F13)</f>
        <v>150.59</v>
      </c>
      <c r="H13" s="977">
        <v>1.6</v>
      </c>
      <c r="I13">
        <f t="shared" si="2"/>
        <v>152.19</v>
      </c>
      <c r="J13" s="1790" t="s">
        <v>135</v>
      </c>
      <c r="K13" s="122">
        <v>3.69</v>
      </c>
      <c r="L13" s="122">
        <v>0.26</v>
      </c>
      <c r="M13" s="977">
        <f>SUM(K13:L13)</f>
        <v>3.95</v>
      </c>
      <c r="N13" s="122">
        <v>1.9</v>
      </c>
      <c r="O13" s="1296">
        <v>24140</v>
      </c>
      <c r="P13" t="s">
        <v>134</v>
      </c>
      <c r="Q13">
        <f t="shared" si="9"/>
        <v>19130</v>
      </c>
      <c r="R13">
        <v>28484</v>
      </c>
      <c r="S13">
        <f t="shared" si="10"/>
        <v>1.55</v>
      </c>
      <c r="T13" s="229">
        <f>'ACTUAL- 23-24'!P7/10000000</f>
        <v>1.9527635000000001</v>
      </c>
      <c r="U13" s="216">
        <f t="shared" ref="U13:U20" si="15">(R13-Q13)/Q13*100</f>
        <v>48.897020386826973</v>
      </c>
      <c r="V13" s="216">
        <f t="shared" si="11"/>
        <v>25.984741935483875</v>
      </c>
      <c r="W13">
        <f>(R13-X13)/X13*100</f>
        <v>35.354495343090669</v>
      </c>
      <c r="X13" s="1385">
        <v>21044</v>
      </c>
      <c r="Y13" s="1384">
        <v>1.53</v>
      </c>
      <c r="Z13" s="229">
        <f t="shared" si="12"/>
        <v>27.631601307189545</v>
      </c>
    </row>
    <row r="14" spans="1:28" ht="14.65" thickBot="1" x14ac:dyDescent="0.5">
      <c r="A14" s="980" t="s">
        <v>209</v>
      </c>
      <c r="B14" s="980">
        <f>SUM(B12:B13)</f>
        <v>5.8000000000000007</v>
      </c>
      <c r="C14" s="981">
        <f>SUM(C12:C13)</f>
        <v>499.17</v>
      </c>
      <c r="D14" s="980">
        <f>SUM(D12:D13)</f>
        <v>504.96999999999997</v>
      </c>
      <c r="E14" s="980">
        <f>SUM(E12:E13)</f>
        <v>245.14000000000001</v>
      </c>
      <c r="F14" s="980">
        <f>SUM(F12:F13)</f>
        <v>79.949999999999989</v>
      </c>
      <c r="G14" s="980">
        <f>D14+E14+F14</f>
        <v>830.06</v>
      </c>
      <c r="H14" s="980">
        <f>SUM(H12:H13)</f>
        <v>9.6</v>
      </c>
      <c r="I14">
        <f t="shared" si="2"/>
        <v>839.66</v>
      </c>
      <c r="J14" s="1791" t="s">
        <v>209</v>
      </c>
      <c r="K14" s="980">
        <f>SUM(K12:K13)</f>
        <v>20.64</v>
      </c>
      <c r="L14" s="981">
        <f>SUM(L12:L13)</f>
        <v>1.8900000000000001</v>
      </c>
      <c r="M14" s="981">
        <f>K14+L14</f>
        <v>22.53</v>
      </c>
      <c r="N14" s="981">
        <f>SUM(N12:N13)</f>
        <v>10.85</v>
      </c>
      <c r="O14" s="1487">
        <f>SUM(O12:O13)</f>
        <v>157430</v>
      </c>
      <c r="P14" t="s">
        <v>135</v>
      </c>
      <c r="Q14">
        <f t="shared" si="9"/>
        <v>24140</v>
      </c>
      <c r="R14">
        <v>27142</v>
      </c>
      <c r="S14">
        <f t="shared" si="10"/>
        <v>1.9</v>
      </c>
      <c r="T14" s="229">
        <f>'ACTUAL- 23-24'!P8/10000000</f>
        <v>1.9763465</v>
      </c>
      <c r="U14" s="216">
        <f>(R14-Q14)/Q14*100</f>
        <v>12.435791217895609</v>
      </c>
      <c r="V14" s="216">
        <f>(T14-S14)/S14*100</f>
        <v>4.0182368421052681</v>
      </c>
      <c r="W14">
        <f>(R14-X14)/X14*100</f>
        <v>2.2105064959517984</v>
      </c>
      <c r="X14" s="1385">
        <v>26555</v>
      </c>
      <c r="Y14" s="1384">
        <v>1.94</v>
      </c>
      <c r="Z14" s="229">
        <f>(T14-Y14)/Y14*100</f>
        <v>1.8735309278350547</v>
      </c>
    </row>
    <row r="15" spans="1:28" ht="14.65" thickBot="1" x14ac:dyDescent="0.5">
      <c r="A15" s="977" t="s">
        <v>136</v>
      </c>
      <c r="B15" s="977">
        <v>1.0900000000000001</v>
      </c>
      <c r="C15" s="978">
        <v>80.95</v>
      </c>
      <c r="D15" s="977">
        <f>SUM(B15:C15)</f>
        <v>82.04</v>
      </c>
      <c r="E15" s="977">
        <v>35.86</v>
      </c>
      <c r="F15" s="977">
        <v>14.23</v>
      </c>
      <c r="G15" s="977">
        <f>SUM(D15:F15)</f>
        <v>132.13</v>
      </c>
      <c r="H15" s="977">
        <v>1.6</v>
      </c>
      <c r="I15">
        <f t="shared" si="2"/>
        <v>133.72999999999999</v>
      </c>
      <c r="J15" s="1790" t="s">
        <v>136</v>
      </c>
      <c r="K15" s="122">
        <v>3.14</v>
      </c>
      <c r="L15" s="122">
        <v>0.23</v>
      </c>
      <c r="M15" s="977">
        <f>SUM(K15:L15)</f>
        <v>3.37</v>
      </c>
      <c r="N15" s="122">
        <v>2.2000000000000002</v>
      </c>
      <c r="O15" s="1296">
        <v>29860</v>
      </c>
      <c r="P15" t="s">
        <v>136</v>
      </c>
      <c r="Q15">
        <f t="shared" si="9"/>
        <v>29860</v>
      </c>
      <c r="S15">
        <f t="shared" si="10"/>
        <v>2.2000000000000002</v>
      </c>
      <c r="T15" s="229">
        <f>'ACTUAL- 23-24'!P9/10000000</f>
        <v>2.6593659999999999</v>
      </c>
      <c r="U15" s="216">
        <f t="shared" si="15"/>
        <v>-100</v>
      </c>
      <c r="V15" s="216">
        <f t="shared" si="11"/>
        <v>20.880272727272715</v>
      </c>
      <c r="W15">
        <f t="shared" si="13"/>
        <v>-100</v>
      </c>
      <c r="X15" s="1385">
        <v>32841</v>
      </c>
      <c r="Y15" s="1384">
        <v>2.64</v>
      </c>
      <c r="Z15" s="229">
        <f t="shared" si="12"/>
        <v>0.73356060606059736</v>
      </c>
    </row>
    <row r="16" spans="1:28" ht="14.65" thickBot="1" x14ac:dyDescent="0.5">
      <c r="A16" s="980" t="s">
        <v>210</v>
      </c>
      <c r="B16" s="980">
        <f t="shared" ref="B16:G16" si="16">SUM(B14:B15)</f>
        <v>6.8900000000000006</v>
      </c>
      <c r="C16" s="981">
        <f t="shared" si="16"/>
        <v>580.12</v>
      </c>
      <c r="D16" s="980">
        <f t="shared" si="16"/>
        <v>587.01</v>
      </c>
      <c r="E16" s="980">
        <f t="shared" si="16"/>
        <v>281</v>
      </c>
      <c r="F16" s="980">
        <f t="shared" si="16"/>
        <v>94.179999999999993</v>
      </c>
      <c r="G16" s="980">
        <f t="shared" si="16"/>
        <v>962.18999999999994</v>
      </c>
      <c r="H16" s="980">
        <f>SUM(H14:H15)</f>
        <v>11.2</v>
      </c>
      <c r="I16">
        <f>G16+H16</f>
        <v>973.39</v>
      </c>
      <c r="J16" s="1791" t="s">
        <v>210</v>
      </c>
      <c r="K16" s="980">
        <f>SUM(K14:K15)</f>
        <v>23.78</v>
      </c>
      <c r="L16" s="981">
        <f>SUM(L14:L15)</f>
        <v>2.12</v>
      </c>
      <c r="M16" s="981">
        <f>K16+L16</f>
        <v>25.900000000000002</v>
      </c>
      <c r="N16" s="981">
        <f>SUM(N14:N15)</f>
        <v>13.05</v>
      </c>
      <c r="O16" s="1487">
        <f>SUM(O14:O15)</f>
        <v>187290</v>
      </c>
      <c r="P16" t="s">
        <v>137</v>
      </c>
      <c r="Q16">
        <f t="shared" si="9"/>
        <v>24280</v>
      </c>
      <c r="S16">
        <f t="shared" si="10"/>
        <v>2.4</v>
      </c>
      <c r="T16" s="229">
        <f>'ACTUAL- 23-24'!Q9/10000000</f>
        <v>2.5169741000000001</v>
      </c>
      <c r="U16" s="216">
        <f t="shared" si="15"/>
        <v>-100</v>
      </c>
      <c r="V16" s="216">
        <f t="shared" si="11"/>
        <v>4.8739208333333419</v>
      </c>
      <c r="W16">
        <f t="shared" si="13"/>
        <v>-100</v>
      </c>
      <c r="X16" s="1385">
        <v>26694</v>
      </c>
      <c r="Y16" s="1384">
        <v>1.96</v>
      </c>
      <c r="Z16" s="229">
        <f t="shared" si="12"/>
        <v>28.417045918367357</v>
      </c>
    </row>
    <row r="17" spans="1:31" ht="14.65" thickBot="1" x14ac:dyDescent="0.5">
      <c r="A17" s="977" t="s">
        <v>137</v>
      </c>
      <c r="B17" s="977">
        <v>1.18</v>
      </c>
      <c r="C17" s="978">
        <v>93.37</v>
      </c>
      <c r="D17" s="977">
        <f>SUM(B17:C17)</f>
        <v>94.550000000000011</v>
      </c>
      <c r="E17" s="977">
        <v>51.94</v>
      </c>
      <c r="F17" s="977">
        <v>11.51</v>
      </c>
      <c r="G17" s="977">
        <f>SUM(D17:F17)</f>
        <v>158</v>
      </c>
      <c r="H17" s="977">
        <v>1.6</v>
      </c>
      <c r="I17">
        <f t="shared" si="2"/>
        <v>159.6</v>
      </c>
      <c r="J17" s="1790" t="s">
        <v>137</v>
      </c>
      <c r="K17" s="122">
        <v>3.19</v>
      </c>
      <c r="L17" s="122">
        <v>0.28999999999999998</v>
      </c>
      <c r="M17" s="977">
        <f>SUM(K17:L17)</f>
        <v>3.48</v>
      </c>
      <c r="N17" s="122">
        <v>2.4</v>
      </c>
      <c r="O17" s="1296">
        <v>24280</v>
      </c>
      <c r="P17" t="s">
        <v>138</v>
      </c>
      <c r="Q17">
        <f t="shared" si="9"/>
        <v>21760</v>
      </c>
      <c r="S17">
        <f t="shared" si="10"/>
        <v>1.6</v>
      </c>
      <c r="T17" s="229">
        <f>'ACTUAL- 23-24'!P11/10000000</f>
        <v>1.6328241999999999</v>
      </c>
      <c r="U17" s="216">
        <f t="shared" si="15"/>
        <v>-100</v>
      </c>
      <c r="V17" s="216">
        <f t="shared" si="11"/>
        <v>2.0515124999999914</v>
      </c>
      <c r="W17">
        <f t="shared" si="13"/>
        <v>-100</v>
      </c>
      <c r="X17" s="1385">
        <v>23934</v>
      </c>
      <c r="Y17" s="1384">
        <v>1.7</v>
      </c>
      <c r="Z17" s="229">
        <f t="shared" si="12"/>
        <v>-3.9515176470588242</v>
      </c>
    </row>
    <row r="18" spans="1:31" ht="14.65" thickBot="1" x14ac:dyDescent="0.5">
      <c r="A18" s="980" t="s">
        <v>211</v>
      </c>
      <c r="B18" s="980">
        <f t="shared" ref="B18:H18" si="17">SUM(B16:B17)</f>
        <v>8.07</v>
      </c>
      <c r="C18" s="981">
        <f t="shared" si="17"/>
        <v>673.49</v>
      </c>
      <c r="D18" s="980">
        <f t="shared" si="17"/>
        <v>681.56</v>
      </c>
      <c r="E18" s="980">
        <f t="shared" si="17"/>
        <v>332.94</v>
      </c>
      <c r="F18" s="980">
        <f t="shared" si="17"/>
        <v>105.69</v>
      </c>
      <c r="G18" s="980">
        <f t="shared" si="17"/>
        <v>1120.19</v>
      </c>
      <c r="H18" s="980">
        <f t="shared" si="17"/>
        <v>12.799999999999999</v>
      </c>
      <c r="I18">
        <f t="shared" si="2"/>
        <v>1132.99</v>
      </c>
      <c r="J18" s="1791" t="s">
        <v>211</v>
      </c>
      <c r="K18" s="980">
        <f>SUM(K16:K17)</f>
        <v>26.970000000000002</v>
      </c>
      <c r="L18" s="981">
        <f>SUM(L16:L17)</f>
        <v>2.41</v>
      </c>
      <c r="M18" s="981">
        <f>K18+L18</f>
        <v>29.380000000000003</v>
      </c>
      <c r="N18" s="981">
        <f>SUM(N16:N17)</f>
        <v>15.450000000000001</v>
      </c>
      <c r="O18" s="1487">
        <f>SUM(O16:O17)</f>
        <v>211570</v>
      </c>
      <c r="P18" t="s">
        <v>872</v>
      </c>
      <c r="Q18">
        <f>SUMIF($A$4:$A$26,P18,$O$4:$O$26)</f>
        <v>25470</v>
      </c>
      <c r="S18">
        <f t="shared" si="10"/>
        <v>1.8</v>
      </c>
      <c r="T18" s="229">
        <f>'ACTUAL- 23-24'!P12/10000000</f>
        <v>1.7289965</v>
      </c>
      <c r="U18" s="216">
        <f t="shared" si="15"/>
        <v>-100</v>
      </c>
      <c r="V18" s="216">
        <f t="shared" si="11"/>
        <v>-3.9446388888888886</v>
      </c>
      <c r="W18" t="e">
        <f t="shared" si="13"/>
        <v>#VALUE!</v>
      </c>
      <c r="X18" s="1385" t="s">
        <v>933</v>
      </c>
      <c r="Y18" s="1384">
        <v>2.02</v>
      </c>
      <c r="Z18" s="229">
        <f t="shared" si="12"/>
        <v>-14.406113861386139</v>
      </c>
    </row>
    <row r="19" spans="1:31" ht="14.65" thickBot="1" x14ac:dyDescent="0.5">
      <c r="A19" s="977" t="s">
        <v>138</v>
      </c>
      <c r="B19" s="977">
        <v>1.1599999999999999</v>
      </c>
      <c r="C19" s="978">
        <v>93.43</v>
      </c>
      <c r="D19" s="978">
        <f>SUM(B19:C19)</f>
        <v>94.59</v>
      </c>
      <c r="E19" s="977">
        <v>44.4</v>
      </c>
      <c r="F19" s="977">
        <v>11.86</v>
      </c>
      <c r="G19" s="977">
        <f>SUM(D19:F19)</f>
        <v>150.85000000000002</v>
      </c>
      <c r="H19" s="977">
        <v>1.6</v>
      </c>
      <c r="I19">
        <f t="shared" si="2"/>
        <v>152.45000000000002</v>
      </c>
      <c r="J19" s="1790" t="s">
        <v>138</v>
      </c>
      <c r="K19" s="122">
        <v>2.81</v>
      </c>
      <c r="L19" s="122">
        <v>0.26</v>
      </c>
      <c r="M19" s="977">
        <f>SUM(K19:L19)</f>
        <v>3.0700000000000003</v>
      </c>
      <c r="N19" s="122">
        <v>1.6</v>
      </c>
      <c r="O19" s="1296">
        <v>21760</v>
      </c>
      <c r="P19" t="s">
        <v>140</v>
      </c>
      <c r="Q19">
        <f t="shared" si="9"/>
        <v>25050</v>
      </c>
      <c r="S19">
        <f t="shared" si="10"/>
        <v>1.8</v>
      </c>
      <c r="T19" s="229">
        <f>'ACTUAL- 23-24'!P13/10000000</f>
        <v>2.253263</v>
      </c>
      <c r="U19" s="216">
        <f t="shared" si="15"/>
        <v>-100</v>
      </c>
      <c r="V19" s="216">
        <f t="shared" si="11"/>
        <v>25.181277777777776</v>
      </c>
      <c r="W19">
        <f t="shared" si="13"/>
        <v>-100</v>
      </c>
      <c r="X19" s="1385">
        <v>27547</v>
      </c>
      <c r="Y19" s="1384">
        <v>2.13</v>
      </c>
      <c r="Z19" s="229">
        <f t="shared" si="12"/>
        <v>5.786995305164325</v>
      </c>
    </row>
    <row r="20" spans="1:31" ht="14.65" thickBot="1" x14ac:dyDescent="0.5">
      <c r="A20" s="980" t="s">
        <v>212</v>
      </c>
      <c r="B20" s="980">
        <f t="shared" ref="B20:G20" si="18">SUM(B18:B19)</f>
        <v>9.23</v>
      </c>
      <c r="C20" s="981">
        <f t="shared" si="18"/>
        <v>766.92000000000007</v>
      </c>
      <c r="D20" s="980">
        <f>SUM(D18:D19)</f>
        <v>776.15</v>
      </c>
      <c r="E20" s="980">
        <f t="shared" si="18"/>
        <v>377.34</v>
      </c>
      <c r="F20" s="980">
        <f t="shared" si="18"/>
        <v>117.55</v>
      </c>
      <c r="G20" s="980">
        <f t="shared" si="18"/>
        <v>1271.04</v>
      </c>
      <c r="H20" s="981">
        <v>14.36</v>
      </c>
      <c r="I20" s="229">
        <f t="shared" si="2"/>
        <v>1285.3999999999999</v>
      </c>
      <c r="J20" s="1791" t="s">
        <v>212</v>
      </c>
      <c r="K20" s="980">
        <f>SUM(K18:K19)</f>
        <v>29.78</v>
      </c>
      <c r="L20" s="981">
        <f>SUM(L18:L19)</f>
        <v>2.67</v>
      </c>
      <c r="M20" s="981">
        <f>K20+L20</f>
        <v>32.450000000000003</v>
      </c>
      <c r="N20" s="981">
        <f>SUM(N18:N19)</f>
        <v>17.05</v>
      </c>
      <c r="O20" s="1487">
        <f>SUM(O18:O19)</f>
        <v>233330</v>
      </c>
      <c r="P20" t="s">
        <v>141</v>
      </c>
      <c r="Q20">
        <f t="shared" si="9"/>
        <v>26390</v>
      </c>
      <c r="S20">
        <f t="shared" si="10"/>
        <v>1.85</v>
      </c>
      <c r="T20" s="229">
        <f>'ACTUAL- 23-24'!P14/10000000</f>
        <v>0</v>
      </c>
      <c r="U20" s="216">
        <f t="shared" si="15"/>
        <v>-100</v>
      </c>
      <c r="V20" s="216">
        <f t="shared" si="11"/>
        <v>-100</v>
      </c>
      <c r="W20">
        <f t="shared" si="13"/>
        <v>-100</v>
      </c>
      <c r="X20" s="1385">
        <v>29021</v>
      </c>
      <c r="Y20" s="1384">
        <v>2.13</v>
      </c>
      <c r="Z20" s="229">
        <f t="shared" si="12"/>
        <v>-100</v>
      </c>
    </row>
    <row r="21" spans="1:31" x14ac:dyDescent="0.45">
      <c r="A21" t="s">
        <v>872</v>
      </c>
      <c r="B21" s="977">
        <v>1.1599999999999999</v>
      </c>
      <c r="C21" s="978">
        <v>97.09</v>
      </c>
      <c r="D21" s="977">
        <f>SUM(B21:C21)</f>
        <v>98.25</v>
      </c>
      <c r="E21" s="977">
        <v>34.56</v>
      </c>
      <c r="F21" s="977">
        <v>11.18</v>
      </c>
      <c r="G21" s="977">
        <f>SUM(D21:F21)</f>
        <v>143.99</v>
      </c>
      <c r="H21" s="977"/>
      <c r="I21">
        <f t="shared" si="2"/>
        <v>143.99</v>
      </c>
      <c r="J21" s="1792" t="s">
        <v>872</v>
      </c>
      <c r="K21" s="122">
        <v>2.34</v>
      </c>
      <c r="L21" s="122">
        <v>0.26</v>
      </c>
      <c r="M21" s="977">
        <f>SUM(K21:L21)</f>
        <v>2.5999999999999996</v>
      </c>
      <c r="N21" s="122">
        <v>1.8</v>
      </c>
      <c r="O21" s="1296">
        <v>25470</v>
      </c>
      <c r="Q21">
        <f>Q9+Q10+Q11+Q12+Q13+Q14</f>
        <v>157430</v>
      </c>
      <c r="R21" s="259">
        <f>R9+R10+R11+R12+R13+R14</f>
        <v>189542</v>
      </c>
      <c r="S21" s="229">
        <f>S9+S10+S11+S12+S13+S14</f>
        <v>10.85</v>
      </c>
      <c r="T21" s="229">
        <f t="shared" ref="T21:V21" si="19">T9+T10+T11+T12+T13+T14</f>
        <v>14.174454599999999</v>
      </c>
      <c r="U21" s="229">
        <f t="shared" si="19"/>
        <v>147.71553643516469</v>
      </c>
      <c r="V21" s="229">
        <f t="shared" si="19"/>
        <v>184.94227709676349</v>
      </c>
      <c r="W21">
        <f>(R21-X21)/X21*100</f>
        <v>50.988576799910781</v>
      </c>
      <c r="X21">
        <f>X9+X10+X11+X12</f>
        <v>125534</v>
      </c>
      <c r="Y21">
        <f>Y9+Y10+Y11+Y12</f>
        <v>8.61</v>
      </c>
      <c r="Z21" s="229">
        <f>(T21-Y21)/Y21*100</f>
        <v>64.627811846689895</v>
      </c>
    </row>
    <row r="22" spans="1:31" x14ac:dyDescent="0.45">
      <c r="A22" s="980" t="s">
        <v>206</v>
      </c>
      <c r="B22" s="980">
        <f t="shared" ref="B22:G22" si="20">SUM(B20:B21)</f>
        <v>10.39</v>
      </c>
      <c r="C22" s="981">
        <f t="shared" si="20"/>
        <v>864.0100000000001</v>
      </c>
      <c r="D22" s="981">
        <f t="shared" si="20"/>
        <v>874.4</v>
      </c>
      <c r="E22" s="980">
        <f t="shared" si="20"/>
        <v>411.9</v>
      </c>
      <c r="F22" s="980">
        <f t="shared" si="20"/>
        <v>128.72999999999999</v>
      </c>
      <c r="G22" s="980">
        <f t="shared" si="20"/>
        <v>1415.03</v>
      </c>
      <c r="H22" s="980">
        <f>SUM(H20:H21)</f>
        <v>14.36</v>
      </c>
      <c r="I22">
        <f t="shared" si="2"/>
        <v>1429.3899999999999</v>
      </c>
      <c r="J22" s="1791" t="s">
        <v>206</v>
      </c>
      <c r="K22" s="980">
        <f>SUM(K20:K21)</f>
        <v>32.120000000000005</v>
      </c>
      <c r="L22" s="981">
        <f>SUM(L20:L21)</f>
        <v>2.9299999999999997</v>
      </c>
      <c r="M22" s="981">
        <f>K22+L22</f>
        <v>35.050000000000004</v>
      </c>
      <c r="N22" s="981">
        <f>SUM(N20:N21)</f>
        <v>18.850000000000001</v>
      </c>
      <c r="O22" s="1487">
        <f>SUM(O20:O21)</f>
        <v>258800</v>
      </c>
    </row>
    <row r="23" spans="1:31" ht="16.899999999999999" thickBot="1" x14ac:dyDescent="0.5">
      <c r="A23" s="977" t="s">
        <v>140</v>
      </c>
      <c r="B23" s="977">
        <v>1.07</v>
      </c>
      <c r="C23" s="978">
        <v>91.34</v>
      </c>
      <c r="D23" s="977">
        <f>SUM(B23:C23)</f>
        <v>92.41</v>
      </c>
      <c r="E23" s="977">
        <v>34.270000000000003</v>
      </c>
      <c r="F23" s="977">
        <v>10.06</v>
      </c>
      <c r="G23" s="977">
        <f>SUM(D23:F23)</f>
        <v>136.74</v>
      </c>
      <c r="H23" s="977"/>
      <c r="I23">
        <f t="shared" si="2"/>
        <v>136.74</v>
      </c>
      <c r="J23" s="1790" t="s">
        <v>140</v>
      </c>
      <c r="K23" s="122">
        <v>2.14</v>
      </c>
      <c r="L23" s="252">
        <v>0.2</v>
      </c>
      <c r="M23" s="977">
        <f>SUM(K23:L23)</f>
        <v>2.3400000000000003</v>
      </c>
      <c r="N23" s="122">
        <v>1.8</v>
      </c>
      <c r="O23" s="1296">
        <v>25050</v>
      </c>
      <c r="S23" s="480">
        <v>133916</v>
      </c>
      <c r="T23" s="481">
        <v>124985</v>
      </c>
      <c r="U23" s="216">
        <f>(S23-T23)/T23*100</f>
        <v>7.1456574788974674</v>
      </c>
    </row>
    <row r="24" spans="1:31" ht="16.899999999999999" thickBot="1" x14ac:dyDescent="0.5">
      <c r="A24" s="980" t="s">
        <v>215</v>
      </c>
      <c r="B24" s="981">
        <f t="shared" ref="B24:H24" si="21">SUM(B22:B23)</f>
        <v>11.46</v>
      </c>
      <c r="C24" s="981">
        <f t="shared" si="21"/>
        <v>955.35000000000014</v>
      </c>
      <c r="D24" s="980">
        <f t="shared" si="21"/>
        <v>966.81</v>
      </c>
      <c r="E24" s="980">
        <f t="shared" si="21"/>
        <v>446.16999999999996</v>
      </c>
      <c r="F24" s="980">
        <f t="shared" si="21"/>
        <v>138.79</v>
      </c>
      <c r="G24" s="980">
        <f t="shared" si="21"/>
        <v>1551.77</v>
      </c>
      <c r="H24" s="980">
        <f t="shared" si="21"/>
        <v>14.36</v>
      </c>
      <c r="I24">
        <f t="shared" si="2"/>
        <v>1566.1299999999999</v>
      </c>
      <c r="J24" s="1791" t="s">
        <v>215</v>
      </c>
      <c r="K24" s="980">
        <f>SUM(K22:K23)</f>
        <v>34.260000000000005</v>
      </c>
      <c r="L24" s="981">
        <f>SUM(L22:L23)</f>
        <v>3.13</v>
      </c>
      <c r="M24" s="981">
        <f>K24+L24</f>
        <v>37.390000000000008</v>
      </c>
      <c r="N24" s="981">
        <f>SUM(N22:N23)</f>
        <v>20.650000000000002</v>
      </c>
      <c r="O24" s="1487">
        <f>SUM(O22:O23)</f>
        <v>283850</v>
      </c>
      <c r="S24" s="530">
        <v>202.4</v>
      </c>
      <c r="T24" s="481">
        <v>153</v>
      </c>
    </row>
    <row r="25" spans="1:31" x14ac:dyDescent="0.45">
      <c r="A25" s="977" t="s">
        <v>141</v>
      </c>
      <c r="B25" s="977">
        <v>1.1399999999999999</v>
      </c>
      <c r="C25" s="978">
        <v>95.78</v>
      </c>
      <c r="D25" s="977">
        <f>SUM(B25:C25)</f>
        <v>96.92</v>
      </c>
      <c r="E25" s="978">
        <v>39.65</v>
      </c>
      <c r="F25" s="977">
        <v>11.8</v>
      </c>
      <c r="G25" s="977">
        <f>SUM(D25:F25)</f>
        <v>148.37</v>
      </c>
      <c r="H25" s="977"/>
      <c r="I25">
        <f t="shared" si="2"/>
        <v>148.37</v>
      </c>
      <c r="J25" s="1790" t="s">
        <v>141</v>
      </c>
      <c r="K25" s="122">
        <v>2.75</v>
      </c>
      <c r="L25" s="122">
        <v>0.27</v>
      </c>
      <c r="M25" s="977">
        <f>SUM(K25:L25)</f>
        <v>3.02</v>
      </c>
      <c r="N25" s="122">
        <v>1.85</v>
      </c>
      <c r="O25" s="1296">
        <v>26390</v>
      </c>
    </row>
    <row r="26" spans="1:31" x14ac:dyDescent="0.45">
      <c r="A26" s="980" t="s">
        <v>240</v>
      </c>
      <c r="B26" s="981">
        <f t="shared" ref="B26:H26" si="22">SUM(B24:B25)</f>
        <v>12.600000000000001</v>
      </c>
      <c r="C26" s="981">
        <f t="shared" si="22"/>
        <v>1051.1300000000001</v>
      </c>
      <c r="D26" s="981">
        <f>SUM(D24:D25)</f>
        <v>1063.73</v>
      </c>
      <c r="E26" s="980">
        <f t="shared" si="22"/>
        <v>485.81999999999994</v>
      </c>
      <c r="F26" s="980">
        <f t="shared" si="22"/>
        <v>150.59</v>
      </c>
      <c r="G26" s="980">
        <f t="shared" si="22"/>
        <v>1700.1399999999999</v>
      </c>
      <c r="H26" s="980">
        <f t="shared" si="22"/>
        <v>14.36</v>
      </c>
      <c r="I26">
        <f t="shared" si="2"/>
        <v>1714.4999999999998</v>
      </c>
      <c r="J26" s="1791" t="s">
        <v>240</v>
      </c>
      <c r="K26" s="980">
        <f>SUM(K24:K25)</f>
        <v>37.010000000000005</v>
      </c>
      <c r="L26" s="981">
        <f>SUM(L24:L25)</f>
        <v>3.4</v>
      </c>
      <c r="M26" s="981">
        <f>K26+L26</f>
        <v>40.410000000000004</v>
      </c>
      <c r="N26" s="981">
        <f>SUM(N24:N25)</f>
        <v>22.500000000000004</v>
      </c>
      <c r="O26" s="1487">
        <f>SUM(O24:O25)</f>
        <v>310240</v>
      </c>
    </row>
    <row r="27" spans="1:31" x14ac:dyDescent="0.45">
      <c r="A27" s="98"/>
      <c r="B27" s="98"/>
      <c r="C27" s="98"/>
      <c r="D27" s="98"/>
      <c r="E27" s="98"/>
      <c r="F27" s="98"/>
      <c r="G27" s="98"/>
      <c r="H27" s="98"/>
      <c r="I27">
        <f t="shared" si="2"/>
        <v>0</v>
      </c>
    </row>
    <row r="29" spans="1:31" x14ac:dyDescent="0.45">
      <c r="A29" s="2258" t="s">
        <v>127</v>
      </c>
      <c r="B29" s="2275" t="s">
        <v>891</v>
      </c>
      <c r="C29" s="2276"/>
      <c r="D29" s="2277"/>
      <c r="E29" s="855" t="s">
        <v>94</v>
      </c>
      <c r="F29" s="855" t="s">
        <v>97</v>
      </c>
      <c r="G29" s="855" t="s">
        <v>63</v>
      </c>
      <c r="K29" s="2544" t="s">
        <v>889</v>
      </c>
      <c r="L29" s="2544"/>
      <c r="M29" s="2544"/>
      <c r="N29" s="2544"/>
      <c r="O29" s="2544"/>
    </row>
    <row r="30" spans="1:31" x14ac:dyDescent="0.45">
      <c r="A30" s="2259"/>
      <c r="B30" s="855" t="s">
        <v>94</v>
      </c>
      <c r="C30" s="855" t="s">
        <v>97</v>
      </c>
      <c r="D30" s="855" t="s">
        <v>63</v>
      </c>
      <c r="E30" s="229">
        <f>B52/31</f>
        <v>6.4516129032258063E-2</v>
      </c>
      <c r="F30" s="229">
        <f t="shared" ref="F30:G30" si="23">C52/31</f>
        <v>0.10096774193548387</v>
      </c>
      <c r="G30" s="229">
        <f t="shared" si="23"/>
        <v>0.16548387096774192</v>
      </c>
      <c r="K30" s="690" t="s">
        <v>127</v>
      </c>
      <c r="L30" s="855" t="s">
        <v>391</v>
      </c>
      <c r="M30" s="398" t="s">
        <v>355</v>
      </c>
      <c r="N30" s="835" t="s">
        <v>447</v>
      </c>
      <c r="O30" s="398" t="s">
        <v>548</v>
      </c>
      <c r="P30" s="855" t="s">
        <v>391</v>
      </c>
      <c r="Q30" s="398" t="s">
        <v>355</v>
      </c>
      <c r="R30" s="835" t="s">
        <v>447</v>
      </c>
      <c r="S30" s="398" t="s">
        <v>548</v>
      </c>
    </row>
    <row r="31" spans="1:31" x14ac:dyDescent="0.45">
      <c r="A31" s="977" t="s">
        <v>131</v>
      </c>
      <c r="B31" s="977">
        <v>1.32</v>
      </c>
      <c r="C31" s="978">
        <v>2.0499999999999998</v>
      </c>
      <c r="D31" s="977">
        <f>SUM(B31:C31)</f>
        <v>3.37</v>
      </c>
      <c r="E31" s="229">
        <f>E30*3</f>
        <v>0.19354838709677419</v>
      </c>
      <c r="F31" s="229">
        <f t="shared" ref="F31:G31" si="24">F30*3</f>
        <v>0.30290322580645163</v>
      </c>
      <c r="G31" s="229">
        <f t="shared" si="24"/>
        <v>0.49645161290322576</v>
      </c>
      <c r="K31" s="1074" t="s">
        <v>131</v>
      </c>
      <c r="L31" s="1002">
        <v>1.17</v>
      </c>
      <c r="M31" s="1002">
        <v>0.22500000000000001</v>
      </c>
      <c r="N31" s="1002">
        <v>0.27083333333333331</v>
      </c>
      <c r="O31" s="1833">
        <f>L31+M31+N31</f>
        <v>1.6658333333333333</v>
      </c>
      <c r="P31" s="259">
        <f>(L31*10000000)/100000</f>
        <v>117</v>
      </c>
      <c r="Q31" s="259">
        <f>(M31*10000000)/100000</f>
        <v>22.5</v>
      </c>
      <c r="R31" s="259">
        <f>(N31*10000000)/100000</f>
        <v>27.083333333333329</v>
      </c>
      <c r="S31" s="259">
        <f>(O31*10000000)/100000</f>
        <v>166.58333333333331</v>
      </c>
      <c r="T31" s="229">
        <f>'ACTUAL- 23-24'!O20/100000</f>
        <v>73.698849999999993</v>
      </c>
      <c r="U31" s="229">
        <f>'ACTUAL- 23-24'!P20/100000</f>
        <v>14.42686</v>
      </c>
      <c r="V31" s="229">
        <f>'ACTUAL- 23-24'!Q20/100000</f>
        <v>4.6314799999999998</v>
      </c>
      <c r="W31" s="229">
        <f>T31+U31+V31</f>
        <v>92.757189999999994</v>
      </c>
      <c r="Y31" s="216">
        <f>(T31-P31)/P31*100</f>
        <v>-37.009529914529921</v>
      </c>
      <c r="Z31" s="216">
        <f>(U31-Q31)/Q31*100</f>
        <v>-35.880622222222222</v>
      </c>
      <c r="AA31" s="216">
        <f>(V31-R31)/R31*100</f>
        <v>-82.899150769230772</v>
      </c>
      <c r="AB31" s="216">
        <f>(W31-S31)/S31*100</f>
        <v>-44.317844922461234</v>
      </c>
      <c r="AD31" s="229">
        <v>2.7</v>
      </c>
      <c r="AE31">
        <f>AD31*1000000</f>
        <v>2700000</v>
      </c>
    </row>
    <row r="32" spans="1:31" x14ac:dyDescent="0.45">
      <c r="A32" s="977" t="s">
        <v>132</v>
      </c>
      <c r="B32" s="977">
        <v>1.57</v>
      </c>
      <c r="C32" s="978">
        <v>2.12</v>
      </c>
      <c r="D32" s="977">
        <f>SUM(B32:C32)</f>
        <v>3.6900000000000004</v>
      </c>
      <c r="E32" s="189">
        <f>E31+B51</f>
        <v>20.283548387096776</v>
      </c>
      <c r="F32" s="189">
        <f t="shared" ref="F32:G32" si="25">F31+C51</f>
        <v>30.142903225806453</v>
      </c>
      <c r="G32" s="189">
        <f t="shared" si="25"/>
        <v>50.426451612903229</v>
      </c>
      <c r="H32" s="229"/>
      <c r="I32" s="229"/>
      <c r="J32" s="229"/>
      <c r="K32" s="1074" t="s">
        <v>132</v>
      </c>
      <c r="L32" s="1002">
        <v>1.17</v>
      </c>
      <c r="M32" s="1002">
        <v>0.22500000000000001</v>
      </c>
      <c r="N32" s="1002">
        <v>0.27083333333333331</v>
      </c>
      <c r="O32" s="252">
        <f>L32+M32+N32</f>
        <v>1.6658333333333333</v>
      </c>
      <c r="P32" s="259">
        <f t="shared" ref="P32:P53" si="26">(L32*10000000)/100000</f>
        <v>117</v>
      </c>
      <c r="Q32" s="259">
        <f t="shared" ref="Q32:Q53" si="27">(M32*10000000)/100000</f>
        <v>22.5</v>
      </c>
      <c r="R32" s="259">
        <f t="shared" ref="R32:R53" si="28">(N32*10000000)/100000</f>
        <v>27.083333333333329</v>
      </c>
      <c r="S32" s="259">
        <f t="shared" ref="S32:S53" si="29">(O32*10000000)/100000</f>
        <v>166.58333333333331</v>
      </c>
      <c r="T32" s="229">
        <f>'ACTUAL- 23-24'!O21/100000</f>
        <v>101.64221000000001</v>
      </c>
      <c r="U32" s="229">
        <f>'ACTUAL- 23-24'!P21/100000</f>
        <v>6.1580500000000002</v>
      </c>
      <c r="V32" s="229">
        <f>'ACTUAL- 23-24'!Q21/100000</f>
        <v>13.61604</v>
      </c>
      <c r="W32" s="229">
        <f>T32+U32+V32</f>
        <v>121.41630000000001</v>
      </c>
      <c r="Y32" s="216">
        <f t="shared" ref="Y32:Y35" si="30">(T32-P32)/P32*100</f>
        <v>-13.126316239316235</v>
      </c>
      <c r="Z32" s="216">
        <f t="shared" ref="Z32:Z35" si="31">(U32-Q32)/Q32*100</f>
        <v>-72.63088888888889</v>
      </c>
      <c r="AA32" s="216">
        <f t="shared" ref="AA32:AA35" si="32">(V32-R32)/R32*100</f>
        <v>-49.725390769230756</v>
      </c>
      <c r="AB32" s="216">
        <f t="shared" ref="AB32:AB35" si="33">(W32-S32)/S32*100</f>
        <v>-27.113776888444207</v>
      </c>
      <c r="AD32" s="229">
        <f>AD31/12</f>
        <v>0.22500000000000001</v>
      </c>
      <c r="AE32">
        <f>AE31/12</f>
        <v>225000</v>
      </c>
    </row>
    <row r="33" spans="1:31" x14ac:dyDescent="0.45">
      <c r="A33" s="980" t="s">
        <v>204</v>
      </c>
      <c r="B33" s="980">
        <f>SUM(B31:B32)</f>
        <v>2.89</v>
      </c>
      <c r="C33" s="981">
        <f>SUM(C31:C32)</f>
        <v>4.17</v>
      </c>
      <c r="D33" s="1379">
        <f>SUM(B33:C33)</f>
        <v>7.0600000000000005</v>
      </c>
      <c r="K33" s="1075" t="s">
        <v>204</v>
      </c>
      <c r="L33" s="1482">
        <f>SUM(L31:L32)</f>
        <v>2.34</v>
      </c>
      <c r="M33" s="1482">
        <f>SUM(M31:M32)</f>
        <v>0.45</v>
      </c>
      <c r="N33" s="1482">
        <f>SUM(N31:N32)</f>
        <v>0.54166666666666663</v>
      </c>
      <c r="O33" s="981">
        <f>SUM(O31:O32)</f>
        <v>3.3316666666666666</v>
      </c>
      <c r="P33" s="781">
        <f>SUM(P31:P32)</f>
        <v>234</v>
      </c>
      <c r="Q33" s="781">
        <f t="shared" ref="Q33:W33" si="34">SUM(Q31:Q32)</f>
        <v>45</v>
      </c>
      <c r="R33" s="781">
        <f t="shared" si="34"/>
        <v>54.166666666666657</v>
      </c>
      <c r="S33" s="781">
        <f t="shared" si="34"/>
        <v>333.16666666666663</v>
      </c>
      <c r="T33" s="629">
        <f t="shared" si="34"/>
        <v>175.34106</v>
      </c>
      <c r="U33" s="629">
        <f t="shared" si="34"/>
        <v>20.584910000000001</v>
      </c>
      <c r="V33" s="629">
        <f t="shared" si="34"/>
        <v>18.247520000000002</v>
      </c>
      <c r="W33" s="629">
        <f t="shared" si="34"/>
        <v>214.17349000000002</v>
      </c>
      <c r="Y33" s="216">
        <f t="shared" si="30"/>
        <v>-25.067923076923076</v>
      </c>
      <c r="Z33" s="216">
        <f t="shared" si="31"/>
        <v>-54.255755555555552</v>
      </c>
      <c r="AA33" s="216">
        <f t="shared" si="32"/>
        <v>-66.312270769230764</v>
      </c>
      <c r="AB33" s="216">
        <f t="shared" si="33"/>
        <v>-35.715810905452713</v>
      </c>
      <c r="AE33">
        <f>AE32/100000</f>
        <v>2.25</v>
      </c>
    </row>
    <row r="34" spans="1:31" x14ac:dyDescent="0.45">
      <c r="A34" s="977" t="s">
        <v>133</v>
      </c>
      <c r="B34" s="977">
        <v>1.64</v>
      </c>
      <c r="C34" s="978">
        <v>2.21</v>
      </c>
      <c r="D34" s="978">
        <f>B34+C34</f>
        <v>3.8499999999999996</v>
      </c>
      <c r="K34" s="1074" t="s">
        <v>133</v>
      </c>
      <c r="L34" s="1002">
        <v>1.17</v>
      </c>
      <c r="M34" s="1002">
        <v>0.22500000000000001</v>
      </c>
      <c r="N34" s="1002">
        <v>0.27083333333333331</v>
      </c>
      <c r="O34" s="252">
        <f>L34+M34+N34</f>
        <v>1.6658333333333333</v>
      </c>
      <c r="P34" s="259">
        <f>(L34*10000000)/100000</f>
        <v>117</v>
      </c>
      <c r="Q34" s="259">
        <f t="shared" si="27"/>
        <v>22.5</v>
      </c>
      <c r="R34" s="259">
        <f t="shared" si="28"/>
        <v>27.083333333333329</v>
      </c>
      <c r="S34" s="259">
        <f t="shared" si="29"/>
        <v>166.58333333333331</v>
      </c>
      <c r="T34" s="229">
        <f>'ACTUAL- 23-24'!O22/100000</f>
        <v>109.95943</v>
      </c>
      <c r="U34" s="229">
        <f>'ACTUAL- 23-24'!P22/100000</f>
        <v>47.974170000000001</v>
      </c>
      <c r="V34" s="229">
        <f>'ACTUAL- 23-24'!Q22/100000</f>
        <v>14.486599999999999</v>
      </c>
      <c r="W34" s="229">
        <f>T34+U34+V34</f>
        <v>172.42020000000002</v>
      </c>
      <c r="Y34" s="216">
        <f t="shared" si="30"/>
        <v>-6.0175811965811992</v>
      </c>
      <c r="Z34" s="216">
        <f t="shared" si="31"/>
        <v>113.21853333333334</v>
      </c>
      <c r="AA34" s="216">
        <f t="shared" si="32"/>
        <v>-46.511015384615376</v>
      </c>
      <c r="AB34" s="216">
        <f t="shared" si="33"/>
        <v>3.5038719359680095</v>
      </c>
    </row>
    <row r="35" spans="1:31" x14ac:dyDescent="0.45">
      <c r="A35" s="980" t="s">
        <v>205</v>
      </c>
      <c r="B35" s="980">
        <f>SUM(B33:B34)</f>
        <v>4.53</v>
      </c>
      <c r="C35" s="981">
        <f>SUM(C33:C34)</f>
        <v>6.38</v>
      </c>
      <c r="D35" s="980">
        <f>SUM(D33:D34)</f>
        <v>10.91</v>
      </c>
      <c r="K35" s="1075" t="s">
        <v>205</v>
      </c>
      <c r="L35" s="1482">
        <f>SUM(L33:L34)</f>
        <v>3.51</v>
      </c>
      <c r="M35" s="1482">
        <f>SUM(M33:M34)</f>
        <v>0.67500000000000004</v>
      </c>
      <c r="N35" s="1482">
        <f>SUM(N33:N34)</f>
        <v>0.8125</v>
      </c>
      <c r="O35" s="981">
        <f>SUM(O33:O34)</f>
        <v>4.9974999999999996</v>
      </c>
      <c r="P35" s="781">
        <f>SUM(P33:P34)</f>
        <v>351</v>
      </c>
      <c r="Q35" s="781">
        <f t="shared" ref="Q35:W35" si="35">SUM(Q33:Q34)</f>
        <v>67.5</v>
      </c>
      <c r="R35" s="781">
        <f t="shared" si="35"/>
        <v>81.249999999999986</v>
      </c>
      <c r="S35" s="781">
        <f t="shared" si="35"/>
        <v>499.74999999999994</v>
      </c>
      <c r="T35" s="629">
        <f>SUM(T33:T34)</f>
        <v>285.30048999999997</v>
      </c>
      <c r="U35" s="629">
        <f t="shared" si="35"/>
        <v>68.559079999999994</v>
      </c>
      <c r="V35" s="629">
        <f t="shared" si="35"/>
        <v>32.734120000000004</v>
      </c>
      <c r="W35" s="629">
        <f t="shared" si="35"/>
        <v>386.59369000000004</v>
      </c>
      <c r="Y35" s="216">
        <f t="shared" si="30"/>
        <v>-18.717809116809125</v>
      </c>
      <c r="Z35" s="216">
        <f t="shared" si="31"/>
        <v>1.5690074074073992</v>
      </c>
      <c r="AA35" s="216">
        <f t="shared" si="32"/>
        <v>-59.71185230769229</v>
      </c>
      <c r="AB35" s="216">
        <f t="shared" si="33"/>
        <v>-22.642583291645806</v>
      </c>
    </row>
    <row r="36" spans="1:31" x14ac:dyDescent="0.45">
      <c r="A36" s="977" t="s">
        <v>51</v>
      </c>
      <c r="B36" s="977">
        <v>1.64</v>
      </c>
      <c r="C36" s="978">
        <v>2.56</v>
      </c>
      <c r="D36" s="977">
        <f>SUM(B36:C36)</f>
        <v>4.2</v>
      </c>
      <c r="K36" s="1074" t="s">
        <v>51</v>
      </c>
      <c r="L36" s="1002">
        <v>1.17</v>
      </c>
      <c r="M36" s="1002">
        <v>0.22500000000000001</v>
      </c>
      <c r="N36" s="1002">
        <v>0.27083333333333331</v>
      </c>
      <c r="O36" s="252">
        <f>L36+M36+N36</f>
        <v>1.6658333333333333</v>
      </c>
      <c r="P36" s="259">
        <f t="shared" si="26"/>
        <v>117</v>
      </c>
      <c r="Q36" s="259">
        <f t="shared" si="27"/>
        <v>22.5</v>
      </c>
      <c r="R36" s="259">
        <f t="shared" si="28"/>
        <v>27.083333333333329</v>
      </c>
      <c r="S36" s="259">
        <f t="shared" si="29"/>
        <v>166.58333333333331</v>
      </c>
      <c r="T36" s="229">
        <f>'ACTUAL- 23-24'!O23/100000</f>
        <v>140.1062</v>
      </c>
      <c r="U36" s="229">
        <f>'ACTUAL- 23-24'!P23/100000</f>
        <v>14.30362</v>
      </c>
      <c r="V36" s="229">
        <f>'ACTUAL- 23-24'!Q23/100000</f>
        <v>4.1395499999999998</v>
      </c>
      <c r="W36" s="229">
        <f>'ACTUAL- 23-24'!R23/100000</f>
        <v>21.088190000000001</v>
      </c>
    </row>
    <row r="37" spans="1:31" x14ac:dyDescent="0.45">
      <c r="A37" s="980" t="s">
        <v>207</v>
      </c>
      <c r="B37" s="980">
        <f>SUM(B35:B36)</f>
        <v>6.17</v>
      </c>
      <c r="C37" s="981">
        <f>SUM(C35:C36)</f>
        <v>8.94</v>
      </c>
      <c r="D37" s="980">
        <f>SUM(D35:D36)</f>
        <v>15.11</v>
      </c>
      <c r="K37" s="1075" t="s">
        <v>207</v>
      </c>
      <c r="L37" s="1482">
        <f>SUM(L35:L36)</f>
        <v>4.68</v>
      </c>
      <c r="M37" s="1482">
        <f>SUM(M35:M36)</f>
        <v>0.9</v>
      </c>
      <c r="N37" s="1482">
        <f>SUM(N35:N36)</f>
        <v>1.0833333333333333</v>
      </c>
      <c r="O37" s="981">
        <f>SUM(O35:O36)</f>
        <v>6.6633333333333331</v>
      </c>
      <c r="P37" s="781">
        <f t="shared" si="26"/>
        <v>468</v>
      </c>
      <c r="Q37" s="781">
        <f t="shared" si="27"/>
        <v>90</v>
      </c>
      <c r="R37" s="781">
        <f t="shared" si="28"/>
        <v>108.33333333333331</v>
      </c>
      <c r="S37" s="259">
        <f>(O37*10000000)/100000</f>
        <v>666.33333333333326</v>
      </c>
      <c r="T37" s="629">
        <f>T35+T36</f>
        <v>425.40668999999997</v>
      </c>
      <c r="U37" s="629">
        <f t="shared" ref="U37:W37" si="36">U35+U36</f>
        <v>82.86269999999999</v>
      </c>
      <c r="V37" s="629">
        <f>V35+V36</f>
        <v>36.873670000000004</v>
      </c>
      <c r="W37" s="629">
        <f t="shared" si="36"/>
        <v>407.68188000000004</v>
      </c>
    </row>
    <row r="38" spans="1:31" x14ac:dyDescent="0.45">
      <c r="A38" s="977" t="s">
        <v>134</v>
      </c>
      <c r="B38" s="977">
        <v>1.82</v>
      </c>
      <c r="C38" s="978">
        <v>2.68</v>
      </c>
      <c r="D38" s="977">
        <f>SUM(B38:C38)</f>
        <v>4.5</v>
      </c>
      <c r="K38" s="1074" t="s">
        <v>134</v>
      </c>
      <c r="L38" s="1002">
        <v>1.17</v>
      </c>
      <c r="M38" s="1002">
        <v>0.22500000000000001</v>
      </c>
      <c r="N38" s="1002">
        <v>0.27083333333333331</v>
      </c>
      <c r="O38" s="252">
        <f>L38+M38+N38</f>
        <v>1.6658333333333333</v>
      </c>
      <c r="P38" s="216">
        <f>(L38*10000000)/100000</f>
        <v>117</v>
      </c>
      <c r="Q38" s="216">
        <f t="shared" si="27"/>
        <v>22.5</v>
      </c>
      <c r="R38" s="259">
        <f t="shared" si="28"/>
        <v>27.083333333333329</v>
      </c>
      <c r="S38" s="259">
        <f t="shared" si="29"/>
        <v>166.58333333333331</v>
      </c>
      <c r="T38" s="229">
        <f>'ACTUAL- 23-24'!O24/100000</f>
        <v>134.37513000000001</v>
      </c>
      <c r="U38" s="229">
        <f>'ACTUAL- 23-24'!P24/100000</f>
        <v>6.79345</v>
      </c>
      <c r="V38" s="229">
        <f>'ACTUAL- 23-24'!Q24/100000</f>
        <v>35.313479999999998</v>
      </c>
      <c r="W38" s="229">
        <f>'ACTUAL- 23-24'!R24/100000</f>
        <v>0.21171999999999999</v>
      </c>
      <c r="X38" s="259"/>
    </row>
    <row r="39" spans="1:31" x14ac:dyDescent="0.45">
      <c r="A39" s="980" t="s">
        <v>208</v>
      </c>
      <c r="B39" s="980">
        <f>SUM(B37:B38)</f>
        <v>7.99</v>
      </c>
      <c r="C39" s="981">
        <f>SUM(C37:C38)</f>
        <v>11.62</v>
      </c>
      <c r="D39" s="980">
        <f>SUM(D37:D38)</f>
        <v>19.61</v>
      </c>
      <c r="K39" s="1075" t="s">
        <v>208</v>
      </c>
      <c r="L39" s="1482">
        <f>SUM(L37:L38)</f>
        <v>5.85</v>
      </c>
      <c r="M39" s="1482">
        <f>SUM(M37:M38)</f>
        <v>1.125</v>
      </c>
      <c r="N39" s="1482">
        <f>SUM(N37:N38)</f>
        <v>1.3541666666666665</v>
      </c>
      <c r="O39" s="981">
        <f>SUM(O37:O38)</f>
        <v>8.3291666666666657</v>
      </c>
      <c r="P39" s="781">
        <f t="shared" si="26"/>
        <v>585</v>
      </c>
      <c r="Q39" s="781">
        <f t="shared" si="27"/>
        <v>112.5</v>
      </c>
      <c r="R39" s="781">
        <f t="shared" si="28"/>
        <v>135.41666666666666</v>
      </c>
      <c r="S39" s="781">
        <f t="shared" si="29"/>
        <v>832.91666666666652</v>
      </c>
      <c r="T39" s="629">
        <f>T37+T38</f>
        <v>559.78181999999993</v>
      </c>
      <c r="U39" s="629">
        <f>U37+U38</f>
        <v>89.656149999999997</v>
      </c>
      <c r="V39" s="629">
        <f>V37+V38</f>
        <v>72.187150000000003</v>
      </c>
      <c r="W39" s="629">
        <f>W37+W38</f>
        <v>407.89360000000005</v>
      </c>
    </row>
    <row r="40" spans="1:31" x14ac:dyDescent="0.45">
      <c r="A40" s="977" t="s">
        <v>135</v>
      </c>
      <c r="B40" s="977">
        <v>2.04</v>
      </c>
      <c r="C40" s="978">
        <v>2.85</v>
      </c>
      <c r="D40" s="977">
        <f>SUM(B40:C40)</f>
        <v>4.8900000000000006</v>
      </c>
      <c r="K40" s="1074" t="s">
        <v>135</v>
      </c>
      <c r="L40" s="1002">
        <v>1.17</v>
      </c>
      <c r="M40" s="1002">
        <v>0.22500000000000001</v>
      </c>
      <c r="N40" s="1002">
        <v>0.27083333333333331</v>
      </c>
      <c r="O40" s="252">
        <f>L40+M40+N40</f>
        <v>1.6658333333333333</v>
      </c>
      <c r="P40" s="259">
        <f>(L40*10000000)/100000</f>
        <v>117</v>
      </c>
      <c r="Q40" s="259">
        <f t="shared" si="27"/>
        <v>22.5</v>
      </c>
      <c r="R40" s="259">
        <f t="shared" si="28"/>
        <v>27.083333333333329</v>
      </c>
      <c r="S40" s="259">
        <f t="shared" si="29"/>
        <v>166.58333333333331</v>
      </c>
      <c r="T40" s="229">
        <f>'ACTUAL- 23-24'!O25/100000</f>
        <v>78.629589999999993</v>
      </c>
      <c r="U40" s="229">
        <f>'ACTUAL- 23-24'!P25/100000</f>
        <v>53.544069999999998</v>
      </c>
      <c r="V40" s="229">
        <f>'ACTUAL- 23-24'!Q25/100000</f>
        <v>10.88359</v>
      </c>
      <c r="W40" s="229">
        <f>'ACTUAL- 23-24'!R25/100000</f>
        <v>0</v>
      </c>
    </row>
    <row r="41" spans="1:31" x14ac:dyDescent="0.45">
      <c r="A41" s="980" t="s">
        <v>209</v>
      </c>
      <c r="B41" s="980">
        <f>SUM(B39:B40)</f>
        <v>10.030000000000001</v>
      </c>
      <c r="C41" s="981">
        <f>SUM(C39:C40)</f>
        <v>14.469999999999999</v>
      </c>
      <c r="D41" s="980">
        <f>SUM(D39:D40)</f>
        <v>24.5</v>
      </c>
      <c r="K41" s="1075" t="s">
        <v>209</v>
      </c>
      <c r="L41" s="1482">
        <f>SUM(L39:L40)</f>
        <v>7.02</v>
      </c>
      <c r="M41" s="1482">
        <f>SUM(M39:M40)</f>
        <v>1.35</v>
      </c>
      <c r="N41" s="1482">
        <f>SUM(N39:N40)</f>
        <v>1.6249999999999998</v>
      </c>
      <c r="O41" s="981">
        <f>SUM(O39:O40)</f>
        <v>9.9949999999999992</v>
      </c>
      <c r="P41" s="1387">
        <f>(L41*10000000)/100000</f>
        <v>702</v>
      </c>
      <c r="Q41" s="1387">
        <f t="shared" si="27"/>
        <v>135</v>
      </c>
      <c r="R41" s="1387">
        <f t="shared" si="28"/>
        <v>162.49999999999997</v>
      </c>
      <c r="S41" s="1387">
        <f>(O41*10000000)/100000</f>
        <v>999.49999999999989</v>
      </c>
      <c r="T41" s="629">
        <f>T39+T40</f>
        <v>638.41140999999993</v>
      </c>
      <c r="U41" s="629">
        <f>U39+U40</f>
        <v>143.20022</v>
      </c>
      <c r="V41" s="629">
        <f>V39+V40</f>
        <v>83.070740000000001</v>
      </c>
      <c r="W41" s="629">
        <f>W39+W40</f>
        <v>407.89360000000005</v>
      </c>
    </row>
    <row r="42" spans="1:31" x14ac:dyDescent="0.45">
      <c r="A42" s="977" t="s">
        <v>136</v>
      </c>
      <c r="B42" s="977">
        <v>1.86</v>
      </c>
      <c r="C42" s="978">
        <v>2.97</v>
      </c>
      <c r="D42" s="977">
        <f>SUM(B42:C42)</f>
        <v>4.83</v>
      </c>
      <c r="K42" s="1074" t="s">
        <v>136</v>
      </c>
      <c r="L42" s="1002">
        <v>1.17</v>
      </c>
      <c r="M42" s="1002">
        <v>0.22500000000000001</v>
      </c>
      <c r="N42" s="1002">
        <v>0.27083333333333331</v>
      </c>
      <c r="O42" s="252">
        <f>L42+M42+N42</f>
        <v>1.6658333333333333</v>
      </c>
      <c r="P42" s="259">
        <f t="shared" si="26"/>
        <v>117</v>
      </c>
      <c r="Q42" s="259">
        <f t="shared" si="27"/>
        <v>22.5</v>
      </c>
      <c r="R42" s="259">
        <f t="shared" si="28"/>
        <v>27.083333333333329</v>
      </c>
      <c r="S42" s="259">
        <f t="shared" si="29"/>
        <v>166.58333333333331</v>
      </c>
      <c r="T42" s="216">
        <f>'ACTUAL- 23-24'!O26/100000</f>
        <v>50.067610000000002</v>
      </c>
      <c r="U42" s="216">
        <f>'ACTUAL- 23-24'!P26/100000</f>
        <v>7.7361800000000001</v>
      </c>
      <c r="V42" s="216">
        <f>'ACTUAL- 23-24'!Q26/100000</f>
        <v>15.860519999999999</v>
      </c>
      <c r="W42" s="229">
        <f>T42+U42+V42</f>
        <v>73.66431</v>
      </c>
    </row>
    <row r="43" spans="1:31" x14ac:dyDescent="0.45">
      <c r="A43" s="980" t="s">
        <v>210</v>
      </c>
      <c r="B43" s="980">
        <f>SUM(B41:B42)</f>
        <v>11.89</v>
      </c>
      <c r="C43" s="981">
        <f>SUM(C41:C42)</f>
        <v>17.439999999999998</v>
      </c>
      <c r="D43" s="980">
        <f>SUM(D41:D42)</f>
        <v>29.33</v>
      </c>
      <c r="K43" s="1075" t="s">
        <v>210</v>
      </c>
      <c r="L43" s="1482">
        <f>SUM(L41:L42)</f>
        <v>8.19</v>
      </c>
      <c r="M43" s="1482">
        <f>SUM(M41:M42)</f>
        <v>1.5750000000000002</v>
      </c>
      <c r="N43" s="1482">
        <f>SUM(N41:N42)</f>
        <v>1.895833333333333</v>
      </c>
      <c r="O43" s="981">
        <f>SUM(O41:O42)</f>
        <v>11.660833333333333</v>
      </c>
      <c r="P43" s="259">
        <f t="shared" si="26"/>
        <v>819</v>
      </c>
      <c r="Q43" s="259">
        <f t="shared" si="27"/>
        <v>157.50000000000003</v>
      </c>
      <c r="R43" s="259">
        <f t="shared" si="28"/>
        <v>189.58333333333331</v>
      </c>
      <c r="S43" s="259">
        <f t="shared" si="29"/>
        <v>1166.0833333333333</v>
      </c>
      <c r="T43" s="781">
        <f>T42+T41</f>
        <v>688.47901999999999</v>
      </c>
      <c r="U43" s="781">
        <f t="shared" ref="U43:W43" si="37">U42+U41</f>
        <v>150.93639999999999</v>
      </c>
      <c r="V43" s="781">
        <f t="shared" si="37"/>
        <v>98.931259999999995</v>
      </c>
      <c r="W43" s="781">
        <f t="shared" si="37"/>
        <v>481.55791000000005</v>
      </c>
    </row>
    <row r="44" spans="1:31" x14ac:dyDescent="0.45">
      <c r="A44" s="977" t="s">
        <v>137</v>
      </c>
      <c r="B44" s="977">
        <v>2.15</v>
      </c>
      <c r="C44" s="978">
        <v>3.2</v>
      </c>
      <c r="D44" s="977">
        <f>SUM(B44:C44)</f>
        <v>5.35</v>
      </c>
      <c r="K44" s="1074" t="s">
        <v>137</v>
      </c>
      <c r="L44" s="1002">
        <v>1.17</v>
      </c>
      <c r="M44" s="1002">
        <v>0.22500000000000001</v>
      </c>
      <c r="N44" s="1002">
        <v>0.27083333333333331</v>
      </c>
      <c r="O44" s="252">
        <f>L44+M44+N44</f>
        <v>1.6658333333333333</v>
      </c>
      <c r="P44" s="259">
        <f t="shared" si="26"/>
        <v>117</v>
      </c>
      <c r="Q44" s="259">
        <f t="shared" si="27"/>
        <v>22.5</v>
      </c>
      <c r="R44" s="259">
        <f t="shared" si="28"/>
        <v>27.083333333333329</v>
      </c>
      <c r="S44" s="259">
        <f t="shared" si="29"/>
        <v>166.58333333333331</v>
      </c>
      <c r="T44" s="216">
        <f>'ACTUAL- 23-24'!O27/100000</f>
        <v>133.63185999999999</v>
      </c>
      <c r="U44" s="216">
        <f>'ACTUAL- 23-24'!P27/100000</f>
        <v>8.9789200000000005</v>
      </c>
      <c r="V44" s="216">
        <f>'ACTUAL- 23-24'!Q27/100000</f>
        <v>14.05762</v>
      </c>
      <c r="W44" s="229">
        <f>T44+U44+V44</f>
        <v>156.66839999999996</v>
      </c>
    </row>
    <row r="45" spans="1:31" x14ac:dyDescent="0.45">
      <c r="A45" s="980" t="s">
        <v>211</v>
      </c>
      <c r="B45" s="980">
        <f>SUM(B43:B44)</f>
        <v>14.040000000000001</v>
      </c>
      <c r="C45" s="981">
        <f>SUM(C43:C44)</f>
        <v>20.639999999999997</v>
      </c>
      <c r="D45" s="980">
        <f>SUM(D43:D44)</f>
        <v>34.68</v>
      </c>
      <c r="K45" s="1075" t="s">
        <v>211</v>
      </c>
      <c r="L45" s="1812">
        <f>SUM(L43:L44)</f>
        <v>9.36</v>
      </c>
      <c r="M45" s="1812">
        <f>SUM(M43:M44)</f>
        <v>1.8000000000000003</v>
      </c>
      <c r="N45" s="1812">
        <f>SUM(N43:N44)</f>
        <v>2.1666666666666665</v>
      </c>
      <c r="O45" s="981">
        <f>SUM(L45:N45)</f>
        <v>13.326666666666666</v>
      </c>
      <c r="P45" s="781">
        <f t="shared" si="26"/>
        <v>936</v>
      </c>
      <c r="Q45" s="781">
        <f t="shared" si="27"/>
        <v>180.00000000000003</v>
      </c>
      <c r="R45" s="781">
        <f t="shared" si="28"/>
        <v>216.66666666666663</v>
      </c>
      <c r="S45" s="781">
        <f t="shared" si="29"/>
        <v>1332.6666666666665</v>
      </c>
      <c r="T45" s="259">
        <f>'ACTUAL- 23-24'!O34/100000</f>
        <v>1.1654841700000001E-4</v>
      </c>
    </row>
    <row r="46" spans="1:31" x14ac:dyDescent="0.45">
      <c r="A46" s="977" t="s">
        <v>138</v>
      </c>
      <c r="B46" s="977">
        <v>2.08</v>
      </c>
      <c r="C46" s="978">
        <v>3.14</v>
      </c>
      <c r="D46" s="978">
        <f>SUM(B46:C46)</f>
        <v>5.2200000000000006</v>
      </c>
      <c r="K46" s="1074" t="s">
        <v>138</v>
      </c>
      <c r="L46" s="1002">
        <v>1.17</v>
      </c>
      <c r="M46" s="1002">
        <v>0.22500000000000001</v>
      </c>
      <c r="N46" s="1002">
        <v>0.27083333333333331</v>
      </c>
      <c r="O46" s="252">
        <f>L46+M46+N46</f>
        <v>1.6658333333333333</v>
      </c>
      <c r="P46" s="259">
        <f t="shared" si="26"/>
        <v>117</v>
      </c>
      <c r="Q46" s="259">
        <f t="shared" si="27"/>
        <v>22.5</v>
      </c>
      <c r="R46" s="259">
        <f t="shared" si="28"/>
        <v>27.083333333333329</v>
      </c>
      <c r="S46" s="259">
        <f t="shared" si="29"/>
        <v>166.58333333333331</v>
      </c>
      <c r="T46" s="259">
        <f>'ACTUAL- 23-24'!O35/100000</f>
        <v>1.1675700000000002E-3</v>
      </c>
    </row>
    <row r="47" spans="1:31" x14ac:dyDescent="0.45">
      <c r="A47" s="980" t="s">
        <v>212</v>
      </c>
      <c r="B47" s="980">
        <f>SUM(B45:B46)</f>
        <v>16.12</v>
      </c>
      <c r="C47" s="981">
        <f>SUM(C45:C46)</f>
        <v>23.779999999999998</v>
      </c>
      <c r="D47" s="980">
        <f>SUM(D45:D46)</f>
        <v>39.9</v>
      </c>
      <c r="K47" s="1075" t="s">
        <v>212</v>
      </c>
      <c r="L47" s="1482">
        <f>SUM(L45:L46)</f>
        <v>10.53</v>
      </c>
      <c r="M47" s="1482">
        <f>SUM(M45:M46)</f>
        <v>2.0250000000000004</v>
      </c>
      <c r="N47" s="1482">
        <f>SUM(N45:N46)</f>
        <v>2.4375</v>
      </c>
      <c r="O47" s="981">
        <f>SUM(O45:O46)</f>
        <v>14.9925</v>
      </c>
      <c r="P47" s="259">
        <f>(L47*10000000)/100000</f>
        <v>1053</v>
      </c>
      <c r="Q47" s="259">
        <f t="shared" si="27"/>
        <v>202.50000000000003</v>
      </c>
      <c r="R47" s="259">
        <f t="shared" si="28"/>
        <v>243.75</v>
      </c>
      <c r="S47" s="259">
        <f t="shared" si="29"/>
        <v>1499.25</v>
      </c>
      <c r="T47" s="259">
        <f>'ACTUAL- 23-24'!P36/100000</f>
        <v>2.2544358999999998E-3</v>
      </c>
    </row>
    <row r="48" spans="1:31" x14ac:dyDescent="0.45">
      <c r="A48" s="977" t="s">
        <v>139</v>
      </c>
      <c r="B48" s="977">
        <v>2.06</v>
      </c>
      <c r="C48" s="978">
        <v>3.21</v>
      </c>
      <c r="D48" s="977">
        <f>SUM(B48:C48)</f>
        <v>5.27</v>
      </c>
      <c r="K48" s="1074" t="s">
        <v>139</v>
      </c>
      <c r="L48" s="1002">
        <v>1.17</v>
      </c>
      <c r="M48" s="1002">
        <v>0.22500000000000001</v>
      </c>
      <c r="N48" s="1002">
        <v>0.27083333333333331</v>
      </c>
      <c r="O48" s="252">
        <f>L48+M48+N48</f>
        <v>1.6658333333333333</v>
      </c>
      <c r="P48" s="259">
        <f t="shared" si="26"/>
        <v>117</v>
      </c>
      <c r="Q48" s="259">
        <f t="shared" si="27"/>
        <v>22.5</v>
      </c>
      <c r="R48" s="259">
        <f t="shared" si="28"/>
        <v>27.083333333333329</v>
      </c>
      <c r="S48" s="259">
        <f t="shared" si="29"/>
        <v>166.58333333333331</v>
      </c>
      <c r="T48" s="259">
        <f>'ACTUAL- 23-24'!P37/100000</f>
        <v>0</v>
      </c>
    </row>
    <row r="49" spans="1:24" x14ac:dyDescent="0.45">
      <c r="A49" s="980" t="s">
        <v>206</v>
      </c>
      <c r="B49" s="980">
        <f>SUM(B47:B48)</f>
        <v>18.18</v>
      </c>
      <c r="C49" s="981">
        <f>SUM(C47:C48)</f>
        <v>26.99</v>
      </c>
      <c r="D49" s="980">
        <f>SUM(D47:D48)</f>
        <v>45.17</v>
      </c>
      <c r="K49" s="1075" t="s">
        <v>206</v>
      </c>
      <c r="L49" s="1482">
        <f>SUM(L47:L48)</f>
        <v>11.7</v>
      </c>
      <c r="M49" s="1482">
        <f>SUM(M47:M48)</f>
        <v>2.2500000000000004</v>
      </c>
      <c r="N49" s="1482">
        <f>SUM(N47:N48)</f>
        <v>2.7083333333333335</v>
      </c>
      <c r="O49" s="981">
        <f>SUM(O47:O48)</f>
        <v>16.658333333333331</v>
      </c>
      <c r="P49" s="259">
        <f t="shared" si="26"/>
        <v>1170</v>
      </c>
      <c r="Q49" s="259">
        <f t="shared" si="27"/>
        <v>225.00000000000003</v>
      </c>
      <c r="R49" s="259">
        <f t="shared" si="28"/>
        <v>270.83333333333337</v>
      </c>
      <c r="S49" s="259">
        <f t="shared" si="29"/>
        <v>1665.833333333333</v>
      </c>
      <c r="T49" s="259">
        <f>'ACTUAL- 23-24'!P38/100000</f>
        <v>0</v>
      </c>
    </row>
    <row r="50" spans="1:24" x14ac:dyDescent="0.45">
      <c r="A50" s="977" t="s">
        <v>140</v>
      </c>
      <c r="B50" s="977">
        <v>1.91</v>
      </c>
      <c r="C50" s="978">
        <v>2.85</v>
      </c>
      <c r="D50" s="977">
        <f>SUM(B50:C50)</f>
        <v>4.76</v>
      </c>
      <c r="K50" s="1074" t="s">
        <v>140</v>
      </c>
      <c r="L50" s="1002">
        <v>1.17</v>
      </c>
      <c r="M50" s="1002">
        <v>0.22500000000000001</v>
      </c>
      <c r="N50" s="1002">
        <v>0.27083333333333331</v>
      </c>
      <c r="O50" s="252">
        <f>L50+M50+N50</f>
        <v>1.6658333333333333</v>
      </c>
      <c r="P50" s="259">
        <f t="shared" si="26"/>
        <v>117</v>
      </c>
      <c r="Q50" s="259">
        <f t="shared" si="27"/>
        <v>22.5</v>
      </c>
      <c r="R50" s="259">
        <f t="shared" si="28"/>
        <v>27.083333333333329</v>
      </c>
      <c r="S50" s="259">
        <f t="shared" si="29"/>
        <v>166.58333333333331</v>
      </c>
      <c r="T50" s="259">
        <f>'ACTUAL- 23-24'!P39/100000</f>
        <v>3.21816E-7</v>
      </c>
    </row>
    <row r="51" spans="1:24" x14ac:dyDescent="0.45">
      <c r="A51" s="980" t="s">
        <v>215</v>
      </c>
      <c r="B51" s="981">
        <f>SUM(B49:B50)</f>
        <v>20.09</v>
      </c>
      <c r="C51" s="981">
        <f>SUM(C49:C50)</f>
        <v>29.84</v>
      </c>
      <c r="D51" s="980">
        <f>SUM(D49:D50)</f>
        <v>49.93</v>
      </c>
      <c r="K51" s="1075" t="s">
        <v>215</v>
      </c>
      <c r="L51" s="1482">
        <f>SUM(L49:L50)</f>
        <v>12.87</v>
      </c>
      <c r="M51" s="1482">
        <f>SUM(M49:M50)</f>
        <v>2.4750000000000005</v>
      </c>
      <c r="N51" s="1482">
        <f>SUM(N49:N50)</f>
        <v>2.979166666666667</v>
      </c>
      <c r="O51" s="981">
        <f>SUM(O49:O50)</f>
        <v>18.324166666666663</v>
      </c>
      <c r="P51" s="259">
        <f>(L51*10000000)/100000</f>
        <v>1286.9999999999998</v>
      </c>
      <c r="Q51" s="259">
        <f t="shared" si="27"/>
        <v>247.50000000000003</v>
      </c>
      <c r="R51" s="259">
        <f t="shared" si="28"/>
        <v>297.91666666666669</v>
      </c>
      <c r="S51" s="259">
        <f t="shared" si="29"/>
        <v>1832.4166666666663</v>
      </c>
      <c r="T51" s="259">
        <f>'ACTUAL- 23-24'!P40/100000</f>
        <v>0</v>
      </c>
    </row>
    <row r="52" spans="1:24" x14ac:dyDescent="0.45">
      <c r="A52" s="977" t="s">
        <v>141</v>
      </c>
      <c r="B52" s="977">
        <v>2</v>
      </c>
      <c r="C52" s="978">
        <v>3.13</v>
      </c>
      <c r="D52" s="977">
        <f>SUM(B52:C52)</f>
        <v>5.13</v>
      </c>
      <c r="K52" s="1074" t="s">
        <v>141</v>
      </c>
      <c r="L52" s="1002">
        <v>1.17</v>
      </c>
      <c r="M52" s="1002">
        <v>0.22500000000000001</v>
      </c>
      <c r="N52" s="1002">
        <v>0.27083333333333331</v>
      </c>
      <c r="O52" s="252">
        <f>L52+M52+N52</f>
        <v>1.6658333333333333</v>
      </c>
      <c r="P52" s="259">
        <f t="shared" si="26"/>
        <v>117</v>
      </c>
      <c r="Q52" s="259">
        <f t="shared" si="27"/>
        <v>22.5</v>
      </c>
      <c r="R52" s="259">
        <f t="shared" si="28"/>
        <v>27.083333333333329</v>
      </c>
      <c r="S52" s="259">
        <f t="shared" si="29"/>
        <v>166.58333333333331</v>
      </c>
      <c r="T52" s="259">
        <f>'ACTUAL- 23-24'!P41/100000</f>
        <v>2.34786E-7</v>
      </c>
    </row>
    <row r="53" spans="1:24" x14ac:dyDescent="0.45">
      <c r="A53" s="980" t="s">
        <v>240</v>
      </c>
      <c r="B53" s="981">
        <f>SUM(B51:B52)</f>
        <v>22.09</v>
      </c>
      <c r="C53" s="981">
        <f>SUM(C51:C52)</f>
        <v>32.97</v>
      </c>
      <c r="D53" s="981">
        <f>SUM(D51:D52)</f>
        <v>55.06</v>
      </c>
      <c r="K53" s="1075" t="s">
        <v>240</v>
      </c>
      <c r="L53" s="981">
        <f>SUM(L51:L52)</f>
        <v>14.04</v>
      </c>
      <c r="M53" s="1482">
        <f>SUM(M51:M52)</f>
        <v>2.7000000000000006</v>
      </c>
      <c r="N53" s="1482">
        <f>SUM(N51:N52)</f>
        <v>3.2500000000000004</v>
      </c>
      <c r="O53" s="981">
        <f>SUM(O51:O52)</f>
        <v>19.989999999999995</v>
      </c>
      <c r="P53" s="259">
        <f t="shared" si="26"/>
        <v>1404</v>
      </c>
      <c r="Q53" s="259">
        <f t="shared" si="27"/>
        <v>270.00000000000006</v>
      </c>
      <c r="R53" s="259">
        <f t="shared" si="28"/>
        <v>325.00000000000006</v>
      </c>
      <c r="S53" s="259">
        <f t="shared" si="29"/>
        <v>1998.9999999999993</v>
      </c>
    </row>
    <row r="63" spans="1:24" ht="17.25" x14ac:dyDescent="0.45">
      <c r="A63" s="2545" t="s">
        <v>1049</v>
      </c>
      <c r="B63" s="2545"/>
      <c r="C63" s="2545"/>
      <c r="D63" s="2545"/>
      <c r="E63" s="2545"/>
      <c r="F63" s="2545"/>
      <c r="G63" s="2545"/>
      <c r="H63" s="2545"/>
      <c r="W63">
        <v>270</v>
      </c>
      <c r="X63">
        <f>W63*100000</f>
        <v>27000000</v>
      </c>
    </row>
    <row r="64" spans="1:24" x14ac:dyDescent="0.45">
      <c r="A64" s="2258" t="s">
        <v>127</v>
      </c>
      <c r="B64" s="2275" t="s">
        <v>237</v>
      </c>
      <c r="C64" s="2276"/>
      <c r="D64" s="2277"/>
      <c r="E64" s="2258" t="s">
        <v>370</v>
      </c>
      <c r="F64" s="2262" t="s">
        <v>371</v>
      </c>
      <c r="G64" s="2258" t="s">
        <v>63</v>
      </c>
      <c r="H64" s="2258" t="s">
        <v>203</v>
      </c>
      <c r="Q64" s="2544" t="s">
        <v>889</v>
      </c>
      <c r="R64" s="2544"/>
      <c r="S64" s="2544"/>
      <c r="T64" s="2544"/>
      <c r="U64" s="2544"/>
      <c r="W64">
        <f>X63/10000000</f>
        <v>2.7</v>
      </c>
      <c r="X64">
        <f>W64/12</f>
        <v>0.22500000000000001</v>
      </c>
    </row>
    <row r="65" spans="1:25" x14ac:dyDescent="0.45">
      <c r="A65" s="2259"/>
      <c r="B65" s="855" t="s">
        <v>94</v>
      </c>
      <c r="C65" s="855" t="s">
        <v>97</v>
      </c>
      <c r="D65" s="855" t="s">
        <v>63</v>
      </c>
      <c r="E65" s="2259"/>
      <c r="F65" s="2263"/>
      <c r="G65" s="2259"/>
      <c r="H65" s="2259"/>
      <c r="K65" t="s">
        <v>127</v>
      </c>
      <c r="L65" s="777" t="s">
        <v>124</v>
      </c>
      <c r="M65" s="777" t="s">
        <v>489</v>
      </c>
      <c r="N65" s="777" t="s">
        <v>548</v>
      </c>
      <c r="O65" s="777" t="s">
        <v>436</v>
      </c>
      <c r="P65" s="777" t="s">
        <v>449</v>
      </c>
      <c r="Q65" s="690" t="s">
        <v>127</v>
      </c>
      <c r="R65" s="855" t="s">
        <v>391</v>
      </c>
      <c r="S65" s="398" t="s">
        <v>355</v>
      </c>
      <c r="T65" s="835" t="s">
        <v>447</v>
      </c>
      <c r="U65" s="398" t="s">
        <v>548</v>
      </c>
    </row>
    <row r="66" spans="1:25" x14ac:dyDescent="0.45">
      <c r="A66" s="977" t="s">
        <v>131</v>
      </c>
      <c r="B66" s="977">
        <v>0.75</v>
      </c>
      <c r="C66" s="978">
        <v>78.73</v>
      </c>
      <c r="D66" s="977">
        <f>SUM(B66:C66)</f>
        <v>79.48</v>
      </c>
      <c r="E66" s="977">
        <v>30.73</v>
      </c>
      <c r="F66" s="977">
        <v>9.34</v>
      </c>
      <c r="G66" s="977">
        <f>SUM(D66:F66)</f>
        <v>119.55000000000001</v>
      </c>
      <c r="H66" s="978">
        <v>1.6658333333333333</v>
      </c>
      <c r="I66" s="229">
        <f>G66+H66</f>
        <v>121.21583333333335</v>
      </c>
      <c r="K66" s="1790" t="s">
        <v>131</v>
      </c>
      <c r="L66" s="122"/>
      <c r="M66" s="122"/>
      <c r="N66" s="977">
        <f>SUM(L66:M66)</f>
        <v>0</v>
      </c>
      <c r="O66" s="122">
        <v>1.85</v>
      </c>
      <c r="P66" s="1296">
        <v>33600</v>
      </c>
      <c r="Q66" s="1074" t="s">
        <v>131</v>
      </c>
      <c r="R66" s="122">
        <v>1.17</v>
      </c>
      <c r="S66" s="1623">
        <v>0.22500000000000001</v>
      </c>
      <c r="T66" s="1623">
        <v>0.27083333333333331</v>
      </c>
      <c r="U66" s="252">
        <f>R66+S66+T66</f>
        <v>1.6658333333333333</v>
      </c>
      <c r="V66" s="259">
        <f>(R66*10000000)/100000</f>
        <v>117</v>
      </c>
      <c r="W66" s="259">
        <f>(S66*10000000)/100000</f>
        <v>22.5</v>
      </c>
      <c r="X66" s="259">
        <f>(T66*10000000)/100000</f>
        <v>27.083333333333329</v>
      </c>
      <c r="Y66" s="259">
        <f>(U66*10000000)/100000</f>
        <v>166.58333333333331</v>
      </c>
    </row>
    <row r="67" spans="1:25" x14ac:dyDescent="0.45">
      <c r="A67" s="977" t="s">
        <v>132</v>
      </c>
      <c r="B67" s="977">
        <v>0.98</v>
      </c>
      <c r="C67" s="978">
        <v>81.14</v>
      </c>
      <c r="D67" s="977">
        <f>SUM(B67:C67)</f>
        <v>82.12</v>
      </c>
      <c r="E67" s="977">
        <v>29.03</v>
      </c>
      <c r="F67" s="977">
        <v>12.49</v>
      </c>
      <c r="G67" s="977">
        <f>SUM(D67:F67)</f>
        <v>123.64</v>
      </c>
      <c r="H67" s="978">
        <v>1.6658333333333333</v>
      </c>
      <c r="I67" s="229">
        <f t="shared" ref="I67:I88" si="38">G67+H67</f>
        <v>125.30583333333334</v>
      </c>
      <c r="K67" s="1790" t="s">
        <v>132</v>
      </c>
      <c r="L67" s="122"/>
      <c r="M67" s="122"/>
      <c r="N67" s="977">
        <f>SUM(L67:M67)</f>
        <v>0</v>
      </c>
      <c r="O67" s="122">
        <v>1.85</v>
      </c>
      <c r="P67" s="1296">
        <v>33930</v>
      </c>
      <c r="Q67" s="1074" t="s">
        <v>132</v>
      </c>
      <c r="R67" s="122">
        <v>1.17</v>
      </c>
      <c r="S67" s="1623">
        <v>0.22500000000000001</v>
      </c>
      <c r="T67" s="1623">
        <v>0.27083333333333331</v>
      </c>
      <c r="U67" s="252">
        <f>R67+S67+T67</f>
        <v>1.6658333333333333</v>
      </c>
      <c r="V67" s="259">
        <f t="shared" ref="V67" si="39">(R67*10000000)/100000</f>
        <v>117</v>
      </c>
      <c r="W67" s="259">
        <f t="shared" ref="W67" si="40">(S67*10000000)/100000</f>
        <v>22.5</v>
      </c>
      <c r="X67" s="259">
        <f t="shared" ref="X67" si="41">(T67*10000000)/100000</f>
        <v>27.083333333333329</v>
      </c>
      <c r="Y67" s="259">
        <f t="shared" ref="Y67" si="42">(U67*10000000)/100000</f>
        <v>166.58333333333331</v>
      </c>
    </row>
    <row r="68" spans="1:25" x14ac:dyDescent="0.45">
      <c r="A68" s="980" t="s">
        <v>204</v>
      </c>
      <c r="B68" s="980">
        <f>SUM(B66:B67)</f>
        <v>1.73</v>
      </c>
      <c r="C68" s="981">
        <f>SUM(C66:C67)</f>
        <v>159.87</v>
      </c>
      <c r="D68" s="1379">
        <f>SUM(B68:C68)</f>
        <v>161.6</v>
      </c>
      <c r="E68" s="980">
        <f>SUM(E66:E67)</f>
        <v>59.760000000000005</v>
      </c>
      <c r="F68" s="980">
        <f>SUM(F66:F67)</f>
        <v>21.83</v>
      </c>
      <c r="G68" s="980">
        <f>SUM(G66:G67)</f>
        <v>243.19</v>
      </c>
      <c r="H68" s="981">
        <f>SUM(H66:H67)</f>
        <v>3.3316666666666666</v>
      </c>
      <c r="I68" s="229">
        <f t="shared" si="38"/>
        <v>246.52166666666668</v>
      </c>
      <c r="K68" s="1791" t="s">
        <v>204</v>
      </c>
      <c r="L68" s="980">
        <f>SUM(L66:L67)</f>
        <v>0</v>
      </c>
      <c r="M68" s="981">
        <f>SUM(M66:M67)</f>
        <v>0</v>
      </c>
      <c r="N68" s="981">
        <f>L68+M68</f>
        <v>0</v>
      </c>
      <c r="O68" s="981">
        <f>SUM(O66:O67)</f>
        <v>3.7</v>
      </c>
      <c r="P68" s="1487">
        <f>SUM(P66:P67)</f>
        <v>67530</v>
      </c>
      <c r="Q68" s="1075" t="s">
        <v>204</v>
      </c>
      <c r="R68" s="1482">
        <f>SUM(R66:R67)</f>
        <v>2.34</v>
      </c>
      <c r="S68" s="1482">
        <f>SUM(S66:S67)</f>
        <v>0.45</v>
      </c>
      <c r="T68" s="1482">
        <f>SUM(T66:T67)</f>
        <v>0.54166666666666663</v>
      </c>
      <c r="U68" s="981">
        <f>SUM(U66:U67)</f>
        <v>3.3316666666666666</v>
      </c>
      <c r="V68" s="781">
        <f>SUM(V66:V67)</f>
        <v>234</v>
      </c>
      <c r="W68" s="781">
        <f t="shared" ref="W68:Y68" si="43">SUM(W66:W67)</f>
        <v>45</v>
      </c>
      <c r="X68" s="781">
        <f t="shared" si="43"/>
        <v>54.166666666666657</v>
      </c>
      <c r="Y68" s="781">
        <f t="shared" si="43"/>
        <v>333.16666666666663</v>
      </c>
    </row>
    <row r="69" spans="1:25" x14ac:dyDescent="0.45">
      <c r="A69" s="977" t="s">
        <v>133</v>
      </c>
      <c r="B69" s="977">
        <v>0.99</v>
      </c>
      <c r="C69" s="978">
        <v>83.97</v>
      </c>
      <c r="D69" s="978">
        <f>B69+C69</f>
        <v>84.96</v>
      </c>
      <c r="E69" s="977">
        <v>38.93</v>
      </c>
      <c r="F69" s="977">
        <v>13.35</v>
      </c>
      <c r="G69" s="977">
        <f>SUM(D69:F69)</f>
        <v>137.23999999999998</v>
      </c>
      <c r="H69" s="978">
        <v>1.6658333333333333</v>
      </c>
      <c r="I69" s="229">
        <f t="shared" si="38"/>
        <v>138.90583333333331</v>
      </c>
      <c r="K69" s="1790" t="s">
        <v>133</v>
      </c>
      <c r="L69" s="122"/>
      <c r="M69" s="122"/>
      <c r="N69" s="977">
        <f>SUM(L69:M69)</f>
        <v>0</v>
      </c>
      <c r="O69" s="122">
        <v>2.15</v>
      </c>
      <c r="P69" s="1296">
        <v>27930</v>
      </c>
      <c r="Q69" s="1074" t="s">
        <v>133</v>
      </c>
      <c r="R69" s="252">
        <v>1.17</v>
      </c>
      <c r="S69" s="1623">
        <v>0.22500000000000001</v>
      </c>
      <c r="T69" s="1623">
        <v>0.27083333333333331</v>
      </c>
      <c r="U69" s="252">
        <f>R69+S69+T69</f>
        <v>1.6658333333333333</v>
      </c>
      <c r="V69" s="259">
        <f>(R69*10000000)/100000</f>
        <v>117</v>
      </c>
      <c r="W69" s="259">
        <f t="shared" ref="W69" si="44">(S69*10000000)/100000</f>
        <v>22.5</v>
      </c>
      <c r="X69" s="259">
        <f t="shared" ref="X69" si="45">(T69*10000000)/100000</f>
        <v>27.083333333333329</v>
      </c>
      <c r="Y69" s="259">
        <f t="shared" ref="Y69" si="46">(U69*10000000)/100000</f>
        <v>166.58333333333331</v>
      </c>
    </row>
    <row r="70" spans="1:25" x14ac:dyDescent="0.45">
      <c r="A70" s="980" t="s">
        <v>205</v>
      </c>
      <c r="B70" s="980">
        <f t="shared" ref="B70:G70" si="47">SUM(B68:B69)</f>
        <v>2.7199999999999998</v>
      </c>
      <c r="C70" s="981">
        <f t="shared" si="47"/>
        <v>243.84</v>
      </c>
      <c r="D70" s="980">
        <f t="shared" si="47"/>
        <v>246.56</v>
      </c>
      <c r="E70" s="980">
        <f t="shared" si="47"/>
        <v>98.69</v>
      </c>
      <c r="F70" s="980">
        <f t="shared" si="47"/>
        <v>35.18</v>
      </c>
      <c r="G70" s="980">
        <f t="shared" si="47"/>
        <v>380.42999999999995</v>
      </c>
      <c r="H70" s="981">
        <f>SUM(H68:H69)</f>
        <v>4.9974999999999996</v>
      </c>
      <c r="I70" s="229">
        <f t="shared" si="38"/>
        <v>385.42749999999995</v>
      </c>
      <c r="K70" s="1791" t="s">
        <v>205</v>
      </c>
      <c r="L70" s="980">
        <f>SUM(L68:L69)</f>
        <v>0</v>
      </c>
      <c r="M70" s="981">
        <f>SUM(M68:M69)</f>
        <v>0</v>
      </c>
      <c r="N70" s="981">
        <f>L70+M70</f>
        <v>0</v>
      </c>
      <c r="O70" s="981">
        <f>SUM(O68:O69)</f>
        <v>5.85</v>
      </c>
      <c r="P70" s="1487">
        <f>SUM(P68:P69)</f>
        <v>95460</v>
      </c>
      <c r="Q70" s="1075" t="s">
        <v>205</v>
      </c>
      <c r="R70" s="1482">
        <f>SUM(R68:R69)</f>
        <v>3.51</v>
      </c>
      <c r="S70" s="1482">
        <f>SUM(S68:S69)</f>
        <v>0.67500000000000004</v>
      </c>
      <c r="T70" s="1482">
        <f>SUM(T68:T69)</f>
        <v>0.8125</v>
      </c>
      <c r="U70" s="981">
        <f>SUM(U68:U69)</f>
        <v>4.9974999999999996</v>
      </c>
      <c r="V70" s="781">
        <f>SUM(V68:V69)</f>
        <v>351</v>
      </c>
      <c r="W70" s="781">
        <f t="shared" ref="W70:Y70" si="48">SUM(W68:W69)</f>
        <v>67.5</v>
      </c>
      <c r="X70" s="781">
        <f t="shared" si="48"/>
        <v>81.249999999999986</v>
      </c>
      <c r="Y70" s="781">
        <f t="shared" si="48"/>
        <v>499.74999999999994</v>
      </c>
    </row>
    <row r="71" spans="1:25" x14ac:dyDescent="0.45">
      <c r="A71" s="977" t="s">
        <v>51</v>
      </c>
      <c r="B71" s="977">
        <v>1.06</v>
      </c>
      <c r="C71" s="978">
        <v>96.04</v>
      </c>
      <c r="D71" s="977">
        <f>SUM(B71:C71)</f>
        <v>97.100000000000009</v>
      </c>
      <c r="E71" s="977">
        <v>44.73</v>
      </c>
      <c r="F71" s="977">
        <v>10.130000000000001</v>
      </c>
      <c r="G71" s="977">
        <f>SUM(D71:F71)</f>
        <v>151.96</v>
      </c>
      <c r="H71" s="978">
        <v>1.6658333333333333</v>
      </c>
      <c r="I71" s="229">
        <f t="shared" si="38"/>
        <v>153.62583333333333</v>
      </c>
      <c r="K71" s="1790" t="s">
        <v>51</v>
      </c>
      <c r="L71" s="122"/>
      <c r="M71" s="122"/>
      <c r="N71" s="977">
        <f>SUM(L71:M71)</f>
        <v>0</v>
      </c>
      <c r="O71" s="122">
        <v>1.55</v>
      </c>
      <c r="P71" s="1296">
        <v>18700</v>
      </c>
      <c r="Q71" s="1074" t="s">
        <v>51</v>
      </c>
      <c r="R71" s="252">
        <v>1.17</v>
      </c>
      <c r="S71" s="1623">
        <v>0.22500000000000001</v>
      </c>
      <c r="T71" s="1623">
        <v>0.27083333333333331</v>
      </c>
      <c r="U71" s="252">
        <f>R71+S71+T71</f>
        <v>1.6658333333333333</v>
      </c>
      <c r="V71" s="259">
        <f t="shared" ref="V71:V72" si="49">(R71*10000000)/100000</f>
        <v>117</v>
      </c>
      <c r="W71" s="259">
        <f t="shared" ref="W71:W88" si="50">(S71*10000000)/100000</f>
        <v>22.5</v>
      </c>
      <c r="X71" s="259">
        <f t="shared" ref="X71:X88" si="51">(T71*10000000)/100000</f>
        <v>27.083333333333329</v>
      </c>
      <c r="Y71" s="259">
        <f t="shared" ref="Y71" si="52">(U71*10000000)/100000</f>
        <v>166.58333333333331</v>
      </c>
    </row>
    <row r="72" spans="1:25" x14ac:dyDescent="0.45">
      <c r="A72" s="980" t="s">
        <v>207</v>
      </c>
      <c r="B72" s="981">
        <f t="shared" ref="B72:G72" si="53">SUM(B70:B71)</f>
        <v>3.78</v>
      </c>
      <c r="C72" s="981">
        <f t="shared" si="53"/>
        <v>339.88</v>
      </c>
      <c r="D72" s="980">
        <f t="shared" si="53"/>
        <v>343.66</v>
      </c>
      <c r="E72" s="980">
        <f t="shared" si="53"/>
        <v>143.41999999999999</v>
      </c>
      <c r="F72" s="980">
        <f t="shared" si="53"/>
        <v>45.31</v>
      </c>
      <c r="G72" s="980">
        <f t="shared" si="53"/>
        <v>532.39</v>
      </c>
      <c r="H72" s="981">
        <f>SUM(H70:H71)</f>
        <v>6.6633333333333331</v>
      </c>
      <c r="I72" s="229">
        <f t="shared" si="38"/>
        <v>539.05333333333328</v>
      </c>
      <c r="K72" s="1791" t="s">
        <v>207</v>
      </c>
      <c r="L72" s="980">
        <f>SUM(L70:L71)</f>
        <v>0</v>
      </c>
      <c r="M72" s="981">
        <f>SUM(M70:M71)</f>
        <v>0</v>
      </c>
      <c r="N72" s="981">
        <f>L72+M72</f>
        <v>0</v>
      </c>
      <c r="O72" s="981">
        <f>SUM(O70:O71)</f>
        <v>7.3999999999999995</v>
      </c>
      <c r="P72" s="1487">
        <f>SUM(P70:P71)</f>
        <v>114160</v>
      </c>
      <c r="Q72" s="1075" t="s">
        <v>207</v>
      </c>
      <c r="R72" s="1482">
        <f>SUM(R70:R71)</f>
        <v>4.68</v>
      </c>
      <c r="S72" s="1482">
        <f>SUM(S70:S71)</f>
        <v>0.9</v>
      </c>
      <c r="T72" s="1482">
        <f>SUM(T70:T71)</f>
        <v>1.0833333333333333</v>
      </c>
      <c r="U72" s="981">
        <f>SUM(U70:U71)</f>
        <v>6.6633333333333331</v>
      </c>
      <c r="V72" s="781">
        <f t="shared" si="49"/>
        <v>468</v>
      </c>
      <c r="W72" s="781">
        <f t="shared" si="50"/>
        <v>90</v>
      </c>
      <c r="X72" s="781">
        <f t="shared" si="51"/>
        <v>108.33333333333331</v>
      </c>
      <c r="Y72" s="259">
        <f>(U72*10000000)/100000</f>
        <v>666.33333333333326</v>
      </c>
    </row>
    <row r="73" spans="1:25" x14ac:dyDescent="0.45">
      <c r="A73" s="977" t="s">
        <v>134</v>
      </c>
      <c r="B73" s="977">
        <v>1.1499999999999999</v>
      </c>
      <c r="C73" s="978">
        <v>92.46</v>
      </c>
      <c r="D73" s="977">
        <f>SUM(B73:C73)</f>
        <v>93.61</v>
      </c>
      <c r="E73" s="977">
        <v>38.06</v>
      </c>
      <c r="F73" s="977">
        <v>8.93</v>
      </c>
      <c r="G73" s="977">
        <f>SUM(D73:F73)</f>
        <v>140.60000000000002</v>
      </c>
      <c r="H73" s="978">
        <v>1.6658333333333333</v>
      </c>
      <c r="I73" s="229">
        <f t="shared" si="38"/>
        <v>142.26583333333335</v>
      </c>
      <c r="K73" s="1790" t="s">
        <v>134</v>
      </c>
      <c r="L73" s="122"/>
      <c r="M73" s="122"/>
      <c r="N73" s="977">
        <f>SUM(L73:M73)</f>
        <v>0</v>
      </c>
      <c r="O73" s="122">
        <v>1.55</v>
      </c>
      <c r="P73" s="1296">
        <v>19130</v>
      </c>
      <c r="Q73" s="1074" t="s">
        <v>134</v>
      </c>
      <c r="R73" s="252">
        <v>1.17</v>
      </c>
      <c r="S73" s="1623">
        <v>0.22500000000000001</v>
      </c>
      <c r="T73" s="1623">
        <v>0.27083333333333331</v>
      </c>
      <c r="U73" s="252">
        <f>R73+S73+T73</f>
        <v>1.6658333333333333</v>
      </c>
      <c r="V73" s="216">
        <f>(R73*10000000)/100000</f>
        <v>117</v>
      </c>
      <c r="W73" s="216">
        <f t="shared" si="50"/>
        <v>22.5</v>
      </c>
      <c r="X73" s="259">
        <f t="shared" si="51"/>
        <v>27.083333333333329</v>
      </c>
      <c r="Y73" s="259">
        <f t="shared" ref="Y73:Y75" si="54">(U73*10000000)/100000</f>
        <v>166.58333333333331</v>
      </c>
    </row>
    <row r="74" spans="1:25" x14ac:dyDescent="0.45">
      <c r="A74" s="980" t="s">
        <v>208</v>
      </c>
      <c r="B74" s="980">
        <f t="shared" ref="B74:G74" si="55">SUM(B72:B73)</f>
        <v>4.93</v>
      </c>
      <c r="C74" s="981">
        <f t="shared" si="55"/>
        <v>432.34</v>
      </c>
      <c r="D74" s="980">
        <f t="shared" si="55"/>
        <v>437.27000000000004</v>
      </c>
      <c r="E74" s="980">
        <f t="shared" si="55"/>
        <v>181.48</v>
      </c>
      <c r="F74" s="980">
        <f t="shared" si="55"/>
        <v>54.24</v>
      </c>
      <c r="G74" s="980">
        <f t="shared" si="55"/>
        <v>672.99</v>
      </c>
      <c r="H74" s="981">
        <f>SUM(H72:H73)</f>
        <v>8.3291666666666657</v>
      </c>
      <c r="I74" s="229">
        <f t="shared" si="38"/>
        <v>681.31916666666666</v>
      </c>
      <c r="K74" s="1791" t="s">
        <v>208</v>
      </c>
      <c r="L74" s="980">
        <f>SUM(L72:L73)</f>
        <v>0</v>
      </c>
      <c r="M74" s="981">
        <f>SUM(M72:M73)</f>
        <v>0</v>
      </c>
      <c r="N74" s="981">
        <f>L74+M74</f>
        <v>0</v>
      </c>
      <c r="O74" s="981">
        <f>SUM(O72:O73)</f>
        <v>8.9499999999999993</v>
      </c>
      <c r="P74" s="1487">
        <f>SUM(P72:P73)</f>
        <v>133290</v>
      </c>
      <c r="Q74" s="1075" t="s">
        <v>208</v>
      </c>
      <c r="R74" s="1482">
        <f>SUM(R72:R73)</f>
        <v>5.85</v>
      </c>
      <c r="S74" s="1482">
        <f>SUM(S72:S73)</f>
        <v>1.125</v>
      </c>
      <c r="T74" s="1482">
        <f>SUM(T72:T73)</f>
        <v>1.3541666666666665</v>
      </c>
      <c r="U74" s="981">
        <f>SUM(U72:U73)</f>
        <v>8.3291666666666657</v>
      </c>
      <c r="V74" s="781">
        <f t="shared" ref="V74" si="56">(R74*10000000)/100000</f>
        <v>585</v>
      </c>
      <c r="W74" s="781">
        <f t="shared" si="50"/>
        <v>112.5</v>
      </c>
      <c r="X74" s="781">
        <f t="shared" si="51"/>
        <v>135.41666666666666</v>
      </c>
      <c r="Y74" s="781">
        <f t="shared" si="54"/>
        <v>832.91666666666652</v>
      </c>
    </row>
    <row r="75" spans="1:25" x14ac:dyDescent="0.45">
      <c r="A75" s="977" t="s">
        <v>135</v>
      </c>
      <c r="B75" s="977">
        <v>1.17</v>
      </c>
      <c r="C75" s="978">
        <v>93.11</v>
      </c>
      <c r="D75" s="977">
        <f>SUM(B75:C75)</f>
        <v>94.28</v>
      </c>
      <c r="E75" s="977">
        <v>42.91</v>
      </c>
      <c r="F75" s="977">
        <v>11.65</v>
      </c>
      <c r="G75" s="977">
        <f>SUM(D75:F75)</f>
        <v>148.84</v>
      </c>
      <c r="H75" s="978">
        <v>1.6658333333333333</v>
      </c>
      <c r="I75" s="229">
        <f t="shared" si="38"/>
        <v>150.50583333333333</v>
      </c>
      <c r="K75" s="1790" t="s">
        <v>135</v>
      </c>
      <c r="L75" s="122"/>
      <c r="M75" s="122"/>
      <c r="N75" s="977">
        <f>SUM(L75:M75)</f>
        <v>0</v>
      </c>
      <c r="O75" s="122">
        <v>1.9</v>
      </c>
      <c r="P75" s="1296">
        <v>24140</v>
      </c>
      <c r="Q75" s="1074" t="s">
        <v>135</v>
      </c>
      <c r="R75" s="252">
        <v>1.17</v>
      </c>
      <c r="S75" s="1623">
        <v>0.22500000000000001</v>
      </c>
      <c r="T75" s="1623">
        <v>0.27083333333333331</v>
      </c>
      <c r="U75" s="252">
        <f>R75+S75+T75</f>
        <v>1.6658333333333333</v>
      </c>
      <c r="V75" s="259">
        <f>(R75*10000000)/100000</f>
        <v>117</v>
      </c>
      <c r="W75" s="259">
        <f t="shared" si="50"/>
        <v>22.5</v>
      </c>
      <c r="X75" s="259">
        <f t="shared" si="51"/>
        <v>27.083333333333329</v>
      </c>
      <c r="Y75" s="259">
        <f t="shared" si="54"/>
        <v>166.58333333333331</v>
      </c>
    </row>
    <row r="76" spans="1:25" x14ac:dyDescent="0.45">
      <c r="A76" s="980" t="s">
        <v>209</v>
      </c>
      <c r="B76" s="980">
        <f>SUM(B74:B75)</f>
        <v>6.1</v>
      </c>
      <c r="C76" s="981">
        <f>SUM(C74:C75)</f>
        <v>525.44999999999993</v>
      </c>
      <c r="D76" s="980">
        <f>SUM(D74:D75)</f>
        <v>531.55000000000007</v>
      </c>
      <c r="E76" s="980">
        <f>SUM(E74:E75)</f>
        <v>224.39</v>
      </c>
      <c r="F76" s="980">
        <f>SUM(F74:F75)</f>
        <v>65.89</v>
      </c>
      <c r="G76" s="980">
        <f>D76+E76+F76</f>
        <v>821.83</v>
      </c>
      <c r="H76" s="981">
        <f>SUM(H74:H75)</f>
        <v>9.9949999999999992</v>
      </c>
      <c r="I76" s="229">
        <f t="shared" si="38"/>
        <v>831.82500000000005</v>
      </c>
      <c r="K76" s="1791" t="s">
        <v>209</v>
      </c>
      <c r="L76" s="980">
        <f>SUM(L74:L75)</f>
        <v>0</v>
      </c>
      <c r="M76" s="981">
        <f>SUM(M74:M75)</f>
        <v>0</v>
      </c>
      <c r="N76" s="981">
        <f>L76+M76</f>
        <v>0</v>
      </c>
      <c r="O76" s="981">
        <f>SUM(O74:O75)</f>
        <v>10.85</v>
      </c>
      <c r="P76" s="1487">
        <f>SUM(P74:P75)</f>
        <v>157430</v>
      </c>
      <c r="Q76" s="1075" t="s">
        <v>209</v>
      </c>
      <c r="R76" s="1482">
        <f>SUM(R74:R75)</f>
        <v>7.02</v>
      </c>
      <c r="S76" s="1482">
        <f>SUM(S74:S75)</f>
        <v>1.35</v>
      </c>
      <c r="T76" s="1482">
        <f>SUM(T74:T75)</f>
        <v>1.6249999999999998</v>
      </c>
      <c r="U76" s="981">
        <f>SUM(U74:U75)</f>
        <v>9.9949999999999992</v>
      </c>
      <c r="V76" s="1387">
        <f>(R76*10000000)/100000</f>
        <v>702</v>
      </c>
      <c r="W76" s="1387">
        <f t="shared" si="50"/>
        <v>135</v>
      </c>
      <c r="X76" s="1387">
        <f t="shared" si="51"/>
        <v>162.49999999999997</v>
      </c>
      <c r="Y76" s="1387">
        <f>(U76*10000000)/100000</f>
        <v>999.49999999999989</v>
      </c>
    </row>
    <row r="77" spans="1:25" x14ac:dyDescent="0.45">
      <c r="A77" s="977" t="s">
        <v>136</v>
      </c>
      <c r="B77" s="977">
        <v>1.1499999999999999</v>
      </c>
      <c r="C77" s="978">
        <v>85.21</v>
      </c>
      <c r="D77" s="977">
        <f>SUM(B77:C77)</f>
        <v>86.36</v>
      </c>
      <c r="E77" s="977">
        <v>32.83</v>
      </c>
      <c r="F77" s="977">
        <v>11.71</v>
      </c>
      <c r="G77" s="977">
        <f>SUM(D77:F77)</f>
        <v>130.9</v>
      </c>
      <c r="H77" s="978">
        <v>1.6658333333333333</v>
      </c>
      <c r="I77" s="229">
        <f t="shared" si="38"/>
        <v>132.56583333333333</v>
      </c>
      <c r="K77" s="1790" t="s">
        <v>136</v>
      </c>
      <c r="L77" s="122"/>
      <c r="M77" s="122"/>
      <c r="N77" s="977">
        <f>SUM(L77:M77)</f>
        <v>0</v>
      </c>
      <c r="O77" s="122">
        <v>2.2000000000000002</v>
      </c>
      <c r="P77" s="1296">
        <v>29860</v>
      </c>
      <c r="Q77" s="1074" t="s">
        <v>136</v>
      </c>
      <c r="R77" s="252">
        <v>1.17</v>
      </c>
      <c r="S77" s="1623">
        <v>0.22500000000000001</v>
      </c>
      <c r="T77" s="1623">
        <v>0.27083333333333331</v>
      </c>
      <c r="U77" s="252">
        <f>R77+S77+T77</f>
        <v>1.6658333333333333</v>
      </c>
      <c r="V77" s="259">
        <f t="shared" ref="V77:V81" si="57">(R77*10000000)/100000</f>
        <v>117</v>
      </c>
      <c r="W77" s="259">
        <f t="shared" si="50"/>
        <v>22.5</v>
      </c>
      <c r="X77" s="259">
        <f t="shared" si="51"/>
        <v>27.083333333333329</v>
      </c>
      <c r="Y77" s="259">
        <f t="shared" ref="Y77:Y88" si="58">(U77*10000000)/100000</f>
        <v>166.58333333333331</v>
      </c>
    </row>
    <row r="78" spans="1:25" x14ac:dyDescent="0.45">
      <c r="A78" s="980" t="s">
        <v>210</v>
      </c>
      <c r="B78" s="980">
        <f t="shared" ref="B78:G78" si="59">SUM(B76:B77)</f>
        <v>7.25</v>
      </c>
      <c r="C78" s="981">
        <f t="shared" si="59"/>
        <v>610.66</v>
      </c>
      <c r="D78" s="980">
        <f t="shared" si="59"/>
        <v>617.91000000000008</v>
      </c>
      <c r="E78" s="980">
        <f t="shared" si="59"/>
        <v>257.21999999999997</v>
      </c>
      <c r="F78" s="980">
        <f t="shared" si="59"/>
        <v>77.599999999999994</v>
      </c>
      <c r="G78" s="980">
        <f t="shared" si="59"/>
        <v>952.73</v>
      </c>
      <c r="H78" s="981">
        <f>SUM(H76:H77)</f>
        <v>11.660833333333333</v>
      </c>
      <c r="I78" s="229">
        <f t="shared" si="38"/>
        <v>964.39083333333338</v>
      </c>
      <c r="K78" s="1791" t="s">
        <v>210</v>
      </c>
      <c r="L78" s="980">
        <f>SUM(L76:L77)</f>
        <v>0</v>
      </c>
      <c r="M78" s="981">
        <f>SUM(M76:M77)</f>
        <v>0</v>
      </c>
      <c r="N78" s="981">
        <f>L78+M78</f>
        <v>0</v>
      </c>
      <c r="O78" s="981">
        <f>SUM(O76:O77)</f>
        <v>13.05</v>
      </c>
      <c r="P78" s="1487">
        <f>SUM(P76:P77)</f>
        <v>187290</v>
      </c>
      <c r="Q78" s="1075" t="s">
        <v>210</v>
      </c>
      <c r="R78" s="1482">
        <f>SUM(R76:R77)</f>
        <v>8.19</v>
      </c>
      <c r="S78" s="1482">
        <f>SUM(S76:S77)</f>
        <v>1.5750000000000002</v>
      </c>
      <c r="T78" s="1482">
        <f>SUM(T76:T77)</f>
        <v>1.895833333333333</v>
      </c>
      <c r="U78" s="981">
        <f>SUM(U76:U77)</f>
        <v>11.660833333333333</v>
      </c>
      <c r="V78" s="259">
        <f t="shared" si="57"/>
        <v>819</v>
      </c>
      <c r="W78" s="259">
        <f t="shared" si="50"/>
        <v>157.50000000000003</v>
      </c>
      <c r="X78" s="259">
        <f t="shared" si="51"/>
        <v>189.58333333333331</v>
      </c>
      <c r="Y78" s="259">
        <f t="shared" si="58"/>
        <v>1166.0833333333333</v>
      </c>
    </row>
    <row r="79" spans="1:25" x14ac:dyDescent="0.45">
      <c r="A79" s="977" t="s">
        <v>137</v>
      </c>
      <c r="B79" s="977">
        <v>1.24</v>
      </c>
      <c r="C79" s="978">
        <v>98.28</v>
      </c>
      <c r="D79" s="977">
        <f>SUM(B79:C79)</f>
        <v>99.52</v>
      </c>
      <c r="E79" s="977">
        <v>47.54</v>
      </c>
      <c r="F79" s="977">
        <v>9.4700000000000006</v>
      </c>
      <c r="G79" s="977">
        <f>SUM(D79:F79)</f>
        <v>156.53</v>
      </c>
      <c r="H79" s="978">
        <v>1.6658333333333333</v>
      </c>
      <c r="I79" s="229">
        <f t="shared" si="38"/>
        <v>158.19583333333333</v>
      </c>
      <c r="K79" s="1790" t="s">
        <v>137</v>
      </c>
      <c r="L79" s="122"/>
      <c r="M79" s="122"/>
      <c r="N79" s="977">
        <f>SUM(L79:M79)</f>
        <v>0</v>
      </c>
      <c r="O79" s="122">
        <v>2.4</v>
      </c>
      <c r="P79" s="1296">
        <v>24280</v>
      </c>
      <c r="Q79" s="1074" t="s">
        <v>137</v>
      </c>
      <c r="R79" s="252">
        <v>1.17</v>
      </c>
      <c r="S79" s="1623">
        <v>0.22500000000000001</v>
      </c>
      <c r="T79" s="1623">
        <v>0.27083333333333331</v>
      </c>
      <c r="U79" s="252">
        <f>R79+S79+T79</f>
        <v>1.6658333333333333</v>
      </c>
      <c r="V79" s="259">
        <f t="shared" si="57"/>
        <v>117</v>
      </c>
      <c r="W79" s="259">
        <f t="shared" si="50"/>
        <v>22.5</v>
      </c>
      <c r="X79" s="259">
        <f t="shared" si="51"/>
        <v>27.083333333333329</v>
      </c>
      <c r="Y79" s="259">
        <f t="shared" si="58"/>
        <v>166.58333333333331</v>
      </c>
    </row>
    <row r="80" spans="1:25" x14ac:dyDescent="0.45">
      <c r="A80" s="980" t="s">
        <v>211</v>
      </c>
      <c r="B80" s="980">
        <f t="shared" ref="B80:G80" si="60">SUM(B78:B79)</f>
        <v>8.49</v>
      </c>
      <c r="C80" s="981">
        <f t="shared" si="60"/>
        <v>708.93999999999994</v>
      </c>
      <c r="D80" s="980">
        <f t="shared" si="60"/>
        <v>717.43000000000006</v>
      </c>
      <c r="E80" s="980">
        <f t="shared" si="60"/>
        <v>304.76</v>
      </c>
      <c r="F80" s="980">
        <f t="shared" si="60"/>
        <v>87.07</v>
      </c>
      <c r="G80" s="980">
        <f t="shared" si="60"/>
        <v>1109.26</v>
      </c>
      <c r="H80" s="981">
        <f>SUM(H78:H79)</f>
        <v>13.326666666666666</v>
      </c>
      <c r="I80" s="229">
        <f t="shared" si="38"/>
        <v>1122.5866666666666</v>
      </c>
      <c r="K80" s="1791" t="s">
        <v>211</v>
      </c>
      <c r="L80" s="980">
        <f>SUM(L78:L79)</f>
        <v>0</v>
      </c>
      <c r="M80" s="981">
        <f>SUM(M78:M79)</f>
        <v>0</v>
      </c>
      <c r="N80" s="981">
        <f>L80+M80</f>
        <v>0</v>
      </c>
      <c r="O80" s="981">
        <f>SUM(O78:O79)</f>
        <v>15.450000000000001</v>
      </c>
      <c r="P80" s="1487">
        <f>SUM(P78:P79)</f>
        <v>211570</v>
      </c>
      <c r="Q80" s="1075" t="s">
        <v>211</v>
      </c>
      <c r="R80" s="1812">
        <f>SUM(R78:R79)</f>
        <v>9.36</v>
      </c>
      <c r="S80" s="1812">
        <f>SUM(S78:S79)</f>
        <v>1.8000000000000003</v>
      </c>
      <c r="T80" s="1812">
        <f>SUM(T78:T79)</f>
        <v>2.1666666666666665</v>
      </c>
      <c r="U80" s="981">
        <f>SUM(R80:T80)</f>
        <v>13.326666666666666</v>
      </c>
      <c r="V80" s="781">
        <f t="shared" si="57"/>
        <v>936</v>
      </c>
      <c r="W80" s="781">
        <f t="shared" si="50"/>
        <v>180.00000000000003</v>
      </c>
      <c r="X80" s="781">
        <f t="shared" si="51"/>
        <v>216.66666666666663</v>
      </c>
      <c r="Y80" s="781">
        <f t="shared" si="58"/>
        <v>1332.6666666666665</v>
      </c>
    </row>
    <row r="81" spans="1:25" x14ac:dyDescent="0.45">
      <c r="A81" s="977" t="s">
        <v>138</v>
      </c>
      <c r="B81" s="977">
        <v>1.22</v>
      </c>
      <c r="C81" s="978">
        <v>98.34</v>
      </c>
      <c r="D81" s="978">
        <f>SUM(B81:C81)</f>
        <v>99.56</v>
      </c>
      <c r="E81" s="977">
        <v>40.64</v>
      </c>
      <c r="F81" s="977">
        <v>9.76</v>
      </c>
      <c r="G81" s="977">
        <f>SUM(D81:F81)</f>
        <v>149.95999999999998</v>
      </c>
      <c r="H81" s="978">
        <v>1.6658333333333333</v>
      </c>
      <c r="I81" s="229">
        <f t="shared" si="38"/>
        <v>151.6258333333333</v>
      </c>
      <c r="K81" s="1790" t="s">
        <v>138</v>
      </c>
      <c r="L81" s="122"/>
      <c r="M81" s="122"/>
      <c r="N81" s="977">
        <f>SUM(L81:M81)</f>
        <v>0</v>
      </c>
      <c r="O81" s="122">
        <v>1.6</v>
      </c>
      <c r="P81" s="1296">
        <v>21760</v>
      </c>
      <c r="Q81" s="1074" t="s">
        <v>138</v>
      </c>
      <c r="R81" s="252">
        <v>1.17</v>
      </c>
      <c r="S81" s="1623">
        <v>0.22500000000000001</v>
      </c>
      <c r="T81" s="1623">
        <v>0.27083333333333331</v>
      </c>
      <c r="U81" s="252">
        <f>R81+S81+T81</f>
        <v>1.6658333333333333</v>
      </c>
      <c r="V81" s="259">
        <f t="shared" si="57"/>
        <v>117</v>
      </c>
      <c r="W81" s="259">
        <f t="shared" si="50"/>
        <v>22.5</v>
      </c>
      <c r="X81" s="259">
        <f t="shared" si="51"/>
        <v>27.083333333333329</v>
      </c>
      <c r="Y81" s="259">
        <f t="shared" si="58"/>
        <v>166.58333333333331</v>
      </c>
    </row>
    <row r="82" spans="1:25" x14ac:dyDescent="0.45">
      <c r="A82" s="980" t="s">
        <v>212</v>
      </c>
      <c r="B82" s="980">
        <f t="shared" ref="B82:C82" si="61">SUM(B80:B81)</f>
        <v>9.7100000000000009</v>
      </c>
      <c r="C82" s="981">
        <f t="shared" si="61"/>
        <v>807.28</v>
      </c>
      <c r="D82" s="980">
        <f>SUM(D80:D81)</f>
        <v>816.99</v>
      </c>
      <c r="E82" s="980">
        <f t="shared" ref="E82:G82" si="62">SUM(E80:E81)</f>
        <v>345.4</v>
      </c>
      <c r="F82" s="980">
        <f t="shared" si="62"/>
        <v>96.83</v>
      </c>
      <c r="G82" s="980">
        <f t="shared" si="62"/>
        <v>1259.22</v>
      </c>
      <c r="H82" s="981">
        <f>SUM(H80:H81)</f>
        <v>14.9925</v>
      </c>
      <c r="I82" s="229">
        <f t="shared" si="38"/>
        <v>1274.2125000000001</v>
      </c>
      <c r="K82" s="1791" t="s">
        <v>212</v>
      </c>
      <c r="L82" s="980">
        <f>SUM(L80:L81)</f>
        <v>0</v>
      </c>
      <c r="M82" s="981">
        <f>SUM(M80:M81)</f>
        <v>0</v>
      </c>
      <c r="N82" s="981">
        <f>L82+M82</f>
        <v>0</v>
      </c>
      <c r="O82" s="981">
        <f>SUM(O80:O81)</f>
        <v>17.05</v>
      </c>
      <c r="P82" s="1487">
        <f>SUM(P80:P81)</f>
        <v>233330</v>
      </c>
      <c r="Q82" s="1075" t="s">
        <v>212</v>
      </c>
      <c r="R82" s="1482">
        <f>SUM(R80:R81)</f>
        <v>10.53</v>
      </c>
      <c r="S82" s="1482">
        <f>SUM(S80:S81)</f>
        <v>2.0250000000000004</v>
      </c>
      <c r="T82" s="981">
        <f>SUM(T80:T81)</f>
        <v>2.4375</v>
      </c>
      <c r="U82" s="981">
        <f>SUM(U80:U81)</f>
        <v>14.9925</v>
      </c>
      <c r="V82" s="259">
        <f>(R82*10000000)/100000</f>
        <v>1053</v>
      </c>
      <c r="W82" s="259">
        <f t="shared" si="50"/>
        <v>202.50000000000003</v>
      </c>
      <c r="X82" s="259">
        <f t="shared" si="51"/>
        <v>243.75</v>
      </c>
      <c r="Y82" s="259">
        <f t="shared" si="58"/>
        <v>1499.25</v>
      </c>
    </row>
    <row r="83" spans="1:25" x14ac:dyDescent="0.45">
      <c r="A83" t="s">
        <v>872</v>
      </c>
      <c r="B83" s="977">
        <v>1.22</v>
      </c>
      <c r="C83" s="978">
        <v>102.2</v>
      </c>
      <c r="D83" s="977">
        <f>SUM(B83:C83)</f>
        <v>103.42</v>
      </c>
      <c r="E83" s="977">
        <v>31.64</v>
      </c>
      <c r="F83" s="977">
        <v>9.2100000000000009</v>
      </c>
      <c r="G83" s="977">
        <f>SUM(D83:F83)</f>
        <v>144.27000000000001</v>
      </c>
      <c r="H83" s="978">
        <v>1.6658333333333333</v>
      </c>
      <c r="I83" s="229">
        <f t="shared" si="38"/>
        <v>145.93583333333333</v>
      </c>
      <c r="K83" s="1792" t="s">
        <v>872</v>
      </c>
      <c r="L83" s="122"/>
      <c r="M83" s="122"/>
      <c r="N83" s="977">
        <f>SUM(L83:M83)</f>
        <v>0</v>
      </c>
      <c r="O83" s="122">
        <v>1.8</v>
      </c>
      <c r="P83" s="1296">
        <v>25470</v>
      </c>
      <c r="Q83" s="1074" t="s">
        <v>139</v>
      </c>
      <c r="R83" s="252">
        <v>1.17</v>
      </c>
      <c r="S83" s="1623">
        <v>0.22500000000000001</v>
      </c>
      <c r="T83" s="1623">
        <v>0.27083333333333331</v>
      </c>
      <c r="U83" s="252">
        <f>R83+S83+T83</f>
        <v>1.6658333333333333</v>
      </c>
      <c r="V83" s="259">
        <f t="shared" ref="V83:V88" si="63">(R83*10000000)/100000</f>
        <v>117</v>
      </c>
      <c r="W83" s="259">
        <f t="shared" si="50"/>
        <v>22.5</v>
      </c>
      <c r="X83" s="259">
        <f t="shared" si="51"/>
        <v>27.083333333333329</v>
      </c>
      <c r="Y83" s="259">
        <f t="shared" si="58"/>
        <v>166.58333333333331</v>
      </c>
    </row>
    <row r="84" spans="1:25" x14ac:dyDescent="0.45">
      <c r="A84" s="980" t="s">
        <v>206</v>
      </c>
      <c r="B84" s="980">
        <f t="shared" ref="B84:G84" si="64">SUM(B82:B83)</f>
        <v>10.930000000000001</v>
      </c>
      <c r="C84" s="981">
        <f t="shared" si="64"/>
        <v>909.48</v>
      </c>
      <c r="D84" s="980">
        <f t="shared" si="64"/>
        <v>920.41</v>
      </c>
      <c r="E84" s="980">
        <f t="shared" si="64"/>
        <v>377.03999999999996</v>
      </c>
      <c r="F84" s="980">
        <f t="shared" si="64"/>
        <v>106.03999999999999</v>
      </c>
      <c r="G84" s="980">
        <f t="shared" si="64"/>
        <v>1403.49</v>
      </c>
      <c r="H84" s="981">
        <f>SUM(H82:H83)</f>
        <v>16.658333333333331</v>
      </c>
      <c r="I84" s="229">
        <f t="shared" si="38"/>
        <v>1420.1483333333333</v>
      </c>
      <c r="K84" s="1791" t="s">
        <v>206</v>
      </c>
      <c r="L84" s="980">
        <f>SUM(L82:L83)</f>
        <v>0</v>
      </c>
      <c r="M84" s="981">
        <f>SUM(M82:M83)</f>
        <v>0</v>
      </c>
      <c r="N84" s="981">
        <f>L84+M84</f>
        <v>0</v>
      </c>
      <c r="O84" s="981">
        <f>SUM(O82:O83)</f>
        <v>18.850000000000001</v>
      </c>
      <c r="P84" s="1487">
        <f>SUM(P82:P83)</f>
        <v>258800</v>
      </c>
      <c r="Q84" s="1075" t="s">
        <v>206</v>
      </c>
      <c r="R84" s="1482">
        <f>SUM(R82:R83)</f>
        <v>11.7</v>
      </c>
      <c r="S84" s="981">
        <f>SUM(S82:S83)</f>
        <v>2.2500000000000004</v>
      </c>
      <c r="T84" s="981">
        <f>SUM(T82:T83)</f>
        <v>2.7083333333333335</v>
      </c>
      <c r="U84" s="981">
        <f>SUM(U82:U83)</f>
        <v>16.658333333333331</v>
      </c>
      <c r="V84" s="781">
        <f t="shared" si="63"/>
        <v>1170</v>
      </c>
      <c r="W84" s="781">
        <f t="shared" si="50"/>
        <v>225.00000000000003</v>
      </c>
      <c r="X84" s="781">
        <f t="shared" si="51"/>
        <v>270.83333333333337</v>
      </c>
      <c r="Y84" s="781">
        <f t="shared" si="58"/>
        <v>1665.833333333333</v>
      </c>
    </row>
    <row r="85" spans="1:25" x14ac:dyDescent="0.45">
      <c r="A85" s="977" t="s">
        <v>140</v>
      </c>
      <c r="B85" s="977">
        <v>1.1299999999999999</v>
      </c>
      <c r="C85" s="978">
        <v>96.15</v>
      </c>
      <c r="D85" s="977">
        <f>SUM(B85:C85)</f>
        <v>97.28</v>
      </c>
      <c r="E85" s="977">
        <v>31.37</v>
      </c>
      <c r="F85" s="977">
        <v>8.2799999999999994</v>
      </c>
      <c r="G85" s="977">
        <f>SUM(D85:F85)</f>
        <v>136.93</v>
      </c>
      <c r="H85" s="978">
        <v>1.6658333333333333</v>
      </c>
      <c r="I85" s="229">
        <f t="shared" si="38"/>
        <v>138.59583333333333</v>
      </c>
      <c r="K85" s="1790" t="s">
        <v>140</v>
      </c>
      <c r="L85" s="122"/>
      <c r="M85" s="122"/>
      <c r="N85" s="977">
        <f>SUM(L85:M85)</f>
        <v>0</v>
      </c>
      <c r="O85" s="122">
        <v>1.8</v>
      </c>
      <c r="P85" s="1296">
        <v>25050</v>
      </c>
      <c r="Q85" s="1074" t="s">
        <v>140</v>
      </c>
      <c r="R85" s="252">
        <v>1.17</v>
      </c>
      <c r="S85" s="1623">
        <v>0.22500000000000001</v>
      </c>
      <c r="T85" s="1623">
        <v>0.27083333333333331</v>
      </c>
      <c r="U85" s="252">
        <f>R85+S85+T85</f>
        <v>1.6658333333333333</v>
      </c>
      <c r="V85" s="259">
        <f t="shared" si="63"/>
        <v>117</v>
      </c>
      <c r="W85" s="259">
        <f t="shared" si="50"/>
        <v>22.5</v>
      </c>
      <c r="X85" s="259">
        <f t="shared" si="51"/>
        <v>27.083333333333329</v>
      </c>
      <c r="Y85" s="259">
        <f t="shared" si="58"/>
        <v>166.58333333333331</v>
      </c>
    </row>
    <row r="86" spans="1:25" x14ac:dyDescent="0.45">
      <c r="A86" s="980" t="s">
        <v>215</v>
      </c>
      <c r="B86" s="981">
        <f t="shared" ref="B86:G86" si="65">SUM(B84:B85)</f>
        <v>12.060000000000002</v>
      </c>
      <c r="C86" s="981">
        <f t="shared" si="65"/>
        <v>1005.63</v>
      </c>
      <c r="D86" s="980">
        <f t="shared" si="65"/>
        <v>1017.6899999999999</v>
      </c>
      <c r="E86" s="980">
        <f t="shared" si="65"/>
        <v>408.40999999999997</v>
      </c>
      <c r="F86" s="980">
        <f t="shared" si="65"/>
        <v>114.32</v>
      </c>
      <c r="G86" s="980">
        <f t="shared" si="65"/>
        <v>1540.42</v>
      </c>
      <c r="H86" s="981">
        <f>SUM(H84:H85)</f>
        <v>18.324166666666663</v>
      </c>
      <c r="I86" s="229">
        <f t="shared" si="38"/>
        <v>1558.7441666666668</v>
      </c>
      <c r="K86" s="1791" t="s">
        <v>215</v>
      </c>
      <c r="L86" s="980">
        <f>SUM(L84:L85)</f>
        <v>0</v>
      </c>
      <c r="M86" s="981">
        <f>SUM(M84:M85)</f>
        <v>0</v>
      </c>
      <c r="N86" s="981">
        <f>L86+M86</f>
        <v>0</v>
      </c>
      <c r="O86" s="981">
        <f>SUM(O84:O85)</f>
        <v>20.650000000000002</v>
      </c>
      <c r="P86" s="1487">
        <f>SUM(P84:P85)</f>
        <v>283850</v>
      </c>
      <c r="Q86" s="1075" t="s">
        <v>215</v>
      </c>
      <c r="R86" s="1482">
        <f>SUM(R84:R85)</f>
        <v>12.87</v>
      </c>
      <c r="S86" s="1482">
        <f>SUM(S84:S85)</f>
        <v>2.4750000000000005</v>
      </c>
      <c r="T86" s="1482">
        <f>SUM(T84:T85)</f>
        <v>2.979166666666667</v>
      </c>
      <c r="U86" s="981">
        <f>SUM(U84:U85)</f>
        <v>18.324166666666663</v>
      </c>
      <c r="V86" s="781">
        <f t="shared" si="63"/>
        <v>1286.9999999999998</v>
      </c>
      <c r="W86" s="781">
        <f t="shared" si="50"/>
        <v>247.50000000000003</v>
      </c>
      <c r="X86" s="781">
        <f t="shared" si="51"/>
        <v>297.91666666666669</v>
      </c>
      <c r="Y86" s="781">
        <f t="shared" si="58"/>
        <v>1832.4166666666663</v>
      </c>
    </row>
    <row r="87" spans="1:25" x14ac:dyDescent="0.45">
      <c r="A87" s="977" t="s">
        <v>141</v>
      </c>
      <c r="B87" s="977">
        <v>1.2</v>
      </c>
      <c r="C87" s="978">
        <v>100.83</v>
      </c>
      <c r="D87" s="977">
        <f>SUM(B87:C87)</f>
        <v>102.03</v>
      </c>
      <c r="E87" s="978">
        <v>36.29</v>
      </c>
      <c r="F87" s="977">
        <v>9.7100000000000009</v>
      </c>
      <c r="G87" s="977">
        <f>SUM(D87:F87)</f>
        <v>148.03</v>
      </c>
      <c r="H87" s="978">
        <v>1.6658333333333299</v>
      </c>
      <c r="I87" s="229">
        <f t="shared" si="38"/>
        <v>149.69583333333333</v>
      </c>
      <c r="K87" s="1790" t="s">
        <v>141</v>
      </c>
      <c r="L87" s="122"/>
      <c r="M87" s="122"/>
      <c r="N87" s="977">
        <f>SUM(L87:M87)</f>
        <v>0</v>
      </c>
      <c r="O87" s="122">
        <v>1.85</v>
      </c>
      <c r="P87" s="1296">
        <v>26390</v>
      </c>
      <c r="Q87" s="1074" t="s">
        <v>141</v>
      </c>
      <c r="R87" s="252">
        <v>1.17</v>
      </c>
      <c r="S87" s="1623">
        <v>0.22500000000000001</v>
      </c>
      <c r="T87" s="1623">
        <v>0.27083333333333331</v>
      </c>
      <c r="U87" s="252">
        <f>R87+S87+T87</f>
        <v>1.6658333333333333</v>
      </c>
      <c r="V87" s="259">
        <f t="shared" si="63"/>
        <v>117</v>
      </c>
      <c r="W87" s="259">
        <f t="shared" si="50"/>
        <v>22.5</v>
      </c>
      <c r="X87" s="259">
        <f t="shared" si="51"/>
        <v>27.083333333333329</v>
      </c>
      <c r="Y87" s="259">
        <f t="shared" si="58"/>
        <v>166.58333333333331</v>
      </c>
    </row>
    <row r="88" spans="1:25" x14ac:dyDescent="0.45">
      <c r="A88" s="980" t="s">
        <v>240</v>
      </c>
      <c r="B88" s="981">
        <f t="shared" ref="B88:C88" si="66">SUM(B86:B87)</f>
        <v>13.260000000000002</v>
      </c>
      <c r="C88" s="981">
        <f t="shared" si="66"/>
        <v>1106.46</v>
      </c>
      <c r="D88" s="981">
        <f>SUM(D86:D87)</f>
        <v>1119.72</v>
      </c>
      <c r="E88" s="980">
        <f t="shared" ref="E88:G88" si="67">SUM(E86:E87)</f>
        <v>444.7</v>
      </c>
      <c r="F88" s="980">
        <f t="shared" si="67"/>
        <v>124.03</v>
      </c>
      <c r="G88" s="980">
        <f t="shared" si="67"/>
        <v>1688.45</v>
      </c>
      <c r="H88" s="981">
        <f>SUM(H86:H87)</f>
        <v>19.989999999999995</v>
      </c>
      <c r="I88" s="229">
        <f t="shared" si="38"/>
        <v>1708.44</v>
      </c>
      <c r="K88" s="1791" t="s">
        <v>240</v>
      </c>
      <c r="L88" s="980">
        <f>SUM(L86:L87)</f>
        <v>0</v>
      </c>
      <c r="M88" s="981">
        <f>SUM(M86:M87)</f>
        <v>0</v>
      </c>
      <c r="N88" s="981">
        <f>L88+M88</f>
        <v>0</v>
      </c>
      <c r="O88" s="981">
        <f>SUM(O86:O87)</f>
        <v>22.500000000000004</v>
      </c>
      <c r="P88" s="1487">
        <f>SUM(P86:P87)</f>
        <v>310240</v>
      </c>
      <c r="Q88" s="1075" t="s">
        <v>240</v>
      </c>
      <c r="R88" s="981">
        <f>SUM(R86:R87)</f>
        <v>14.04</v>
      </c>
      <c r="S88" s="981">
        <f>SUM(S86:S87)</f>
        <v>2.7000000000000006</v>
      </c>
      <c r="T88" s="1482">
        <f>SUM(T86:T87)</f>
        <v>3.2500000000000004</v>
      </c>
      <c r="U88" s="981">
        <f>SUM(U86:U87)</f>
        <v>19.989999999999995</v>
      </c>
      <c r="V88" s="781">
        <f t="shared" si="63"/>
        <v>1404</v>
      </c>
      <c r="W88" s="781">
        <f t="shared" si="50"/>
        <v>270.00000000000006</v>
      </c>
      <c r="X88" s="781">
        <f t="shared" si="51"/>
        <v>325.00000000000006</v>
      </c>
      <c r="Y88" s="781">
        <f t="shared" si="58"/>
        <v>1998.9999999999993</v>
      </c>
    </row>
    <row r="89" spans="1:25" x14ac:dyDescent="0.45">
      <c r="U89" s="229"/>
    </row>
    <row r="90" spans="1:25" x14ac:dyDescent="0.45">
      <c r="A90" s="98"/>
      <c r="B90" s="2629" t="s">
        <v>94</v>
      </c>
      <c r="C90" s="2629" t="s">
        <v>474</v>
      </c>
      <c r="D90" s="2629" t="s">
        <v>548</v>
      </c>
      <c r="E90" s="2629" t="s">
        <v>177</v>
      </c>
      <c r="F90" s="2629" t="s">
        <v>202</v>
      </c>
      <c r="G90" s="2629" t="s">
        <v>1090</v>
      </c>
      <c r="H90" s="2629" t="s">
        <v>203</v>
      </c>
      <c r="I90" s="2629" t="s">
        <v>477</v>
      </c>
      <c r="J90" s="2629" t="s">
        <v>94</v>
      </c>
      <c r="K90" s="2629" t="s">
        <v>474</v>
      </c>
      <c r="L90" s="2629" t="s">
        <v>548</v>
      </c>
    </row>
    <row r="91" spans="1:25" x14ac:dyDescent="0.45">
      <c r="A91" s="98" t="s">
        <v>193</v>
      </c>
      <c r="B91" s="103">
        <f>SUMIF($A$66:$A$88,A91,$B$66:$B$88)</f>
        <v>0.75</v>
      </c>
      <c r="C91" s="98">
        <f>SUMIF($A$66:$A$88,A91,$C$66:$C$88)</f>
        <v>78.73</v>
      </c>
      <c r="D91" s="98">
        <f>B91+C91</f>
        <v>79.48</v>
      </c>
      <c r="E91" s="98">
        <f>SUMIF($A$66:$A$88,A91,$E$66:$E$88)</f>
        <v>30.73</v>
      </c>
      <c r="F91" s="98">
        <f>SUMIF($A$66:$A$88,A91,$F$66:$F$88)</f>
        <v>9.34</v>
      </c>
      <c r="G91" s="98">
        <f>SUMIF($A$66:$A$88,A91,$G$66:$G$88)</f>
        <v>119.55000000000001</v>
      </c>
      <c r="H91" s="103">
        <f>SUMIF($A$66:$A$88,A91,$H$66:$H$88)</f>
        <v>1.6658333333333333</v>
      </c>
      <c r="I91" s="103">
        <f>G91+H91</f>
        <v>121.21583333333335</v>
      </c>
      <c r="J91" s="103">
        <f>SUMIF($A$66:$A$88,A108,$B$31:$B$53)</f>
        <v>1.32</v>
      </c>
      <c r="K91" s="103">
        <f>SUMIF($A$66:$A$88,A108,$C$31:$C$53)</f>
        <v>2.0499999999999998</v>
      </c>
      <c r="L91" s="98">
        <f>J91+K91</f>
        <v>3.37</v>
      </c>
    </row>
    <row r="92" spans="1:25" x14ac:dyDescent="0.45">
      <c r="A92" s="98" t="s">
        <v>1050</v>
      </c>
      <c r="B92" s="103">
        <f t="shared" ref="B92:B102" si="68">SUMIF($A$66:$A$88,A92,$B$66:$B$88)</f>
        <v>0.98</v>
      </c>
      <c r="C92" s="98">
        <f t="shared" ref="C92:C102" si="69">SUMIF($A$66:$A$88,A92,$C$66:$C$88)</f>
        <v>81.14</v>
      </c>
      <c r="D92" s="98">
        <f t="shared" ref="D92:D102" si="70">B92+C92</f>
        <v>82.12</v>
      </c>
      <c r="E92" s="98">
        <f t="shared" ref="E92:E102" si="71">SUMIF($A$66:$A$88,A92,$E$66:$E$88)</f>
        <v>29.03</v>
      </c>
      <c r="F92" s="98">
        <f t="shared" ref="F92:F102" si="72">SUMIF($A$66:$A$88,A92,$F$66:$F$88)</f>
        <v>12.49</v>
      </c>
      <c r="G92" s="98">
        <f t="shared" ref="G92:G102" si="73">SUMIF($A$66:$A$88,A92,$G$66:$G$88)</f>
        <v>123.64</v>
      </c>
      <c r="H92" s="103">
        <f t="shared" ref="H92:H102" si="74">SUMIF($A$66:$A$88,A92,$H$66:$H$88)</f>
        <v>1.6658333333333333</v>
      </c>
      <c r="I92" s="103">
        <f t="shared" ref="I92:I102" si="75">G92+H92</f>
        <v>125.30583333333334</v>
      </c>
      <c r="J92" s="103">
        <f>SUMIF($A$66:$A$88,A109,$B$31:$B$53)</f>
        <v>1.57</v>
      </c>
      <c r="K92" s="103">
        <f>SUMIF($A$66:$A$88,A109,$C$31:$C$53)</f>
        <v>2.12</v>
      </c>
      <c r="L92" s="98">
        <f t="shared" ref="L92:L102" si="76">J92+K92</f>
        <v>3.6900000000000004</v>
      </c>
    </row>
    <row r="93" spans="1:25" x14ac:dyDescent="0.45">
      <c r="A93" s="98" t="s">
        <v>1051</v>
      </c>
      <c r="B93" s="103">
        <f t="shared" si="68"/>
        <v>0.99</v>
      </c>
      <c r="C93" s="98">
        <f t="shared" si="69"/>
        <v>83.97</v>
      </c>
      <c r="D93" s="98">
        <f t="shared" si="70"/>
        <v>84.96</v>
      </c>
      <c r="E93" s="98">
        <f t="shared" si="71"/>
        <v>38.93</v>
      </c>
      <c r="F93" s="98">
        <f t="shared" si="72"/>
        <v>13.35</v>
      </c>
      <c r="G93" s="98">
        <f t="shared" si="73"/>
        <v>137.23999999999998</v>
      </c>
      <c r="H93" s="103">
        <f t="shared" si="74"/>
        <v>1.6658333333333333</v>
      </c>
      <c r="I93" s="103">
        <f t="shared" si="75"/>
        <v>138.90583333333331</v>
      </c>
      <c r="J93" s="103">
        <f>SUMIF($A$66:$A$88,A110,$B$31:$B$53)</f>
        <v>1.64</v>
      </c>
      <c r="K93" s="103">
        <f>SUMIF($A$66:$A$88,A110,$C$31:$C$53)</f>
        <v>2.21</v>
      </c>
      <c r="L93" s="98">
        <f t="shared" si="76"/>
        <v>3.8499999999999996</v>
      </c>
    </row>
    <row r="94" spans="1:25" x14ac:dyDescent="0.45">
      <c r="A94" s="98" t="s">
        <v>1052</v>
      </c>
      <c r="B94" s="103">
        <f t="shared" si="68"/>
        <v>1.06</v>
      </c>
      <c r="C94" s="98">
        <f t="shared" si="69"/>
        <v>96.04</v>
      </c>
      <c r="D94" s="98">
        <f t="shared" si="70"/>
        <v>97.100000000000009</v>
      </c>
      <c r="E94" s="98">
        <f t="shared" si="71"/>
        <v>44.73</v>
      </c>
      <c r="F94" s="98">
        <f t="shared" si="72"/>
        <v>10.130000000000001</v>
      </c>
      <c r="G94" s="98">
        <f t="shared" si="73"/>
        <v>151.96</v>
      </c>
      <c r="H94" s="103">
        <f t="shared" si="74"/>
        <v>1.6658333333333333</v>
      </c>
      <c r="I94" s="103">
        <f t="shared" si="75"/>
        <v>153.62583333333333</v>
      </c>
      <c r="J94" s="103">
        <f>SUMIF($A$66:$A$88,A111,$B$31:$B$53)</f>
        <v>1.64</v>
      </c>
      <c r="K94" s="103">
        <f>SUMIF($A$66:$A$88,A111,$C$31:$C$53)</f>
        <v>2.56</v>
      </c>
      <c r="L94" s="98">
        <f t="shared" si="76"/>
        <v>4.2</v>
      </c>
    </row>
    <row r="95" spans="1:25" x14ac:dyDescent="0.45">
      <c r="A95" s="98" t="s">
        <v>1053</v>
      </c>
      <c r="B95" s="103">
        <f t="shared" si="68"/>
        <v>1.1499999999999999</v>
      </c>
      <c r="C95" s="98">
        <f t="shared" si="69"/>
        <v>92.46</v>
      </c>
      <c r="D95" s="98">
        <f t="shared" si="70"/>
        <v>93.61</v>
      </c>
      <c r="E95" s="98">
        <f t="shared" si="71"/>
        <v>38.06</v>
      </c>
      <c r="F95" s="98">
        <f t="shared" si="72"/>
        <v>8.93</v>
      </c>
      <c r="G95" s="98">
        <f t="shared" si="73"/>
        <v>140.60000000000002</v>
      </c>
      <c r="H95" s="103">
        <f t="shared" si="74"/>
        <v>1.6658333333333333</v>
      </c>
      <c r="I95" s="103">
        <f t="shared" si="75"/>
        <v>142.26583333333335</v>
      </c>
      <c r="J95" s="103">
        <f>SUMIF($A$66:$A$88,A112,$B$31:$B$53)</f>
        <v>1.82</v>
      </c>
      <c r="K95" s="103">
        <f>SUMIF($A$66:$A$88,A112,$C$31:$C$53)</f>
        <v>2.68</v>
      </c>
      <c r="L95" s="98">
        <f t="shared" si="76"/>
        <v>4.5</v>
      </c>
    </row>
    <row r="96" spans="1:25" x14ac:dyDescent="0.45">
      <c r="A96" s="98" t="s">
        <v>1054</v>
      </c>
      <c r="B96" s="103">
        <f t="shared" si="68"/>
        <v>1.17</v>
      </c>
      <c r="C96" s="98">
        <f t="shared" si="69"/>
        <v>93.11</v>
      </c>
      <c r="D96" s="98">
        <f t="shared" si="70"/>
        <v>94.28</v>
      </c>
      <c r="E96" s="98">
        <f t="shared" si="71"/>
        <v>42.91</v>
      </c>
      <c r="F96" s="98">
        <f t="shared" si="72"/>
        <v>11.65</v>
      </c>
      <c r="G96" s="98">
        <f t="shared" si="73"/>
        <v>148.84</v>
      </c>
      <c r="H96" s="103">
        <f t="shared" si="74"/>
        <v>1.6658333333333333</v>
      </c>
      <c r="I96" s="103">
        <f t="shared" si="75"/>
        <v>150.50583333333333</v>
      </c>
      <c r="J96" s="103">
        <f>SUMIF($A$66:$A$88,A113,$B$31:$B$53)</f>
        <v>2.04</v>
      </c>
      <c r="K96" s="103">
        <f>SUMIF($A$66:$A$88,A113,$C$31:$C$53)</f>
        <v>2.85</v>
      </c>
      <c r="L96" s="98">
        <f t="shared" si="76"/>
        <v>4.8900000000000006</v>
      </c>
    </row>
    <row r="97" spans="1:12" x14ac:dyDescent="0.45">
      <c r="A97" s="98" t="s">
        <v>1055</v>
      </c>
      <c r="B97" s="103">
        <f t="shared" si="68"/>
        <v>1.1499999999999999</v>
      </c>
      <c r="C97" s="98">
        <f t="shared" si="69"/>
        <v>85.21</v>
      </c>
      <c r="D97" s="98">
        <f t="shared" si="70"/>
        <v>86.36</v>
      </c>
      <c r="E97" s="98">
        <f t="shared" si="71"/>
        <v>32.83</v>
      </c>
      <c r="F97" s="98">
        <f t="shared" si="72"/>
        <v>11.71</v>
      </c>
      <c r="G97" s="98">
        <f t="shared" si="73"/>
        <v>130.9</v>
      </c>
      <c r="H97" s="103">
        <f t="shared" si="74"/>
        <v>1.6658333333333333</v>
      </c>
      <c r="I97" s="103">
        <f t="shared" si="75"/>
        <v>132.56583333333333</v>
      </c>
      <c r="J97" s="103">
        <f>SUMIF($A$66:$A$88,A114,$B$31:$B$53)</f>
        <v>1.86</v>
      </c>
      <c r="K97" s="103">
        <f>SUMIF($A$66:$A$88,A114,$C$31:$C$53)</f>
        <v>2.97</v>
      </c>
      <c r="L97" s="98">
        <f t="shared" si="76"/>
        <v>4.83</v>
      </c>
    </row>
    <row r="98" spans="1:12" x14ac:dyDescent="0.45">
      <c r="A98" s="98" t="s">
        <v>1056</v>
      </c>
      <c r="B98" s="103">
        <f t="shared" si="68"/>
        <v>1.24</v>
      </c>
      <c r="C98" s="98">
        <f t="shared" si="69"/>
        <v>98.28</v>
      </c>
      <c r="D98" s="98">
        <f t="shared" si="70"/>
        <v>99.52</v>
      </c>
      <c r="E98" s="98">
        <f t="shared" si="71"/>
        <v>47.54</v>
      </c>
      <c r="F98" s="98">
        <f t="shared" si="72"/>
        <v>9.4700000000000006</v>
      </c>
      <c r="G98" s="98">
        <f t="shared" si="73"/>
        <v>156.53</v>
      </c>
      <c r="H98" s="103">
        <f t="shared" si="74"/>
        <v>1.6658333333333333</v>
      </c>
      <c r="I98" s="103">
        <f t="shared" si="75"/>
        <v>158.19583333333333</v>
      </c>
      <c r="J98" s="103">
        <f>SUMIF($A$66:$A$88,A115,$B$31:$B$53)</f>
        <v>2.15</v>
      </c>
      <c r="K98" s="103">
        <f>SUMIF($A$66:$A$88,A115,$C$31:$C$53)</f>
        <v>3.2</v>
      </c>
      <c r="L98" s="98">
        <f t="shared" si="76"/>
        <v>5.35</v>
      </c>
    </row>
    <row r="99" spans="1:12" x14ac:dyDescent="0.45">
      <c r="A99" s="98" t="s">
        <v>1057</v>
      </c>
      <c r="B99" s="103">
        <f t="shared" si="68"/>
        <v>1.22</v>
      </c>
      <c r="C99" s="98">
        <f t="shared" si="69"/>
        <v>98.34</v>
      </c>
      <c r="D99" s="98">
        <f t="shared" si="70"/>
        <v>99.56</v>
      </c>
      <c r="E99" s="98">
        <f t="shared" si="71"/>
        <v>40.64</v>
      </c>
      <c r="F99" s="98">
        <f t="shared" si="72"/>
        <v>9.76</v>
      </c>
      <c r="G99" s="98">
        <f t="shared" si="73"/>
        <v>149.95999999999998</v>
      </c>
      <c r="H99" s="103">
        <f t="shared" si="74"/>
        <v>1.6658333333333333</v>
      </c>
      <c r="I99" s="103">
        <f t="shared" si="75"/>
        <v>151.6258333333333</v>
      </c>
      <c r="J99" s="103">
        <f>SUMIF($A$66:$A$88,A116,$B$31:$B$53)</f>
        <v>2.08</v>
      </c>
      <c r="K99" s="103">
        <f>SUMIF($A$66:$A$88,A116,$C$31:$C$53)</f>
        <v>3.14</v>
      </c>
      <c r="L99" s="98">
        <f t="shared" si="76"/>
        <v>5.2200000000000006</v>
      </c>
    </row>
    <row r="100" spans="1:12" x14ac:dyDescent="0.45">
      <c r="A100" s="98" t="s">
        <v>1058</v>
      </c>
      <c r="B100" s="103">
        <f t="shared" si="68"/>
        <v>1.22</v>
      </c>
      <c r="C100" s="98">
        <f t="shared" si="69"/>
        <v>102.2</v>
      </c>
      <c r="D100" s="98">
        <f t="shared" si="70"/>
        <v>103.42</v>
      </c>
      <c r="E100" s="98">
        <f t="shared" si="71"/>
        <v>31.64</v>
      </c>
      <c r="F100" s="98">
        <f t="shared" si="72"/>
        <v>9.2100000000000009</v>
      </c>
      <c r="G100" s="98">
        <f t="shared" si="73"/>
        <v>144.27000000000001</v>
      </c>
      <c r="H100" s="103">
        <f t="shared" si="74"/>
        <v>1.6658333333333333</v>
      </c>
      <c r="I100" s="103">
        <f t="shared" si="75"/>
        <v>145.93583333333333</v>
      </c>
      <c r="J100" s="103">
        <f>SUMIF($A$66:$A$88,A117,$B$31:$B$53)</f>
        <v>2.06</v>
      </c>
      <c r="K100" s="103">
        <f>SUMIF($A$66:$A$88,A117,$C$31:$C$53)</f>
        <v>3.21</v>
      </c>
      <c r="L100" s="98">
        <f t="shared" si="76"/>
        <v>5.27</v>
      </c>
    </row>
    <row r="101" spans="1:12" x14ac:dyDescent="0.45">
      <c r="A101" s="98" t="s">
        <v>1059</v>
      </c>
      <c r="B101" s="103">
        <f t="shared" si="68"/>
        <v>1.1299999999999999</v>
      </c>
      <c r="C101" s="98">
        <f t="shared" si="69"/>
        <v>96.15</v>
      </c>
      <c r="D101" s="98">
        <f t="shared" si="70"/>
        <v>97.28</v>
      </c>
      <c r="E101" s="98">
        <f t="shared" si="71"/>
        <v>31.37</v>
      </c>
      <c r="F101" s="98">
        <f t="shared" si="72"/>
        <v>8.2799999999999994</v>
      </c>
      <c r="G101" s="98">
        <f t="shared" si="73"/>
        <v>136.93</v>
      </c>
      <c r="H101" s="103">
        <f t="shared" si="74"/>
        <v>1.6658333333333333</v>
      </c>
      <c r="I101" s="103">
        <f t="shared" si="75"/>
        <v>138.59583333333333</v>
      </c>
      <c r="J101" s="103">
        <f>SUMIF($A$66:$A$88,A118,$B$31:$B$53)</f>
        <v>1.91</v>
      </c>
      <c r="K101" s="103">
        <f>SUMIF($A$66:$A$88,A118,$C$31:$C$53)</f>
        <v>2.85</v>
      </c>
      <c r="L101" s="98">
        <f t="shared" si="76"/>
        <v>4.76</v>
      </c>
    </row>
    <row r="102" spans="1:12" x14ac:dyDescent="0.45">
      <c r="A102" s="98" t="s">
        <v>1060</v>
      </c>
      <c r="B102" s="103">
        <f t="shared" si="68"/>
        <v>1.2</v>
      </c>
      <c r="C102" s="98">
        <f t="shared" si="69"/>
        <v>100.83</v>
      </c>
      <c r="D102" s="98">
        <f t="shared" si="70"/>
        <v>102.03</v>
      </c>
      <c r="E102" s="98">
        <f t="shared" si="71"/>
        <v>36.29</v>
      </c>
      <c r="F102" s="98">
        <f t="shared" si="72"/>
        <v>9.7100000000000009</v>
      </c>
      <c r="G102" s="98">
        <f t="shared" si="73"/>
        <v>148.03</v>
      </c>
      <c r="H102" s="103">
        <f t="shared" si="74"/>
        <v>1.6658333333333299</v>
      </c>
      <c r="I102" s="103">
        <f t="shared" si="75"/>
        <v>149.69583333333333</v>
      </c>
      <c r="J102" s="103">
        <f>SUMIF($A$66:$A$88,A119,$B$31:$B$53)</f>
        <v>2</v>
      </c>
      <c r="K102" s="103">
        <f>SUMIF($A$66:$A$88,A119,$C$31:$C$53)</f>
        <v>3.13</v>
      </c>
      <c r="L102" s="98">
        <f t="shared" si="76"/>
        <v>5.13</v>
      </c>
    </row>
    <row r="103" spans="1:12" x14ac:dyDescent="0.45">
      <c r="A103" s="98"/>
      <c r="B103" s="103">
        <f>SUM(B90:B102)</f>
        <v>13.260000000000002</v>
      </c>
      <c r="C103" s="103">
        <f t="shared" ref="C103" si="77">SUM(C90:C102)</f>
        <v>1106.46</v>
      </c>
      <c r="D103" s="103">
        <f>SUM(D90:D102)</f>
        <v>1119.72</v>
      </c>
      <c r="E103" s="103">
        <f t="shared" ref="E103:I103" si="78">SUM(E90:E102)</f>
        <v>444.7</v>
      </c>
      <c r="F103" s="103">
        <f t="shared" si="78"/>
        <v>124.03</v>
      </c>
      <c r="G103" s="103">
        <f t="shared" si="78"/>
        <v>1688.45</v>
      </c>
      <c r="H103" s="103">
        <f t="shared" si="78"/>
        <v>19.989999999999995</v>
      </c>
      <c r="I103" s="103">
        <f t="shared" si="78"/>
        <v>1708.4399999999996</v>
      </c>
      <c r="J103" s="103">
        <f>SUM(J90:J102)</f>
        <v>22.09</v>
      </c>
      <c r="K103" s="103">
        <f t="shared" ref="K103" si="79">SUM(K90:K102)</f>
        <v>32.97</v>
      </c>
      <c r="L103" s="103">
        <f>SUM(L90:L102)</f>
        <v>55.06</v>
      </c>
    </row>
    <row r="107" spans="1:12" x14ac:dyDescent="0.45">
      <c r="A107" s="98"/>
    </row>
    <row r="108" spans="1:12" x14ac:dyDescent="0.45">
      <c r="A108" s="98" t="s">
        <v>193</v>
      </c>
    </row>
    <row r="109" spans="1:12" x14ac:dyDescent="0.45">
      <c r="A109" s="98" t="s">
        <v>1050</v>
      </c>
    </row>
    <row r="110" spans="1:12" x14ac:dyDescent="0.45">
      <c r="A110" s="98" t="s">
        <v>1051</v>
      </c>
    </row>
    <row r="111" spans="1:12" x14ac:dyDescent="0.45">
      <c r="A111" s="98" t="s">
        <v>1052</v>
      </c>
    </row>
    <row r="112" spans="1:12" x14ac:dyDescent="0.45">
      <c r="A112" s="98" t="s">
        <v>1053</v>
      </c>
    </row>
    <row r="113" spans="1:1" x14ac:dyDescent="0.45">
      <c r="A113" s="98" t="s">
        <v>1054</v>
      </c>
    </row>
    <row r="114" spans="1:1" x14ac:dyDescent="0.45">
      <c r="A114" s="98" t="s">
        <v>1055</v>
      </c>
    </row>
    <row r="115" spans="1:1" x14ac:dyDescent="0.45">
      <c r="A115" s="98" t="s">
        <v>1056</v>
      </c>
    </row>
    <row r="116" spans="1:1" x14ac:dyDescent="0.45">
      <c r="A116" s="98" t="s">
        <v>1057</v>
      </c>
    </row>
    <row r="117" spans="1:1" x14ac:dyDescent="0.45">
      <c r="A117" s="98" t="s">
        <v>1058</v>
      </c>
    </row>
    <row r="118" spans="1:1" x14ac:dyDescent="0.45">
      <c r="A118" s="98" t="s">
        <v>1059</v>
      </c>
    </row>
    <row r="119" spans="1:1" x14ac:dyDescent="0.45">
      <c r="A119" s="98" t="s">
        <v>1060</v>
      </c>
    </row>
    <row r="120" spans="1:1" x14ac:dyDescent="0.45">
      <c r="A120" s="98"/>
    </row>
  </sheetData>
  <mergeCells count="18">
    <mergeCell ref="A63:H63"/>
    <mergeCell ref="K29:O29"/>
    <mergeCell ref="A1:H1"/>
    <mergeCell ref="H2:H3"/>
    <mergeCell ref="A2:A3"/>
    <mergeCell ref="B2:D2"/>
    <mergeCell ref="E2:E3"/>
    <mergeCell ref="F2:F3"/>
    <mergeCell ref="G2:G3"/>
    <mergeCell ref="A29:A30"/>
    <mergeCell ref="B29:D29"/>
    <mergeCell ref="H64:H65"/>
    <mergeCell ref="Q64:U64"/>
    <mergeCell ref="A64:A65"/>
    <mergeCell ref="B64:D64"/>
    <mergeCell ref="E64:E65"/>
    <mergeCell ref="F64:F65"/>
    <mergeCell ref="G64:G65"/>
  </mergeCells>
  <phoneticPr fontId="166" type="noConversion"/>
  <pageMargins left="0.38" right="0.19" top="0.25" bottom="0.25" header="0.3" footer="0.3"/>
  <pageSetup scale="43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">
    <tabColor theme="0"/>
    <pageSetUpPr fitToPage="1"/>
  </sheetPr>
  <dimension ref="A1:Z82"/>
  <sheetViews>
    <sheetView zoomScale="80" zoomScaleNormal="80" workbookViewId="0">
      <selection activeCell="S27" sqref="S27"/>
    </sheetView>
  </sheetViews>
  <sheetFormatPr defaultColWidth="9.1328125" defaultRowHeight="15" x14ac:dyDescent="0.4"/>
  <cols>
    <col min="1" max="1" width="3.73046875" style="1235" customWidth="1"/>
    <col min="2" max="2" width="37.3984375" style="300" customWidth="1"/>
    <col min="3" max="3" width="12" style="5" bestFit="1" customWidth="1"/>
    <col min="4" max="4" width="11.3984375" style="84" bestFit="1" customWidth="1"/>
    <col min="5" max="5" width="13.1328125" style="35" customWidth="1"/>
    <col min="6" max="6" width="12.73046875" style="5" customWidth="1"/>
    <col min="7" max="7" width="12.59765625" style="5" customWidth="1"/>
    <col min="8" max="8" width="11.86328125" style="11" customWidth="1"/>
    <col min="9" max="9" width="14.86328125" style="82" bestFit="1" customWidth="1"/>
    <col min="10" max="10" width="13.1328125" style="84" bestFit="1" customWidth="1"/>
    <col min="11" max="11" width="13.59765625" style="84" bestFit="1" customWidth="1"/>
    <col min="12" max="12" width="9.1328125" style="172"/>
    <col min="13" max="13" width="4.59765625" style="1209" customWidth="1"/>
    <col min="14" max="14" width="37.265625" style="5" customWidth="1"/>
    <col min="15" max="15" width="12.1328125" style="5" customWidth="1"/>
    <col min="16" max="16" width="11.3984375" style="5" bestFit="1" customWidth="1"/>
    <col min="17" max="17" width="11.265625" style="5" bestFit="1" customWidth="1"/>
    <col min="18" max="19" width="14" style="5" customWidth="1"/>
    <col min="20" max="21" width="11.1328125" style="5" customWidth="1"/>
    <col min="22" max="23" width="9.1328125" style="5"/>
    <col min="24" max="24" width="9.1328125" style="172"/>
    <col min="25" max="16384" width="9.1328125" style="5"/>
  </cols>
  <sheetData>
    <row r="1" spans="1:26" ht="21.75" customHeight="1" x14ac:dyDescent="0.35">
      <c r="A1" s="2156" t="s">
        <v>5</v>
      </c>
      <c r="B1" s="2156"/>
      <c r="C1" s="2156"/>
      <c r="D1" s="2156"/>
      <c r="E1" s="2156"/>
      <c r="F1" s="2156"/>
      <c r="G1" s="2156"/>
      <c r="H1" s="2156"/>
      <c r="I1" s="2156"/>
      <c r="M1" s="2345"/>
      <c r="N1" s="2345"/>
      <c r="O1" s="2345"/>
      <c r="P1" s="2345"/>
      <c r="Q1" s="2345"/>
      <c r="R1" s="2345"/>
      <c r="S1" s="2345"/>
      <c r="T1" s="2345"/>
      <c r="U1" s="2345"/>
    </row>
    <row r="2" spans="1:26" s="301" customFormat="1" ht="17.25" thickBot="1" x14ac:dyDescent="0.4">
      <c r="A2" s="2346" t="s">
        <v>774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1149"/>
      <c r="M2" s="2092" t="s">
        <v>775</v>
      </c>
      <c r="N2" s="2093"/>
      <c r="O2" s="2446"/>
      <c r="P2" s="2093"/>
      <c r="Q2" s="2093"/>
      <c r="R2" s="2093"/>
      <c r="S2" s="2093"/>
      <c r="T2" s="2093"/>
      <c r="U2" s="2094"/>
      <c r="X2" s="1149"/>
    </row>
    <row r="3" spans="1:26" ht="17.25" thickTop="1" x14ac:dyDescent="0.5">
      <c r="A3" s="2360" t="s">
        <v>144</v>
      </c>
      <c r="B3" s="2244" t="s">
        <v>7</v>
      </c>
      <c r="C3" s="1190" t="s">
        <v>763</v>
      </c>
      <c r="D3" s="2107" t="s">
        <v>8</v>
      </c>
      <c r="E3" s="2108"/>
      <c r="F3" s="2447" t="s">
        <v>10</v>
      </c>
      <c r="G3" s="2448"/>
      <c r="H3" s="2490" t="s">
        <v>11</v>
      </c>
      <c r="I3" s="2491"/>
      <c r="M3" s="2358" t="s">
        <v>757</v>
      </c>
      <c r="N3" s="1158" t="s">
        <v>7</v>
      </c>
      <c r="O3" s="1190" t="s">
        <v>763</v>
      </c>
      <c r="P3" s="2107" t="s">
        <v>8</v>
      </c>
      <c r="Q3" s="2108"/>
      <c r="R3" s="2107" t="s">
        <v>10</v>
      </c>
      <c r="S3" s="2108"/>
      <c r="T3" s="2109" t="s">
        <v>11</v>
      </c>
      <c r="U3" s="2110"/>
    </row>
    <row r="4" spans="1:26" s="35" customFormat="1" ht="33.75" x14ac:dyDescent="0.35">
      <c r="A4" s="2360"/>
      <c r="B4" s="2369"/>
      <c r="C4" s="1183" t="s">
        <v>764</v>
      </c>
      <c r="D4" s="1064" t="s">
        <v>9</v>
      </c>
      <c r="E4" s="422">
        <f>G4</f>
        <v>44886</v>
      </c>
      <c r="F4" s="422">
        <v>44521</v>
      </c>
      <c r="G4" s="422">
        <v>44886</v>
      </c>
      <c r="H4" s="1061" t="s">
        <v>12</v>
      </c>
      <c r="I4" s="1061" t="s">
        <v>13</v>
      </c>
      <c r="J4" s="84"/>
      <c r="K4" s="84"/>
      <c r="L4" s="1150"/>
      <c r="M4" s="2358"/>
      <c r="N4" s="1180"/>
      <c r="O4" s="1183" t="s">
        <v>764</v>
      </c>
      <c r="P4" s="421" t="s">
        <v>9</v>
      </c>
      <c r="Q4" s="422">
        <f>E4</f>
        <v>44886</v>
      </c>
      <c r="R4" s="422">
        <f>F4</f>
        <v>44521</v>
      </c>
      <c r="S4" s="422">
        <f>G4</f>
        <v>44886</v>
      </c>
      <c r="T4" s="1061" t="s">
        <v>12</v>
      </c>
      <c r="U4" s="1061" t="s">
        <v>13</v>
      </c>
      <c r="X4" s="1150"/>
    </row>
    <row r="5" spans="1:26" ht="20.25" customHeight="1" x14ac:dyDescent="0.5">
      <c r="A5" s="2361"/>
      <c r="B5" s="1159"/>
      <c r="C5" s="1184"/>
      <c r="D5" s="2157" t="s">
        <v>249</v>
      </c>
      <c r="E5" s="2158"/>
      <c r="F5" s="1134" t="s">
        <v>249</v>
      </c>
      <c r="G5" s="1134" t="s">
        <v>438</v>
      </c>
      <c r="H5" s="1062"/>
      <c r="I5" s="1062"/>
      <c r="M5" s="2359"/>
      <c r="N5" s="1159"/>
      <c r="O5" s="1184"/>
      <c r="P5" s="2157" t="s">
        <v>249</v>
      </c>
      <c r="Q5" s="2158"/>
      <c r="R5" s="602" t="s">
        <v>249</v>
      </c>
      <c r="S5" s="602" t="s">
        <v>438</v>
      </c>
      <c r="T5" s="1062"/>
      <c r="U5" s="1062"/>
    </row>
    <row r="6" spans="1:26" ht="30" customHeight="1" x14ac:dyDescent="0.35">
      <c r="A6" s="1229">
        <v>1</v>
      </c>
      <c r="B6" s="1191" t="s">
        <v>290</v>
      </c>
      <c r="C6" s="1185">
        <v>615.09889696200003</v>
      </c>
      <c r="D6" s="304">
        <v>908.2</v>
      </c>
      <c r="E6" s="636">
        <v>80.81</v>
      </c>
      <c r="F6" s="305">
        <f>F15+F16+F17</f>
        <v>62.2586753</v>
      </c>
      <c r="G6" s="305">
        <f>G15+G16+G17</f>
        <v>90.804143400000001</v>
      </c>
      <c r="H6" s="306">
        <f>(G6-E6)/E6*100</f>
        <v>12.367458730355152</v>
      </c>
      <c r="I6" s="306">
        <f>(G6-F6)/F6*100</f>
        <v>45.849783925614624</v>
      </c>
      <c r="M6" s="1203">
        <v>1</v>
      </c>
      <c r="N6" s="1179" t="s">
        <v>290</v>
      </c>
      <c r="O6" s="1185">
        <v>615.09889696200003</v>
      </c>
      <c r="P6" s="304">
        <v>908.2</v>
      </c>
      <c r="Q6" s="305">
        <v>617.92999999999995</v>
      </c>
      <c r="R6" s="305">
        <f>R15+R16+R17</f>
        <v>362.40234858299993</v>
      </c>
      <c r="S6" s="305">
        <f>S15+S16+S17</f>
        <v>657.16742699999998</v>
      </c>
      <c r="T6" s="1160">
        <f>(S6-Q6)/Q6*100</f>
        <v>6.3498174550515474</v>
      </c>
      <c r="U6" s="1160">
        <f>(S6-R6)/R6*100</f>
        <v>81.336415056231587</v>
      </c>
      <c r="X6" s="491">
        <f>'APRIL-22'!F6+'MAY-22'!F6+'JUNE-22'!F6+'JULY 22'!F6+'AUG-22'!F6+'SEP-2022'!F6</f>
        <v>234.29859418299998</v>
      </c>
      <c r="Y6" s="491">
        <f>'APRIL-22'!G6+'MAY-22'!G6+'JUNE-22'!G6+'JULY 22'!G6+'AUG-22'!G6+'SEP-2022'!G6</f>
        <v>486.57014339999995</v>
      </c>
    </row>
    <row r="7" spans="1:26" ht="26.25" customHeight="1" x14ac:dyDescent="0.35">
      <c r="A7" s="1230">
        <v>2</v>
      </c>
      <c r="B7" s="1154" t="s">
        <v>291</v>
      </c>
      <c r="C7" s="1186">
        <v>275.33999999999997</v>
      </c>
      <c r="D7" s="307">
        <v>322.42</v>
      </c>
      <c r="E7" s="1129">
        <v>30.579999999999995</v>
      </c>
      <c r="F7" s="307">
        <f>F20+F21+F22+F23+F24+F25+F26</f>
        <v>25.9155318</v>
      </c>
      <c r="G7" s="307">
        <f>G20+G21+G22+G23+G24+G25+G26</f>
        <v>43.143999999999998</v>
      </c>
      <c r="H7" s="308">
        <f>(G7-E7)/E7*100</f>
        <v>41.085676913015064</v>
      </c>
      <c r="I7" s="308">
        <f>(G7-F7)/F7*100</f>
        <v>66.479315697469104</v>
      </c>
      <c r="M7" s="1204">
        <v>2</v>
      </c>
      <c r="N7" s="1154" t="s">
        <v>291</v>
      </c>
      <c r="O7" s="1186">
        <v>275.33999999999997</v>
      </c>
      <c r="P7" s="307">
        <v>322.42</v>
      </c>
      <c r="Q7" s="307">
        <v>216.76999999999998</v>
      </c>
      <c r="R7" s="305">
        <f>R20+R21+R22+R23+R24+R25+R26</f>
        <v>184.95553179999999</v>
      </c>
      <c r="S7" s="305">
        <f>S20+S21+S22+S23+S24+S25+S26</f>
        <v>276.28809999999999</v>
      </c>
      <c r="T7" s="1161">
        <f>(S7-Q7)/Q7*100</f>
        <v>27.456797527333123</v>
      </c>
      <c r="U7" s="1161">
        <f>(S7-R7)/R7*100</f>
        <v>49.380825386050986</v>
      </c>
      <c r="W7" s="12">
        <f>S7-89.28</f>
        <v>187.00809999999998</v>
      </c>
      <c r="X7" s="491">
        <f>'APRIL-22'!F7+'MAY-22'!F7+'JUNE-22'!F7+'JULY 22'!F7+'AUG-22'!F7+'SEP-2022'!F7</f>
        <v>124.89550630000001</v>
      </c>
      <c r="Y7" s="491">
        <f>'APRIL-22'!G7+'MAY-22'!G7+'JUNE-22'!G7+'JULY 22'!G7+'AUG-22'!G7+'SEP-2022'!G7</f>
        <v>203.11230660000001</v>
      </c>
    </row>
    <row r="8" spans="1:26" ht="32.25" customHeight="1" x14ac:dyDescent="0.35">
      <c r="A8" s="1231">
        <v>3</v>
      </c>
      <c r="B8" s="1155" t="s">
        <v>292</v>
      </c>
      <c r="C8" s="1187">
        <v>71.674099700000014</v>
      </c>
      <c r="D8" s="364">
        <v>96.78</v>
      </c>
      <c r="E8" s="636">
        <v>9.89</v>
      </c>
      <c r="F8" s="364">
        <f>F31+F32+F33+F34+F35+F36+F37</f>
        <v>7.5350446999999985</v>
      </c>
      <c r="G8" s="364">
        <f>G31+G32+G33+G34+G35+G36+G37</f>
        <v>8.6374419000000007</v>
      </c>
      <c r="H8" s="306">
        <f>(G8-E8)/E8*100</f>
        <v>-12.664894843276034</v>
      </c>
      <c r="I8" s="306">
        <f>(G8-F8)/F8*100</f>
        <v>14.630267555015333</v>
      </c>
      <c r="M8" s="1205">
        <v>3</v>
      </c>
      <c r="N8" s="1155" t="s">
        <v>292</v>
      </c>
      <c r="O8" s="1187">
        <v>71.674099700000014</v>
      </c>
      <c r="P8" s="364">
        <v>96.78</v>
      </c>
      <c r="Q8" s="364">
        <v>54.78</v>
      </c>
      <c r="R8" s="364">
        <f>R31+R32+R33+R34+R35+R36+R37</f>
        <v>42.945372000000013</v>
      </c>
      <c r="S8" s="305">
        <f>S31+S32+S33+S34+S35+S36+S37</f>
        <v>73.268227600000003</v>
      </c>
      <c r="T8" s="1160">
        <f>(S8-Q8)/Q8*100</f>
        <v>33.749959109163932</v>
      </c>
      <c r="U8" s="1160">
        <f>(S8-R8)/R8*100</f>
        <v>70.607970516590186</v>
      </c>
      <c r="X8" s="491">
        <f>'APRIL-22'!F8+'MAY-22'!F8+'JUNE-22'!F8+'JULY 22'!F8+'AUG-22'!F8+'SEP-2022'!F8</f>
        <v>27.944966799999996</v>
      </c>
      <c r="Y8" s="491">
        <f>'APRIL-22'!G8+'MAY-22'!G8+'JUNE-22'!G8+'JULY 22'!G8+'AUG-22'!G8+'SEP-2022'!G8</f>
        <v>55.066350600000007</v>
      </c>
    </row>
    <row r="9" spans="1:26" ht="34.5" customHeight="1" x14ac:dyDescent="0.35">
      <c r="A9" s="1230">
        <v>4</v>
      </c>
      <c r="B9" s="1156" t="s">
        <v>293</v>
      </c>
      <c r="C9" s="1185">
        <v>5.1459812999999999</v>
      </c>
      <c r="D9" s="307">
        <f>D39+D40+D41</f>
        <v>17.53</v>
      </c>
      <c r="E9" s="1129">
        <v>1.4601666666666666</v>
      </c>
      <c r="F9" s="307">
        <f>F39+F40+F41+F42+F43+F44</f>
        <v>0.1431346</v>
      </c>
      <c r="G9" s="307">
        <f>G39+G40+G41+G42+G43+G44</f>
        <v>2.1321292999999999</v>
      </c>
      <c r="H9" s="306">
        <f>(G9-E9)/E9*100</f>
        <v>46.019584522314801</v>
      </c>
      <c r="I9" s="308">
        <f>(G9-F9)/F9*100</f>
        <v>1389.597413902718</v>
      </c>
      <c r="M9" s="1204">
        <v>4</v>
      </c>
      <c r="N9" s="1156" t="s">
        <v>293</v>
      </c>
      <c r="O9" s="1185">
        <v>5.1459812999999999</v>
      </c>
      <c r="P9" s="307">
        <f>P39+P40+P41</f>
        <v>17.53</v>
      </c>
      <c r="Q9" s="307">
        <v>11.681333333333331</v>
      </c>
      <c r="R9" s="307">
        <f>R39+R40+R41+R42+R43+R44</f>
        <v>3.5191667999999998</v>
      </c>
      <c r="S9" s="307">
        <f>S39+S40+S41+S42+S43+S44</f>
        <v>10.473413500000001</v>
      </c>
      <c r="T9" s="1160">
        <f>(S9-Q9)/Q9*100</f>
        <v>-10.34059896130576</v>
      </c>
      <c r="U9" s="1161">
        <f>(S9-R9)/R9*100</f>
        <v>197.61060203227657</v>
      </c>
      <c r="X9" s="491">
        <f>'APRIL-22'!F9+'MAY-22'!F9+'JUNE-22'!F9+'JULY 22'!F9+'AUG-22'!F9+'SEP-2022'!F9</f>
        <v>2.8027249000000003</v>
      </c>
      <c r="Y9" s="491">
        <f>'APRIL-22'!G9+'MAY-22'!G9+'JUNE-22'!G9+'JULY 22'!G9+'AUG-22'!G9+'SEP-2022'!G9</f>
        <v>7.3723258000000005</v>
      </c>
    </row>
    <row r="10" spans="1:26" ht="28.5" customHeight="1" x14ac:dyDescent="0.35">
      <c r="A10" s="1231">
        <v>5</v>
      </c>
      <c r="B10" s="1157" t="s">
        <v>294</v>
      </c>
      <c r="C10" s="1188">
        <f>SUM(C6:C9)</f>
        <v>967.25897796200002</v>
      </c>
      <c r="D10" s="321">
        <f>SUM(D6:D9)</f>
        <v>1344.93</v>
      </c>
      <c r="E10" s="321">
        <f>SUM(E6:E9)</f>
        <v>122.74016666666667</v>
      </c>
      <c r="F10" s="321">
        <f>SUM(F6:F9)</f>
        <v>95.8523864</v>
      </c>
      <c r="G10" s="321">
        <f>SUM(G6:G9)</f>
        <v>144.71771459999999</v>
      </c>
      <c r="H10" s="322">
        <f>(G10-E10)/E10*100</f>
        <v>17.905750440293243</v>
      </c>
      <c r="I10" s="322">
        <f>(G10-F10)/F10*100</f>
        <v>50.979772163502432</v>
      </c>
      <c r="M10" s="1205">
        <v>5</v>
      </c>
      <c r="N10" s="1157" t="s">
        <v>294</v>
      </c>
      <c r="O10" s="1188">
        <f>SUM(O6:O9)</f>
        <v>967.25897796200002</v>
      </c>
      <c r="P10" s="321">
        <f>SUM(P6:P9)</f>
        <v>1344.93</v>
      </c>
      <c r="Q10" s="321">
        <f>SUM(Q6:Q9)</f>
        <v>901.16133333333323</v>
      </c>
      <c r="R10" s="321">
        <f>SUM(R6:R9)</f>
        <v>593.82241918299997</v>
      </c>
      <c r="S10" s="321">
        <f>SUM(S6:S9)</f>
        <v>1017.1971681</v>
      </c>
      <c r="T10" s="1162">
        <f>(S10-Q10)/Q10*100</f>
        <v>12.876255391191528</v>
      </c>
      <c r="U10" s="1162">
        <f>(S10-R10)/R10*100</f>
        <v>71.29652489366984</v>
      </c>
      <c r="W10" s="12">
        <f>S10-348.11</f>
        <v>669.08716809999999</v>
      </c>
      <c r="X10" s="12">
        <f>SUM(X6:X9)</f>
        <v>389.94179218299996</v>
      </c>
      <c r="Y10" s="12">
        <f>SUM(Y6:Y9)</f>
        <v>752.12112639999998</v>
      </c>
      <c r="Z10" s="12">
        <f>S10-Y10</f>
        <v>265.07604170000002</v>
      </c>
    </row>
    <row r="11" spans="1:26" ht="6.75" customHeight="1" thickBot="1" x14ac:dyDescent="0.4">
      <c r="A11" s="2349"/>
      <c r="B11" s="2350"/>
      <c r="C11" s="2350"/>
      <c r="D11" s="2350"/>
      <c r="E11" s="2350"/>
      <c r="F11" s="2350"/>
      <c r="G11" s="2350"/>
      <c r="H11" s="2350"/>
      <c r="I11" s="2351"/>
      <c r="M11" s="2061"/>
      <c r="N11" s="2062"/>
      <c r="O11" s="2062"/>
      <c r="P11" s="2062"/>
      <c r="Q11" s="2062"/>
      <c r="R11" s="2062"/>
      <c r="S11" s="2062"/>
      <c r="T11" s="2062"/>
      <c r="U11" s="2063"/>
    </row>
    <row r="12" spans="1:26" ht="27" customHeight="1" thickBot="1" x14ac:dyDescent="0.4">
      <c r="A12" s="1232">
        <v>6.3</v>
      </c>
      <c r="B12" s="1237" t="s">
        <v>250</v>
      </c>
      <c r="C12" s="1236">
        <v>16.11</v>
      </c>
      <c r="D12" s="1041">
        <f>D46+D47</f>
        <v>80.319999999999993</v>
      </c>
      <c r="E12" s="1042">
        <f>E46+E47</f>
        <v>7.19</v>
      </c>
      <c r="F12" s="1043">
        <f>F46+F47+F48</f>
        <v>1.7537880000000001</v>
      </c>
      <c r="G12" s="1043">
        <f>G46+G47+G48</f>
        <v>4.5999999999999996</v>
      </c>
      <c r="H12" s="1044">
        <f>(G12-E12)/E12*100</f>
        <v>-36.022253129346318</v>
      </c>
      <c r="I12" s="1045">
        <f>(G12-F12)/F12*100</f>
        <v>162.28939871865924</v>
      </c>
      <c r="M12" s="1206">
        <v>6.3</v>
      </c>
      <c r="N12" s="1237" t="s">
        <v>250</v>
      </c>
      <c r="O12" s="1238">
        <v>16.61</v>
      </c>
      <c r="P12" s="1041">
        <f>P46+P47</f>
        <v>80.319999999999993</v>
      </c>
      <c r="Q12" s="1042">
        <f>Q46+Q47</f>
        <v>55.23</v>
      </c>
      <c r="R12" s="1043">
        <f>R46+R47+R48</f>
        <v>8.3911930000000012</v>
      </c>
      <c r="S12" s="1043">
        <f>S46+S47+S48</f>
        <v>29.155438</v>
      </c>
      <c r="T12" s="1163">
        <f>(S12-Q12)/Q12*100</f>
        <v>-47.210867282274123</v>
      </c>
      <c r="U12" s="1164">
        <f>(S12-R12)/R12*100</f>
        <v>247.45283537156152</v>
      </c>
    </row>
    <row r="13" spans="1:26" ht="17.649999999999999" x14ac:dyDescent="0.35">
      <c r="A13" s="1233"/>
      <c r="B13" s="2467" t="s">
        <v>229</v>
      </c>
      <c r="C13" s="2468"/>
      <c r="D13" s="2468"/>
      <c r="E13" s="2468"/>
      <c r="F13" s="2468"/>
      <c r="G13" s="2468"/>
      <c r="H13" s="2468"/>
      <c r="I13" s="2469"/>
      <c r="M13" s="1207"/>
      <c r="N13" s="2058" t="s">
        <v>229</v>
      </c>
      <c r="O13" s="2059"/>
      <c r="P13" s="2059"/>
      <c r="Q13" s="2059"/>
      <c r="R13" s="2059"/>
      <c r="S13" s="2059"/>
      <c r="T13" s="2059"/>
      <c r="U13" s="2060"/>
    </row>
    <row r="14" spans="1:26" x14ac:dyDescent="0.35">
      <c r="A14" s="2373">
        <v>1</v>
      </c>
      <c r="B14" s="2441" t="s">
        <v>278</v>
      </c>
      <c r="C14" s="2442"/>
      <c r="D14" s="2442"/>
      <c r="E14" s="2442"/>
      <c r="F14" s="2442"/>
      <c r="G14" s="2442"/>
      <c r="H14" s="2442"/>
      <c r="I14" s="2443"/>
      <c r="M14" s="2368">
        <v>1</v>
      </c>
      <c r="N14" s="2309" t="s">
        <v>278</v>
      </c>
      <c r="O14" s="2310"/>
      <c r="P14" s="2310"/>
      <c r="Q14" s="2310"/>
      <c r="R14" s="2310"/>
      <c r="S14" s="2310"/>
      <c r="T14" s="2310"/>
      <c r="U14" s="2311"/>
    </row>
    <row r="15" spans="1:26" ht="15.4" x14ac:dyDescent="0.4">
      <c r="A15" s="2374"/>
      <c r="B15" s="2473" t="s">
        <v>16</v>
      </c>
      <c r="C15" s="2474"/>
      <c r="D15" s="333">
        <f>'target FY 22-23'!K56</f>
        <v>21.180000000000003</v>
      </c>
      <c r="E15" s="307">
        <v>1.83</v>
      </c>
      <c r="F15" s="315">
        <v>0.1958308</v>
      </c>
      <c r="G15" s="315">
        <v>1.0817189</v>
      </c>
      <c r="H15" s="316">
        <f>(G15-E15)/E15*100</f>
        <v>-40.889677595628413</v>
      </c>
      <c r="I15" s="314">
        <f>(G15-F15)/F15*100</f>
        <v>452.37424347957528</v>
      </c>
      <c r="J15" s="1128">
        <f>373857/10000000</f>
        <v>3.7385700000000001E-2</v>
      </c>
      <c r="M15" s="2369"/>
      <c r="N15" s="2006" t="s">
        <v>16</v>
      </c>
      <c r="O15" s="2007"/>
      <c r="P15" s="333">
        <f>D15</f>
        <v>21.180000000000003</v>
      </c>
      <c r="Q15" s="307">
        <v>14.64</v>
      </c>
      <c r="R15" s="315">
        <f>F15+'OCT-2022'!R15</f>
        <v>0.70759273499999997</v>
      </c>
      <c r="S15" s="315">
        <f>G15+'OCT-2022'!S15</f>
        <v>7.3937635000000004</v>
      </c>
      <c r="T15" s="316">
        <f>(S15-Q15)/Q15*100</f>
        <v>-49.496150956284154</v>
      </c>
      <c r="U15" s="314">
        <f>(S15-R15)/R15*100</f>
        <v>944.91794987126309</v>
      </c>
    </row>
    <row r="16" spans="1:26" ht="15.4" x14ac:dyDescent="0.4">
      <c r="A16" s="2374"/>
      <c r="B16" s="2422" t="s">
        <v>15</v>
      </c>
      <c r="C16" s="1141" t="s">
        <v>166</v>
      </c>
      <c r="D16" s="2166">
        <f>'target FY 22-23'!L56</f>
        <v>887.02</v>
      </c>
      <c r="E16" s="2065">
        <v>78.98</v>
      </c>
      <c r="F16" s="315">
        <v>0.1729067</v>
      </c>
      <c r="G16" s="315">
        <v>14.403031500000001</v>
      </c>
      <c r="H16" s="2154">
        <f>L16</f>
        <v>13.601449101038234</v>
      </c>
      <c r="I16" s="314">
        <f>(G16-F16)/F16*100</f>
        <v>8229.9441259361265</v>
      </c>
      <c r="J16" s="12">
        <f>F16+F17</f>
        <v>62.062844499999997</v>
      </c>
      <c r="K16" s="12">
        <f>G16+G17</f>
        <v>89.722424500000002</v>
      </c>
      <c r="L16" s="172">
        <f>(K16-E16)/E16*100</f>
        <v>13.601449101038234</v>
      </c>
      <c r="M16" s="2369"/>
      <c r="N16" s="2071" t="s">
        <v>15</v>
      </c>
      <c r="O16" s="1189" t="s">
        <v>166</v>
      </c>
      <c r="P16" s="2166">
        <f>D16</f>
        <v>887.02</v>
      </c>
      <c r="Q16" s="2065">
        <v>603.29</v>
      </c>
      <c r="R16" s="315">
        <f>F16+'OCT-2022'!R16</f>
        <v>0.50963874799999997</v>
      </c>
      <c r="S16" s="315">
        <f>G16+'OCT-2022'!S16</f>
        <v>68.525711999999999</v>
      </c>
      <c r="T16" s="2154">
        <f>X16</f>
        <v>7.7050280130617184</v>
      </c>
      <c r="U16" s="314">
        <f>(S16-R16)/R16*100</f>
        <v>13345.938376726412</v>
      </c>
      <c r="W16" s="12">
        <f>S16+S17</f>
        <v>649.7736635</v>
      </c>
      <c r="X16" s="172">
        <f>(W16-Q16)/Q16*100</f>
        <v>7.7050280130617184</v>
      </c>
    </row>
    <row r="17" spans="1:24" ht="15.4" x14ac:dyDescent="0.4">
      <c r="A17" s="2375"/>
      <c r="B17" s="2422"/>
      <c r="C17" s="1141" t="s">
        <v>228</v>
      </c>
      <c r="D17" s="2064"/>
      <c r="E17" s="2066"/>
      <c r="F17" s="315">
        <v>61.889937799999998</v>
      </c>
      <c r="G17" s="315">
        <v>75.319393000000005</v>
      </c>
      <c r="H17" s="2155"/>
      <c r="I17" s="314">
        <f>(G17-F17)/F17*100</f>
        <v>21.698931486080774</v>
      </c>
      <c r="J17" s="323">
        <f>114680295/10000000</f>
        <v>11.4680295</v>
      </c>
      <c r="M17" s="2245"/>
      <c r="N17" s="2071"/>
      <c r="O17" s="1189" t="s">
        <v>228</v>
      </c>
      <c r="P17" s="2064"/>
      <c r="Q17" s="2066"/>
      <c r="R17" s="315">
        <f>F17+'OCT-2022'!R17</f>
        <v>361.18511709999996</v>
      </c>
      <c r="S17" s="315">
        <f>G17+'OCT-2022'!S17</f>
        <v>581.2479515</v>
      </c>
      <c r="T17" s="2155"/>
      <c r="U17" s="314">
        <f>(S17-R17)/R17*100</f>
        <v>60.927990656678155</v>
      </c>
    </row>
    <row r="18" spans="1:24" ht="21.75" customHeight="1" x14ac:dyDescent="0.35">
      <c r="A18" s="1982">
        <v>2</v>
      </c>
      <c r="B18" s="1067" t="s">
        <v>678</v>
      </c>
      <c r="C18" s="2312" t="s">
        <v>680</v>
      </c>
      <c r="D18" s="2312"/>
      <c r="E18" s="2312"/>
      <c r="F18" s="2312" t="s">
        <v>684</v>
      </c>
      <c r="G18" s="2312"/>
      <c r="H18" s="1068"/>
      <c r="I18" s="1068"/>
      <c r="M18" s="2368">
        <v>2</v>
      </c>
      <c r="N18" s="1067" t="s">
        <v>678</v>
      </c>
      <c r="O18" s="2312" t="s">
        <v>680</v>
      </c>
      <c r="P18" s="2312"/>
      <c r="Q18" s="2312"/>
      <c r="R18" s="2321" t="s">
        <v>684</v>
      </c>
      <c r="S18" s="2322"/>
      <c r="T18" s="2322"/>
      <c r="U18" s="2323"/>
    </row>
    <row r="19" spans="1:24" ht="31.5" customHeight="1" x14ac:dyDescent="0.35">
      <c r="A19" s="1983"/>
      <c r="B19" s="1069" t="s">
        <v>230</v>
      </c>
      <c r="C19" s="1098">
        <f>F4</f>
        <v>44521</v>
      </c>
      <c r="D19" s="1098">
        <f>G4</f>
        <v>44886</v>
      </c>
      <c r="E19" s="1069" t="s">
        <v>681</v>
      </c>
      <c r="F19" s="1098">
        <f>F4</f>
        <v>44521</v>
      </c>
      <c r="G19" s="1098">
        <f>G4</f>
        <v>44886</v>
      </c>
      <c r="H19" s="1071" t="s">
        <v>682</v>
      </c>
      <c r="I19" s="1072" t="s">
        <v>681</v>
      </c>
      <c r="M19" s="2369"/>
      <c r="N19" s="1069" t="s">
        <v>230</v>
      </c>
      <c r="O19" s="1098">
        <f>R4</f>
        <v>44521</v>
      </c>
      <c r="P19" s="1098">
        <f>S4</f>
        <v>44886</v>
      </c>
      <c r="Q19" s="1069" t="s">
        <v>681</v>
      </c>
      <c r="R19" s="1098">
        <f>R4</f>
        <v>44521</v>
      </c>
      <c r="S19" s="1098">
        <f>S4</f>
        <v>44886</v>
      </c>
      <c r="T19" s="1071" t="s">
        <v>682</v>
      </c>
      <c r="U19" s="1072" t="s">
        <v>681</v>
      </c>
    </row>
    <row r="20" spans="1:24" ht="18.75" customHeight="1" x14ac:dyDescent="0.4">
      <c r="A20" s="1983"/>
      <c r="B20" s="1055" t="s">
        <v>231</v>
      </c>
      <c r="C20" s="85">
        <v>98340</v>
      </c>
      <c r="D20" s="303">
        <v>94100</v>
      </c>
      <c r="E20" s="314">
        <f>(D20-C20)/C20*100</f>
        <v>-4.3115720968069962</v>
      </c>
      <c r="F20" s="315">
        <v>19.611823600000001</v>
      </c>
      <c r="G20" s="315">
        <v>17.510000000000002</v>
      </c>
      <c r="H20" s="1060">
        <f>G20/G7*100</f>
        <v>40.585017615427411</v>
      </c>
      <c r="I20" s="314">
        <f>(G20-F20)/F20*100</f>
        <v>-10.717124745095093</v>
      </c>
      <c r="M20" s="2369"/>
      <c r="N20" s="1055" t="s">
        <v>231</v>
      </c>
      <c r="O20" s="833">
        <f>'OCT-2022'!O20+'NOV -22'!C20</f>
        <v>769765</v>
      </c>
      <c r="P20" s="833">
        <f>'OCT-2022'!P20+'NOV -22'!D20</f>
        <v>743060</v>
      </c>
      <c r="Q20" s="314">
        <f>(P20-O20)/O20*100</f>
        <v>-3.4692406123946915</v>
      </c>
      <c r="R20" s="315">
        <f>'OCT-2022'!R20+'NOV -22'!F20</f>
        <v>147.73182360000001</v>
      </c>
      <c r="S20" s="315">
        <f>'OCT-2022'!S20+'NOV -22'!G20</f>
        <v>137.72999999999999</v>
      </c>
      <c r="T20" s="1060">
        <f>S20/S7*100</f>
        <v>49.850138315765321</v>
      </c>
      <c r="U20" s="314">
        <f>(S20-R20)/R20*100</f>
        <v>-6.7702566422526864</v>
      </c>
    </row>
    <row r="21" spans="1:24" ht="18.75" customHeight="1" x14ac:dyDescent="0.4">
      <c r="A21" s="1983"/>
      <c r="B21" s="1055" t="s">
        <v>232</v>
      </c>
      <c r="C21" s="1214">
        <v>20136</v>
      </c>
      <c r="D21" s="303">
        <v>102399</v>
      </c>
      <c r="E21" s="314">
        <f>(D21-C21)/C21*100</f>
        <v>408.5369487485101</v>
      </c>
      <c r="F21" s="315">
        <v>1.0472265999999999</v>
      </c>
      <c r="G21" s="315">
        <v>15.06</v>
      </c>
      <c r="H21" s="1060">
        <f>G21/G7*100</f>
        <v>34.906360096421288</v>
      </c>
      <c r="I21" s="314">
        <f>(G21-F21)/F21*100</f>
        <v>1338.084173950509</v>
      </c>
      <c r="M21" s="2369"/>
      <c r="N21" s="1055" t="s">
        <v>232</v>
      </c>
      <c r="O21" s="833">
        <f>'OCT-2022'!O21+'NOV -22'!C21</f>
        <v>84573</v>
      </c>
      <c r="P21" s="833">
        <f>'OCT-2022'!P21+'NOV -22'!D21</f>
        <v>654472</v>
      </c>
      <c r="Q21" s="314">
        <f>(P21-O21)/O21*100</f>
        <v>673.85453986496873</v>
      </c>
      <c r="R21" s="315">
        <f>'OCT-2022'!R21+'NOV -22'!F21</f>
        <v>6.3572265999999997</v>
      </c>
      <c r="S21" s="315">
        <f>'OCT-2022'!S21+'NOV -22'!G21</f>
        <v>63.550000000000004</v>
      </c>
      <c r="T21" s="1060">
        <f>S21/S7*100</f>
        <v>23.001352573635998</v>
      </c>
      <c r="U21" s="314">
        <f>(S21-R21)/R21*100</f>
        <v>899.64975292842337</v>
      </c>
    </row>
    <row r="22" spans="1:24" ht="18.75" customHeight="1" x14ac:dyDescent="0.4">
      <c r="A22" s="1983"/>
      <c r="B22" s="1055" t="s">
        <v>239</v>
      </c>
      <c r="C22" s="303">
        <v>4403</v>
      </c>
      <c r="D22" s="303">
        <v>77021.5</v>
      </c>
      <c r="E22" s="314">
        <f>(D22-C22)/C22*100</f>
        <v>1649.2959345900524</v>
      </c>
      <c r="F22" s="315">
        <v>4.6951516</v>
      </c>
      <c r="G22" s="315">
        <v>9.7439999999999998</v>
      </c>
      <c r="H22" s="1060">
        <f>G22/G7*100</f>
        <v>22.584832189875765</v>
      </c>
      <c r="I22" s="314">
        <f>(G22-F22)/F22*100</f>
        <v>107.53323492259548</v>
      </c>
      <c r="M22" s="2369"/>
      <c r="N22" s="1055" t="s">
        <v>239</v>
      </c>
      <c r="O22" s="833">
        <v>217175</v>
      </c>
      <c r="P22" s="833">
        <v>556733</v>
      </c>
      <c r="Q22" s="314">
        <f>(P22-O22)/O22*100</f>
        <v>156.35225048923681</v>
      </c>
      <c r="R22" s="315">
        <f>'OCT-2022'!R22+'NOV -22'!F22</f>
        <v>24.105151599999999</v>
      </c>
      <c r="S22" s="315">
        <f>'OCT-2022'!S22+'NOV -22'!G22</f>
        <v>67.984000000000009</v>
      </c>
      <c r="T22" s="1060">
        <f>S22/S7*100</f>
        <v>24.606199108828797</v>
      </c>
      <c r="U22" s="314">
        <f>(S22-R22)/R22*100</f>
        <v>182.03099954783116</v>
      </c>
    </row>
    <row r="23" spans="1:24" ht="18.75" customHeight="1" x14ac:dyDescent="0.4">
      <c r="A23" s="1983"/>
      <c r="B23" s="1055" t="s">
        <v>233</v>
      </c>
      <c r="C23" s="303">
        <v>17856</v>
      </c>
      <c r="D23" s="303">
        <v>24078</v>
      </c>
      <c r="E23" s="314">
        <f>(D23-C23)/C23*100</f>
        <v>34.84543010752688</v>
      </c>
      <c r="F23" s="315">
        <v>0.56133</v>
      </c>
      <c r="G23" s="315">
        <v>0.83</v>
      </c>
      <c r="H23" s="1060">
        <f>G23/G7*100</f>
        <v>1.9237900982755425</v>
      </c>
      <c r="I23" s="314">
        <f>(G23-F23)/F23*100</f>
        <v>47.863110826073786</v>
      </c>
      <c r="M23" s="2369"/>
      <c r="N23" s="1055" t="s">
        <v>233</v>
      </c>
      <c r="O23" s="833">
        <f>'OCT-2022'!O23+'NOV -22'!C23</f>
        <v>198645</v>
      </c>
      <c r="P23" s="833">
        <f>'OCT-2022'!P23+'NOV -22'!D23</f>
        <v>190119</v>
      </c>
      <c r="Q23" s="314">
        <f>(P23-O23)/O23*100</f>
        <v>-4.2920788341010345</v>
      </c>
      <c r="R23" s="315">
        <f>'OCT-2022'!R23+'NOV -22'!F23</f>
        <v>6.4813299999999998</v>
      </c>
      <c r="S23" s="315">
        <f>'OCT-2022'!S23+'NOV -22'!G23</f>
        <v>6.6</v>
      </c>
      <c r="T23" s="1060">
        <f>S23/S7*100</f>
        <v>2.3888108101651864</v>
      </c>
      <c r="U23" s="314">
        <f>(S23-R23)/R23*100</f>
        <v>1.8309513633775758</v>
      </c>
    </row>
    <row r="24" spans="1:24" ht="18.75" customHeight="1" x14ac:dyDescent="0.4">
      <c r="A24" s="1983"/>
      <c r="B24" s="1055" t="s">
        <v>739</v>
      </c>
      <c r="C24" s="303">
        <v>0</v>
      </c>
      <c r="D24" s="303">
        <v>0</v>
      </c>
      <c r="E24" s="836">
        <v>0</v>
      </c>
      <c r="F24" s="833">
        <v>0</v>
      </c>
      <c r="G24" s="833">
        <v>0</v>
      </c>
      <c r="H24" s="1060">
        <f>G24/G7*100</f>
        <v>0</v>
      </c>
      <c r="I24" s="314">
        <v>0</v>
      </c>
      <c r="M24" s="2369"/>
      <c r="N24" s="1055" t="s">
        <v>739</v>
      </c>
      <c r="O24" s="833">
        <f>'OCT-2022'!O24+'NOV -22'!C24</f>
        <v>0</v>
      </c>
      <c r="P24" s="833">
        <f>'OCT-2022'!P24+'NOV -22'!D24</f>
        <v>2661</v>
      </c>
      <c r="Q24" s="836">
        <v>0</v>
      </c>
      <c r="R24" s="315">
        <f>'OCT-2022'!R24+'NOV -22'!F24</f>
        <v>0</v>
      </c>
      <c r="S24" s="315">
        <f>'OCT-2022'!S24+'NOV -22'!G24</f>
        <v>4.1000000000000002E-2</v>
      </c>
      <c r="T24" s="1060">
        <f>S24/S7*100</f>
        <v>1.4839582305571614E-2</v>
      </c>
      <c r="U24" s="314">
        <v>0</v>
      </c>
    </row>
    <row r="25" spans="1:24" ht="18.75" customHeight="1" x14ac:dyDescent="0.4">
      <c r="A25" s="1983"/>
      <c r="B25" s="1055" t="s">
        <v>235</v>
      </c>
      <c r="C25" s="303">
        <v>0</v>
      </c>
      <c r="D25" s="303">
        <v>0</v>
      </c>
      <c r="E25" s="836">
        <v>0</v>
      </c>
      <c r="F25" s="833">
        <v>0</v>
      </c>
      <c r="G25" s="833">
        <v>0</v>
      </c>
      <c r="H25" s="1060">
        <f>G25/G7*100</f>
        <v>0</v>
      </c>
      <c r="I25" s="314">
        <v>0</v>
      </c>
      <c r="M25" s="2369"/>
      <c r="N25" s="1055" t="s">
        <v>235</v>
      </c>
      <c r="O25" s="833">
        <f>'OCT-2022'!O25+'NOV -22'!C25</f>
        <v>0</v>
      </c>
      <c r="P25" s="833">
        <f>'OCT-2022'!P25+'NOV -22'!D25</f>
        <v>2748</v>
      </c>
      <c r="Q25" s="836">
        <v>0</v>
      </c>
      <c r="R25" s="315">
        <v>0.03</v>
      </c>
      <c r="S25" s="315">
        <f>'OCT-2022'!S25+'NOV -22'!G25</f>
        <v>0.11310000000000001</v>
      </c>
      <c r="T25" s="1060">
        <f>S25/S7*100</f>
        <v>4.0935530701467063E-2</v>
      </c>
      <c r="U25" s="314">
        <v>0</v>
      </c>
    </row>
    <row r="26" spans="1:24" ht="27" customHeight="1" x14ac:dyDescent="0.4">
      <c r="A26" s="1984"/>
      <c r="B26" s="1056" t="s">
        <v>693</v>
      </c>
      <c r="C26" s="1059">
        <v>0</v>
      </c>
      <c r="D26" s="1059">
        <v>0</v>
      </c>
      <c r="E26" s="836">
        <v>0</v>
      </c>
      <c r="F26" s="833">
        <v>0</v>
      </c>
      <c r="G26" s="833">
        <v>0</v>
      </c>
      <c r="H26" s="1060">
        <f>G26/G7*100</f>
        <v>0</v>
      </c>
      <c r="I26" s="314" t="e">
        <f>(G26-F26)/F26*100</f>
        <v>#DIV/0!</v>
      </c>
      <c r="M26" s="2245"/>
      <c r="N26" s="1056" t="s">
        <v>693</v>
      </c>
      <c r="O26" s="833">
        <f>'OCT-2022'!O26+'NOV -22'!C26</f>
        <v>2827</v>
      </c>
      <c r="P26" s="833">
        <f>'OCT-2022'!P26+'NOV -22'!D26</f>
        <v>0</v>
      </c>
      <c r="Q26" s="836">
        <v>0</v>
      </c>
      <c r="R26" s="315">
        <v>0.25</v>
      </c>
      <c r="S26" s="315">
        <f>'OCT-2022'!S26+'NOV -22'!G26</f>
        <v>0.27</v>
      </c>
      <c r="T26" s="1060">
        <f>S26/S7*100</f>
        <v>9.7724078597666728E-2</v>
      </c>
      <c r="U26" s="314">
        <f>(S26-R26)/R26*100</f>
        <v>8.0000000000000071</v>
      </c>
    </row>
    <row r="27" spans="1:24" s="26" customFormat="1" ht="19.5" customHeight="1" x14ac:dyDescent="0.4">
      <c r="A27" s="1216"/>
      <c r="B27" s="1063" t="s">
        <v>683</v>
      </c>
      <c r="C27" s="1063">
        <f>SUM(C20:C26)</f>
        <v>140735</v>
      </c>
      <c r="D27" s="1063">
        <f>SUM(D20:D26)</f>
        <v>297598.5</v>
      </c>
      <c r="E27" s="394">
        <f>(D27-C27)/C27*100</f>
        <v>111.46019113937542</v>
      </c>
      <c r="F27" s="1054">
        <f>SUM(F20:F26)</f>
        <v>25.9155318</v>
      </c>
      <c r="G27" s="1054">
        <f>G20+G21+G22+G23+G24+G25+G26</f>
        <v>43.143999999999998</v>
      </c>
      <c r="H27" s="1066">
        <f>SUM(H20:H26)</f>
        <v>100.00000000000001</v>
      </c>
      <c r="I27" s="394">
        <f>(G27-F27)/F27*100</f>
        <v>66.479315697469104</v>
      </c>
      <c r="J27" s="762"/>
      <c r="K27" s="762"/>
      <c r="L27" s="432"/>
      <c r="M27" s="1202"/>
      <c r="N27" s="1063" t="s">
        <v>683</v>
      </c>
      <c r="O27" s="1063">
        <f>SUM(O20:O26)</f>
        <v>1272985</v>
      </c>
      <c r="P27" s="1063">
        <f>SUM(P20:P26)</f>
        <v>2149793</v>
      </c>
      <c r="Q27" s="394">
        <f>(P27-O27)/O27*100</f>
        <v>68.878109325718682</v>
      </c>
      <c r="R27" s="1054">
        <f>SUM(R20:R26)</f>
        <v>184.95553179999999</v>
      </c>
      <c r="S27" s="1054">
        <f>SUM(S20:S26)</f>
        <v>276.28809999999999</v>
      </c>
      <c r="T27" s="1066">
        <f>SUM(T20:T26)</f>
        <v>99.999999999999986</v>
      </c>
      <c r="U27" s="394">
        <f>(S27-R27)/R27*100</f>
        <v>49.380825386050986</v>
      </c>
      <c r="X27" s="432"/>
    </row>
    <row r="28" spans="1:24" x14ac:dyDescent="0.4">
      <c r="A28" s="6"/>
      <c r="B28" s="2313" t="s">
        <v>7</v>
      </c>
      <c r="C28" s="2313"/>
      <c r="D28" s="2314" t="s">
        <v>8</v>
      </c>
      <c r="E28" s="2314"/>
      <c r="F28" s="2314" t="s">
        <v>10</v>
      </c>
      <c r="G28" s="2314"/>
      <c r="H28" s="2315" t="s">
        <v>11</v>
      </c>
      <c r="I28" s="2315"/>
      <c r="M28" s="1201"/>
      <c r="N28" s="2313" t="s">
        <v>7</v>
      </c>
      <c r="O28" s="2313"/>
      <c r="P28" s="2314" t="s">
        <v>8</v>
      </c>
      <c r="Q28" s="2314"/>
      <c r="R28" s="2314" t="s">
        <v>10</v>
      </c>
      <c r="S28" s="2314"/>
      <c r="T28" s="2315" t="s">
        <v>11</v>
      </c>
      <c r="U28" s="2315"/>
    </row>
    <row r="29" spans="1:24" ht="24" customHeight="1" x14ac:dyDescent="0.35">
      <c r="A29" s="135"/>
      <c r="B29" s="2313"/>
      <c r="C29" s="2313"/>
      <c r="D29" s="272" t="s">
        <v>9</v>
      </c>
      <c r="E29" s="1057">
        <f>G29</f>
        <v>44652</v>
      </c>
      <c r="F29" s="1057">
        <v>44287</v>
      </c>
      <c r="G29" s="1057">
        <v>44652</v>
      </c>
      <c r="H29" s="1065" t="s">
        <v>12</v>
      </c>
      <c r="I29" s="1065" t="s">
        <v>13</v>
      </c>
      <c r="M29" s="606"/>
      <c r="N29" s="2313"/>
      <c r="O29" s="2313"/>
      <c r="P29" s="272" t="s">
        <v>9</v>
      </c>
      <c r="Q29" s="1057">
        <f>S29</f>
        <v>44652</v>
      </c>
      <c r="R29" s="1057">
        <v>44287</v>
      </c>
      <c r="S29" s="1057">
        <v>44652</v>
      </c>
      <c r="T29" s="1065" t="s">
        <v>12</v>
      </c>
      <c r="U29" s="1065" t="s">
        <v>13</v>
      </c>
    </row>
    <row r="30" spans="1:24" x14ac:dyDescent="0.35">
      <c r="A30" s="2381">
        <v>3</v>
      </c>
      <c r="B30" s="2309" t="s">
        <v>623</v>
      </c>
      <c r="C30" s="2310"/>
      <c r="D30" s="2310"/>
      <c r="E30" s="2310"/>
      <c r="F30" s="2310"/>
      <c r="G30" s="2310"/>
      <c r="H30" s="2310"/>
      <c r="I30" s="2311"/>
      <c r="M30" s="2384">
        <v>3</v>
      </c>
      <c r="N30" s="2309" t="s">
        <v>623</v>
      </c>
      <c r="O30" s="2310"/>
      <c r="P30" s="2310"/>
      <c r="Q30" s="2310"/>
      <c r="R30" s="2310"/>
      <c r="S30" s="2310"/>
      <c r="T30" s="2310"/>
      <c r="U30" s="2311"/>
    </row>
    <row r="31" spans="1:24" ht="15.4" x14ac:dyDescent="0.4">
      <c r="A31" s="2382"/>
      <c r="B31" s="2006" t="s">
        <v>2</v>
      </c>
      <c r="C31" s="2007"/>
      <c r="D31" s="331">
        <v>12.05</v>
      </c>
      <c r="E31" s="315">
        <v>1.25</v>
      </c>
      <c r="F31" s="313">
        <v>1.4049898999999999</v>
      </c>
      <c r="G31" s="313">
        <v>1.96</v>
      </c>
      <c r="H31" s="314">
        <f>(G31-E31)/E31*100</f>
        <v>56.8</v>
      </c>
      <c r="I31" s="314">
        <f t="shared" ref="I31:I36" si="0">(G31-F31)/F31*100</f>
        <v>39.5027821908186</v>
      </c>
      <c r="J31" s="84">
        <f>2661720/10000000</f>
        <v>0.26617200000000002</v>
      </c>
      <c r="K31" s="84">
        <f>11596205/10000000</f>
        <v>1.1596204999999999</v>
      </c>
      <c r="M31" s="2385"/>
      <c r="N31" s="2006" t="s">
        <v>2</v>
      </c>
      <c r="O31" s="2007"/>
      <c r="P31" s="331">
        <v>12.05</v>
      </c>
      <c r="Q31" s="315">
        <v>8.1</v>
      </c>
      <c r="R31" s="315">
        <v>4.4990383000000005</v>
      </c>
      <c r="S31" s="315">
        <v>16.628583500000001</v>
      </c>
      <c r="T31" s="314">
        <f>(S31-Q31)/Q31*100</f>
        <v>105.29115432098767</v>
      </c>
      <c r="U31" s="314">
        <f t="shared" ref="U31:U37" si="1">(S31-R31)/R31*100</f>
        <v>269.60306605969544</v>
      </c>
    </row>
    <row r="32" spans="1:24" ht="15.4" x14ac:dyDescent="0.4">
      <c r="A32" s="2382"/>
      <c r="B32" s="2006" t="s">
        <v>23</v>
      </c>
      <c r="C32" s="2007"/>
      <c r="D32" s="331">
        <v>27.75</v>
      </c>
      <c r="E32" s="315">
        <v>2.1800000000000002</v>
      </c>
      <c r="F32" s="313">
        <v>2.0141947</v>
      </c>
      <c r="G32" s="313">
        <v>2.3856622000000001</v>
      </c>
      <c r="H32" s="314">
        <f>(G32-E32)/E32*100</f>
        <v>9.4340458715596274</v>
      </c>
      <c r="I32" s="314">
        <f>(G32-F32)/F32*100</f>
        <v>18.442482248612809</v>
      </c>
      <c r="J32" s="1128">
        <f>0.42-0.02</f>
        <v>0.39999999999999997</v>
      </c>
      <c r="K32" s="84">
        <f>0.58-0.12</f>
        <v>0.45999999999999996</v>
      </c>
      <c r="M32" s="2385"/>
      <c r="N32" s="2006" t="s">
        <v>23</v>
      </c>
      <c r="O32" s="2007"/>
      <c r="P32" s="331">
        <v>27.75</v>
      </c>
      <c r="Q32" s="315">
        <v>17.87</v>
      </c>
      <c r="R32" s="315">
        <v>16.507342600000001</v>
      </c>
      <c r="S32" s="315">
        <v>20.169691199999999</v>
      </c>
      <c r="T32" s="314">
        <f>(S32-Q32)/Q32*100</f>
        <v>12.869005036373798</v>
      </c>
      <c r="U32" s="314">
        <f t="shared" si="1"/>
        <v>22.186179137034433</v>
      </c>
    </row>
    <row r="33" spans="1:24" ht="15.4" x14ac:dyDescent="0.4">
      <c r="A33" s="2382"/>
      <c r="B33" s="2006" t="s">
        <v>1</v>
      </c>
      <c r="C33" s="2007"/>
      <c r="D33" s="331">
        <v>5.77</v>
      </c>
      <c r="E33" s="315">
        <v>0.41</v>
      </c>
      <c r="F33" s="313">
        <v>8.3294599999999996E-2</v>
      </c>
      <c r="G33" s="315">
        <f>853714/10000000</f>
        <v>8.53714E-2</v>
      </c>
      <c r="H33" s="314">
        <f>(G33-E33)/E33*100</f>
        <v>-79.177707317073171</v>
      </c>
      <c r="I33" s="314">
        <f t="shared" si="0"/>
        <v>2.4933188946222247</v>
      </c>
      <c r="M33" s="2385"/>
      <c r="N33" s="2006" t="s">
        <v>1</v>
      </c>
      <c r="O33" s="2007"/>
      <c r="P33" s="331">
        <v>5.77</v>
      </c>
      <c r="Q33" s="315">
        <v>3.98</v>
      </c>
      <c r="R33" s="315">
        <v>0.77967900000000001</v>
      </c>
      <c r="S33" s="315">
        <v>0.73</v>
      </c>
      <c r="T33" s="314">
        <f>(S33-Q33)/Q33*100</f>
        <v>-81.658291457286438</v>
      </c>
      <c r="U33" s="314">
        <f t="shared" si="1"/>
        <v>-6.3717247739133702</v>
      </c>
    </row>
    <row r="34" spans="1:24" ht="15.4" x14ac:dyDescent="0.4">
      <c r="A34" s="2382"/>
      <c r="B34" s="2006" t="s">
        <v>24</v>
      </c>
      <c r="C34" s="2007"/>
      <c r="D34" s="603" t="s">
        <v>221</v>
      </c>
      <c r="E34" s="315"/>
      <c r="F34" s="381">
        <v>4.8443E-2</v>
      </c>
      <c r="G34" s="313">
        <v>0.26006499999999999</v>
      </c>
      <c r="H34" s="316" t="s">
        <v>221</v>
      </c>
      <c r="I34" s="314">
        <f t="shared" si="0"/>
        <v>436.84742893710126</v>
      </c>
      <c r="J34" s="84">
        <f>62410/10000000</f>
        <v>6.241E-3</v>
      </c>
      <c r="M34" s="2385"/>
      <c r="N34" s="2006" t="s">
        <v>24</v>
      </c>
      <c r="O34" s="2007"/>
      <c r="P34" s="603" t="s">
        <v>221</v>
      </c>
      <c r="Q34" s="315"/>
      <c r="R34" s="315">
        <v>0.193438</v>
      </c>
      <c r="S34" s="315">
        <v>2.1835140000000002</v>
      </c>
      <c r="T34" s="316" t="s">
        <v>221</v>
      </c>
      <c r="U34" s="314">
        <f t="shared" si="1"/>
        <v>1028.7926880964444</v>
      </c>
    </row>
    <row r="35" spans="1:24" ht="15.4" x14ac:dyDescent="0.4">
      <c r="A35" s="2382"/>
      <c r="B35" s="2017" t="s">
        <v>25</v>
      </c>
      <c r="C35" s="2030"/>
      <c r="D35" s="603" t="s">
        <v>221</v>
      </c>
      <c r="E35" s="315"/>
      <c r="F35" s="315">
        <v>0.76740640000000004</v>
      </c>
      <c r="G35" s="313">
        <v>0.29328559999999998</v>
      </c>
      <c r="H35" s="316" t="s">
        <v>221</v>
      </c>
      <c r="I35" s="314">
        <v>0</v>
      </c>
      <c r="M35" s="2385"/>
      <c r="N35" s="2017" t="s">
        <v>25</v>
      </c>
      <c r="O35" s="2030"/>
      <c r="P35" s="603" t="s">
        <v>221</v>
      </c>
      <c r="Q35" s="315"/>
      <c r="R35" s="315">
        <v>2.5686442</v>
      </c>
      <c r="S35" s="315">
        <v>4.8997792999999996</v>
      </c>
      <c r="T35" s="316" t="s">
        <v>221</v>
      </c>
      <c r="U35" s="314">
        <f t="shared" si="1"/>
        <v>90.753522811761925</v>
      </c>
    </row>
    <row r="36" spans="1:24" ht="15.4" x14ac:dyDescent="0.4">
      <c r="A36" s="2383"/>
      <c r="B36" s="2017" t="s">
        <v>241</v>
      </c>
      <c r="C36" s="2030"/>
      <c r="D36" s="540" t="s">
        <v>221</v>
      </c>
      <c r="E36" s="316"/>
      <c r="F36" s="134">
        <v>3.1739017999999999</v>
      </c>
      <c r="G36" s="313">
        <v>3.5810947999999998</v>
      </c>
      <c r="H36" s="316" t="s">
        <v>221</v>
      </c>
      <c r="I36" s="314">
        <f t="shared" si="0"/>
        <v>12.829413940910205</v>
      </c>
      <c r="J36" s="323">
        <f>(3613355)/10000000</f>
        <v>0.36133549999999998</v>
      </c>
      <c r="K36" s="323">
        <f>(20880+ 10612529)/10000000</f>
        <v>1.0633409</v>
      </c>
      <c r="M36" s="2386"/>
      <c r="N36" s="2017" t="s">
        <v>241</v>
      </c>
      <c r="O36" s="2030"/>
      <c r="P36" s="540" t="s">
        <v>221</v>
      </c>
      <c r="Q36" s="316"/>
      <c r="R36" s="315">
        <v>18.047172</v>
      </c>
      <c r="S36" s="315">
        <v>28.094619300000002</v>
      </c>
      <c r="T36" s="316" t="s">
        <v>221</v>
      </c>
      <c r="U36" s="314">
        <f t="shared" si="1"/>
        <v>55.673250634503859</v>
      </c>
    </row>
    <row r="37" spans="1:24" ht="15.4" x14ac:dyDescent="0.4">
      <c r="A37" s="1234"/>
      <c r="B37" s="2006" t="s">
        <v>260</v>
      </c>
      <c r="C37" s="2019"/>
      <c r="D37" s="540" t="s">
        <v>221</v>
      </c>
      <c r="E37" s="316"/>
      <c r="F37" s="134">
        <v>4.28143E-2</v>
      </c>
      <c r="G37" s="313">
        <v>7.1962899999999996E-2</v>
      </c>
      <c r="H37" s="413"/>
      <c r="I37" s="314">
        <v>0</v>
      </c>
      <c r="M37" s="1208"/>
      <c r="N37" s="2006" t="s">
        <v>260</v>
      </c>
      <c r="O37" s="2019"/>
      <c r="P37" s="540" t="s">
        <v>221</v>
      </c>
      <c r="Q37" s="316"/>
      <c r="R37" s="315">
        <v>0.35005789999999992</v>
      </c>
      <c r="S37" s="315">
        <v>0.56204030000000005</v>
      </c>
      <c r="T37" s="413"/>
      <c r="U37" s="314">
        <f t="shared" si="1"/>
        <v>60.556382244194509</v>
      </c>
    </row>
    <row r="38" spans="1:24" x14ac:dyDescent="0.35">
      <c r="A38" s="2387">
        <v>4</v>
      </c>
      <c r="B38" s="2309" t="s">
        <v>622</v>
      </c>
      <c r="C38" s="2310"/>
      <c r="D38" s="2310"/>
      <c r="E38" s="2310"/>
      <c r="F38" s="2310"/>
      <c r="G38" s="2310"/>
      <c r="H38" s="2310"/>
      <c r="I38" s="2311"/>
      <c r="M38" s="2388">
        <v>4</v>
      </c>
      <c r="N38" s="2309" t="s">
        <v>622</v>
      </c>
      <c r="O38" s="2310"/>
      <c r="P38" s="2310"/>
      <c r="Q38" s="2310"/>
      <c r="R38" s="2310"/>
      <c r="S38" s="2310"/>
      <c r="T38" s="2310"/>
      <c r="U38" s="2311"/>
    </row>
    <row r="39" spans="1:24" ht="15.4" x14ac:dyDescent="0.4">
      <c r="A39" s="2387"/>
      <c r="B39" s="2006" t="s">
        <v>27</v>
      </c>
      <c r="C39" s="2007"/>
      <c r="D39" s="331">
        <v>12.24</v>
      </c>
      <c r="E39" s="315">
        <v>1.02</v>
      </c>
      <c r="F39" s="313">
        <v>7.2367000000000004E-3</v>
      </c>
      <c r="G39" s="313">
        <f>'actual fig'!T27/10000000</f>
        <v>1.2100426</v>
      </c>
      <c r="H39" s="314">
        <f>(G39-E39)/E39*100</f>
        <v>18.631627450980385</v>
      </c>
      <c r="I39" s="314">
        <f>(G39-F39)/F39*100</f>
        <v>16620.916992551851</v>
      </c>
      <c r="J39" s="84">
        <f t="shared" ref="J39:J44" si="2">E39*8</f>
        <v>8.16</v>
      </c>
      <c r="L39" s="172">
        <v>2.1361249999999998</v>
      </c>
      <c r="M39" s="2388"/>
      <c r="N39" s="2006" t="s">
        <v>27</v>
      </c>
      <c r="O39" s="2007"/>
      <c r="P39" s="331">
        <v>12.24</v>
      </c>
      <c r="Q39" s="315">
        <v>8.1599999999999984</v>
      </c>
      <c r="R39" s="315">
        <v>2.1433616999999998</v>
      </c>
      <c r="S39" s="315">
        <v>7.017494000000001</v>
      </c>
      <c r="T39" s="314">
        <f>(S39-Q39)/Q39*100</f>
        <v>-14.001299019607814</v>
      </c>
      <c r="U39" s="314">
        <f>(S39-R39)/R39*100</f>
        <v>227.40596232544425</v>
      </c>
      <c r="W39" s="5">
        <f>P39/12</f>
        <v>1.02</v>
      </c>
      <c r="X39" s="172">
        <f>W39*4</f>
        <v>4.08</v>
      </c>
    </row>
    <row r="40" spans="1:24" ht="15.4" x14ac:dyDescent="0.4">
      <c r="A40" s="2387"/>
      <c r="B40" s="2006" t="s">
        <v>28</v>
      </c>
      <c r="C40" s="2007"/>
      <c r="D40" s="333">
        <v>2.84</v>
      </c>
      <c r="E40" s="315">
        <v>0.23599999999999999</v>
      </c>
      <c r="F40" s="314">
        <v>0</v>
      </c>
      <c r="G40" s="381">
        <f>'actual fig'!U27/10000000</f>
        <v>0.1550318</v>
      </c>
      <c r="H40" s="314">
        <f>(G40-E40)/E40*100</f>
        <v>-34.308559322033894</v>
      </c>
      <c r="I40" s="314">
        <v>0</v>
      </c>
      <c r="J40" s="84">
        <f t="shared" si="2"/>
        <v>1.8879999999999999</v>
      </c>
      <c r="L40" s="172">
        <v>0.11442669999999999</v>
      </c>
      <c r="M40" s="2388"/>
      <c r="N40" s="2006" t="s">
        <v>28</v>
      </c>
      <c r="O40" s="2007"/>
      <c r="P40" s="333">
        <v>2.84</v>
      </c>
      <c r="Q40" s="315">
        <v>1.8879999999999999</v>
      </c>
      <c r="R40" s="315">
        <v>0.11442669999999999</v>
      </c>
      <c r="S40" s="315">
        <v>0.79031479999999998</v>
      </c>
      <c r="T40" s="314">
        <f>(S40-Q40)/Q40*100</f>
        <v>-58.14010593220339</v>
      </c>
      <c r="U40" s="314">
        <f>(S40-R40)/R40*100</f>
        <v>590.67341800471399</v>
      </c>
      <c r="W40" s="5">
        <f>P40/12</f>
        <v>0.23666666666666666</v>
      </c>
      <c r="X40" s="172">
        <f>W40*4</f>
        <v>0.94666666666666666</v>
      </c>
    </row>
    <row r="41" spans="1:24" ht="15.4" x14ac:dyDescent="0.4">
      <c r="A41" s="2387"/>
      <c r="B41" s="378" t="s">
        <v>224</v>
      </c>
      <c r="C41" s="379"/>
      <c r="D41" s="331">
        <v>2.4500000000000002</v>
      </c>
      <c r="E41" s="323">
        <v>0.20416666666666669</v>
      </c>
      <c r="F41" s="314">
        <v>4.3757999999999998E-2</v>
      </c>
      <c r="G41" s="313">
        <f>'actual fig'!V27/10000000</f>
        <v>0.44543159999999998</v>
      </c>
      <c r="H41" s="314">
        <f>(G41-E41)/E41*100</f>
        <v>118.1705795918367</v>
      </c>
      <c r="I41" s="314">
        <v>0</v>
      </c>
      <c r="J41" s="323">
        <f t="shared" si="2"/>
        <v>1.6333333333333335</v>
      </c>
      <c r="L41" s="172">
        <v>0.1548958</v>
      </c>
      <c r="M41" s="2388"/>
      <c r="N41" s="378" t="s">
        <v>224</v>
      </c>
      <c r="O41" s="379"/>
      <c r="P41" s="331">
        <v>2.4500000000000002</v>
      </c>
      <c r="Q41" s="315">
        <v>1.6333333333333333</v>
      </c>
      <c r="R41" s="315">
        <v>0.19865379999999999</v>
      </c>
      <c r="S41" s="315">
        <v>1.2477319999999998</v>
      </c>
      <c r="T41" s="314">
        <f>(S41-Q41)/Q41*100</f>
        <v>-23.608244897959192</v>
      </c>
      <c r="U41" s="314">
        <f>(S41-R41)/R41*100</f>
        <v>528.09369868585452</v>
      </c>
      <c r="W41" s="5">
        <f>P41/12</f>
        <v>0.20416666666666669</v>
      </c>
      <c r="X41" s="172">
        <f>W41*4</f>
        <v>0.81666666666666676</v>
      </c>
    </row>
    <row r="42" spans="1:24" ht="15.4" x14ac:dyDescent="0.4">
      <c r="A42" s="2387"/>
      <c r="B42" s="2006" t="s">
        <v>64</v>
      </c>
      <c r="C42" s="2007"/>
      <c r="D42" s="540" t="s">
        <v>221</v>
      </c>
      <c r="E42" s="315"/>
      <c r="F42" s="314">
        <v>0</v>
      </c>
      <c r="G42" s="313">
        <v>0</v>
      </c>
      <c r="H42" s="314" t="s">
        <v>221</v>
      </c>
      <c r="I42" s="314">
        <v>0</v>
      </c>
      <c r="J42" s="84">
        <f t="shared" si="2"/>
        <v>0</v>
      </c>
      <c r="L42" s="172">
        <v>0</v>
      </c>
      <c r="M42" s="2388"/>
      <c r="N42" s="2006" t="s">
        <v>64</v>
      </c>
      <c r="O42" s="2007"/>
      <c r="P42" s="540" t="s">
        <v>221</v>
      </c>
      <c r="Q42" s="315"/>
      <c r="R42" s="315">
        <v>0</v>
      </c>
      <c r="S42" s="315">
        <v>0</v>
      </c>
      <c r="T42" s="314" t="s">
        <v>221</v>
      </c>
      <c r="U42" s="314">
        <v>0</v>
      </c>
    </row>
    <row r="43" spans="1:24" ht="15.4" x14ac:dyDescent="0.4">
      <c r="A43" s="2387"/>
      <c r="B43" s="2006" t="s">
        <v>4</v>
      </c>
      <c r="C43" s="2007"/>
      <c r="D43" s="540" t="s">
        <v>221</v>
      </c>
      <c r="E43" s="315"/>
      <c r="F43" s="314">
        <v>0</v>
      </c>
      <c r="G43" s="313">
        <f>'actual fig'!W27/10000000</f>
        <v>5.5114999999999999E-3</v>
      </c>
      <c r="H43" s="314" t="s">
        <v>221</v>
      </c>
      <c r="I43" s="314">
        <v>0</v>
      </c>
      <c r="J43" s="84">
        <f t="shared" si="2"/>
        <v>0</v>
      </c>
      <c r="L43" s="172">
        <v>4.0018400000000003E-2</v>
      </c>
      <c r="M43" s="2388"/>
      <c r="N43" s="2006" t="s">
        <v>4</v>
      </c>
      <c r="O43" s="2007"/>
      <c r="P43" s="540" t="s">
        <v>221</v>
      </c>
      <c r="Q43" s="315"/>
      <c r="R43" s="315">
        <v>4.0018400000000003E-2</v>
      </c>
      <c r="S43" s="315">
        <v>0.20511170000000001</v>
      </c>
      <c r="T43" s="314" t="s">
        <v>221</v>
      </c>
      <c r="U43" s="314">
        <f>(S43-R43)/R43*100</f>
        <v>412.54347999920037</v>
      </c>
    </row>
    <row r="44" spans="1:24" ht="15.4" x14ac:dyDescent="0.4">
      <c r="A44" s="780"/>
      <c r="B44" s="2006" t="s">
        <v>259</v>
      </c>
      <c r="C44" s="2019"/>
      <c r="D44" s="540" t="s">
        <v>221</v>
      </c>
      <c r="E44" s="315"/>
      <c r="F44" s="1039">
        <v>9.2139899999999997E-2</v>
      </c>
      <c r="G44" s="313">
        <f>'actual fig'!X27/10000000</f>
        <v>0.3161118</v>
      </c>
      <c r="H44" s="407" t="s">
        <v>221</v>
      </c>
      <c r="I44" s="314">
        <f>(G44-F44)/F44*100</f>
        <v>243.07808018024764</v>
      </c>
      <c r="J44" s="84">
        <f t="shared" si="2"/>
        <v>0</v>
      </c>
      <c r="L44" s="172">
        <v>0.93056630000000007</v>
      </c>
      <c r="M44" s="1204"/>
      <c r="N44" s="2006" t="s">
        <v>259</v>
      </c>
      <c r="O44" s="2019"/>
      <c r="P44" s="540" t="s">
        <v>221</v>
      </c>
      <c r="Q44" s="315"/>
      <c r="R44" s="315">
        <v>1.0227062</v>
      </c>
      <c r="S44" s="315">
        <v>1.212761</v>
      </c>
      <c r="T44" s="407" t="s">
        <v>221</v>
      </c>
      <c r="U44" s="314">
        <f>(S44-R44)/R44*100</f>
        <v>18.583518903082819</v>
      </c>
    </row>
    <row r="45" spans="1:24" x14ac:dyDescent="0.35">
      <c r="A45" s="2387"/>
      <c r="B45" s="2309" t="s">
        <v>419</v>
      </c>
      <c r="C45" s="2310"/>
      <c r="D45" s="2310"/>
      <c r="E45" s="2310"/>
      <c r="F45" s="2310"/>
      <c r="G45" s="2310"/>
      <c r="H45" s="2310"/>
      <c r="I45" s="2311"/>
      <c r="M45" s="2388"/>
      <c r="N45" s="2309" t="s">
        <v>419</v>
      </c>
      <c r="O45" s="2310"/>
      <c r="P45" s="2310"/>
      <c r="Q45" s="2310"/>
      <c r="R45" s="2310"/>
      <c r="S45" s="2310"/>
      <c r="T45" s="2310"/>
      <c r="U45" s="2311"/>
    </row>
    <row r="46" spans="1:24" ht="15.4" x14ac:dyDescent="0.4">
      <c r="A46" s="2387"/>
      <c r="B46" s="2006" t="s">
        <v>16</v>
      </c>
      <c r="C46" s="2007"/>
      <c r="D46" s="331">
        <v>37.090000000000003</v>
      </c>
      <c r="E46" s="315">
        <v>3.2</v>
      </c>
      <c r="F46" s="315">
        <v>0.45688699999999999</v>
      </c>
      <c r="G46" s="315">
        <v>1.8494299999999999</v>
      </c>
      <c r="H46" s="316">
        <f>(G46-E46)/E46*100</f>
        <v>-42.205312500000005</v>
      </c>
      <c r="I46" s="314">
        <f>(G46-F46)/F46*100</f>
        <v>304.78936804943015</v>
      </c>
      <c r="J46" s="84">
        <f>94132</f>
        <v>94132</v>
      </c>
      <c r="L46" s="172">
        <f>K46/100000</f>
        <v>0</v>
      </c>
      <c r="M46" s="2388"/>
      <c r="N46" s="2006" t="s">
        <v>16</v>
      </c>
      <c r="O46" s="2007"/>
      <c r="P46" s="331">
        <v>37.090000000000003</v>
      </c>
      <c r="Q46" s="315">
        <v>25.46</v>
      </c>
      <c r="R46" s="315">
        <v>1.7115830000000001</v>
      </c>
      <c r="S46" s="315">
        <v>11.656447</v>
      </c>
      <c r="T46" s="316">
        <f>(S46-Q46)/Q46*100</f>
        <v>-54.216626080125685</v>
      </c>
      <c r="U46" s="314">
        <f>(S46-R46)/R46*100</f>
        <v>581.03311378998262</v>
      </c>
    </row>
    <row r="47" spans="1:24" ht="15.4" x14ac:dyDescent="0.4">
      <c r="A47" s="2387"/>
      <c r="B47" s="2069" t="s">
        <v>15</v>
      </c>
      <c r="C47" s="320" t="s">
        <v>166</v>
      </c>
      <c r="D47" s="2067">
        <v>43.23</v>
      </c>
      <c r="E47" s="2154">
        <v>3.99</v>
      </c>
      <c r="F47" s="315">
        <v>0.107517</v>
      </c>
      <c r="G47" s="315">
        <v>1.656377</v>
      </c>
      <c r="H47" s="2027">
        <f>L47</f>
        <v>-31.06340852130327</v>
      </c>
      <c r="I47" s="314">
        <f>(G47-F47)/F47*100</f>
        <v>1440.5721885841308</v>
      </c>
      <c r="J47" s="84">
        <v>31105</v>
      </c>
      <c r="K47" s="323">
        <f>G47+G48</f>
        <v>2.7505699999999997</v>
      </c>
      <c r="L47" s="1151">
        <f>(K47-E47)/E47*100</f>
        <v>-31.06340852130327</v>
      </c>
      <c r="M47" s="2388"/>
      <c r="N47" s="2069" t="s">
        <v>15</v>
      </c>
      <c r="O47" s="320" t="s">
        <v>166</v>
      </c>
      <c r="P47" s="2067">
        <v>43.23</v>
      </c>
      <c r="Q47" s="2154">
        <v>29.769999999999996</v>
      </c>
      <c r="R47" s="315">
        <v>0.43683099999999997</v>
      </c>
      <c r="S47" s="315">
        <v>8.8446309999999997</v>
      </c>
      <c r="T47" s="2027">
        <f>X47</f>
        <v>-41.21937856902921</v>
      </c>
      <c r="U47" s="314">
        <f>(S47-R47)/R47*100</f>
        <v>1924.7260382161523</v>
      </c>
      <c r="W47" s="12">
        <f>S47+S48</f>
        <v>17.498991</v>
      </c>
      <c r="X47" s="172">
        <f>(W47-Q47)/Q47*100</f>
        <v>-41.21937856902921</v>
      </c>
    </row>
    <row r="48" spans="1:24" ht="16.5" x14ac:dyDescent="0.55000000000000004">
      <c r="A48" s="2387"/>
      <c r="B48" s="2070"/>
      <c r="C48" s="320" t="s">
        <v>228</v>
      </c>
      <c r="D48" s="2068"/>
      <c r="E48" s="2155"/>
      <c r="F48" s="315">
        <v>1.189384</v>
      </c>
      <c r="G48" s="315">
        <v>1.094193</v>
      </c>
      <c r="H48" s="2029"/>
      <c r="I48" s="314">
        <f>(G48-F48)/F48*100</f>
        <v>-8.003386627027103</v>
      </c>
      <c r="J48" s="755">
        <v>205039</v>
      </c>
      <c r="K48" s="755"/>
      <c r="M48" s="2388"/>
      <c r="N48" s="2070"/>
      <c r="O48" s="320" t="s">
        <v>228</v>
      </c>
      <c r="P48" s="2068"/>
      <c r="Q48" s="2155"/>
      <c r="R48" s="315">
        <v>6.2427790000000005</v>
      </c>
      <c r="S48" s="315">
        <v>8.6543600000000005</v>
      </c>
      <c r="T48" s="2029"/>
      <c r="U48" s="314">
        <f>(S48-R48)/R48*100</f>
        <v>38.62992747300521</v>
      </c>
    </row>
    <row r="49" spans="1:21" ht="15.75" customHeight="1" x14ac:dyDescent="0.35">
      <c r="A49" s="2387">
        <v>6</v>
      </c>
      <c r="B49" s="2309" t="s">
        <v>772</v>
      </c>
      <c r="C49" s="2310"/>
      <c r="D49" s="2310"/>
      <c r="E49" s="2310"/>
      <c r="F49" s="2310"/>
      <c r="G49" s="2310"/>
      <c r="H49" s="2310"/>
      <c r="I49" s="2311"/>
      <c r="M49" s="2388">
        <v>6</v>
      </c>
      <c r="N49" s="2309" t="s">
        <v>772</v>
      </c>
      <c r="O49" s="2310"/>
      <c r="P49" s="2310"/>
      <c r="Q49" s="2310"/>
      <c r="R49" s="2310"/>
      <c r="S49" s="2310"/>
      <c r="T49" s="2310"/>
      <c r="U49" s="2311"/>
    </row>
    <row r="50" spans="1:21" ht="15.4" x14ac:dyDescent="0.4">
      <c r="A50" s="2387"/>
      <c r="B50" s="2006" t="s">
        <v>36</v>
      </c>
      <c r="C50" s="2007"/>
      <c r="D50" s="2368">
        <v>293</v>
      </c>
      <c r="E50" s="2024" t="s">
        <v>221</v>
      </c>
      <c r="F50" s="313">
        <v>184.87</v>
      </c>
      <c r="G50" s="313">
        <v>210.96</v>
      </c>
      <c r="H50" s="2027">
        <f>(G52-D50)/D50*100</f>
        <v>-16.204778156996582</v>
      </c>
      <c r="I50" s="314">
        <f>(G50-F50)/F50*100</f>
        <v>14.112619678693136</v>
      </c>
      <c r="M50" s="2388"/>
      <c r="N50" s="2006" t="s">
        <v>36</v>
      </c>
      <c r="O50" s="2007"/>
      <c r="P50" s="2368">
        <v>293</v>
      </c>
      <c r="Q50" s="2024"/>
      <c r="R50" s="313">
        <v>184.87</v>
      </c>
      <c r="S50" s="313">
        <v>210.96</v>
      </c>
      <c r="T50" s="2027">
        <f>(S52-P50)/P50*100</f>
        <v>-16.204778156996582</v>
      </c>
      <c r="U50" s="314">
        <f>(S50-R50)/R50*100</f>
        <v>14.112619678693136</v>
      </c>
    </row>
    <row r="51" spans="1:21" ht="15.4" x14ac:dyDescent="0.4">
      <c r="A51" s="2387"/>
      <c r="B51" s="2006" t="s">
        <v>37</v>
      </c>
      <c r="C51" s="2007"/>
      <c r="D51" s="2369"/>
      <c r="E51" s="2025"/>
      <c r="F51" s="313">
        <v>66.040000000000006</v>
      </c>
      <c r="G51" s="313">
        <v>34.56</v>
      </c>
      <c r="H51" s="2028"/>
      <c r="I51" s="314">
        <f>(G51-F51)/F51*100</f>
        <v>-47.66807995154452</v>
      </c>
      <c r="M51" s="2388"/>
      <c r="N51" s="2006" t="s">
        <v>37</v>
      </c>
      <c r="O51" s="2007"/>
      <c r="P51" s="2369"/>
      <c r="Q51" s="2025"/>
      <c r="R51" s="313">
        <v>66.040000000000006</v>
      </c>
      <c r="S51" s="313">
        <v>34.56</v>
      </c>
      <c r="T51" s="2028"/>
      <c r="U51" s="314">
        <f>(S51-R51)/R51*100</f>
        <v>-47.66807995154452</v>
      </c>
    </row>
    <row r="52" spans="1:21" ht="15.4" x14ac:dyDescent="0.4">
      <c r="A52" s="2387"/>
      <c r="B52" s="2006" t="s">
        <v>38</v>
      </c>
      <c r="C52" s="2007"/>
      <c r="D52" s="2245"/>
      <c r="E52" s="2026"/>
      <c r="F52" s="313">
        <f>SUM(F50:F51)</f>
        <v>250.91000000000003</v>
      </c>
      <c r="G52" s="313">
        <f>SUM(G50:G51)</f>
        <v>245.52</v>
      </c>
      <c r="H52" s="2029"/>
      <c r="I52" s="314">
        <f>(G52-F52)/F52*100</f>
        <v>-2.1481806225339817</v>
      </c>
      <c r="M52" s="2388"/>
      <c r="N52" s="2006" t="s">
        <v>38</v>
      </c>
      <c r="O52" s="2007"/>
      <c r="P52" s="2245"/>
      <c r="Q52" s="2026"/>
      <c r="R52" s="313">
        <v>250.91000000000003</v>
      </c>
      <c r="S52" s="313">
        <v>245.52</v>
      </c>
      <c r="T52" s="2029"/>
      <c r="U52" s="314">
        <f>(S52-R52)/R52*100</f>
        <v>-2.1481806225339817</v>
      </c>
    </row>
    <row r="53" spans="1:21" x14ac:dyDescent="0.4">
      <c r="H53" s="41"/>
      <c r="I53" s="41"/>
    </row>
    <row r="54" spans="1:21" ht="15.4" x14ac:dyDescent="0.4">
      <c r="E54" s="12"/>
      <c r="F54" s="12"/>
      <c r="G54" s="12"/>
      <c r="H54" s="314"/>
      <c r="I54" s="314"/>
      <c r="J54" s="314"/>
      <c r="Q54" s="12"/>
      <c r="R54" s="12"/>
      <c r="S54" s="12"/>
      <c r="T54" s="314"/>
      <c r="U54" s="314"/>
    </row>
    <row r="55" spans="1:21" x14ac:dyDescent="0.4">
      <c r="H55" s="35"/>
      <c r="I55" s="5"/>
      <c r="J55" s="35"/>
      <c r="K55" s="5"/>
      <c r="L55" s="35"/>
      <c r="P55" s="12"/>
      <c r="Q55" s="12"/>
      <c r="R55" s="12"/>
    </row>
    <row r="57" spans="1:21" x14ac:dyDescent="0.4">
      <c r="D57" s="85"/>
      <c r="E57" s="1192">
        <v>44886</v>
      </c>
      <c r="F57" s="1192">
        <v>44887</v>
      </c>
      <c r="H57" s="1192">
        <v>44886</v>
      </c>
      <c r="I57" s="1192">
        <v>44887</v>
      </c>
    </row>
    <row r="58" spans="1:21" ht="16.149999999999999" thickBot="1" x14ac:dyDescent="0.45">
      <c r="D58" s="1195" t="s">
        <v>766</v>
      </c>
      <c r="E58" s="33"/>
      <c r="F58" s="33"/>
      <c r="H58" s="910"/>
      <c r="I58" s="824"/>
    </row>
    <row r="59" spans="1:21" ht="16.149999999999999" x14ac:dyDescent="0.55000000000000004">
      <c r="D59" s="85" t="s">
        <v>94</v>
      </c>
      <c r="E59" s="1193">
        <f t="shared" ref="E59:F61" si="3">H59/10000000</f>
        <v>0.1958308</v>
      </c>
      <c r="F59" s="1193">
        <f t="shared" si="3"/>
        <v>0.97821749999999996</v>
      </c>
      <c r="H59" s="1218">
        <v>1958308</v>
      </c>
      <c r="I59" s="1218">
        <v>9782175</v>
      </c>
      <c r="J59" s="1215">
        <v>1958308</v>
      </c>
      <c r="K59" s="1215">
        <v>9782175</v>
      </c>
    </row>
    <row r="60" spans="1:21" ht="16.149999999999999" x14ac:dyDescent="0.55000000000000004">
      <c r="D60" s="85" t="s">
        <v>502</v>
      </c>
      <c r="E60" s="1193">
        <f t="shared" si="3"/>
        <v>0.1729067</v>
      </c>
      <c r="F60" s="1193">
        <f t="shared" si="3"/>
        <v>13.0356665</v>
      </c>
      <c r="H60" s="1218">
        <v>1729067</v>
      </c>
      <c r="I60" s="1218">
        <v>130356665</v>
      </c>
      <c r="J60" s="1215">
        <v>1729067</v>
      </c>
      <c r="K60" s="1215">
        <v>130356665</v>
      </c>
      <c r="L60" s="1217"/>
    </row>
    <row r="61" spans="1:21" ht="16.899999999999999" thickBot="1" x14ac:dyDescent="0.6">
      <c r="D61" s="85" t="s">
        <v>767</v>
      </c>
      <c r="E61" s="1193">
        <f t="shared" si="3"/>
        <v>61.889937799999998</v>
      </c>
      <c r="F61" s="1193">
        <f t="shared" si="3"/>
        <v>68.685322999999997</v>
      </c>
      <c r="H61" s="1219">
        <v>618899378</v>
      </c>
      <c r="I61" s="1220">
        <v>686853230</v>
      </c>
      <c r="J61" s="1215">
        <v>618899378</v>
      </c>
      <c r="K61" s="910">
        <v>686853230</v>
      </c>
      <c r="L61" s="1217"/>
      <c r="T61" s="331"/>
    </row>
    <row r="62" spans="1:21" ht="15.4" x14ac:dyDescent="0.4">
      <c r="E62" s="428"/>
      <c r="F62" s="428"/>
      <c r="K62" s="212"/>
      <c r="L62" s="1217"/>
      <c r="T62" s="331"/>
    </row>
    <row r="63" spans="1:21" ht="15.4" x14ac:dyDescent="0.4">
      <c r="E63" s="428"/>
      <c r="F63" s="428"/>
      <c r="K63" s="212"/>
      <c r="L63" s="1217"/>
      <c r="T63" s="331"/>
    </row>
    <row r="64" spans="1:21" ht="16.149999999999999" x14ac:dyDescent="0.55000000000000004">
      <c r="D64" s="1195" t="s">
        <v>768</v>
      </c>
      <c r="E64" s="1193"/>
      <c r="F64" s="1193"/>
      <c r="J64" s="755"/>
      <c r="K64" s="259"/>
      <c r="L64" s="1217"/>
    </row>
    <row r="65" spans="3:14" ht="16.149999999999999" x14ac:dyDescent="0.55000000000000004">
      <c r="D65" s="85" t="s">
        <v>94</v>
      </c>
      <c r="E65" s="1193">
        <f t="shared" ref="E65:F67" si="4">H65/1000000</f>
        <v>0.45688699999999999</v>
      </c>
      <c r="F65" s="1193">
        <f t="shared" si="4"/>
        <v>1.6672610000000001</v>
      </c>
      <c r="H65" s="1221">
        <v>456887</v>
      </c>
      <c r="I65" s="1221">
        <v>1667261</v>
      </c>
      <c r="J65" s="212">
        <v>456887</v>
      </c>
      <c r="K65" s="1215">
        <v>1667261</v>
      </c>
      <c r="L65" s="1217"/>
    </row>
    <row r="66" spans="3:14" ht="16.149999999999999" x14ac:dyDescent="0.55000000000000004">
      <c r="D66" s="85" t="s">
        <v>502</v>
      </c>
      <c r="E66" s="1193">
        <f t="shared" si="4"/>
        <v>0.107517</v>
      </c>
      <c r="F66" s="1193">
        <f t="shared" si="4"/>
        <v>1.4904790000000001</v>
      </c>
      <c r="H66" s="1221">
        <v>107517</v>
      </c>
      <c r="I66" s="1221">
        <v>1490479</v>
      </c>
      <c r="J66" s="84">
        <v>107517</v>
      </c>
      <c r="K66" s="1215">
        <v>1490479</v>
      </c>
      <c r="L66" s="1217"/>
    </row>
    <row r="67" spans="3:14" ht="16.5" thickBot="1" x14ac:dyDescent="0.6">
      <c r="D67" s="85" t="s">
        <v>767</v>
      </c>
      <c r="E67" s="1193">
        <f t="shared" si="4"/>
        <v>1.189384</v>
      </c>
      <c r="F67" s="1193">
        <f t="shared" si="4"/>
        <v>0.99698399999999998</v>
      </c>
      <c r="H67" s="1222">
        <v>1189384</v>
      </c>
      <c r="I67" s="1223">
        <v>996984</v>
      </c>
      <c r="J67" s="1215" t="s">
        <v>773</v>
      </c>
      <c r="K67" s="910">
        <v>996984</v>
      </c>
      <c r="L67" s="1217"/>
    </row>
    <row r="68" spans="3:14" x14ac:dyDescent="0.4">
      <c r="E68" s="428"/>
      <c r="F68" s="323"/>
      <c r="H68" s="1224"/>
      <c r="I68" s="1225"/>
      <c r="K68" s="212"/>
      <c r="L68" s="1217"/>
    </row>
    <row r="69" spans="3:14" x14ac:dyDescent="0.4">
      <c r="E69" s="428"/>
      <c r="F69" s="323"/>
      <c r="H69" s="1224"/>
      <c r="I69" s="1225"/>
      <c r="K69" s="212"/>
      <c r="L69" s="1217"/>
    </row>
    <row r="70" spans="3:14" x14ac:dyDescent="0.4">
      <c r="D70" s="1195" t="s">
        <v>436</v>
      </c>
      <c r="E70" s="134">
        <f>H70/10000000</f>
        <v>1.1703545</v>
      </c>
      <c r="F70" s="134">
        <f>I70/10000000</f>
        <v>1.5602522000000001</v>
      </c>
      <c r="H70" s="946">
        <v>11703545</v>
      </c>
      <c r="I70" s="946">
        <v>15602522</v>
      </c>
      <c r="J70" s="212">
        <v>11703545</v>
      </c>
      <c r="K70" s="212">
        <v>15602522</v>
      </c>
      <c r="L70" s="1217"/>
    </row>
    <row r="71" spans="3:14" x14ac:dyDescent="0.4">
      <c r="C71" s="5">
        <f>66.07-3.11</f>
        <v>62.959999999999994</v>
      </c>
      <c r="D71" s="1195" t="s">
        <v>769</v>
      </c>
      <c r="E71" s="134">
        <v>1.587</v>
      </c>
      <c r="F71" s="134">
        <v>1.764</v>
      </c>
      <c r="H71" s="1226"/>
      <c r="I71" s="1226"/>
      <c r="K71" s="212"/>
      <c r="L71" s="1217"/>
    </row>
    <row r="72" spans="3:14" x14ac:dyDescent="0.4">
      <c r="D72" s="1195" t="s">
        <v>125</v>
      </c>
      <c r="E72" s="134">
        <v>5.8000000000000003E-2</v>
      </c>
      <c r="F72" s="134">
        <v>0.10100000000000001</v>
      </c>
      <c r="H72" s="1224"/>
      <c r="I72" s="1224"/>
      <c r="K72" s="212"/>
      <c r="L72" s="1217"/>
    </row>
    <row r="73" spans="3:14" x14ac:dyDescent="0.4">
      <c r="D73" s="1195" t="s">
        <v>196</v>
      </c>
      <c r="E73" s="134">
        <f t="shared" ref="E73:F75" si="5">H73/10000000</f>
        <v>4.8443E-2</v>
      </c>
      <c r="F73" s="134">
        <f t="shared" si="5"/>
        <v>0.23672099999999999</v>
      </c>
      <c r="H73" s="1226">
        <v>484430</v>
      </c>
      <c r="I73" s="1227">
        <v>2367210</v>
      </c>
      <c r="J73" s="212">
        <v>484430</v>
      </c>
      <c r="K73" s="212">
        <v>2367210</v>
      </c>
      <c r="M73" s="1210"/>
      <c r="N73" s="12"/>
    </row>
    <row r="74" spans="3:14" x14ac:dyDescent="0.4">
      <c r="D74" s="1195" t="s">
        <v>123</v>
      </c>
      <c r="E74" s="134">
        <f t="shared" si="5"/>
        <v>0</v>
      </c>
      <c r="F74" s="134">
        <f t="shared" si="5"/>
        <v>2.7348999999999998E-2</v>
      </c>
      <c r="H74" s="1224"/>
      <c r="I74" s="1228">
        <v>273490</v>
      </c>
      <c r="K74" s="212">
        <v>273490</v>
      </c>
    </row>
    <row r="75" spans="3:14" ht="16.149999999999999" x14ac:dyDescent="0.55000000000000004">
      <c r="D75" s="1195" t="s">
        <v>435</v>
      </c>
      <c r="E75" s="134">
        <f t="shared" si="5"/>
        <v>3.1739017999999999</v>
      </c>
      <c r="F75" s="134">
        <f t="shared" si="5"/>
        <v>3.2032501999999998</v>
      </c>
      <c r="H75" s="1131">
        <v>31739018</v>
      </c>
      <c r="I75" s="1228">
        <v>32032502</v>
      </c>
      <c r="J75" s="755">
        <v>31739018</v>
      </c>
      <c r="K75" s="755">
        <v>32032502</v>
      </c>
      <c r="N75" s="755"/>
    </row>
    <row r="76" spans="3:14" x14ac:dyDescent="0.4">
      <c r="H76" s="1224"/>
      <c r="I76" s="1225"/>
      <c r="K76" s="212"/>
    </row>
    <row r="77" spans="3:14" x14ac:dyDescent="0.4">
      <c r="E77" s="428"/>
      <c r="F77" s="428"/>
      <c r="J77" s="84">
        <f>114.45-4.33</f>
        <v>110.12</v>
      </c>
      <c r="K77" s="84">
        <f>131.88-8.4</f>
        <v>123.47999999999999</v>
      </c>
    </row>
    <row r="78" spans="3:14" x14ac:dyDescent="0.4">
      <c r="E78" s="428"/>
      <c r="F78" s="428"/>
      <c r="H78" s="11">
        <v>164.49</v>
      </c>
      <c r="I78" s="82">
        <v>186.52</v>
      </c>
      <c r="J78" s="84">
        <v>4.33</v>
      </c>
      <c r="K78" s="84">
        <v>8.4</v>
      </c>
    </row>
    <row r="79" spans="3:14" x14ac:dyDescent="0.4">
      <c r="E79" s="428"/>
      <c r="F79" s="428"/>
      <c r="H79" s="11">
        <v>5.76</v>
      </c>
      <c r="I79" s="82">
        <v>10.119999999999999</v>
      </c>
    </row>
    <row r="80" spans="3:14" x14ac:dyDescent="0.4">
      <c r="E80" s="428"/>
      <c r="F80" s="428"/>
      <c r="H80" s="11">
        <f>H78-H79</f>
        <v>158.73000000000002</v>
      </c>
      <c r="I80" s="11">
        <f>I78-I79</f>
        <v>176.4</v>
      </c>
    </row>
    <row r="81" spans="5:6" x14ac:dyDescent="0.4">
      <c r="E81" s="428"/>
      <c r="F81" s="428"/>
    </row>
    <row r="82" spans="5:6" x14ac:dyDescent="0.4">
      <c r="E82" s="428"/>
      <c r="F82" s="428"/>
    </row>
  </sheetData>
  <mergeCells count="109">
    <mergeCell ref="Q50:Q52"/>
    <mergeCell ref="T50:T52"/>
    <mergeCell ref="B51:C51"/>
    <mergeCell ref="N51:O51"/>
    <mergeCell ref="B52:C52"/>
    <mergeCell ref="N52:O52"/>
    <mergeCell ref="A49:A52"/>
    <mergeCell ref="B49:I49"/>
    <mergeCell ref="M49:M52"/>
    <mergeCell ref="N49:U49"/>
    <mergeCell ref="B50:C50"/>
    <mergeCell ref="D50:D52"/>
    <mergeCell ref="E50:E52"/>
    <mergeCell ref="H50:H52"/>
    <mergeCell ref="N50:O50"/>
    <mergeCell ref="P50:P52"/>
    <mergeCell ref="E47:E48"/>
    <mergeCell ref="H47:H48"/>
    <mergeCell ref="N47:N48"/>
    <mergeCell ref="P47:P48"/>
    <mergeCell ref="Q47:Q48"/>
    <mergeCell ref="T47:T48"/>
    <mergeCell ref="B44:C44"/>
    <mergeCell ref="N44:O44"/>
    <mergeCell ref="A45:A48"/>
    <mergeCell ref="B45:I45"/>
    <mergeCell ref="M45:M48"/>
    <mergeCell ref="N45:U45"/>
    <mergeCell ref="B46:C46"/>
    <mergeCell ref="N46:O46"/>
    <mergeCell ref="B47:B48"/>
    <mergeCell ref="D47:D48"/>
    <mergeCell ref="A38:A43"/>
    <mergeCell ref="B38:I38"/>
    <mergeCell ref="M38:M43"/>
    <mergeCell ref="N38:U38"/>
    <mergeCell ref="B39:C39"/>
    <mergeCell ref="N39:O39"/>
    <mergeCell ref="B33:C33"/>
    <mergeCell ref="N33:O33"/>
    <mergeCell ref="B34:C34"/>
    <mergeCell ref="N34:O34"/>
    <mergeCell ref="B35:C35"/>
    <mergeCell ref="N35:O35"/>
    <mergeCell ref="B40:C40"/>
    <mergeCell ref="N40:O40"/>
    <mergeCell ref="B42:C42"/>
    <mergeCell ref="N42:O42"/>
    <mergeCell ref="B43:C43"/>
    <mergeCell ref="N43:O43"/>
    <mergeCell ref="B36:C36"/>
    <mergeCell ref="N36:O36"/>
    <mergeCell ref="B37:C37"/>
    <mergeCell ref="N37:O37"/>
    <mergeCell ref="R28:S28"/>
    <mergeCell ref="T28:U28"/>
    <mergeCell ref="A30:A36"/>
    <mergeCell ref="B30:I30"/>
    <mergeCell ref="M30:M36"/>
    <mergeCell ref="N30:U30"/>
    <mergeCell ref="B31:C31"/>
    <mergeCell ref="N31:O31"/>
    <mergeCell ref="B32:C32"/>
    <mergeCell ref="N32:O32"/>
    <mergeCell ref="B28:C29"/>
    <mergeCell ref="D28:E28"/>
    <mergeCell ref="F28:G28"/>
    <mergeCell ref="H28:I28"/>
    <mergeCell ref="N28:O29"/>
    <mergeCell ref="P28:Q28"/>
    <mergeCell ref="A18:A26"/>
    <mergeCell ref="C18:E18"/>
    <mergeCell ref="F18:G18"/>
    <mergeCell ref="M18:M26"/>
    <mergeCell ref="O18:Q18"/>
    <mergeCell ref="R18:U18"/>
    <mergeCell ref="B16:B17"/>
    <mergeCell ref="D16:D17"/>
    <mergeCell ref="E16:E17"/>
    <mergeCell ref="H16:H17"/>
    <mergeCell ref="N16:N17"/>
    <mergeCell ref="P16:P17"/>
    <mergeCell ref="B13:I13"/>
    <mergeCell ref="N13:U13"/>
    <mergeCell ref="A14:A17"/>
    <mergeCell ref="B14:I14"/>
    <mergeCell ref="M14:M17"/>
    <mergeCell ref="N14:U14"/>
    <mergeCell ref="B15:C15"/>
    <mergeCell ref="N15:O15"/>
    <mergeCell ref="Q16:Q17"/>
    <mergeCell ref="T16:T17"/>
    <mergeCell ref="P3:Q3"/>
    <mergeCell ref="R3:S3"/>
    <mergeCell ref="T3:U3"/>
    <mergeCell ref="D5:E5"/>
    <mergeCell ref="P5:Q5"/>
    <mergeCell ref="A11:I11"/>
    <mergeCell ref="M11:U11"/>
    <mergeCell ref="A1:I1"/>
    <mergeCell ref="M1:U1"/>
    <mergeCell ref="A2:I2"/>
    <mergeCell ref="M2:U2"/>
    <mergeCell ref="A3:A5"/>
    <mergeCell ref="B3:B4"/>
    <mergeCell ref="D3:E3"/>
    <mergeCell ref="F3:G3"/>
    <mergeCell ref="H3:I3"/>
    <mergeCell ref="M3:M5"/>
  </mergeCells>
  <pageMargins left="0.2" right="0.2" top="0.28000000000000003" bottom="0.25" header="0.3" footer="0.3"/>
  <pageSetup paperSize="9" scale="2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pageSetUpPr fitToPage="1"/>
  </sheetPr>
  <dimension ref="A5:AF131"/>
  <sheetViews>
    <sheetView zoomScale="90" zoomScaleNormal="90" workbookViewId="0">
      <selection activeCell="U123" sqref="U123"/>
    </sheetView>
  </sheetViews>
  <sheetFormatPr defaultColWidth="9.1328125" defaultRowHeight="13.9" x14ac:dyDescent="0.4"/>
  <cols>
    <col min="1" max="1" width="9.1328125" style="5"/>
    <col min="2" max="2" width="15.73046875" style="5" customWidth="1"/>
    <col min="3" max="3" width="12.73046875" style="5" customWidth="1"/>
    <col min="4" max="4" width="12.86328125" style="5" customWidth="1"/>
    <col min="5" max="5" width="9.1328125" style="5"/>
    <col min="6" max="6" width="11.73046875" style="5" customWidth="1"/>
    <col min="7" max="7" width="9.86328125" style="5" customWidth="1"/>
    <col min="8" max="8" width="3.1328125" style="5" customWidth="1"/>
    <col min="9" max="9" width="3" style="5" customWidth="1"/>
    <col min="10" max="10" width="14.265625" style="762" customWidth="1"/>
    <col min="11" max="11" width="14.73046875" style="5" customWidth="1"/>
    <col min="12" max="12" width="12.265625" style="5" customWidth="1"/>
    <col min="13" max="13" width="15" style="5" customWidth="1"/>
    <col min="14" max="14" width="14.73046875" style="5" customWidth="1"/>
    <col min="15" max="15" width="12" style="84" customWidth="1"/>
    <col min="16" max="16" width="12" style="5" customWidth="1"/>
    <col min="17" max="17" width="11.59765625" style="84" hidden="1" customWidth="1"/>
    <col min="18" max="18" width="10.1328125" style="84" hidden="1" customWidth="1"/>
    <col min="19" max="19" width="14.73046875" style="84" customWidth="1"/>
    <col min="20" max="20" width="15.265625" style="84" customWidth="1"/>
    <col min="21" max="21" width="9.1328125" style="5"/>
    <col min="22" max="22" width="10.1328125" style="5" bestFit="1" customWidth="1"/>
    <col min="23" max="25" width="10.1328125" style="5" customWidth="1"/>
    <col min="26" max="26" width="14.3984375" style="5" bestFit="1" customWidth="1"/>
    <col min="27" max="27" width="18.265625" style="5" customWidth="1"/>
    <col min="28" max="28" width="16.59765625" style="5" customWidth="1"/>
    <col min="29" max="29" width="16.265625" style="5" customWidth="1"/>
    <col min="30" max="30" width="16" style="5" customWidth="1"/>
    <col min="31" max="31" width="12.86328125" style="5" customWidth="1"/>
    <col min="32" max="32" width="13.3984375" style="5" customWidth="1"/>
    <col min="33" max="16384" width="9.1328125" style="5"/>
  </cols>
  <sheetData>
    <row r="5" spans="1:31" ht="15" x14ac:dyDescent="0.4">
      <c r="A5" s="2547" t="s">
        <v>507</v>
      </c>
      <c r="B5" s="2547"/>
      <c r="C5" s="2547"/>
      <c r="D5" s="2547"/>
      <c r="E5" s="2547"/>
      <c r="F5" s="2547"/>
      <c r="G5" s="2547"/>
      <c r="J5" s="2549" t="s">
        <v>507</v>
      </c>
      <c r="K5" s="2549"/>
      <c r="L5" s="2549"/>
      <c r="M5" s="2549"/>
      <c r="N5" s="2549"/>
      <c r="O5" s="2549"/>
      <c r="P5" s="2549"/>
      <c r="Q5" s="2549"/>
      <c r="R5" s="2549"/>
      <c r="S5" s="1644"/>
      <c r="T5" s="1644"/>
    </row>
    <row r="6" spans="1:31" ht="69.400000000000006" x14ac:dyDescent="0.35">
      <c r="A6" s="272" t="s">
        <v>127</v>
      </c>
      <c r="B6" s="272" t="s">
        <v>237</v>
      </c>
      <c r="C6" s="272" t="s">
        <v>504</v>
      </c>
      <c r="D6" s="779" t="s">
        <v>508</v>
      </c>
      <c r="E6" s="779" t="s">
        <v>505</v>
      </c>
      <c r="F6" s="779" t="s">
        <v>979</v>
      </c>
      <c r="G6" s="779" t="s">
        <v>531</v>
      </c>
      <c r="J6" s="272" t="s">
        <v>127</v>
      </c>
      <c r="K6" s="272" t="s">
        <v>237</v>
      </c>
      <c r="L6" s="272" t="s">
        <v>504</v>
      </c>
      <c r="M6" s="779" t="s">
        <v>508</v>
      </c>
      <c r="N6" s="779" t="s">
        <v>505</v>
      </c>
      <c r="O6" s="779" t="s">
        <v>979</v>
      </c>
      <c r="P6" s="779" t="s">
        <v>531</v>
      </c>
      <c r="Q6" s="779" t="s">
        <v>664</v>
      </c>
      <c r="R6" s="779" t="s">
        <v>531</v>
      </c>
      <c r="S6" s="1645"/>
      <c r="T6" s="1645"/>
      <c r="V6" s="272" t="s">
        <v>127</v>
      </c>
      <c r="W6" s="272" t="s">
        <v>163</v>
      </c>
      <c r="X6" s="272" t="s">
        <v>164</v>
      </c>
      <c r="Y6" s="272" t="s">
        <v>115</v>
      </c>
      <c r="Z6" s="272" t="s">
        <v>163</v>
      </c>
      <c r="AA6" s="272" t="s">
        <v>164</v>
      </c>
      <c r="AB6" s="272" t="s">
        <v>115</v>
      </c>
    </row>
    <row r="7" spans="1:31" ht="34.5" hidden="1" customHeight="1" x14ac:dyDescent="0.35">
      <c r="J7" s="834">
        <v>44652</v>
      </c>
      <c r="K7" s="1049">
        <v>1139293</v>
      </c>
      <c r="L7" s="1050">
        <f>K7/30</f>
        <v>37976.433333333334</v>
      </c>
      <c r="M7" s="1051" t="s">
        <v>679</v>
      </c>
      <c r="N7" s="1050">
        <f>L7/26</f>
        <v>1460.6320512820514</v>
      </c>
      <c r="O7" s="1052">
        <v>3017</v>
      </c>
      <c r="P7" s="1050">
        <f>N7/O7*100</f>
        <v>48.413392485318248</v>
      </c>
      <c r="Q7" s="33">
        <v>5643</v>
      </c>
      <c r="R7" s="476">
        <f>N7/Q7*100</f>
        <v>25.883963340103694</v>
      </c>
      <c r="S7" s="1292"/>
      <c r="T7" s="1292"/>
      <c r="V7" s="1340">
        <v>44652</v>
      </c>
      <c r="W7" s="476"/>
      <c r="X7" s="33" t="s">
        <v>843</v>
      </c>
      <c r="Y7" s="33"/>
      <c r="Z7" s="1292">
        <f>V7/153</f>
        <v>291.84313725490193</v>
      </c>
      <c r="AA7" s="1292">
        <f>Z7/26</f>
        <v>11.224736048265459</v>
      </c>
      <c r="AB7" s="35"/>
      <c r="AD7" s="5">
        <v>51</v>
      </c>
      <c r="AE7" s="5">
        <v>63</v>
      </c>
    </row>
    <row r="8" spans="1:31" ht="33.75" hidden="1" customHeight="1" x14ac:dyDescent="0.35">
      <c r="J8" s="834">
        <v>44682</v>
      </c>
      <c r="K8" s="931">
        <v>1359308</v>
      </c>
      <c r="L8" s="1050">
        <f>K8/31</f>
        <v>43848.645161290326</v>
      </c>
      <c r="M8" s="1051" t="s">
        <v>679</v>
      </c>
      <c r="N8" s="476">
        <f>L8/26</f>
        <v>1686.4863523573201</v>
      </c>
      <c r="O8" s="1052">
        <v>3017</v>
      </c>
      <c r="P8" s="476">
        <f>N8/O8*100</f>
        <v>55.899448205413329</v>
      </c>
      <c r="Q8" s="33">
        <v>5643</v>
      </c>
      <c r="R8" s="476">
        <f t="shared" ref="R8:R13" si="0">N8/Q8*100</f>
        <v>29.886343298906965</v>
      </c>
      <c r="S8" s="1292"/>
      <c r="T8" s="1292"/>
      <c r="V8" s="1340">
        <v>44682</v>
      </c>
      <c r="W8" s="476"/>
      <c r="X8" s="33" t="s">
        <v>844</v>
      </c>
      <c r="Y8" s="33"/>
      <c r="Z8" s="1292">
        <f>V8/181</f>
        <v>246.86187845303868</v>
      </c>
      <c r="AA8" s="1292">
        <f>Z8/40</f>
        <v>6.1715469613259675</v>
      </c>
      <c r="AB8" s="35"/>
      <c r="AD8" s="5">
        <v>26</v>
      </c>
      <c r="AE8" s="5">
        <v>44</v>
      </c>
    </row>
    <row r="9" spans="1:31" ht="31.5" hidden="1" customHeight="1" x14ac:dyDescent="0.35">
      <c r="J9" s="834">
        <v>44713</v>
      </c>
      <c r="K9" s="476">
        <v>1401597</v>
      </c>
      <c r="L9" s="476">
        <f>K9/30</f>
        <v>46719.9</v>
      </c>
      <c r="M9" s="1051" t="s">
        <v>679</v>
      </c>
      <c r="N9" s="476">
        <f>L9/26</f>
        <v>1796.9192307692308</v>
      </c>
      <c r="O9" s="33">
        <v>3017</v>
      </c>
      <c r="P9" s="476">
        <f>N9/O9*100</f>
        <v>59.559802146809105</v>
      </c>
      <c r="Q9" s="33">
        <v>5643</v>
      </c>
      <c r="R9" s="476">
        <f t="shared" si="0"/>
        <v>31.843332106490003</v>
      </c>
      <c r="S9" s="1292"/>
      <c r="T9" s="1292"/>
      <c r="V9" s="1340">
        <v>44713</v>
      </c>
      <c r="W9" s="1352" t="s">
        <v>849</v>
      </c>
      <c r="X9" s="33" t="s">
        <v>126</v>
      </c>
      <c r="Y9" s="1352" t="s">
        <v>849</v>
      </c>
      <c r="Z9" s="1641" t="s">
        <v>846</v>
      </c>
      <c r="AA9" s="33" t="s">
        <v>499</v>
      </c>
      <c r="AB9" s="33" t="s">
        <v>847</v>
      </c>
    </row>
    <row r="10" spans="1:31" ht="31.5" hidden="1" customHeight="1" x14ac:dyDescent="0.35">
      <c r="J10" s="834">
        <v>44743</v>
      </c>
      <c r="K10" s="476">
        <v>1424397</v>
      </c>
      <c r="L10" s="476">
        <f>K10/31</f>
        <v>45948.290322580644</v>
      </c>
      <c r="M10" s="1051" t="s">
        <v>679</v>
      </c>
      <c r="N10" s="476">
        <f>L10/26</f>
        <v>1767.241935483871</v>
      </c>
      <c r="O10" s="33">
        <v>3017</v>
      </c>
      <c r="P10" s="476">
        <f>N10/O10*100</f>
        <v>58.576133095255912</v>
      </c>
      <c r="Q10" s="33">
        <v>5643</v>
      </c>
      <c r="R10" s="476">
        <f t="shared" si="0"/>
        <v>31.317418668861791</v>
      </c>
      <c r="S10" s="1292"/>
      <c r="T10" s="1292"/>
      <c r="V10" s="1340">
        <v>44743</v>
      </c>
      <c r="W10" s="2552" t="s">
        <v>848</v>
      </c>
      <c r="X10" s="33">
        <v>14.65</v>
      </c>
      <c r="Y10" s="33">
        <v>13</v>
      </c>
      <c r="Z10" s="1641">
        <v>6.8</v>
      </c>
      <c r="AA10" s="33">
        <f>X10-Z10</f>
        <v>7.8500000000000005</v>
      </c>
      <c r="AB10" s="492">
        <f>(Z10-X10)/X10*100</f>
        <v>-53.583617747440272</v>
      </c>
    </row>
    <row r="11" spans="1:31" ht="31.5" hidden="1" customHeight="1" x14ac:dyDescent="0.35">
      <c r="J11" s="834">
        <v>44774</v>
      </c>
      <c r="K11" s="476">
        <v>1495933</v>
      </c>
      <c r="L11" s="476">
        <f>K11/31</f>
        <v>48255.903225806454</v>
      </c>
      <c r="M11" s="1051" t="s">
        <v>679</v>
      </c>
      <c r="N11" s="476">
        <f>L11/26</f>
        <v>1855.9962779156328</v>
      </c>
      <c r="O11" s="33">
        <v>3017</v>
      </c>
      <c r="P11" s="476">
        <f>N11/O11*100</f>
        <v>61.517940931906956</v>
      </c>
      <c r="Q11" s="33">
        <v>5644</v>
      </c>
      <c r="R11" s="476">
        <f t="shared" si="0"/>
        <v>32.884413145209649</v>
      </c>
      <c r="S11" s="1292"/>
      <c r="T11" s="1292"/>
      <c r="V11" s="1340">
        <v>44774</v>
      </c>
      <c r="W11" s="2552"/>
      <c r="X11" s="33">
        <v>17.72</v>
      </c>
      <c r="Y11" s="33">
        <v>20</v>
      </c>
      <c r="Z11" s="1641">
        <v>10.29</v>
      </c>
      <c r="AA11" s="33">
        <f>X11-Z11</f>
        <v>7.43</v>
      </c>
      <c r="AB11" s="492">
        <f>(Z11-X11)/X11*100</f>
        <v>-41.930022573363438</v>
      </c>
    </row>
    <row r="12" spans="1:31" ht="31.5" hidden="1" customHeight="1" x14ac:dyDescent="0.35">
      <c r="J12" s="834">
        <v>44805</v>
      </c>
      <c r="K12" s="476">
        <v>1756501</v>
      </c>
      <c r="L12" s="476">
        <f>K12/30</f>
        <v>58550.033333333333</v>
      </c>
      <c r="M12" s="33" t="s">
        <v>770</v>
      </c>
      <c r="N12" s="476">
        <f>L12/40</f>
        <v>1463.7508333333333</v>
      </c>
      <c r="O12" s="33">
        <v>3017</v>
      </c>
      <c r="P12" s="476">
        <f>N12/O7*100</f>
        <v>48.516766103193014</v>
      </c>
      <c r="Q12" s="33">
        <v>5644</v>
      </c>
      <c r="R12" s="476">
        <f t="shared" si="0"/>
        <v>25.93463560122844</v>
      </c>
      <c r="S12" s="1292"/>
      <c r="T12" s="1292"/>
      <c r="V12" s="1340">
        <v>44805</v>
      </c>
      <c r="W12" s="476"/>
      <c r="X12" s="33">
        <f>SUM(X10:X11)</f>
        <v>32.369999999999997</v>
      </c>
      <c r="Y12" s="33"/>
      <c r="Z12" s="1641">
        <f>SUM(Z10:Z11)</f>
        <v>17.09</v>
      </c>
      <c r="AA12" s="33">
        <f>X12-Z12</f>
        <v>15.279999999999998</v>
      </c>
      <c r="AB12" s="492">
        <f>(Z12-X12)/X12*100</f>
        <v>-47.204201421068888</v>
      </c>
      <c r="AC12" s="41">
        <v>1567</v>
      </c>
      <c r="AD12" s="41">
        <f>AB12-AC12</f>
        <v>-1614.2042014210688</v>
      </c>
    </row>
    <row r="13" spans="1:31" s="26" customFormat="1" ht="36" hidden="1" customHeight="1" x14ac:dyDescent="0.4">
      <c r="J13" s="834">
        <v>44835</v>
      </c>
      <c r="K13" s="476">
        <v>1610768</v>
      </c>
      <c r="L13" s="476">
        <f>K13/31</f>
        <v>51960.258064516129</v>
      </c>
      <c r="M13" s="33" t="s">
        <v>770</v>
      </c>
      <c r="N13" s="476">
        <f>L13/40</f>
        <v>1299.0064516129032</v>
      </c>
      <c r="O13" s="33">
        <v>3017</v>
      </c>
      <c r="P13" s="476">
        <f>N13/O7*100</f>
        <v>43.056229751836369</v>
      </c>
      <c r="Q13" s="33">
        <v>5643</v>
      </c>
      <c r="R13" s="476">
        <f t="shared" si="0"/>
        <v>23.019784717577586</v>
      </c>
      <c r="S13" s="1292"/>
      <c r="T13" s="1292"/>
      <c r="V13" s="1340">
        <v>44835</v>
      </c>
      <c r="W13" s="780"/>
      <c r="X13" s="780"/>
      <c r="Y13" s="780"/>
      <c r="Z13" s="1152"/>
      <c r="AA13" s="1152"/>
      <c r="AB13" s="1152"/>
      <c r="AD13" s="1248">
        <f>AD12*344</f>
        <v>-555286.24528884771</v>
      </c>
    </row>
    <row r="14" spans="1:31" s="26" customFormat="1" ht="36" hidden="1" customHeight="1" x14ac:dyDescent="0.4">
      <c r="J14" s="834">
        <v>44866</v>
      </c>
      <c r="K14" s="33">
        <v>1849430</v>
      </c>
      <c r="L14" s="476">
        <f>K14/30</f>
        <v>61647.666666666664</v>
      </c>
      <c r="M14" s="33" t="s">
        <v>770</v>
      </c>
      <c r="N14" s="476">
        <f>L14/40</f>
        <v>1541.1916666666666</v>
      </c>
      <c r="O14" s="33">
        <v>3017</v>
      </c>
      <c r="P14" s="476">
        <f>N14/O7*100</f>
        <v>51.083581924649209</v>
      </c>
      <c r="Q14" s="33">
        <v>5643</v>
      </c>
      <c r="R14" s="476">
        <f>N14/Q14*100</f>
        <v>27.311565951916826</v>
      </c>
      <c r="S14" s="1292"/>
      <c r="T14" s="1292"/>
      <c r="V14" s="1340">
        <v>44866</v>
      </c>
      <c r="W14" s="272"/>
      <c r="X14" s="272"/>
      <c r="Y14" s="272"/>
      <c r="Z14" s="1152"/>
      <c r="AA14" s="1152"/>
      <c r="AB14" s="1152"/>
    </row>
    <row r="15" spans="1:31" s="26" customFormat="1" ht="36" hidden="1" customHeight="1" x14ac:dyDescent="0.4">
      <c r="J15" s="834">
        <v>44896</v>
      </c>
      <c r="K15" s="33">
        <v>1771610</v>
      </c>
      <c r="L15" s="476">
        <f>K15/31</f>
        <v>57148.709677419356</v>
      </c>
      <c r="M15" s="33" t="s">
        <v>770</v>
      </c>
      <c r="N15" s="476">
        <f>L15/40</f>
        <v>1428.7177419354839</v>
      </c>
      <c r="O15" s="33">
        <v>3017</v>
      </c>
      <c r="P15" s="476">
        <f>N15/O7*100</f>
        <v>47.355576464550346</v>
      </c>
      <c r="Q15" s="33">
        <v>5643</v>
      </c>
      <c r="R15" s="476">
        <f>N15/Q15*100</f>
        <v>25.318407618916954</v>
      </c>
      <c r="S15" s="1292"/>
      <c r="T15" s="1292"/>
      <c r="V15" s="1340">
        <v>44896</v>
      </c>
      <c r="W15" s="272"/>
      <c r="X15" s="272"/>
      <c r="Y15" s="272"/>
      <c r="Z15" s="1152"/>
      <c r="AA15" s="1152"/>
      <c r="AB15" s="1152"/>
    </row>
    <row r="16" spans="1:31" s="26" customFormat="1" ht="46.5" hidden="1" customHeight="1" x14ac:dyDescent="0.4">
      <c r="J16" s="933" t="s">
        <v>625</v>
      </c>
      <c r="K16" s="476">
        <v>1642179</v>
      </c>
      <c r="L16" s="476">
        <f>K16/31</f>
        <v>52973.516129032258</v>
      </c>
      <c r="M16" s="33" t="s">
        <v>770</v>
      </c>
      <c r="N16" s="476">
        <f>L16/40</f>
        <v>1324.3379032258065</v>
      </c>
      <c r="O16" s="33">
        <v>3017</v>
      </c>
      <c r="P16" s="476">
        <f>N16/O7*100</f>
        <v>43.895853603772174</v>
      </c>
      <c r="Q16" s="29"/>
      <c r="R16" s="29"/>
      <c r="S16" s="762"/>
      <c r="T16" s="762"/>
      <c r="V16" s="1512" t="s">
        <v>625</v>
      </c>
      <c r="W16" s="272"/>
      <c r="X16" s="272"/>
      <c r="Y16" s="272"/>
      <c r="Z16" s="1152"/>
      <c r="AA16" s="1152"/>
      <c r="AB16" s="1152"/>
    </row>
    <row r="17" spans="1:28" s="26" customFormat="1" ht="46.5" hidden="1" customHeight="1" x14ac:dyDescent="0.4">
      <c r="J17" s="933" t="s">
        <v>645</v>
      </c>
      <c r="K17" s="33">
        <v>1641313</v>
      </c>
      <c r="L17" s="476">
        <f>K17/28</f>
        <v>58618.321428571428</v>
      </c>
      <c r="M17" s="33"/>
      <c r="N17" s="476"/>
      <c r="O17" s="33"/>
      <c r="P17" s="476">
        <f>N17/O7*100</f>
        <v>0</v>
      </c>
      <c r="Q17" s="29"/>
      <c r="R17" s="29"/>
      <c r="S17" s="762"/>
      <c r="T17" s="762"/>
      <c r="V17" s="1512" t="s">
        <v>645</v>
      </c>
      <c r="W17" s="272"/>
      <c r="X17" s="272"/>
      <c r="Y17" s="272"/>
      <c r="Z17" s="1152"/>
      <c r="AA17" s="1152"/>
      <c r="AB17" s="1152"/>
    </row>
    <row r="18" spans="1:28" s="26" customFormat="1" ht="32.25" hidden="1" customHeight="1" x14ac:dyDescent="0.4">
      <c r="J18" s="933" t="s">
        <v>661</v>
      </c>
      <c r="K18" s="33"/>
      <c r="L18" s="33"/>
      <c r="M18" s="975"/>
      <c r="N18" s="975"/>
      <c r="O18" s="33"/>
      <c r="P18" s="476">
        <f>N18/O7*100</f>
        <v>0</v>
      </c>
      <c r="Q18" s="29"/>
      <c r="R18" s="29"/>
      <c r="S18" s="762"/>
      <c r="T18" s="762"/>
      <c r="U18" s="26">
        <f>R76/31</f>
        <v>30641</v>
      </c>
      <c r="V18" s="1512" t="s">
        <v>661</v>
      </c>
      <c r="W18" s="272"/>
      <c r="X18" s="272"/>
      <c r="Y18" s="272"/>
      <c r="Z18" s="1152"/>
      <c r="AA18" s="1152"/>
      <c r="AB18" s="1152"/>
    </row>
    <row r="19" spans="1:28" s="26" customFormat="1" ht="32.25" hidden="1" customHeight="1" x14ac:dyDescent="0.4">
      <c r="J19" s="933" t="s">
        <v>211</v>
      </c>
      <c r="K19" s="780">
        <f>K7+K8+K9+K10+K11+K12+K13+K14+K15</f>
        <v>13808837</v>
      </c>
      <c r="L19" s="780">
        <f>K19/275</f>
        <v>50213.952727272728</v>
      </c>
      <c r="M19" s="33" t="s">
        <v>770</v>
      </c>
      <c r="N19" s="780">
        <f>L19/40</f>
        <v>1255.3488181818182</v>
      </c>
      <c r="O19" s="272">
        <v>3017</v>
      </c>
      <c r="P19" s="780">
        <f>N19/O19*100</f>
        <v>41.609175279476901</v>
      </c>
      <c r="Q19" s="272">
        <v>5643</v>
      </c>
      <c r="R19" s="780">
        <f>N19/Q19*100</f>
        <v>22.246124724115155</v>
      </c>
      <c r="S19" s="1235"/>
      <c r="T19" s="1235"/>
      <c r="V19" s="1512" t="s">
        <v>211</v>
      </c>
      <c r="W19" s="272"/>
      <c r="X19" s="272"/>
      <c r="Y19" s="272"/>
      <c r="Z19" s="1152"/>
      <c r="AA19" s="1152"/>
      <c r="AB19" s="1152"/>
    </row>
    <row r="20" spans="1:28" s="26" customFormat="1" ht="32.25" customHeight="1" x14ac:dyDescent="0.4">
      <c r="A20" s="1734">
        <v>43556</v>
      </c>
      <c r="B20" s="476">
        <f>'actual fig'!L135</f>
        <v>2598215</v>
      </c>
      <c r="C20" s="476">
        <f>B20/30</f>
        <v>86607.166666666672</v>
      </c>
      <c r="D20" s="33" t="s">
        <v>981</v>
      </c>
      <c r="E20" s="780">
        <f t="shared" ref="E20:E26" si="1">C20/44</f>
        <v>1968.344696969697</v>
      </c>
      <c r="F20" s="272">
        <v>3017</v>
      </c>
      <c r="G20" s="780">
        <f>E20/F20*100</f>
        <v>65.241786442482493</v>
      </c>
      <c r="J20" s="1512" t="s">
        <v>885</v>
      </c>
      <c r="K20" s="780">
        <f>'ACTUAL- 23-24'!E20</f>
        <v>1699299</v>
      </c>
      <c r="L20" s="780">
        <f>K20/30</f>
        <v>56643.3</v>
      </c>
      <c r="M20" s="33" t="s">
        <v>914</v>
      </c>
      <c r="N20" s="780">
        <f>L20/38</f>
        <v>1490.613157894737</v>
      </c>
      <c r="O20" s="272">
        <v>3017</v>
      </c>
      <c r="P20" s="780">
        <f>N20/O20*100</f>
        <v>49.407131517889859</v>
      </c>
      <c r="Q20" s="1468"/>
      <c r="R20" s="1473"/>
      <c r="S20" s="1235"/>
      <c r="T20" s="1235"/>
      <c r="V20" s="1512" t="s">
        <v>885</v>
      </c>
      <c r="W20" s="272">
        <v>596866</v>
      </c>
      <c r="X20" s="272">
        <v>1699299</v>
      </c>
      <c r="Y20" s="272">
        <v>10716073.32</v>
      </c>
      <c r="Z20" s="780">
        <f>W20/30</f>
        <v>19895.533333333333</v>
      </c>
      <c r="AA20" s="780">
        <f>X20/30</f>
        <v>56643.3</v>
      </c>
      <c r="AB20" s="780">
        <f>Y20/30</f>
        <v>357202.44400000002</v>
      </c>
    </row>
    <row r="21" spans="1:28" s="26" customFormat="1" ht="32.25" customHeight="1" x14ac:dyDescent="0.4">
      <c r="A21" s="1734">
        <v>43586</v>
      </c>
      <c r="B21" s="476">
        <f>'actual fig'!L136</f>
        <v>2708352</v>
      </c>
      <c r="C21" s="476">
        <f>B21/31</f>
        <v>87366.193548387091</v>
      </c>
      <c r="D21" s="33" t="s">
        <v>981</v>
      </c>
      <c r="E21" s="780">
        <f t="shared" si="1"/>
        <v>1985.5953079178885</v>
      </c>
      <c r="F21" s="272">
        <v>3017</v>
      </c>
      <c r="G21" s="780">
        <f>E21/F21*100</f>
        <v>65.813566719187548</v>
      </c>
      <c r="J21" s="1340">
        <v>45047</v>
      </c>
      <c r="K21" s="780">
        <f>'ACTUAL- 23-24'!E21</f>
        <v>1778316</v>
      </c>
      <c r="L21" s="780">
        <f>K21/31</f>
        <v>57365.032258064515</v>
      </c>
      <c r="M21" s="33" t="s">
        <v>914</v>
      </c>
      <c r="N21" s="780">
        <f>L21/38</f>
        <v>1509.6061120543293</v>
      </c>
      <c r="O21" s="272">
        <v>3017</v>
      </c>
      <c r="P21" s="780">
        <f>N21/O21*100</f>
        <v>50.036662646812367</v>
      </c>
      <c r="Q21" s="1468"/>
      <c r="R21" s="1473"/>
      <c r="S21" s="1235"/>
      <c r="T21" s="1235"/>
      <c r="V21" s="1340">
        <v>45047</v>
      </c>
      <c r="W21" s="272">
        <v>643261</v>
      </c>
      <c r="X21" s="272">
        <v>1778316</v>
      </c>
      <c r="Y21" s="272">
        <v>11774839.240000002</v>
      </c>
      <c r="Z21" s="780">
        <f>W21/31</f>
        <v>20750.354838709678</v>
      </c>
      <c r="AA21" s="780">
        <f>X21/31</f>
        <v>57365.032258064515</v>
      </c>
      <c r="AB21" s="780">
        <f>Y21/31</f>
        <v>379833.52387096779</v>
      </c>
    </row>
    <row r="22" spans="1:28" s="26" customFormat="1" ht="32.25" customHeight="1" x14ac:dyDescent="0.4">
      <c r="A22" s="1734">
        <v>43617</v>
      </c>
      <c r="B22" s="476">
        <f>'actual fig'!L137</f>
        <v>2937013</v>
      </c>
      <c r="C22" s="476">
        <f>B22/30</f>
        <v>97900.433333333334</v>
      </c>
      <c r="D22" s="33" t="s">
        <v>981</v>
      </c>
      <c r="E22" s="780">
        <f t="shared" si="1"/>
        <v>2225.0098484848486</v>
      </c>
      <c r="F22" s="272">
        <v>3017</v>
      </c>
      <c r="G22" s="780">
        <f>E22/F22*100</f>
        <v>73.749083476461678</v>
      </c>
      <c r="J22" s="1340">
        <v>45078</v>
      </c>
      <c r="K22" s="780">
        <f>'ACTUAL- 23-24'!E22</f>
        <v>1740932</v>
      </c>
      <c r="L22" s="780">
        <f>K22/30</f>
        <v>58031.066666666666</v>
      </c>
      <c r="M22" s="33" t="s">
        <v>914</v>
      </c>
      <c r="N22" s="780">
        <f>L22/38</f>
        <v>1527.1333333333332</v>
      </c>
      <c r="O22" s="272">
        <v>3017</v>
      </c>
      <c r="P22" s="780">
        <f>N22/O22*100</f>
        <v>50.617611313666998</v>
      </c>
      <c r="Q22" s="1468"/>
      <c r="R22" s="1473"/>
      <c r="S22" s="1235"/>
      <c r="T22" s="1235"/>
      <c r="V22" s="1340">
        <v>45078</v>
      </c>
      <c r="W22" s="272">
        <v>611841</v>
      </c>
      <c r="X22" s="272">
        <v>1740932</v>
      </c>
      <c r="Y22" s="272">
        <v>11250736.059999999</v>
      </c>
      <c r="Z22" s="780">
        <f>W22/30</f>
        <v>20394.7</v>
      </c>
      <c r="AA22" s="780">
        <f>X22/30</f>
        <v>58031.066666666666</v>
      </c>
      <c r="AB22" s="780">
        <f>Y22/30</f>
        <v>375024.5353333333</v>
      </c>
    </row>
    <row r="23" spans="1:28" s="26" customFormat="1" ht="32.25" customHeight="1" x14ac:dyDescent="0.4">
      <c r="A23" s="1734">
        <v>43647</v>
      </c>
      <c r="B23" s="476">
        <f>'actual fig'!L138</f>
        <v>3377353</v>
      </c>
      <c r="C23" s="476">
        <f>B23/31</f>
        <v>108946.87096774194</v>
      </c>
      <c r="D23" s="33" t="s">
        <v>981</v>
      </c>
      <c r="E23" s="780">
        <f t="shared" si="1"/>
        <v>2476.0652492668623</v>
      </c>
      <c r="F23" s="272">
        <v>3017</v>
      </c>
      <c r="G23" s="780">
        <f t="shared" ref="G23" si="2">E23/F23*100</f>
        <v>82.070442468242049</v>
      </c>
      <c r="J23" s="1340">
        <v>45108</v>
      </c>
      <c r="K23" s="780">
        <f>'ACTUAL- 23-24'!E23</f>
        <v>1893672</v>
      </c>
      <c r="L23" s="780">
        <f>K23/31</f>
        <v>61086.193548387098</v>
      </c>
      <c r="M23" s="33" t="s">
        <v>940</v>
      </c>
      <c r="N23" s="780">
        <f>L23/40</f>
        <v>1527.1548387096775</v>
      </c>
      <c r="O23" s="272">
        <v>3017</v>
      </c>
      <c r="P23" s="780">
        <f t="shared" ref="P23" si="3">N23/O23*100</f>
        <v>50.618324120307513</v>
      </c>
      <c r="Q23" s="1468"/>
      <c r="R23" s="1473"/>
      <c r="S23" s="1235"/>
      <c r="T23" s="1235"/>
      <c r="V23" s="1340">
        <v>45108</v>
      </c>
      <c r="W23" s="272">
        <v>640030</v>
      </c>
      <c r="X23" s="272">
        <v>1893672</v>
      </c>
      <c r="Y23" s="272">
        <v>13035435.540000003</v>
      </c>
      <c r="Z23" s="780">
        <f t="shared" ref="Z23:AB24" si="4">W23/31</f>
        <v>20646.129032258064</v>
      </c>
      <c r="AA23" s="780">
        <f t="shared" si="4"/>
        <v>61086.193548387098</v>
      </c>
      <c r="AB23" s="780">
        <f t="shared" si="4"/>
        <v>420497.92064516136</v>
      </c>
    </row>
    <row r="24" spans="1:28" s="26" customFormat="1" ht="32.25" customHeight="1" x14ac:dyDescent="0.4">
      <c r="A24" s="1734">
        <v>43678</v>
      </c>
      <c r="B24" s="476">
        <f>'actual fig'!L139</f>
        <v>3123466</v>
      </c>
      <c r="C24" s="476">
        <f>B24/31</f>
        <v>100756.96774193548</v>
      </c>
      <c r="D24" s="33" t="s">
        <v>981</v>
      </c>
      <c r="E24" s="780">
        <f t="shared" si="1"/>
        <v>2289.9310850439883</v>
      </c>
      <c r="F24" s="272">
        <v>3017</v>
      </c>
      <c r="G24" s="780">
        <f>E24/F24*100</f>
        <v>75.9009308930722</v>
      </c>
      <c r="J24" s="1340">
        <v>45139</v>
      </c>
      <c r="K24" s="780">
        <f>'ACTUAL- 23-24'!E24</f>
        <v>2002648</v>
      </c>
      <c r="L24" s="780">
        <f>K24/31</f>
        <v>64601.548387096773</v>
      </c>
      <c r="M24" s="33" t="s">
        <v>940</v>
      </c>
      <c r="N24" s="780">
        <f>L24/40</f>
        <v>1615.0387096774193</v>
      </c>
      <c r="O24" s="272">
        <v>3017</v>
      </c>
      <c r="P24" s="780">
        <f>N24/O24*100</f>
        <v>53.531279737402038</v>
      </c>
      <c r="Q24" s="1468"/>
      <c r="R24" s="1473"/>
      <c r="S24" s="1235"/>
      <c r="T24" s="1235"/>
      <c r="V24" s="1340">
        <v>45139</v>
      </c>
      <c r="W24" s="272">
        <v>669653</v>
      </c>
      <c r="X24" s="272">
        <v>2002648</v>
      </c>
      <c r="Y24" s="272">
        <v>12646668.200000001</v>
      </c>
      <c r="Z24" s="780">
        <f t="shared" si="4"/>
        <v>21601.709677419356</v>
      </c>
      <c r="AA24" s="780">
        <f t="shared" si="4"/>
        <v>64601.548387096773</v>
      </c>
      <c r="AB24" s="780">
        <f t="shared" si="4"/>
        <v>407957.03870967746</v>
      </c>
    </row>
    <row r="25" spans="1:28" s="26" customFormat="1" ht="32.25" customHeight="1" x14ac:dyDescent="0.4">
      <c r="A25" s="1734">
        <v>43709</v>
      </c>
      <c r="B25" s="476">
        <f>'actual fig'!L140</f>
        <v>3112599</v>
      </c>
      <c r="C25" s="476">
        <f>B25/30</f>
        <v>103753.3</v>
      </c>
      <c r="D25" s="33" t="s">
        <v>981</v>
      </c>
      <c r="E25" s="780">
        <f t="shared" si="1"/>
        <v>2358.0295454545453</v>
      </c>
      <c r="F25" s="272">
        <v>3017</v>
      </c>
      <c r="G25" s="780">
        <f>E25/F25*100</f>
        <v>78.158089010757209</v>
      </c>
      <c r="J25" s="1340">
        <v>45170</v>
      </c>
      <c r="K25" s="780">
        <f>'ACTUAL- 23-24'!E25</f>
        <v>1896402</v>
      </c>
      <c r="L25" s="780">
        <f>K25/30</f>
        <v>63213.4</v>
      </c>
      <c r="M25" s="33" t="s">
        <v>940</v>
      </c>
      <c r="N25" s="780">
        <f>L25/40</f>
        <v>1580.335</v>
      </c>
      <c r="O25" s="272">
        <v>3017</v>
      </c>
      <c r="P25" s="780">
        <f>N25/O25*100</f>
        <v>52.381007623467028</v>
      </c>
      <c r="Q25" s="1468"/>
      <c r="R25" s="1473"/>
      <c r="S25" s="1235"/>
      <c r="T25" s="1235"/>
      <c r="V25" s="1340"/>
      <c r="W25" s="272"/>
      <c r="X25" s="272"/>
      <c r="Y25" s="272"/>
      <c r="Z25" s="780"/>
      <c r="AA25" s="780"/>
      <c r="AB25" s="780"/>
    </row>
    <row r="26" spans="1:28" s="26" customFormat="1" ht="32.25" customHeight="1" x14ac:dyDescent="0.4">
      <c r="A26" s="1512" t="s">
        <v>980</v>
      </c>
      <c r="B26" s="780">
        <f>B20+B21+B22+B23+B24+B25</f>
        <v>17856998</v>
      </c>
      <c r="C26" s="780">
        <f>B26/183</f>
        <v>97579.224043715847</v>
      </c>
      <c r="D26" s="272" t="s">
        <v>981</v>
      </c>
      <c r="E26" s="780">
        <f t="shared" si="1"/>
        <v>2217.7096373571785</v>
      </c>
      <c r="F26" s="272">
        <v>3017</v>
      </c>
      <c r="G26" s="780">
        <f>E26/F26*100</f>
        <v>73.507114264407633</v>
      </c>
      <c r="J26" s="1340">
        <v>45200</v>
      </c>
      <c r="K26" s="780">
        <f>'ACTUAL- 23-24'!E26</f>
        <v>1892029</v>
      </c>
      <c r="L26" s="780">
        <f>K26/31</f>
        <v>61033.193548387098</v>
      </c>
      <c r="M26" s="33" t="s">
        <v>940</v>
      </c>
      <c r="N26" s="780">
        <f t="shared" ref="N26:N28" si="5">L26/40</f>
        <v>1525.8298387096775</v>
      </c>
      <c r="O26" s="272"/>
      <c r="P26" s="780"/>
      <c r="Q26" s="1468"/>
      <c r="R26" s="1473"/>
      <c r="S26" s="1235"/>
      <c r="T26" s="1235"/>
      <c r="V26" s="1512" t="s">
        <v>941</v>
      </c>
      <c r="W26" s="272">
        <f>W20+W21+W22+W23+W24</f>
        <v>3161651</v>
      </c>
      <c r="X26" s="272">
        <f>X20+X21+X22+X23+X24</f>
        <v>9114867</v>
      </c>
      <c r="Y26" s="272">
        <f t="shared" ref="Y26" si="6">Y20+Y21+Y22+Y23+Y24</f>
        <v>59423752.360000014</v>
      </c>
      <c r="Z26" s="780">
        <f>W26/153</f>
        <v>20664.385620915033</v>
      </c>
      <c r="AA26" s="780">
        <f>X26/153</f>
        <v>59574.294117647056</v>
      </c>
      <c r="AB26" s="780">
        <f>Y26/153</f>
        <v>388390.53830065369</v>
      </c>
    </row>
    <row r="27" spans="1:28" s="26" customFormat="1" ht="32.25" customHeight="1" x14ac:dyDescent="0.4">
      <c r="J27" s="1340">
        <v>45231</v>
      </c>
      <c r="K27" s="780">
        <f>'ACTUAL- 23-24'!E27</f>
        <v>1706731</v>
      </c>
      <c r="L27" s="780">
        <f t="shared" ref="L27" si="7">K27/30</f>
        <v>56891.033333333333</v>
      </c>
      <c r="M27" s="33" t="s">
        <v>940</v>
      </c>
      <c r="N27" s="780">
        <f t="shared" si="5"/>
        <v>1422.2758333333334</v>
      </c>
      <c r="O27" s="272"/>
      <c r="P27" s="780"/>
      <c r="Q27" s="1152"/>
      <c r="R27" s="1235"/>
      <c r="S27" s="1235"/>
      <c r="T27" s="1235"/>
      <c r="V27" s="1643"/>
      <c r="W27" s="1152"/>
      <c r="X27" s="1152"/>
      <c r="Y27" s="1152"/>
      <c r="Z27" s="1235"/>
      <c r="AA27" s="1235"/>
      <c r="AB27" s="1235"/>
    </row>
    <row r="28" spans="1:28" s="26" customFormat="1" ht="32.25" customHeight="1" x14ac:dyDescent="0.4">
      <c r="J28" s="1340">
        <v>45261</v>
      </c>
      <c r="K28" s="780">
        <f>'ACTUAL- 23-24'!E28</f>
        <v>1716467</v>
      </c>
      <c r="L28" s="780">
        <f>K28/31</f>
        <v>55369.903225806454</v>
      </c>
      <c r="M28" s="33" t="s">
        <v>940</v>
      </c>
      <c r="N28" s="780">
        <f t="shared" si="5"/>
        <v>1384.2475806451614</v>
      </c>
      <c r="O28" s="272"/>
      <c r="P28" s="780"/>
      <c r="Q28" s="780"/>
      <c r="R28" s="780"/>
      <c r="S28" s="780"/>
      <c r="T28" s="780"/>
      <c r="V28" s="1643"/>
      <c r="W28" s="1152"/>
      <c r="X28" s="1152"/>
      <c r="Y28" s="1152"/>
      <c r="Z28" s="1235"/>
      <c r="AA28" s="1235"/>
      <c r="AB28" s="1235"/>
    </row>
    <row r="29" spans="1:28" s="26" customFormat="1" ht="32.25" customHeight="1" x14ac:dyDescent="0.4">
      <c r="J29" s="1340">
        <v>45292</v>
      </c>
      <c r="K29" s="780">
        <f>'ACTUAL- 23-24'!E29</f>
        <v>1855519</v>
      </c>
      <c r="L29" s="780">
        <f>K29/31</f>
        <v>59855.451612903227</v>
      </c>
      <c r="M29" s="33" t="s">
        <v>940</v>
      </c>
      <c r="N29" s="780">
        <f>L29/40</f>
        <v>1496.3862903225806</v>
      </c>
      <c r="O29" s="272"/>
      <c r="P29" s="780"/>
      <c r="Q29" s="272"/>
      <c r="R29" s="780"/>
      <c r="S29" s="1646" t="s">
        <v>942</v>
      </c>
      <c r="T29" s="1646" t="s">
        <v>943</v>
      </c>
      <c r="V29" s="1643"/>
      <c r="W29" s="1152"/>
      <c r="X29" s="1152"/>
      <c r="Y29" s="1152"/>
      <c r="Z29" s="1235"/>
      <c r="AA29" s="1235"/>
      <c r="AB29" s="1235"/>
    </row>
    <row r="30" spans="1:28" s="26" customFormat="1" ht="32.25" customHeight="1" x14ac:dyDescent="0.4">
      <c r="J30" s="1512" t="s">
        <v>1068</v>
      </c>
      <c r="K30" s="780">
        <f>K20+K21+K22+K23+K24+K25+K26+K27+K28+K29</f>
        <v>18182015</v>
      </c>
      <c r="L30" s="780">
        <f>K30/183</f>
        <v>99355.273224043718</v>
      </c>
      <c r="M30" s="33" t="s">
        <v>940</v>
      </c>
      <c r="N30" s="780">
        <f>L30/40</f>
        <v>2483.881830601093</v>
      </c>
      <c r="O30" s="272">
        <v>3017</v>
      </c>
      <c r="P30" s="780">
        <f>N30/O30*100</f>
        <v>82.329527033513187</v>
      </c>
      <c r="Q30" s="33"/>
      <c r="R30" s="476"/>
      <c r="S30" s="1640">
        <v>1490.61315789474</v>
      </c>
      <c r="T30" s="1647">
        <f t="shared" ref="T30:T35" si="8">P34/38</f>
        <v>9400.0643157894738</v>
      </c>
      <c r="U30" s="1649"/>
      <c r="V30" s="1643"/>
      <c r="W30" s="1152"/>
      <c r="X30" s="1152"/>
      <c r="Y30" s="1152"/>
      <c r="Z30" s="1235"/>
      <c r="AA30" s="1235"/>
      <c r="AB30" s="1235"/>
    </row>
    <row r="31" spans="1:28" s="26" customFormat="1" ht="32.25" customHeight="1" x14ac:dyDescent="0.4">
      <c r="J31" s="1643"/>
      <c r="K31" s="1235"/>
      <c r="L31" s="1235"/>
      <c r="M31" s="35"/>
      <c r="N31" s="1235"/>
      <c r="O31" s="1152"/>
      <c r="P31" s="1235"/>
      <c r="Q31" s="33"/>
      <c r="R31" s="476"/>
      <c r="S31" s="1640">
        <v>1509.6061120543293</v>
      </c>
      <c r="T31" s="1647">
        <f t="shared" si="8"/>
        <v>9995.6190492359947</v>
      </c>
      <c r="U31" s="1649"/>
      <c r="V31" s="1643"/>
      <c r="W31" s="1152"/>
      <c r="X31" s="1152"/>
      <c r="Y31" s="1152"/>
      <c r="Z31" s="1235"/>
      <c r="AA31" s="1235"/>
      <c r="AB31" s="1235"/>
    </row>
    <row r="32" spans="1:28" s="26" customFormat="1" ht="32.25" customHeight="1" x14ac:dyDescent="0.4">
      <c r="J32" s="2509" t="s">
        <v>127</v>
      </c>
      <c r="K32" s="2387" t="s">
        <v>945</v>
      </c>
      <c r="L32" s="2387"/>
      <c r="M32" s="2387"/>
      <c r="N32" s="780" t="s">
        <v>944</v>
      </c>
      <c r="O32" s="780"/>
      <c r="P32" s="780"/>
      <c r="Q32" s="33"/>
      <c r="R32" s="476"/>
      <c r="S32" s="1640">
        <v>1527.1333333333332</v>
      </c>
      <c r="T32" s="1647">
        <f t="shared" si="8"/>
        <v>9869.0667192982455</v>
      </c>
      <c r="U32" s="1649"/>
      <c r="V32" s="1643"/>
      <c r="W32" s="1152"/>
      <c r="X32" s="1152"/>
      <c r="Y32" s="1152"/>
      <c r="Z32" s="1235"/>
      <c r="AA32" s="1235"/>
      <c r="AB32" s="1235"/>
    </row>
    <row r="33" spans="10:28" s="26" customFormat="1" ht="32.25" customHeight="1" x14ac:dyDescent="0.4">
      <c r="J33" s="2509"/>
      <c r="K33" s="272" t="s">
        <v>163</v>
      </c>
      <c r="L33" s="272" t="s">
        <v>164</v>
      </c>
      <c r="M33" s="272" t="s">
        <v>115</v>
      </c>
      <c r="N33" s="272" t="s">
        <v>163</v>
      </c>
      <c r="O33" s="272" t="s">
        <v>164</v>
      </c>
      <c r="P33" s="272" t="s">
        <v>115</v>
      </c>
      <c r="Q33" s="33"/>
      <c r="R33" s="476"/>
      <c r="S33" s="1640">
        <v>1527.1548387096775</v>
      </c>
      <c r="T33" s="1647">
        <f t="shared" si="8"/>
        <v>11065.734753820036</v>
      </c>
      <c r="U33" s="1649"/>
      <c r="V33" s="1643"/>
      <c r="W33" s="1152"/>
      <c r="X33" s="1152"/>
      <c r="Y33" s="1152"/>
      <c r="Z33" s="1235"/>
      <c r="AA33" s="1235"/>
      <c r="AB33" s="1235"/>
    </row>
    <row r="34" spans="10:28" s="26" customFormat="1" ht="32.25" customHeight="1" x14ac:dyDescent="0.4">
      <c r="J34" s="1512" t="s">
        <v>885</v>
      </c>
      <c r="K34" s="33">
        <v>596866</v>
      </c>
      <c r="L34" s="33">
        <v>1699299</v>
      </c>
      <c r="M34" s="476">
        <v>10716073.32</v>
      </c>
      <c r="N34" s="476">
        <f>K34/30</f>
        <v>19895.533333333333</v>
      </c>
      <c r="O34" s="476">
        <f>L34/30</f>
        <v>56643.3</v>
      </c>
      <c r="P34" s="476">
        <f>M34/30</f>
        <v>357202.44400000002</v>
      </c>
      <c r="Q34" s="33"/>
      <c r="R34" s="476"/>
      <c r="S34" s="1640">
        <v>1615.0387096774193</v>
      </c>
      <c r="T34" s="1647">
        <f t="shared" si="8"/>
        <v>10735.711544991513</v>
      </c>
      <c r="U34" s="1649"/>
      <c r="V34" s="1643"/>
      <c r="W34" s="1152"/>
      <c r="X34" s="1152"/>
      <c r="Y34" s="1152"/>
      <c r="Z34" s="1235"/>
      <c r="AA34" s="1235"/>
      <c r="AB34" s="1235"/>
    </row>
    <row r="35" spans="10:28" s="26" customFormat="1" ht="32.25" customHeight="1" x14ac:dyDescent="0.4">
      <c r="J35" s="1340">
        <v>45047</v>
      </c>
      <c r="K35" s="33">
        <v>643261</v>
      </c>
      <c r="L35" s="33">
        <v>1778316</v>
      </c>
      <c r="M35" s="476">
        <v>11774839.240000002</v>
      </c>
      <c r="N35" s="476">
        <f>K35/31</f>
        <v>20750.354838709678</v>
      </c>
      <c r="O35" s="476">
        <f>L35/31</f>
        <v>57365.032258064515</v>
      </c>
      <c r="P35" s="476">
        <f>M35/31</f>
        <v>379833.52387096779</v>
      </c>
      <c r="Q35" s="272"/>
      <c r="R35" s="780"/>
      <c r="S35" s="1640">
        <v>1567.7445820433436</v>
      </c>
      <c r="T35" s="1647">
        <f t="shared" si="8"/>
        <v>10220.803639490887</v>
      </c>
      <c r="U35" s="1649"/>
      <c r="V35" s="1643"/>
      <c r="W35" s="1152"/>
      <c r="X35" s="1152"/>
      <c r="Y35" s="1152"/>
      <c r="Z35" s="1235"/>
      <c r="AA35" s="1235"/>
      <c r="AB35" s="1235"/>
    </row>
    <row r="36" spans="10:28" s="26" customFormat="1" ht="32.25" customHeight="1" x14ac:dyDescent="0.4">
      <c r="J36" s="1340">
        <v>45078</v>
      </c>
      <c r="K36" s="33">
        <v>611841</v>
      </c>
      <c r="L36" s="33">
        <v>1740932</v>
      </c>
      <c r="M36" s="476">
        <v>11250736.059999999</v>
      </c>
      <c r="N36" s="476">
        <f>K36/30</f>
        <v>20394.7</v>
      </c>
      <c r="O36" s="476">
        <f>L36/30</f>
        <v>58031.066666666666</v>
      </c>
      <c r="P36" s="476">
        <f>M36/30</f>
        <v>375024.5353333333</v>
      </c>
      <c r="Q36" s="1468"/>
      <c r="R36" s="1473"/>
      <c r="S36" s="1235"/>
      <c r="T36" s="1648"/>
      <c r="V36" s="1643"/>
      <c r="W36" s="1152"/>
      <c r="X36" s="1152"/>
      <c r="Y36" s="1152"/>
      <c r="Z36" s="1235"/>
      <c r="AA36" s="1235"/>
      <c r="AB36" s="1235"/>
    </row>
    <row r="37" spans="10:28" s="26" customFormat="1" ht="32.25" customHeight="1" x14ac:dyDescent="0.4">
      <c r="J37" s="1340">
        <v>45108</v>
      </c>
      <c r="K37" s="33">
        <v>640030</v>
      </c>
      <c r="L37" s="33">
        <v>1893672</v>
      </c>
      <c r="M37" s="476">
        <v>13035435.540000003</v>
      </c>
      <c r="N37" s="476">
        <f t="shared" ref="N37:P38" si="9">K37/31</f>
        <v>20646.129032258064</v>
      </c>
      <c r="O37" s="476">
        <f t="shared" si="9"/>
        <v>61086.193548387098</v>
      </c>
      <c r="P37" s="476">
        <f t="shared" si="9"/>
        <v>420497.92064516136</v>
      </c>
      <c r="Q37" s="1468"/>
      <c r="R37" s="1468"/>
      <c r="S37" s="1235"/>
      <c r="T37" s="1235"/>
      <c r="V37" s="1643"/>
      <c r="W37" s="1152"/>
      <c r="X37" s="1152"/>
      <c r="Y37" s="1152"/>
      <c r="Z37" s="1235"/>
      <c r="AA37" s="1235"/>
      <c r="AB37" s="1235"/>
    </row>
    <row r="38" spans="10:28" s="26" customFormat="1" ht="42.75" customHeight="1" x14ac:dyDescent="0.4">
      <c r="J38" s="1340">
        <v>45139</v>
      </c>
      <c r="K38" s="33">
        <v>669653</v>
      </c>
      <c r="L38" s="33">
        <v>2002648</v>
      </c>
      <c r="M38" s="476">
        <v>12646668.200000001</v>
      </c>
      <c r="N38" s="476">
        <f t="shared" si="9"/>
        <v>21601.709677419356</v>
      </c>
      <c r="O38" s="476">
        <f t="shared" si="9"/>
        <v>64601.548387096773</v>
      </c>
      <c r="P38" s="476">
        <f t="shared" si="9"/>
        <v>407957.03870967746</v>
      </c>
      <c r="Q38" s="1736" t="s">
        <v>565</v>
      </c>
      <c r="R38" s="779" t="s">
        <v>531</v>
      </c>
      <c r="S38" s="1235"/>
      <c r="T38" s="1235"/>
      <c r="V38" s="1643"/>
      <c r="W38" s="1152"/>
      <c r="X38" s="1152"/>
      <c r="Y38" s="1152"/>
      <c r="Z38" s="1235"/>
      <c r="AA38" s="1235"/>
      <c r="AB38" s="1235"/>
    </row>
    <row r="39" spans="10:28" s="26" customFormat="1" ht="32.25" customHeight="1" x14ac:dyDescent="0.4">
      <c r="J39" s="1512" t="s">
        <v>941</v>
      </c>
      <c r="K39" s="272">
        <f>K34+K35+K36+K37+K38</f>
        <v>3161651</v>
      </c>
      <c r="L39" s="272">
        <f>L34+L35+L36+L37+L38</f>
        <v>9114867</v>
      </c>
      <c r="M39" s="780">
        <f>M34+M35+M36+M37+M38</f>
        <v>59423752.360000014</v>
      </c>
      <c r="N39" s="780">
        <f>K39/153</f>
        <v>20664.385620915033</v>
      </c>
      <c r="O39" s="780">
        <f>L39/153</f>
        <v>59574.294117647056</v>
      </c>
      <c r="P39" s="780">
        <f t="shared" ref="P39" si="10">M39/153</f>
        <v>388390.53830065369</v>
      </c>
      <c r="Q39" s="1641">
        <v>2890</v>
      </c>
      <c r="R39" s="476">
        <f>N43/Q39*100</f>
        <v>0</v>
      </c>
      <c r="S39" s="1235"/>
      <c r="T39" s="1235"/>
      <c r="V39" s="1643"/>
      <c r="W39" s="1152"/>
      <c r="X39" s="1152"/>
      <c r="Y39" s="1152"/>
      <c r="Z39" s="1235"/>
      <c r="AA39" s="1235"/>
      <c r="AB39" s="1235"/>
    </row>
    <row r="40" spans="10:28" s="26" customFormat="1" ht="32.25" customHeight="1" x14ac:dyDescent="0.4">
      <c r="J40" s="1642"/>
      <c r="K40" s="1473"/>
      <c r="L40" s="1473"/>
      <c r="M40" s="1650"/>
      <c r="N40" s="1473"/>
      <c r="O40" s="1468"/>
      <c r="P40" s="1473"/>
      <c r="Q40" s="1468"/>
      <c r="R40" s="1473"/>
      <c r="S40" s="1235"/>
      <c r="T40" s="1235"/>
      <c r="V40" s="1643"/>
      <c r="W40" s="1152"/>
      <c r="X40" s="1152"/>
      <c r="Y40" s="1152"/>
      <c r="Z40" s="1235"/>
      <c r="AA40" s="1235"/>
      <c r="AB40" s="1235"/>
    </row>
    <row r="41" spans="10:28" s="26" customFormat="1" ht="32.25" customHeight="1" x14ac:dyDescent="0.4">
      <c r="J41" s="1468" t="s">
        <v>985</v>
      </c>
      <c r="K41" s="1468"/>
      <c r="L41" s="1468"/>
      <c r="M41" s="1468"/>
      <c r="N41" s="1468"/>
      <c r="O41" s="1468"/>
      <c r="P41" s="1468"/>
      <c r="Q41" s="1468"/>
      <c r="R41" s="1473"/>
      <c r="S41" s="1235"/>
      <c r="T41" s="1235"/>
      <c r="V41" s="1643"/>
      <c r="W41" s="1152"/>
      <c r="X41" s="1152"/>
      <c r="Y41" s="1152"/>
      <c r="Z41" s="1235"/>
      <c r="AA41" s="1235"/>
      <c r="AB41" s="1235"/>
    </row>
    <row r="42" spans="10:28" s="26" customFormat="1" ht="32.25" customHeight="1" x14ac:dyDescent="0.4">
      <c r="J42" s="272" t="s">
        <v>127</v>
      </c>
      <c r="K42" s="779" t="s">
        <v>237</v>
      </c>
      <c r="L42" s="272" t="s">
        <v>504</v>
      </c>
      <c r="M42" s="779" t="s">
        <v>532</v>
      </c>
      <c r="N42" s="779" t="s">
        <v>505</v>
      </c>
      <c r="O42" s="779" t="s">
        <v>565</v>
      </c>
      <c r="P42" s="779" t="s">
        <v>531</v>
      </c>
      <c r="Q42" s="1468"/>
      <c r="R42" s="1473"/>
      <c r="S42" s="1235"/>
      <c r="T42" s="1235"/>
      <c r="V42" s="1643"/>
      <c r="W42" s="1152"/>
      <c r="X42" s="1152"/>
      <c r="Y42" s="1152"/>
      <c r="Z42" s="1235"/>
      <c r="AA42" s="1235"/>
      <c r="AB42" s="1235"/>
    </row>
    <row r="43" spans="10:28" s="26" customFormat="1" ht="32.25" customHeight="1" x14ac:dyDescent="0.4">
      <c r="J43" s="1340">
        <v>45017</v>
      </c>
      <c r="K43" s="1096"/>
      <c r="L43" s="780">
        <f>K43/30</f>
        <v>0</v>
      </c>
      <c r="M43" s="1048" t="s">
        <v>983</v>
      </c>
      <c r="N43" s="1048">
        <f>L43/12</f>
        <v>0</v>
      </c>
      <c r="O43" s="642">
        <v>1560</v>
      </c>
      <c r="P43" s="1048">
        <f>N43/O43*100</f>
        <v>0</v>
      </c>
      <c r="Q43" s="1468"/>
      <c r="R43" s="1473"/>
      <c r="S43" s="1235"/>
      <c r="T43" s="1235"/>
      <c r="V43" s="1643"/>
      <c r="W43" s="1152"/>
      <c r="X43" s="1152"/>
      <c r="Y43" s="1152"/>
      <c r="Z43" s="1235"/>
      <c r="AA43" s="1235"/>
      <c r="AB43" s="1235"/>
    </row>
    <row r="44" spans="10:28" s="26" customFormat="1" ht="32.25" customHeight="1" x14ac:dyDescent="0.4">
      <c r="J44" s="1340">
        <v>45047</v>
      </c>
      <c r="K44" s="780"/>
      <c r="L44" s="780">
        <f>K44/31</f>
        <v>0</v>
      </c>
      <c r="M44" s="1048" t="s">
        <v>983</v>
      </c>
      <c r="N44" s="780"/>
      <c r="O44" s="272"/>
      <c r="P44" s="780"/>
      <c r="Q44" s="1468"/>
      <c r="R44" s="1473"/>
      <c r="S44" s="1235"/>
      <c r="T44" s="1235"/>
      <c r="V44" s="1643"/>
      <c r="W44" s="1152"/>
      <c r="X44" s="1152"/>
      <c r="Y44" s="1152"/>
      <c r="Z44" s="1235"/>
      <c r="AA44" s="1235"/>
      <c r="AB44" s="1235"/>
    </row>
    <row r="45" spans="10:28" s="26" customFormat="1" ht="32.25" customHeight="1" x14ac:dyDescent="0.4">
      <c r="J45" s="1340">
        <v>45078</v>
      </c>
      <c r="K45" s="780"/>
      <c r="L45" s="780">
        <f>K45/30</f>
        <v>0</v>
      </c>
      <c r="M45" s="1048" t="s">
        <v>983</v>
      </c>
      <c r="N45" s="780"/>
      <c r="O45" s="272"/>
      <c r="P45" s="780"/>
      <c r="Q45" s="1468"/>
      <c r="R45" s="1473"/>
      <c r="S45" s="1235"/>
      <c r="T45" s="1235"/>
      <c r="V45" s="1643"/>
      <c r="W45" s="1152"/>
      <c r="X45" s="1152"/>
      <c r="Y45" s="1152"/>
      <c r="Z45" s="1235"/>
      <c r="AA45" s="1235"/>
      <c r="AB45" s="1235"/>
    </row>
    <row r="46" spans="10:28" s="26" customFormat="1" ht="32.25" customHeight="1" x14ac:dyDescent="0.4">
      <c r="J46" s="1340">
        <v>45108</v>
      </c>
      <c r="K46" s="780"/>
      <c r="L46" s="780">
        <f>K46/31</f>
        <v>0</v>
      </c>
      <c r="M46" s="1048" t="s">
        <v>983</v>
      </c>
      <c r="N46" s="780"/>
      <c r="O46" s="272"/>
      <c r="P46" s="780"/>
      <c r="Q46" s="1468"/>
      <c r="R46" s="1473"/>
      <c r="S46" s="1235"/>
      <c r="T46" s="1235"/>
      <c r="X46" s="1248"/>
    </row>
    <row r="47" spans="10:28" ht="32.25" customHeight="1" x14ac:dyDescent="0.35">
      <c r="J47" s="1340">
        <v>45139</v>
      </c>
      <c r="K47" s="780"/>
      <c r="L47" s="780">
        <f>K47/31</f>
        <v>0</v>
      </c>
      <c r="M47" s="1048" t="s">
        <v>983</v>
      </c>
      <c r="N47" s="780"/>
      <c r="O47" s="272"/>
      <c r="P47" s="780"/>
      <c r="Q47" s="1468"/>
      <c r="R47" s="1468"/>
      <c r="S47" s="1152"/>
      <c r="T47" s="1152"/>
    </row>
    <row r="48" spans="10:28" ht="55.5" x14ac:dyDescent="0.35">
      <c r="J48" s="1340">
        <v>45170</v>
      </c>
      <c r="K48" s="780"/>
      <c r="L48" s="780">
        <f>K48/30</f>
        <v>0</v>
      </c>
      <c r="M48" s="1048" t="s">
        <v>983</v>
      </c>
      <c r="N48" s="780"/>
      <c r="O48" s="272"/>
      <c r="P48" s="780"/>
      <c r="Q48" s="779" t="s">
        <v>565</v>
      </c>
      <c r="R48" s="779" t="s">
        <v>531</v>
      </c>
      <c r="S48" s="1645"/>
      <c r="T48" s="1645"/>
    </row>
    <row r="49" spans="8:27" ht="27.75" customHeight="1" x14ac:dyDescent="0.35">
      <c r="I49" s="5">
        <v>30</v>
      </c>
      <c r="J49" s="1512" t="s">
        <v>984</v>
      </c>
      <c r="K49" s="780">
        <v>1448251</v>
      </c>
      <c r="L49" s="780">
        <f>K49/183</f>
        <v>7913.9398907103823</v>
      </c>
      <c r="M49" s="1048" t="s">
        <v>983</v>
      </c>
      <c r="N49" s="1048">
        <f>L49/12</f>
        <v>659.49499089253186</v>
      </c>
      <c r="O49" s="642">
        <v>1560</v>
      </c>
      <c r="P49" s="1048">
        <f>N49/O49*100</f>
        <v>42.275319929008454</v>
      </c>
      <c r="Q49" s="33">
        <v>2890</v>
      </c>
      <c r="R49" s="476">
        <f t="shared" ref="R49:R61" si="11">N53/Q49*100</f>
        <v>18.647404844290662</v>
      </c>
      <c r="S49" s="1292"/>
      <c r="T49" s="1292"/>
      <c r="V49" s="41">
        <f>K53+K54+K55+K56+K57</f>
        <v>833180</v>
      </c>
      <c r="W49" s="41"/>
      <c r="X49" s="5" t="s">
        <v>843</v>
      </c>
      <c r="Z49" s="41">
        <f>V49/153</f>
        <v>5445.6209150326795</v>
      </c>
      <c r="AA49" s="41">
        <f>Z49/26</f>
        <v>209.44695827048767</v>
      </c>
    </row>
    <row r="50" spans="8:27" ht="40.5" customHeight="1" x14ac:dyDescent="0.35">
      <c r="I50" s="5">
        <v>31</v>
      </c>
      <c r="J50" s="1472"/>
      <c r="K50" s="1473"/>
      <c r="L50" s="1473"/>
      <c r="M50" s="1474"/>
      <c r="N50" s="1048"/>
      <c r="O50" s="642"/>
      <c r="P50" s="1048"/>
      <c r="Q50" s="33">
        <v>2890</v>
      </c>
      <c r="R50" s="476">
        <f t="shared" si="11"/>
        <v>13.822413215760687</v>
      </c>
      <c r="S50" s="1292"/>
      <c r="T50" s="1292"/>
      <c r="V50" s="41">
        <f>K58+K59+K60+K61+K62+K63</f>
        <v>1352631</v>
      </c>
      <c r="W50" s="41"/>
      <c r="X50" s="5" t="s">
        <v>844</v>
      </c>
      <c r="Z50" s="41">
        <f>V50/181</f>
        <v>7473.0994475138123</v>
      </c>
      <c r="AA50" s="41">
        <f>Z50/40</f>
        <v>186.8274861878453</v>
      </c>
    </row>
    <row r="51" spans="8:27" ht="40.5" customHeight="1" x14ac:dyDescent="0.35">
      <c r="I51" s="5">
        <v>30</v>
      </c>
      <c r="J51" s="1468" t="s">
        <v>850</v>
      </c>
      <c r="K51" s="1468"/>
      <c r="L51" s="1468"/>
      <c r="M51" s="1468"/>
      <c r="N51" s="1468"/>
      <c r="O51" s="1468"/>
      <c r="P51" s="1468"/>
      <c r="Q51" s="33">
        <v>2890</v>
      </c>
      <c r="R51" s="476">
        <f t="shared" si="11"/>
        <v>20.001674294006026</v>
      </c>
      <c r="S51" s="1292"/>
      <c r="T51" s="1292"/>
    </row>
    <row r="52" spans="8:27" ht="40.5" customHeight="1" x14ac:dyDescent="0.35">
      <c r="I52" s="5">
        <v>31</v>
      </c>
      <c r="J52" s="272" t="s">
        <v>127</v>
      </c>
      <c r="K52" s="779" t="s">
        <v>237</v>
      </c>
      <c r="L52" s="272" t="s">
        <v>504</v>
      </c>
      <c r="M52" s="779" t="s">
        <v>532</v>
      </c>
      <c r="N52" s="779" t="s">
        <v>505</v>
      </c>
      <c r="O52" s="779" t="s">
        <v>565</v>
      </c>
      <c r="P52" s="779" t="s">
        <v>531</v>
      </c>
      <c r="Q52" s="33">
        <v>2890</v>
      </c>
      <c r="R52" s="476">
        <f t="shared" si="11"/>
        <v>20.648175019533429</v>
      </c>
      <c r="S52" s="1292"/>
      <c r="T52" s="1292"/>
    </row>
    <row r="53" spans="8:27" ht="40.5" customHeight="1" x14ac:dyDescent="0.35">
      <c r="I53" s="5">
        <v>31</v>
      </c>
      <c r="J53" s="1340">
        <v>44652</v>
      </c>
      <c r="K53" s="1096">
        <v>161673</v>
      </c>
      <c r="L53" s="1048">
        <f>K53/30</f>
        <v>5389.1</v>
      </c>
      <c r="M53" s="1048" t="s">
        <v>563</v>
      </c>
      <c r="N53" s="1048">
        <f t="shared" ref="N53:N58" si="12">L53/10</f>
        <v>538.91000000000008</v>
      </c>
      <c r="O53" s="642">
        <v>1560</v>
      </c>
      <c r="P53" s="1048">
        <f>N53/O53*100</f>
        <v>34.545512820512826</v>
      </c>
      <c r="Q53" s="33">
        <v>2890</v>
      </c>
      <c r="R53" s="476">
        <f t="shared" si="11"/>
        <v>20.48108047773189</v>
      </c>
      <c r="S53" s="1292"/>
      <c r="T53" s="1292"/>
    </row>
    <row r="54" spans="8:27" ht="40.5" customHeight="1" x14ac:dyDescent="0.35">
      <c r="I54" s="5">
        <v>30</v>
      </c>
      <c r="J54" s="1340">
        <v>44682</v>
      </c>
      <c r="K54" s="476">
        <v>123835</v>
      </c>
      <c r="L54" s="476">
        <f>K54/31</f>
        <v>3994.6774193548385</v>
      </c>
      <c r="M54" s="1048" t="s">
        <v>563</v>
      </c>
      <c r="N54" s="1048">
        <f t="shared" si="12"/>
        <v>399.46774193548384</v>
      </c>
      <c r="O54" s="642">
        <v>1560</v>
      </c>
      <c r="P54" s="476">
        <f>N54/O54*100</f>
        <v>25.606906534325883</v>
      </c>
      <c r="Q54" s="33">
        <v>2890</v>
      </c>
      <c r="R54" s="476">
        <f t="shared" si="11"/>
        <v>6.0449826989619373</v>
      </c>
      <c r="S54" s="1292"/>
      <c r="T54" s="1292"/>
    </row>
    <row r="55" spans="8:27" ht="40.5" customHeight="1" x14ac:dyDescent="0.35">
      <c r="I55" s="5">
        <v>31</v>
      </c>
      <c r="J55" s="1340">
        <v>44713</v>
      </c>
      <c r="K55" s="476">
        <v>179195</v>
      </c>
      <c r="L55" s="476">
        <f>K55/31</f>
        <v>5780.4838709677415</v>
      </c>
      <c r="M55" s="1048" t="s">
        <v>563</v>
      </c>
      <c r="N55" s="1048">
        <f t="shared" si="12"/>
        <v>578.04838709677415</v>
      </c>
      <c r="O55" s="642">
        <v>1560</v>
      </c>
      <c r="P55" s="476">
        <f>N55/O55*100</f>
        <v>37.054383788254754</v>
      </c>
      <c r="Q55" s="33">
        <v>2890</v>
      </c>
      <c r="R55" s="476">
        <f t="shared" si="11"/>
        <v>15.0426944971537</v>
      </c>
      <c r="S55" s="1292"/>
      <c r="T55" s="1292"/>
    </row>
    <row r="56" spans="8:27" ht="40.5" customHeight="1" x14ac:dyDescent="0.35">
      <c r="I56" s="5">
        <v>30</v>
      </c>
      <c r="J56" s="1340">
        <v>44743</v>
      </c>
      <c r="K56" s="476">
        <v>184987</v>
      </c>
      <c r="L56" s="476">
        <f>K56/31</f>
        <v>5967.322580645161</v>
      </c>
      <c r="M56" s="1048" t="s">
        <v>563</v>
      </c>
      <c r="N56" s="1048">
        <f t="shared" si="12"/>
        <v>596.73225806451615</v>
      </c>
      <c r="O56" s="642">
        <v>1560</v>
      </c>
      <c r="P56" s="476">
        <f>N56/O53*100</f>
        <v>38.252067824648471</v>
      </c>
      <c r="Q56" s="33">
        <v>2890</v>
      </c>
      <c r="R56" s="476">
        <f t="shared" si="11"/>
        <v>16.872116493656286</v>
      </c>
      <c r="S56" s="1292"/>
      <c r="T56" s="1292"/>
    </row>
    <row r="57" spans="8:27" ht="40.5" customHeight="1" x14ac:dyDescent="0.35">
      <c r="I57" s="5">
        <v>31</v>
      </c>
      <c r="J57" s="1340">
        <v>44774</v>
      </c>
      <c r="K57" s="476">
        <v>183490</v>
      </c>
      <c r="L57" s="476">
        <f>K57/31</f>
        <v>5919.0322580645161</v>
      </c>
      <c r="M57" s="1048" t="s">
        <v>563</v>
      </c>
      <c r="N57" s="1048">
        <f t="shared" si="12"/>
        <v>591.90322580645159</v>
      </c>
      <c r="O57" s="642">
        <v>1560</v>
      </c>
      <c r="P57" s="476">
        <f>N57/O53*100</f>
        <v>37.942514474772537</v>
      </c>
      <c r="Q57" s="33">
        <v>2890</v>
      </c>
      <c r="R57" s="476">
        <f t="shared" si="11"/>
        <v>16.09143040517915</v>
      </c>
      <c r="S57" s="1292"/>
      <c r="T57" s="1292"/>
    </row>
    <row r="58" spans="8:27" ht="39" customHeight="1" x14ac:dyDescent="0.35">
      <c r="I58" s="5">
        <v>31</v>
      </c>
      <c r="J58" s="1340">
        <v>44805</v>
      </c>
      <c r="K58" s="476">
        <v>220975</v>
      </c>
      <c r="L58" s="476">
        <v>1747</v>
      </c>
      <c r="M58" s="1048" t="s">
        <v>563</v>
      </c>
      <c r="N58" s="1048">
        <f t="shared" si="12"/>
        <v>174.7</v>
      </c>
      <c r="O58" s="642">
        <v>1560</v>
      </c>
      <c r="P58" s="476">
        <f>N58/O53*100</f>
        <v>11.198717948717949</v>
      </c>
      <c r="Q58" s="33">
        <v>2890</v>
      </c>
      <c r="R58" s="476">
        <f t="shared" si="11"/>
        <v>16.226211072664359</v>
      </c>
      <c r="S58" s="1292"/>
      <c r="T58" s="1292"/>
    </row>
    <row r="59" spans="8:27" ht="32.25" customHeight="1" x14ac:dyDescent="0.35">
      <c r="I59" s="5">
        <v>28</v>
      </c>
      <c r="J59" s="1340">
        <v>44835</v>
      </c>
      <c r="K59" s="476">
        <v>215628</v>
      </c>
      <c r="L59" s="476">
        <f>K59/31</f>
        <v>6955.7419354838712</v>
      </c>
      <c r="M59" s="33" t="s">
        <v>564</v>
      </c>
      <c r="N59" s="931">
        <f t="shared" ref="N59:N65" si="13">L59/16</f>
        <v>434.73387096774195</v>
      </c>
      <c r="O59" s="642">
        <v>1560</v>
      </c>
      <c r="P59" s="476">
        <f>N59/O53*100</f>
        <v>27.867555831265513</v>
      </c>
      <c r="Q59" s="33">
        <v>2890</v>
      </c>
      <c r="R59" s="476">
        <f t="shared" si="11"/>
        <v>16.893536826495303</v>
      </c>
      <c r="S59" s="1292"/>
      <c r="T59" s="1292"/>
      <c r="U59" s="301"/>
    </row>
    <row r="60" spans="8:27" ht="30" customHeight="1" x14ac:dyDescent="0.35">
      <c r="J60" s="1340">
        <v>44866</v>
      </c>
      <c r="K60" s="476">
        <v>234050</v>
      </c>
      <c r="L60" s="476">
        <f>K60/30</f>
        <v>7801.666666666667</v>
      </c>
      <c r="M60" s="33" t="s">
        <v>564</v>
      </c>
      <c r="N60" s="931">
        <f t="shared" si="13"/>
        <v>487.60416666666669</v>
      </c>
      <c r="O60" s="642">
        <v>1560</v>
      </c>
      <c r="P60" s="476">
        <f>N60/O53*100</f>
        <v>31.256677350427353</v>
      </c>
      <c r="Q60" s="33">
        <v>2890</v>
      </c>
      <c r="R60" s="476">
        <f t="shared" si="11"/>
        <v>0</v>
      </c>
      <c r="S60" s="1292"/>
      <c r="T60" s="1292"/>
    </row>
    <row r="61" spans="8:27" ht="27" customHeight="1" x14ac:dyDescent="0.35">
      <c r="J61" s="1340">
        <v>44896</v>
      </c>
      <c r="K61" s="476">
        <v>230661</v>
      </c>
      <c r="L61" s="476">
        <f>K61/31</f>
        <v>7440.677419354839</v>
      </c>
      <c r="M61" s="33" t="s">
        <v>564</v>
      </c>
      <c r="N61" s="931">
        <f t="shared" si="13"/>
        <v>465.04233870967744</v>
      </c>
      <c r="O61" s="642">
        <v>1560</v>
      </c>
      <c r="P61" s="476">
        <f>N61/O53*100</f>
        <v>29.810406327543426</v>
      </c>
      <c r="Q61" s="33">
        <v>2890</v>
      </c>
      <c r="R61" s="476">
        <f t="shared" si="11"/>
        <v>14.649653979238755</v>
      </c>
      <c r="S61" s="1292"/>
      <c r="T61" s="1292"/>
      <c r="V61" s="5">
        <f>84+84</f>
        <v>168</v>
      </c>
      <c r="X61" s="5">
        <f>247+247</f>
        <v>494</v>
      </c>
    </row>
    <row r="62" spans="8:27" ht="15.75" x14ac:dyDescent="0.35">
      <c r="J62" s="1340">
        <v>44927</v>
      </c>
      <c r="K62" s="33">
        <v>232593</v>
      </c>
      <c r="L62" s="476">
        <f>K62/31</f>
        <v>7503</v>
      </c>
      <c r="M62" s="33" t="s">
        <v>564</v>
      </c>
      <c r="N62" s="931">
        <f t="shared" si="13"/>
        <v>468.9375</v>
      </c>
      <c r="O62" s="642">
        <v>1560</v>
      </c>
      <c r="P62" s="476">
        <f>N62/O53*100</f>
        <v>30.060096153846157</v>
      </c>
      <c r="V62" s="5">
        <f>V49-V61</f>
        <v>833012</v>
      </c>
      <c r="X62" s="5" t="e">
        <f>X49-X61</f>
        <v>#VALUE!</v>
      </c>
      <c r="Z62" s="5" t="e">
        <f>V62+X62</f>
        <v>#VALUE!</v>
      </c>
    </row>
    <row r="63" spans="8:27" ht="15.75" x14ac:dyDescent="0.4">
      <c r="J63" s="1340">
        <v>44958</v>
      </c>
      <c r="K63" s="972">
        <v>218724</v>
      </c>
      <c r="L63" s="476">
        <f>K63/28</f>
        <v>7811.5714285714284</v>
      </c>
      <c r="M63" s="33" t="s">
        <v>564</v>
      </c>
      <c r="N63" s="931">
        <f t="shared" si="13"/>
        <v>488.22321428571428</v>
      </c>
      <c r="O63" s="642">
        <v>1560</v>
      </c>
      <c r="P63" s="476">
        <f>N63/O53*100</f>
        <v>31.296359890109887</v>
      </c>
      <c r="Q63" s="1475"/>
    </row>
    <row r="64" spans="8:27" ht="124.9" x14ac:dyDescent="0.35">
      <c r="H64" s="272" t="s">
        <v>571</v>
      </c>
      <c r="I64" s="779" t="s">
        <v>572</v>
      </c>
      <c r="J64" s="1340">
        <v>44986</v>
      </c>
      <c r="K64" s="972"/>
      <c r="L64" s="476">
        <f>K64/31</f>
        <v>0</v>
      </c>
      <c r="M64" s="33" t="s">
        <v>564</v>
      </c>
      <c r="N64" s="931">
        <f t="shared" si="13"/>
        <v>0</v>
      </c>
      <c r="O64" s="642">
        <v>1560</v>
      </c>
      <c r="P64" s="476">
        <f>N64/O53*100</f>
        <v>0</v>
      </c>
      <c r="Q64" s="779" t="s">
        <v>531</v>
      </c>
    </row>
    <row r="65" spans="8:20" ht="15.75" x14ac:dyDescent="0.4">
      <c r="H65" s="780">
        <v>6642</v>
      </c>
      <c r="I65" s="780">
        <f>H65/30</f>
        <v>221.4</v>
      </c>
      <c r="J65" s="29" t="s">
        <v>63</v>
      </c>
      <c r="K65" s="476">
        <f>SUM(K53:K64)</f>
        <v>2185811</v>
      </c>
      <c r="L65" s="476">
        <v>6774</v>
      </c>
      <c r="M65" s="33" t="s">
        <v>564</v>
      </c>
      <c r="N65" s="931">
        <f t="shared" si="13"/>
        <v>423.375</v>
      </c>
      <c r="O65" s="642">
        <v>1560</v>
      </c>
      <c r="P65" s="476">
        <f>N65/O65*100</f>
        <v>27.139423076923073</v>
      </c>
      <c r="Q65" s="476">
        <f>N69/O69*100</f>
        <v>13.265385040327034</v>
      </c>
      <c r="R65" s="84">
        <v>96052</v>
      </c>
    </row>
    <row r="66" spans="8:20" x14ac:dyDescent="0.4">
      <c r="H66" s="780">
        <v>6765</v>
      </c>
      <c r="I66" s="780">
        <f>H66/31</f>
        <v>218.2258064516129</v>
      </c>
      <c r="Q66" s="476">
        <f>N70/O69*100</f>
        <v>11.874378521710307</v>
      </c>
      <c r="R66" s="84">
        <v>88846</v>
      </c>
    </row>
    <row r="67" spans="8:20" x14ac:dyDescent="0.4">
      <c r="H67" s="780">
        <f>100+2325+9603</f>
        <v>12028</v>
      </c>
      <c r="I67" s="780">
        <f>H67/30</f>
        <v>400.93333333333334</v>
      </c>
      <c r="J67" s="1475" t="s">
        <v>507</v>
      </c>
      <c r="K67" s="1475"/>
      <c r="L67" s="1475"/>
      <c r="M67" s="1475"/>
      <c r="N67" s="1475"/>
      <c r="O67" s="1475"/>
      <c r="P67" s="1475"/>
      <c r="Q67" s="476">
        <f>N71/O69*100</f>
        <v>18.750966744006188</v>
      </c>
      <c r="R67" s="84">
        <v>135772</v>
      </c>
    </row>
    <row r="68" spans="8:20" ht="55.5" x14ac:dyDescent="0.35">
      <c r="H68" s="780">
        <f>154+2837+3+7760</f>
        <v>10754</v>
      </c>
      <c r="I68" s="780">
        <f>H68/31</f>
        <v>346.90322580645159</v>
      </c>
      <c r="J68" s="272" t="s">
        <v>127</v>
      </c>
      <c r="K68" s="272" t="s">
        <v>237</v>
      </c>
      <c r="L68" s="272" t="s">
        <v>504</v>
      </c>
      <c r="M68" s="779" t="s">
        <v>508</v>
      </c>
      <c r="N68" s="779" t="s">
        <v>505</v>
      </c>
      <c r="O68" s="779" t="s">
        <v>664</v>
      </c>
      <c r="P68" s="779"/>
      <c r="Q68" s="476">
        <f>N72/O69*100</f>
        <v>21.480027157933002</v>
      </c>
      <c r="R68" s="84">
        <v>160717</v>
      </c>
    </row>
    <row r="69" spans="8:20" x14ac:dyDescent="0.35">
      <c r="H69" s="780">
        <f>229+3571+10+9237</f>
        <v>13047</v>
      </c>
      <c r="I69" s="780">
        <f>H69/31</f>
        <v>420.87096774193549</v>
      </c>
      <c r="J69" s="834">
        <v>44287</v>
      </c>
      <c r="K69" s="33">
        <v>96052</v>
      </c>
      <c r="L69" s="476">
        <f>K69/30</f>
        <v>3201.7333333333331</v>
      </c>
      <c r="M69" s="2551" t="s">
        <v>506</v>
      </c>
      <c r="N69" s="476">
        <f>L69/8</f>
        <v>400.21666666666664</v>
      </c>
      <c r="O69" s="2551">
        <v>3017</v>
      </c>
      <c r="P69" s="2503"/>
      <c r="Q69" s="476">
        <f>N73/O69*100</f>
        <v>27.106878227677573</v>
      </c>
      <c r="R69" s="84">
        <v>202818</v>
      </c>
    </row>
    <row r="70" spans="8:20" x14ac:dyDescent="0.35">
      <c r="H70" s="780">
        <v>13834</v>
      </c>
      <c r="I70" s="780">
        <f>H70/30</f>
        <v>461.13333333333333</v>
      </c>
      <c r="J70" s="834">
        <v>44317</v>
      </c>
      <c r="K70" s="33">
        <v>88846</v>
      </c>
      <c r="L70" s="476">
        <f>K70/31</f>
        <v>2866</v>
      </c>
      <c r="M70" s="2551"/>
      <c r="N70" s="476">
        <f>L70/8</f>
        <v>358.25</v>
      </c>
      <c r="O70" s="2551"/>
      <c r="P70" s="1936"/>
      <c r="Q70" s="476">
        <f>N74/O69*100</f>
        <v>27.703126726328581</v>
      </c>
      <c r="R70" s="84">
        <v>250741</v>
      </c>
    </row>
    <row r="71" spans="8:20" x14ac:dyDescent="0.4">
      <c r="H71" s="780">
        <v>14385</v>
      </c>
      <c r="I71" s="780">
        <f>H71/31</f>
        <v>464.03225806451616</v>
      </c>
      <c r="J71" s="834">
        <v>44348</v>
      </c>
      <c r="K71" s="33">
        <v>135772</v>
      </c>
      <c r="L71" s="476">
        <f>K71/30</f>
        <v>4525.7333333333336</v>
      </c>
      <c r="M71" s="2551"/>
      <c r="N71" s="476">
        <f>L71/8</f>
        <v>565.7166666666667</v>
      </c>
      <c r="O71" s="2551"/>
      <c r="P71" s="1936"/>
      <c r="Q71" s="476">
        <f>N75/O69*100</f>
        <v>26.495691083858137</v>
      </c>
      <c r="R71" s="762">
        <v>319750</v>
      </c>
      <c r="S71" s="762"/>
      <c r="T71" s="762"/>
    </row>
    <row r="72" spans="8:20" x14ac:dyDescent="0.4">
      <c r="H72" s="851"/>
      <c r="I72" s="851"/>
      <c r="J72" s="834">
        <v>44378</v>
      </c>
      <c r="K72" s="33">
        <v>160717</v>
      </c>
      <c r="L72" s="476">
        <f>K72/31</f>
        <v>5184.4193548387093</v>
      </c>
      <c r="M72" s="2551"/>
      <c r="N72" s="476">
        <f>L72/8</f>
        <v>648.05241935483866</v>
      </c>
      <c r="O72" s="2551"/>
      <c r="P72" s="1936"/>
      <c r="Q72" s="476">
        <f>N76/O69*100</f>
        <v>31.549483482488121</v>
      </c>
      <c r="R72" s="762">
        <v>456887</v>
      </c>
      <c r="S72" s="762"/>
      <c r="T72" s="762"/>
    </row>
    <row r="73" spans="8:20" x14ac:dyDescent="0.4">
      <c r="H73" s="851"/>
      <c r="I73" s="851"/>
      <c r="J73" s="834">
        <v>44409</v>
      </c>
      <c r="K73" s="33">
        <v>202818</v>
      </c>
      <c r="L73" s="476">
        <f>K73/31</f>
        <v>6542.5161290322585</v>
      </c>
      <c r="M73" s="2551"/>
      <c r="N73" s="476">
        <f>L73/8</f>
        <v>817.81451612903231</v>
      </c>
      <c r="O73" s="2551"/>
      <c r="P73" s="1936"/>
      <c r="Q73" s="476">
        <f>N77/O69*100</f>
        <v>39.386821452628652</v>
      </c>
      <c r="R73" s="762">
        <v>589397</v>
      </c>
      <c r="S73" s="762"/>
      <c r="T73" s="762"/>
    </row>
    <row r="74" spans="8:20" x14ac:dyDescent="0.4">
      <c r="H74" s="26"/>
      <c r="I74" s="26"/>
      <c r="J74" s="834">
        <v>44440</v>
      </c>
      <c r="K74" s="33">
        <v>250741</v>
      </c>
      <c r="L74" s="476">
        <f>K74/30</f>
        <v>8358.0333333333328</v>
      </c>
      <c r="M74" s="33" t="s">
        <v>563</v>
      </c>
      <c r="N74" s="476">
        <f>L74/10</f>
        <v>835.80333333333328</v>
      </c>
      <c r="O74" s="2551"/>
      <c r="P74" s="1936"/>
      <c r="Q74" s="476">
        <f>N78/O69*100</f>
        <v>36.134552054486939</v>
      </c>
      <c r="R74" s="762">
        <v>540729</v>
      </c>
      <c r="S74" s="762"/>
      <c r="T74" s="762"/>
    </row>
    <row r="75" spans="8:20" x14ac:dyDescent="0.4">
      <c r="H75" s="26"/>
      <c r="I75" s="26"/>
      <c r="J75" s="834">
        <v>44470</v>
      </c>
      <c r="K75" s="33">
        <v>319750</v>
      </c>
      <c r="L75" s="476">
        <f>K75/31</f>
        <v>10314.516129032258</v>
      </c>
      <c r="M75" s="33" t="s">
        <v>564</v>
      </c>
      <c r="N75" s="476">
        <f>K75/400</f>
        <v>799.375</v>
      </c>
      <c r="O75" s="2551"/>
      <c r="P75" s="1936"/>
      <c r="Q75" s="476">
        <f>N79/O69*100</f>
        <v>49.209612789431318</v>
      </c>
      <c r="R75" s="762">
        <v>665125</v>
      </c>
      <c r="S75" s="762"/>
      <c r="T75" s="762"/>
    </row>
    <row r="76" spans="8:20" x14ac:dyDescent="0.4">
      <c r="H76" s="26"/>
      <c r="I76" s="26"/>
      <c r="J76" s="837" t="s">
        <v>583</v>
      </c>
      <c r="K76" s="33">
        <v>456887</v>
      </c>
      <c r="L76" s="476">
        <f>K76/30</f>
        <v>15229.566666666668</v>
      </c>
      <c r="M76" s="973" t="s">
        <v>564</v>
      </c>
      <c r="N76" s="476">
        <f>L76/16</f>
        <v>951.84791666666672</v>
      </c>
      <c r="O76" s="2551"/>
      <c r="P76" s="1936"/>
      <c r="Q76" s="476">
        <f>N80/O69*100</f>
        <v>50.778919456413654</v>
      </c>
      <c r="R76" s="762">
        <v>949871</v>
      </c>
      <c r="S76" s="762"/>
      <c r="T76" s="762"/>
    </row>
    <row r="77" spans="8:20" x14ac:dyDescent="0.4">
      <c r="J77" s="837" t="s">
        <v>603</v>
      </c>
      <c r="K77" s="33">
        <v>589397</v>
      </c>
      <c r="L77" s="476">
        <f>K77/31</f>
        <v>19012.806451612902</v>
      </c>
      <c r="M77" s="973" t="s">
        <v>564</v>
      </c>
      <c r="N77" s="476">
        <f>L77/16</f>
        <v>1188.3004032258063</v>
      </c>
      <c r="O77" s="2551"/>
      <c r="P77" s="1936"/>
      <c r="Q77" s="762"/>
    </row>
    <row r="78" spans="8:20" ht="53.25" customHeight="1" x14ac:dyDescent="0.35">
      <c r="J78" s="933" t="s">
        <v>625</v>
      </c>
      <c r="K78" s="33">
        <v>540729</v>
      </c>
      <c r="L78" s="974">
        <f>K78/31</f>
        <v>17442.870967741936</v>
      </c>
      <c r="M78" s="973" t="s">
        <v>564</v>
      </c>
      <c r="N78" s="476">
        <f>L78/16</f>
        <v>1090.179435483871</v>
      </c>
      <c r="O78" s="2551"/>
      <c r="P78" s="1936"/>
      <c r="Q78" s="779" t="s">
        <v>531</v>
      </c>
    </row>
    <row r="79" spans="8:20" x14ac:dyDescent="0.35">
      <c r="J79" s="933" t="s">
        <v>645</v>
      </c>
      <c r="K79" s="33">
        <v>665125</v>
      </c>
      <c r="L79" s="476">
        <f>K79/28</f>
        <v>23754.464285714286</v>
      </c>
      <c r="M79" s="33" t="s">
        <v>564</v>
      </c>
      <c r="N79" s="476">
        <f>L79/16</f>
        <v>1484.6540178571429</v>
      </c>
      <c r="O79" s="2551"/>
      <c r="P79" s="1936"/>
      <c r="Q79" s="476">
        <f>N83/O83*100</f>
        <v>14.022743425728502</v>
      </c>
    </row>
    <row r="80" spans="8:20" x14ac:dyDescent="0.35">
      <c r="J80" s="933" t="s">
        <v>661</v>
      </c>
      <c r="K80" s="33">
        <v>949871</v>
      </c>
      <c r="L80" s="33">
        <f>K80/31</f>
        <v>30641</v>
      </c>
      <c r="M80" s="975" t="s">
        <v>662</v>
      </c>
      <c r="N80" s="975" t="s">
        <v>663</v>
      </c>
      <c r="O80" s="2551"/>
      <c r="P80" s="1937"/>
      <c r="Q80" s="476">
        <f>N84/O83*100</f>
        <v>9.8333218699131066</v>
      </c>
    </row>
    <row r="81" spans="10:32" x14ac:dyDescent="0.4">
      <c r="J81" s="762" t="s">
        <v>533</v>
      </c>
      <c r="K81" s="762"/>
      <c r="L81" s="762"/>
      <c r="M81" s="762"/>
      <c r="N81" s="762"/>
      <c r="O81" s="762"/>
      <c r="P81" s="762"/>
      <c r="Q81" s="476">
        <f>N85/O83*100</f>
        <v>22.003079838900732</v>
      </c>
    </row>
    <row r="82" spans="10:32" ht="41.65" x14ac:dyDescent="0.35">
      <c r="J82" s="272" t="s">
        <v>127</v>
      </c>
      <c r="K82" s="779" t="s">
        <v>237</v>
      </c>
      <c r="L82" s="272" t="s">
        <v>504</v>
      </c>
      <c r="M82" s="779" t="s">
        <v>532</v>
      </c>
      <c r="N82" s="779" t="s">
        <v>505</v>
      </c>
      <c r="O82" s="779" t="s">
        <v>565</v>
      </c>
      <c r="P82" s="779"/>
      <c r="Q82" s="476">
        <f>N86/O83*100</f>
        <v>21.77075452231928</v>
      </c>
    </row>
    <row r="83" spans="10:32" ht="14.25" x14ac:dyDescent="0.35">
      <c r="J83" s="834">
        <v>44287</v>
      </c>
      <c r="K83" s="476">
        <v>23676</v>
      </c>
      <c r="L83" s="476">
        <f>K83/30</f>
        <v>789.2</v>
      </c>
      <c r="M83" s="2550" t="s">
        <v>606</v>
      </c>
      <c r="N83" s="931">
        <f>L83/4</f>
        <v>197.3</v>
      </c>
      <c r="O83" s="2503">
        <v>1407</v>
      </c>
      <c r="P83" s="277"/>
      <c r="Q83" s="476">
        <f>N87/O83*100</f>
        <v>25.797280876722379</v>
      </c>
    </row>
    <row r="84" spans="10:32" ht="14.25" x14ac:dyDescent="0.35">
      <c r="J84" s="834">
        <v>44317</v>
      </c>
      <c r="K84" s="476">
        <v>17156</v>
      </c>
      <c r="L84" s="476">
        <f>K84/31</f>
        <v>553.41935483870964</v>
      </c>
      <c r="M84" s="2550"/>
      <c r="N84" s="931">
        <f t="shared" ref="N84:N89" si="14">L84/4</f>
        <v>138.35483870967741</v>
      </c>
      <c r="O84" s="1936"/>
      <c r="P84" s="275"/>
      <c r="Q84" s="476">
        <f>N88/O83*100</f>
        <v>31.041222459132907</v>
      </c>
    </row>
    <row r="85" spans="10:32" ht="14.25" x14ac:dyDescent="0.35">
      <c r="J85" s="834">
        <v>44348</v>
      </c>
      <c r="K85" s="476">
        <v>37150</v>
      </c>
      <c r="L85" s="476">
        <f>K85/30</f>
        <v>1238.3333333333333</v>
      </c>
      <c r="M85" s="2550"/>
      <c r="N85" s="931">
        <f t="shared" si="14"/>
        <v>309.58333333333331</v>
      </c>
      <c r="O85" s="1936"/>
      <c r="P85" s="275"/>
      <c r="Q85" s="476">
        <f>N89/O83*100</f>
        <v>24.501914391177753</v>
      </c>
    </row>
    <row r="86" spans="10:32" ht="14.25" x14ac:dyDescent="0.35">
      <c r="J86" s="834">
        <v>44378</v>
      </c>
      <c r="K86" s="476">
        <v>37983</v>
      </c>
      <c r="L86" s="476">
        <f>K86/31</f>
        <v>1225.258064516129</v>
      </c>
      <c r="M86" s="2550"/>
      <c r="N86" s="931">
        <f t="shared" si="14"/>
        <v>306.31451612903226</v>
      </c>
      <c r="O86" s="1936"/>
      <c r="P86" s="275"/>
      <c r="Q86" s="476">
        <f>N90/O83*100</f>
        <v>20.17590618336887</v>
      </c>
    </row>
    <row r="87" spans="10:32" ht="14.25" x14ac:dyDescent="0.35">
      <c r="J87" s="834">
        <v>44409</v>
      </c>
      <c r="K87" s="476">
        <v>45008</v>
      </c>
      <c r="L87" s="476">
        <f>K87/31</f>
        <v>1451.8709677419354</v>
      </c>
      <c r="M87" s="2550"/>
      <c r="N87" s="931">
        <f t="shared" si="14"/>
        <v>362.96774193548384</v>
      </c>
      <c r="O87" s="1936"/>
      <c r="P87" s="275"/>
      <c r="Q87" s="476">
        <f>N91/O83*100</f>
        <v>19.368881399454342</v>
      </c>
    </row>
    <row r="88" spans="10:32" ht="14.25" x14ac:dyDescent="0.35">
      <c r="J88" s="834">
        <v>44440</v>
      </c>
      <c r="K88" s="476">
        <v>38028</v>
      </c>
      <c r="L88" s="476">
        <v>1747</v>
      </c>
      <c r="M88" s="2550"/>
      <c r="N88" s="931">
        <f t="shared" si="14"/>
        <v>436.75</v>
      </c>
      <c r="O88" s="1936"/>
      <c r="P88" s="275"/>
      <c r="Q88" s="476">
        <f>N92/O83*100</f>
        <v>19.018673911548248</v>
      </c>
    </row>
    <row r="89" spans="10:32" ht="14.25" x14ac:dyDescent="0.35">
      <c r="J89" s="834">
        <v>44470</v>
      </c>
      <c r="K89" s="476">
        <v>42748</v>
      </c>
      <c r="L89" s="476">
        <f>K89/31</f>
        <v>1378.9677419354839</v>
      </c>
      <c r="M89" s="2550"/>
      <c r="N89" s="931">
        <f t="shared" si="14"/>
        <v>344.74193548387098</v>
      </c>
      <c r="O89" s="1936"/>
      <c r="P89" s="275"/>
      <c r="Q89" s="476">
        <f>N93/O83*100</f>
        <v>26.067684536501169</v>
      </c>
    </row>
    <row r="90" spans="10:32" x14ac:dyDescent="0.35">
      <c r="J90" s="837" t="s">
        <v>583</v>
      </c>
      <c r="K90" s="476">
        <v>68130</v>
      </c>
      <c r="L90" s="476">
        <f>K90/30</f>
        <v>2271</v>
      </c>
      <c r="M90" s="476" t="s">
        <v>605</v>
      </c>
      <c r="N90" s="476">
        <f>L90/8</f>
        <v>283.875</v>
      </c>
      <c r="O90" s="1936"/>
      <c r="P90" s="275"/>
      <c r="Q90" s="476">
        <f>N94/O83*100</f>
        <v>29.478471696815461</v>
      </c>
    </row>
    <row r="91" spans="10:32" x14ac:dyDescent="0.35">
      <c r="J91" s="837" t="s">
        <v>603</v>
      </c>
      <c r="K91" s="476">
        <v>67585</v>
      </c>
      <c r="L91" s="476">
        <f>K91/31</f>
        <v>2180.1612903225805</v>
      </c>
      <c r="M91" s="476" t="s">
        <v>605</v>
      </c>
      <c r="N91" s="476">
        <f>L91/8</f>
        <v>272.52016129032256</v>
      </c>
      <c r="O91" s="1936"/>
      <c r="P91" s="275"/>
    </row>
    <row r="92" spans="10:32" x14ac:dyDescent="0.35">
      <c r="J92" s="837" t="s">
        <v>625</v>
      </c>
      <c r="K92" s="33">
        <v>66363</v>
      </c>
      <c r="L92" s="476">
        <f>K92/31</f>
        <v>2140.7419354838707</v>
      </c>
      <c r="M92" s="476" t="s">
        <v>605</v>
      </c>
      <c r="N92" s="476">
        <f>L92/8</f>
        <v>267.59274193548384</v>
      </c>
      <c r="O92" s="1936"/>
      <c r="P92" s="275"/>
    </row>
    <row r="93" spans="10:32" ht="27.75" customHeight="1" x14ac:dyDescent="0.35">
      <c r="J93" s="933" t="s">
        <v>645</v>
      </c>
      <c r="K93" s="972">
        <v>82157</v>
      </c>
      <c r="L93" s="476">
        <f>K93/28</f>
        <v>2934.1785714285716</v>
      </c>
      <c r="M93" s="476" t="s">
        <v>605</v>
      </c>
      <c r="N93" s="476">
        <f>L93/8</f>
        <v>366.77232142857144</v>
      </c>
      <c r="O93" s="1936"/>
      <c r="P93" s="275"/>
      <c r="AA93" s="2548" t="s">
        <v>706</v>
      </c>
      <c r="AB93" s="2548"/>
      <c r="AC93" s="2548"/>
      <c r="AD93" s="2548"/>
      <c r="AE93" s="2548"/>
      <c r="AF93" s="2548"/>
    </row>
    <row r="94" spans="10:32" ht="30.75" customHeight="1" x14ac:dyDescent="0.35">
      <c r="J94" s="933" t="s">
        <v>661</v>
      </c>
      <c r="K94" s="972">
        <v>102861</v>
      </c>
      <c r="L94" s="476">
        <f>K94/31</f>
        <v>3318.0967741935483</v>
      </c>
      <c r="M94" s="476" t="s">
        <v>605</v>
      </c>
      <c r="N94" s="476">
        <f>L94/8</f>
        <v>414.76209677419354</v>
      </c>
      <c r="O94" s="1937"/>
      <c r="P94" s="276"/>
      <c r="AA94" s="857" t="s">
        <v>702</v>
      </c>
      <c r="AB94" s="857" t="s">
        <v>701</v>
      </c>
      <c r="AC94" s="857" t="s">
        <v>77</v>
      </c>
      <c r="AD94" s="857" t="s">
        <v>494</v>
      </c>
      <c r="AE94" s="1130" t="s">
        <v>707</v>
      </c>
      <c r="AF94" s="1130" t="s">
        <v>708</v>
      </c>
    </row>
    <row r="95" spans="10:32" ht="36.75" customHeight="1" x14ac:dyDescent="0.4">
      <c r="AA95" s="1093" t="s">
        <v>703</v>
      </c>
      <c r="AB95" s="289">
        <v>54</v>
      </c>
      <c r="AC95" s="289">
        <v>63</v>
      </c>
      <c r="AD95" s="1094">
        <f>(AB95-AC95)/AC95*100</f>
        <v>-14.285714285714285</v>
      </c>
      <c r="AE95" s="289">
        <v>12</v>
      </c>
      <c r="AF95" s="1094">
        <f>AB95/AC95*100</f>
        <v>85.714285714285708</v>
      </c>
    </row>
    <row r="96" spans="10:32" ht="25.5" customHeight="1" x14ac:dyDescent="0.4">
      <c r="AA96" s="289" t="s">
        <v>704</v>
      </c>
      <c r="AB96" s="289">
        <v>26</v>
      </c>
      <c r="AC96" s="289">
        <v>44</v>
      </c>
      <c r="AD96" s="1094">
        <f>(AB96-AC96)/AC96*100</f>
        <v>-40.909090909090914</v>
      </c>
      <c r="AE96" s="289">
        <v>18</v>
      </c>
      <c r="AF96" s="1094">
        <f>AB96/AC96*100</f>
        <v>59.090909090909093</v>
      </c>
    </row>
    <row r="97" spans="10:32" ht="30.75" customHeight="1" x14ac:dyDescent="0.4">
      <c r="AA97" s="1093" t="s">
        <v>705</v>
      </c>
      <c r="AB97" s="289">
        <v>36</v>
      </c>
      <c r="AC97" s="289">
        <v>54</v>
      </c>
      <c r="AD97" s="1094">
        <f>(AB97-AC97)/AC97*100</f>
        <v>-33.333333333333329</v>
      </c>
      <c r="AE97" s="289">
        <v>17</v>
      </c>
      <c r="AF97" s="1094">
        <f>AB97/AC97*100</f>
        <v>66.666666666666657</v>
      </c>
    </row>
    <row r="98" spans="10:32" ht="21.75" customHeight="1" x14ac:dyDescent="0.4">
      <c r="AA98" s="857" t="s">
        <v>63</v>
      </c>
      <c r="AB98" s="857">
        <f>SUM(AB95:AB97)</f>
        <v>116</v>
      </c>
      <c r="AC98" s="857">
        <f>SUM(AC95:AC97)</f>
        <v>161</v>
      </c>
      <c r="AD98" s="1094">
        <f>(AB98-AC98)/AC98*100</f>
        <v>-27.950310559006208</v>
      </c>
      <c r="AE98" s="857">
        <f>SUM(AE95:AE97)</f>
        <v>47</v>
      </c>
      <c r="AF98" s="1094">
        <f>AB98/AC98*100</f>
        <v>72.049689440993788</v>
      </c>
    </row>
    <row r="99" spans="10:32" ht="25.5" customHeight="1" x14ac:dyDescent="0.4"/>
    <row r="100" spans="10:32" ht="17.649999999999999" x14ac:dyDescent="0.5">
      <c r="J100" s="26"/>
      <c r="K100" s="2546" t="s">
        <v>1076</v>
      </c>
      <c r="L100" s="2546"/>
      <c r="M100" s="2546"/>
      <c r="N100" s="2546"/>
      <c r="O100" s="2546"/>
      <c r="P100" s="2546"/>
    </row>
    <row r="101" spans="10:32" x14ac:dyDescent="0.4">
      <c r="J101" s="1939" t="s">
        <v>127</v>
      </c>
      <c r="K101" s="1972" t="s">
        <v>1074</v>
      </c>
      <c r="L101" s="1939"/>
      <c r="M101" s="1939"/>
      <c r="N101" s="1939" t="s">
        <v>1069</v>
      </c>
      <c r="O101" s="1939"/>
      <c r="P101" s="1939"/>
    </row>
    <row r="102" spans="10:32" ht="15" customHeight="1" x14ac:dyDescent="0.35">
      <c r="J102" s="1939"/>
      <c r="K102" s="1525" t="s">
        <v>163</v>
      </c>
      <c r="L102" s="6" t="s">
        <v>164</v>
      </c>
      <c r="M102" s="6" t="s">
        <v>372</v>
      </c>
      <c r="N102" s="6" t="s">
        <v>163</v>
      </c>
      <c r="O102" s="6" t="s">
        <v>164</v>
      </c>
      <c r="P102" s="6" t="s">
        <v>372</v>
      </c>
    </row>
    <row r="103" spans="10:32" ht="15.75" x14ac:dyDescent="0.4">
      <c r="J103" s="1916">
        <v>45017</v>
      </c>
      <c r="K103" s="1915">
        <v>19265</v>
      </c>
      <c r="L103" s="1905">
        <v>48382</v>
      </c>
      <c r="M103" s="1905">
        <v>214485</v>
      </c>
      <c r="N103" s="1905">
        <v>3132</v>
      </c>
      <c r="O103" s="1905">
        <v>5418</v>
      </c>
      <c r="P103" s="1905">
        <v>28790</v>
      </c>
    </row>
    <row r="104" spans="10:32" ht="15.75" x14ac:dyDescent="0.4">
      <c r="J104" s="1916">
        <v>45047</v>
      </c>
      <c r="K104" s="1915">
        <v>19485</v>
      </c>
      <c r="L104" s="1905">
        <v>48747</v>
      </c>
      <c r="M104" s="1905">
        <v>217520</v>
      </c>
      <c r="N104" s="1905">
        <v>3188</v>
      </c>
      <c r="O104" s="1905">
        <v>5331</v>
      </c>
      <c r="P104" s="1905">
        <v>26860</v>
      </c>
    </row>
    <row r="105" spans="10:32" ht="15.75" x14ac:dyDescent="0.4">
      <c r="J105" s="1916">
        <v>45078</v>
      </c>
      <c r="K105" s="1915">
        <v>18666</v>
      </c>
      <c r="L105" s="1905">
        <v>47247</v>
      </c>
      <c r="M105" s="1905">
        <v>208615</v>
      </c>
      <c r="N105" s="1905">
        <v>3217</v>
      </c>
      <c r="O105" s="1905">
        <v>5446</v>
      </c>
      <c r="P105" s="1905">
        <v>27920</v>
      </c>
    </row>
    <row r="106" spans="10:32" ht="15.75" x14ac:dyDescent="0.4">
      <c r="J106" s="1916">
        <v>45108</v>
      </c>
      <c r="K106" s="1915">
        <v>18279</v>
      </c>
      <c r="L106" s="1905">
        <v>47546</v>
      </c>
      <c r="M106" s="1905">
        <v>205570</v>
      </c>
      <c r="N106" s="1905">
        <v>3022</v>
      </c>
      <c r="O106" s="1905">
        <v>5695</v>
      </c>
      <c r="P106" s="1905">
        <v>27215</v>
      </c>
    </row>
    <row r="107" spans="10:32" ht="15.75" x14ac:dyDescent="0.4">
      <c r="J107" s="1916">
        <v>45139</v>
      </c>
      <c r="K107" s="1915">
        <v>19488</v>
      </c>
      <c r="L107" s="1905">
        <v>47190</v>
      </c>
      <c r="M107" s="1905">
        <v>207960</v>
      </c>
      <c r="N107" s="1905">
        <v>3174</v>
      </c>
      <c r="O107" s="1905">
        <v>6544</v>
      </c>
      <c r="P107" s="1905">
        <v>27805</v>
      </c>
    </row>
    <row r="108" spans="10:32" ht="15.75" x14ac:dyDescent="0.4">
      <c r="J108" s="1916">
        <v>45170</v>
      </c>
      <c r="K108" s="1915">
        <v>19182</v>
      </c>
      <c r="L108" s="1905">
        <v>46818</v>
      </c>
      <c r="M108" s="1905">
        <v>203545</v>
      </c>
      <c r="N108" s="1905">
        <v>3464</v>
      </c>
      <c r="O108" s="1905">
        <v>6436</v>
      </c>
      <c r="P108" s="1905">
        <v>31595</v>
      </c>
    </row>
    <row r="109" spans="10:32" ht="15.75" x14ac:dyDescent="0.4">
      <c r="J109" s="1916">
        <v>45200</v>
      </c>
      <c r="K109" s="1915">
        <v>17656</v>
      </c>
      <c r="L109" s="1905">
        <v>44695</v>
      </c>
      <c r="M109" s="1905">
        <v>188320</v>
      </c>
      <c r="N109" s="1905">
        <v>4078</v>
      </c>
      <c r="O109" s="1905">
        <v>7297</v>
      </c>
      <c r="P109" s="1905">
        <v>34095</v>
      </c>
    </row>
    <row r="110" spans="10:32" ht="15.75" x14ac:dyDescent="0.4">
      <c r="J110" s="1916">
        <v>45231</v>
      </c>
      <c r="K110" s="1915">
        <v>18182</v>
      </c>
      <c r="L110" s="1905">
        <v>41813</v>
      </c>
      <c r="M110" s="1905">
        <v>189560</v>
      </c>
      <c r="N110" s="1905">
        <v>3514</v>
      </c>
      <c r="O110" s="1905">
        <v>6105</v>
      </c>
      <c r="P110" s="1905">
        <v>29925</v>
      </c>
    </row>
    <row r="111" spans="10:32" ht="15.75" x14ac:dyDescent="0.4">
      <c r="J111" s="1916">
        <v>45261</v>
      </c>
      <c r="K111" s="1915">
        <v>17006</v>
      </c>
      <c r="L111" s="1905">
        <v>42438</v>
      </c>
      <c r="M111" s="1905">
        <v>181520</v>
      </c>
      <c r="N111" s="1905">
        <v>3098</v>
      </c>
      <c r="O111" s="1905">
        <v>5508</v>
      </c>
      <c r="P111" s="1905">
        <v>25630</v>
      </c>
    </row>
    <row r="112" spans="10:32" ht="15.75" x14ac:dyDescent="0.4">
      <c r="J112" s="1916">
        <v>45292</v>
      </c>
      <c r="K112" s="1915">
        <v>17365</v>
      </c>
      <c r="L112" s="1905">
        <v>45178</v>
      </c>
      <c r="M112" s="1905">
        <v>185120</v>
      </c>
      <c r="N112" s="1905">
        <v>2771</v>
      </c>
      <c r="O112" s="1905">
        <v>5355</v>
      </c>
      <c r="P112" s="1905">
        <v>24120</v>
      </c>
    </row>
    <row r="113" spans="10:16" x14ac:dyDescent="0.4">
      <c r="J113" s="29" t="s">
        <v>1075</v>
      </c>
      <c r="K113" s="9">
        <f>SUM(K103:K112)</f>
        <v>184574</v>
      </c>
      <c r="L113" s="9">
        <f t="shared" ref="L113:P113" si="15">SUM(L103:L112)</f>
        <v>460054</v>
      </c>
      <c r="M113" s="9">
        <f t="shared" si="15"/>
        <v>2002215</v>
      </c>
      <c r="N113" s="9">
        <f t="shared" si="15"/>
        <v>32658</v>
      </c>
      <c r="O113" s="9">
        <f t="shared" si="15"/>
        <v>59135</v>
      </c>
      <c r="P113" s="9">
        <f t="shared" si="15"/>
        <v>283955</v>
      </c>
    </row>
    <row r="116" spans="10:16" ht="17.649999999999999" x14ac:dyDescent="0.5">
      <c r="K116" s="2553" t="s">
        <v>1077</v>
      </c>
      <c r="L116" s="2553"/>
      <c r="M116" s="2553"/>
      <c r="N116" s="2553"/>
      <c r="O116" s="2553"/>
      <c r="P116" s="2553"/>
    </row>
    <row r="117" spans="10:16" x14ac:dyDescent="0.4">
      <c r="J117" s="29" t="s">
        <v>127</v>
      </c>
      <c r="K117" s="1939" t="s">
        <v>1074</v>
      </c>
      <c r="L117" s="1939"/>
      <c r="M117" s="1939"/>
      <c r="N117" s="1939" t="s">
        <v>1069</v>
      </c>
      <c r="O117" s="1939"/>
      <c r="P117" s="1939"/>
    </row>
    <row r="118" spans="10:16" x14ac:dyDescent="0.4">
      <c r="J118" s="29"/>
      <c r="K118" s="6" t="s">
        <v>163</v>
      </c>
      <c r="L118" s="6" t="s">
        <v>164</v>
      </c>
      <c r="M118" s="6" t="s">
        <v>372</v>
      </c>
      <c r="N118" s="6" t="s">
        <v>163</v>
      </c>
      <c r="O118" s="6" t="s">
        <v>164</v>
      </c>
      <c r="P118" s="6" t="s">
        <v>372</v>
      </c>
    </row>
    <row r="119" spans="10:16" ht="15.75" x14ac:dyDescent="0.4">
      <c r="J119" s="1916">
        <v>45017</v>
      </c>
      <c r="K119" s="1905">
        <v>10118</v>
      </c>
      <c r="L119" s="1905">
        <v>19865</v>
      </c>
      <c r="M119" s="1905">
        <v>94545</v>
      </c>
      <c r="N119" s="1905">
        <v>1075</v>
      </c>
      <c r="O119" s="1905">
        <v>1831</v>
      </c>
      <c r="P119" s="1905">
        <v>10055</v>
      </c>
    </row>
    <row r="120" spans="10:16" ht="15.75" x14ac:dyDescent="0.4">
      <c r="J120" s="1916">
        <v>45047</v>
      </c>
      <c r="K120" s="1905">
        <v>11499</v>
      </c>
      <c r="L120" s="1905">
        <v>22886</v>
      </c>
      <c r="M120" s="1905">
        <v>106025</v>
      </c>
      <c r="N120" s="1905">
        <v>1345</v>
      </c>
      <c r="O120" s="1905">
        <v>2466</v>
      </c>
      <c r="P120" s="1905">
        <v>13040</v>
      </c>
    </row>
    <row r="121" spans="10:16" ht="15.75" x14ac:dyDescent="0.4">
      <c r="J121" s="1916">
        <v>45078</v>
      </c>
      <c r="K121" s="1905">
        <v>10480</v>
      </c>
      <c r="L121" s="1905">
        <v>21039</v>
      </c>
      <c r="M121" s="1905">
        <v>99045</v>
      </c>
      <c r="N121" s="1905">
        <v>1498</v>
      </c>
      <c r="O121" s="1905">
        <v>2756</v>
      </c>
      <c r="P121" s="1905">
        <v>14430</v>
      </c>
    </row>
    <row r="122" spans="10:16" ht="15.75" x14ac:dyDescent="0.4">
      <c r="J122" s="1916">
        <v>45108</v>
      </c>
      <c r="K122" s="1905">
        <v>10156</v>
      </c>
      <c r="L122" s="1905">
        <v>21617</v>
      </c>
      <c r="M122" s="1905">
        <v>98375</v>
      </c>
      <c r="N122" s="1905">
        <v>1448</v>
      </c>
      <c r="O122" s="1905">
        <v>2323</v>
      </c>
      <c r="P122" s="1905">
        <v>12395</v>
      </c>
    </row>
    <row r="123" spans="10:16" ht="15.75" x14ac:dyDescent="0.4">
      <c r="J123" s="1916">
        <v>45139</v>
      </c>
      <c r="K123" s="1905">
        <v>10413</v>
      </c>
      <c r="L123" s="1905">
        <v>20793</v>
      </c>
      <c r="M123" s="1905">
        <v>94325</v>
      </c>
      <c r="N123" s="1905">
        <v>814</v>
      </c>
      <c r="O123" s="1905">
        <v>1384</v>
      </c>
      <c r="P123" s="1905">
        <v>7235</v>
      </c>
    </row>
    <row r="124" spans="10:16" ht="15.75" x14ac:dyDescent="0.4">
      <c r="J124" s="1916">
        <v>45170</v>
      </c>
      <c r="K124" s="1905">
        <v>10315</v>
      </c>
      <c r="L124" s="1905">
        <v>20351</v>
      </c>
      <c r="M124" s="1905">
        <v>93290</v>
      </c>
      <c r="N124" s="1905">
        <v>1587</v>
      </c>
      <c r="O124" s="1905">
        <v>2573</v>
      </c>
      <c r="P124" s="1905">
        <v>13405</v>
      </c>
    </row>
    <row r="125" spans="10:16" ht="15.75" x14ac:dyDescent="0.4">
      <c r="J125" s="1916">
        <v>45200</v>
      </c>
      <c r="K125" s="1905">
        <v>10256</v>
      </c>
      <c r="L125" s="1905">
        <v>19753</v>
      </c>
      <c r="M125" s="1905">
        <v>91170</v>
      </c>
      <c r="N125" s="1905">
        <v>3721</v>
      </c>
      <c r="O125" s="1905">
        <v>5344</v>
      </c>
      <c r="P125" s="1905">
        <v>27060</v>
      </c>
    </row>
    <row r="126" spans="10:16" ht="15.75" x14ac:dyDescent="0.4">
      <c r="J126" s="1916">
        <v>45231</v>
      </c>
      <c r="K126" s="1905">
        <v>9780</v>
      </c>
      <c r="L126" s="1905">
        <v>18816</v>
      </c>
      <c r="M126" s="1905">
        <v>86440</v>
      </c>
      <c r="N126" s="1905">
        <v>3228</v>
      </c>
      <c r="O126" s="1905">
        <v>4852</v>
      </c>
      <c r="P126" s="1905">
        <v>24080</v>
      </c>
    </row>
    <row r="127" spans="10:16" ht="15.75" x14ac:dyDescent="0.4">
      <c r="J127" s="1916">
        <v>45261</v>
      </c>
      <c r="K127" s="1905">
        <v>9908</v>
      </c>
      <c r="L127" s="1905">
        <v>19836</v>
      </c>
      <c r="M127" s="1905">
        <v>91025</v>
      </c>
      <c r="N127" s="1905">
        <v>3448</v>
      </c>
      <c r="O127" s="1905">
        <v>5021</v>
      </c>
      <c r="P127" s="1905">
        <v>25255</v>
      </c>
    </row>
    <row r="128" spans="10:16" ht="15.75" x14ac:dyDescent="0.4">
      <c r="J128" s="1916">
        <v>45292</v>
      </c>
      <c r="K128" s="1905">
        <v>9587</v>
      </c>
      <c r="L128" s="1905">
        <v>18535</v>
      </c>
      <c r="M128" s="1905">
        <v>85615</v>
      </c>
      <c r="N128" s="1905">
        <v>2302</v>
      </c>
      <c r="O128" s="1905">
        <v>3493</v>
      </c>
      <c r="P128" s="1905">
        <v>17900</v>
      </c>
    </row>
    <row r="129" spans="10:16" x14ac:dyDescent="0.4">
      <c r="J129" s="29" t="s">
        <v>1075</v>
      </c>
      <c r="K129" s="26">
        <f>SUM(K119:K128)</f>
        <v>102512</v>
      </c>
      <c r="L129" s="26">
        <f t="shared" ref="L129" si="16">SUM(L119:L128)</f>
        <v>203491</v>
      </c>
      <c r="M129" s="26">
        <f t="shared" ref="M129" si="17">SUM(M119:M128)</f>
        <v>939855</v>
      </c>
      <c r="N129" s="26">
        <f t="shared" ref="N129" si="18">SUM(N119:N128)</f>
        <v>20466</v>
      </c>
      <c r="O129" s="26">
        <f t="shared" ref="O129" si="19">SUM(O119:O128)</f>
        <v>32043</v>
      </c>
      <c r="P129" s="26">
        <f t="shared" ref="P129" si="20">SUM(P119:P128)</f>
        <v>164855</v>
      </c>
    </row>
    <row r="130" spans="10:16" x14ac:dyDescent="0.4">
      <c r="K130" s="6"/>
      <c r="L130" s="6"/>
      <c r="M130" s="6"/>
      <c r="N130" s="6"/>
      <c r="O130" s="85"/>
      <c r="P130" s="6"/>
    </row>
    <row r="131" spans="10:16" x14ac:dyDescent="0.4">
      <c r="K131" s="6"/>
      <c r="L131" s="6"/>
      <c r="M131" s="6"/>
      <c r="N131" s="6"/>
      <c r="O131" s="85"/>
      <c r="P131" s="6"/>
    </row>
  </sheetData>
  <mergeCells count="18">
    <mergeCell ref="K116:P116"/>
    <mergeCell ref="K117:M117"/>
    <mergeCell ref="N117:P117"/>
    <mergeCell ref="K101:M101"/>
    <mergeCell ref="N101:P101"/>
    <mergeCell ref="K100:P100"/>
    <mergeCell ref="J101:J102"/>
    <mergeCell ref="A5:G5"/>
    <mergeCell ref="AA93:AF93"/>
    <mergeCell ref="J5:R5"/>
    <mergeCell ref="M83:M89"/>
    <mergeCell ref="M69:M73"/>
    <mergeCell ref="O69:O80"/>
    <mergeCell ref="O83:O94"/>
    <mergeCell ref="P69:P80"/>
    <mergeCell ref="W10:W11"/>
    <mergeCell ref="K32:M32"/>
    <mergeCell ref="J32:J33"/>
  </mergeCells>
  <phoneticPr fontId="166" type="noConversion"/>
  <printOptions horizontalCentered="1"/>
  <pageMargins left="0.32" right="0.2" top="1.25" bottom="0.31" header="0" footer="0"/>
  <pageSetup paperSize="9" scale="22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pageSetUpPr fitToPage="1"/>
  </sheetPr>
  <dimension ref="A1:AU168"/>
  <sheetViews>
    <sheetView topLeftCell="W1" zoomScaleNormal="100" workbookViewId="0">
      <selection activeCell="AE19" sqref="AE19"/>
    </sheetView>
  </sheetViews>
  <sheetFormatPr defaultRowHeight="14.25" x14ac:dyDescent="0.45"/>
  <cols>
    <col min="1" max="1" width="18.73046875" bestFit="1" customWidth="1"/>
    <col min="2" max="2" width="9.265625" bestFit="1" customWidth="1"/>
    <col min="3" max="4" width="9.59765625" bestFit="1" customWidth="1"/>
    <col min="5" max="5" width="9.265625" bestFit="1" customWidth="1"/>
    <col min="6" max="6" width="11.59765625" bestFit="1" customWidth="1"/>
    <col min="7" max="7" width="9.59765625" bestFit="1" customWidth="1"/>
    <col min="8" max="8" width="12.86328125" bestFit="1" customWidth="1"/>
    <col min="9" max="9" width="10" customWidth="1"/>
    <col min="10" max="10" width="11.59765625" bestFit="1" customWidth="1"/>
    <col min="11" max="11" width="11.1328125" bestFit="1" customWidth="1"/>
    <col min="12" max="12" width="10.86328125" style="259" customWidth="1"/>
    <col min="13" max="13" width="13.73046875" style="259" customWidth="1"/>
    <col min="14" max="14" width="15" style="259" bestFit="1" customWidth="1"/>
    <col min="15" max="15" width="12.1328125" bestFit="1" customWidth="1"/>
    <col min="16" max="16" width="11.59765625" bestFit="1" customWidth="1"/>
    <col min="17" max="17" width="10.59765625" hidden="1" customWidth="1"/>
    <col min="18" max="18" width="11.73046875" bestFit="1" customWidth="1"/>
    <col min="19" max="19" width="12.59765625" customWidth="1"/>
    <col min="20" max="20" width="14" bestFit="1" customWidth="1"/>
    <col min="21" max="21" width="12.1328125" customWidth="1"/>
    <col min="22" max="22" width="13.59765625" customWidth="1"/>
    <col min="23" max="23" width="11.73046875" customWidth="1"/>
    <col min="24" max="24" width="10.59765625" bestFit="1" customWidth="1"/>
    <col min="25" max="25" width="10.3984375" bestFit="1" customWidth="1"/>
    <col min="26" max="26" width="10.265625" bestFit="1" customWidth="1"/>
    <col min="27" max="27" width="11.3984375" bestFit="1" customWidth="1"/>
    <col min="28" max="28" width="12.86328125" style="93" bestFit="1" customWidth="1"/>
    <col min="29" max="29" width="13.73046875" bestFit="1" customWidth="1"/>
    <col min="30" max="30" width="11.59765625" bestFit="1" customWidth="1"/>
    <col min="32" max="32" width="11.59765625" bestFit="1" customWidth="1"/>
    <col min="33" max="33" width="10" customWidth="1"/>
    <col min="34" max="34" width="16.59765625" customWidth="1"/>
    <col min="35" max="35" width="9.1328125" customWidth="1"/>
    <col min="36" max="36" width="17.86328125" style="625" customWidth="1"/>
    <col min="37" max="37" width="14" style="625" customWidth="1"/>
    <col min="38" max="38" width="19.86328125" style="625" customWidth="1"/>
    <col min="39" max="39" width="15.59765625" style="625" customWidth="1"/>
    <col min="40" max="40" width="14" customWidth="1"/>
    <col min="41" max="41" width="11.3984375" customWidth="1"/>
    <col min="42" max="42" width="11.3984375" style="216" customWidth="1"/>
    <col min="43" max="43" width="14.265625" bestFit="1" customWidth="1"/>
    <col min="44" max="44" width="14" bestFit="1" customWidth="1"/>
    <col min="45" max="45" width="11.3984375" style="216" customWidth="1"/>
    <col min="46" max="46" width="11.1328125" bestFit="1" customWidth="1"/>
    <col min="47" max="47" width="15.73046875" bestFit="1" customWidth="1"/>
    <col min="48" max="48" width="11.1328125" bestFit="1" customWidth="1"/>
    <col min="49" max="49" width="10.3984375" bestFit="1" customWidth="1"/>
    <col min="51" max="51" width="10" bestFit="1" customWidth="1"/>
    <col min="52" max="52" width="7.59765625" bestFit="1" customWidth="1"/>
  </cols>
  <sheetData>
    <row r="1" spans="1:45" ht="16.5" x14ac:dyDescent="0.45">
      <c r="L1" s="229">
        <f>L16/365</f>
        <v>315873.3917808219</v>
      </c>
      <c r="M1" s="229">
        <f t="shared" ref="M1:N1" si="0">M9/10000000</f>
        <v>11.7188304</v>
      </c>
      <c r="N1" s="229">
        <f t="shared" si="0"/>
        <v>73.275667999999996</v>
      </c>
      <c r="T1" s="1543">
        <f>(T4+T5+T6+T7+T8+T9+T10)/10000000</f>
        <v>24.513524499999999</v>
      </c>
      <c r="U1" s="1543">
        <f t="shared" ref="U1:AA1" si="1">(U4+U5+U6+U7+U8+U9+U10)/10000000</f>
        <v>14.714611100000001</v>
      </c>
      <c r="V1" s="1543">
        <f t="shared" si="1"/>
        <v>17.784029</v>
      </c>
      <c r="W1" s="1543">
        <f t="shared" si="1"/>
        <v>0.64415290000000003</v>
      </c>
      <c r="X1" s="1543">
        <f t="shared" si="1"/>
        <v>4.6064936999999997</v>
      </c>
      <c r="Y1" s="1543">
        <f t="shared" si="1"/>
        <v>1.923449</v>
      </c>
      <c r="Z1" s="1543">
        <f t="shared" si="1"/>
        <v>0.4900774</v>
      </c>
      <c r="AA1" s="1543">
        <f t="shared" si="1"/>
        <v>64.676337599999997</v>
      </c>
      <c r="AB1" s="91">
        <f>0.059-0.048</f>
        <v>1.0999999999999996E-2</v>
      </c>
      <c r="AM1" s="2576" t="s">
        <v>996</v>
      </c>
      <c r="AN1" s="2580"/>
      <c r="AO1" s="2580"/>
      <c r="AP1" s="2580"/>
      <c r="AQ1" s="2580"/>
      <c r="AR1" s="2580"/>
      <c r="AS1" s="2577"/>
    </row>
    <row r="2" spans="1:45" ht="16.5" x14ac:dyDescent="0.45">
      <c r="A2" s="2572" t="s">
        <v>805</v>
      </c>
      <c r="B2" s="2572"/>
      <c r="C2" s="2572"/>
      <c r="D2" s="2572"/>
      <c r="E2" s="2572"/>
      <c r="F2" s="2572"/>
      <c r="G2" s="2572"/>
      <c r="H2" s="1301"/>
      <c r="I2" s="1302" t="s">
        <v>808</v>
      </c>
      <c r="K2" s="2536" t="s">
        <v>278</v>
      </c>
      <c r="L2" s="2537"/>
      <c r="M2" s="2537"/>
      <c r="N2" s="2537"/>
      <c r="O2" s="2537"/>
      <c r="P2" s="2538"/>
      <c r="Q2" s="628"/>
      <c r="S2" s="2542" t="s">
        <v>371</v>
      </c>
      <c r="T2" s="2542"/>
      <c r="U2" s="2542"/>
      <c r="V2" s="2542"/>
      <c r="W2" s="2542"/>
      <c r="X2" s="2542"/>
      <c r="Y2" s="2542"/>
      <c r="Z2" s="2542"/>
      <c r="AA2" s="2542"/>
      <c r="AB2" s="91">
        <f>0.21-0.15</f>
        <v>0.06</v>
      </c>
      <c r="AM2" s="1750"/>
      <c r="AN2" s="1751" t="s">
        <v>701</v>
      </c>
      <c r="AO2" s="1751" t="s">
        <v>907</v>
      </c>
      <c r="AP2" s="2578" t="s">
        <v>494</v>
      </c>
      <c r="AQ2" s="1751" t="s">
        <v>701</v>
      </c>
      <c r="AR2" s="1751" t="s">
        <v>907</v>
      </c>
      <c r="AS2" s="2578" t="s">
        <v>494</v>
      </c>
    </row>
    <row r="3" spans="1:45" ht="28.5" x14ac:dyDescent="0.45">
      <c r="A3" s="2271" t="s">
        <v>127</v>
      </c>
      <c r="B3" s="2271" t="s">
        <v>237</v>
      </c>
      <c r="C3" s="2271"/>
      <c r="D3" s="2271"/>
      <c r="E3" s="2271" t="s">
        <v>370</v>
      </c>
      <c r="F3" s="2573" t="s">
        <v>371</v>
      </c>
      <c r="G3" s="2271" t="s">
        <v>63</v>
      </c>
      <c r="H3" s="2574" t="s">
        <v>806</v>
      </c>
      <c r="I3" s="2575" t="s">
        <v>807</v>
      </c>
      <c r="K3" s="226"/>
      <c r="L3" s="599" t="s">
        <v>432</v>
      </c>
      <c r="M3" s="599" t="s">
        <v>433</v>
      </c>
      <c r="N3" s="599" t="s">
        <v>434</v>
      </c>
      <c r="O3" s="226" t="s">
        <v>63</v>
      </c>
      <c r="P3" s="226" t="s">
        <v>440</v>
      </c>
      <c r="S3" s="226" t="s">
        <v>127</v>
      </c>
      <c r="T3" s="226" t="s">
        <v>443</v>
      </c>
      <c r="U3" s="777" t="s">
        <v>436</v>
      </c>
      <c r="V3" s="777" t="s">
        <v>124</v>
      </c>
      <c r="W3" s="777" t="s">
        <v>125</v>
      </c>
      <c r="X3" s="777" t="s">
        <v>123</v>
      </c>
      <c r="Y3" s="777" t="s">
        <v>196</v>
      </c>
      <c r="Z3" s="777" t="s">
        <v>275</v>
      </c>
      <c r="AA3" s="226" t="s">
        <v>63</v>
      </c>
      <c r="AB3" s="662" t="s">
        <v>444</v>
      </c>
      <c r="AC3" s="226" t="s">
        <v>449</v>
      </c>
      <c r="AD3" s="226" t="s">
        <v>450</v>
      </c>
      <c r="AE3" s="226" t="s">
        <v>451</v>
      </c>
      <c r="AF3" s="226" t="s">
        <v>452</v>
      </c>
      <c r="AG3" s="226" t="s">
        <v>646</v>
      </c>
      <c r="AH3" s="1092" t="s">
        <v>697</v>
      </c>
      <c r="AI3" s="226" t="s">
        <v>190</v>
      </c>
      <c r="AJ3" s="835" t="s">
        <v>520</v>
      </c>
      <c r="AK3" s="835"/>
      <c r="AM3" s="1751" t="s">
        <v>127</v>
      </c>
      <c r="AN3" s="2576" t="s">
        <v>237</v>
      </c>
      <c r="AO3" s="2577"/>
      <c r="AP3" s="2579"/>
      <c r="AQ3" s="2576" t="s">
        <v>372</v>
      </c>
      <c r="AR3" s="2577"/>
      <c r="AS3" s="2579"/>
    </row>
    <row r="4" spans="1:45" ht="16.5" x14ac:dyDescent="0.45">
      <c r="A4" s="2271"/>
      <c r="B4" s="690" t="s">
        <v>94</v>
      </c>
      <c r="C4" s="690" t="s">
        <v>97</v>
      </c>
      <c r="D4" s="690" t="s">
        <v>63</v>
      </c>
      <c r="E4" s="2271"/>
      <c r="F4" s="2573"/>
      <c r="G4" s="2271"/>
      <c r="H4" s="2574"/>
      <c r="I4" s="2575"/>
      <c r="J4" s="273"/>
      <c r="K4" s="98" t="s">
        <v>131</v>
      </c>
      <c r="L4" s="598">
        <v>6538634</v>
      </c>
      <c r="M4" s="598">
        <v>17915313</v>
      </c>
      <c r="N4" s="1124">
        <v>706071879</v>
      </c>
      <c r="O4" s="598">
        <f>SUM(L4:N4)</f>
        <v>730525826</v>
      </c>
      <c r="P4" s="103">
        <f>O4/10000000</f>
        <v>73.052582599999994</v>
      </c>
      <c r="Q4" s="229"/>
      <c r="S4" s="98" t="s">
        <v>131</v>
      </c>
      <c r="T4" s="911">
        <f>9570+33600077</f>
        <v>33609647</v>
      </c>
      <c r="U4" s="98">
        <v>24827865</v>
      </c>
      <c r="V4" s="98">
        <v>22019820</v>
      </c>
      <c r="W4" s="98">
        <v>1181508</v>
      </c>
      <c r="X4" s="98">
        <v>686474</v>
      </c>
      <c r="Y4" s="98">
        <v>2721080</v>
      </c>
      <c r="Z4" s="98">
        <f>(1620+21248+10+8+1300+5000+65)+AI4</f>
        <v>722733</v>
      </c>
      <c r="AA4" s="98">
        <f>SUM(T4:Z4)</f>
        <v>85769127</v>
      </c>
      <c r="AB4" s="98" t="s">
        <v>131</v>
      </c>
      <c r="AC4" s="280">
        <v>36953</v>
      </c>
      <c r="AD4" s="98">
        <v>510609</v>
      </c>
      <c r="AE4" s="98">
        <v>2603</v>
      </c>
      <c r="AF4" s="98">
        <v>8400</v>
      </c>
      <c r="AG4" s="98">
        <v>13715</v>
      </c>
      <c r="AH4" s="98"/>
      <c r="AI4" s="98">
        <f>AD4+AE4+AF4+AJ4+AG4</f>
        <v>693482</v>
      </c>
      <c r="AJ4" s="650">
        <v>158155</v>
      </c>
      <c r="AK4" s="650">
        <f t="shared" ref="AK4:AK15" si="2">U4+AJ4</f>
        <v>24986020</v>
      </c>
      <c r="AM4" s="1751" t="s">
        <v>131</v>
      </c>
      <c r="AN4" s="1750">
        <f>N20</f>
        <v>1184236</v>
      </c>
      <c r="AO4" s="1750">
        <f>'ACTUAL- 23-24'!G20</f>
        <v>984719</v>
      </c>
      <c r="AP4" s="1752">
        <f>(AO4-AN4)/AN4*100</f>
        <v>-16.847739808619227</v>
      </c>
      <c r="AQ4" s="1750">
        <f>N4</f>
        <v>706071879</v>
      </c>
      <c r="AR4" s="1750">
        <f>'ACTUAL- 23-24'!G3</f>
        <v>694801121</v>
      </c>
      <c r="AS4" s="1752">
        <f>(AR4-AQ4)/AQ4*100</f>
        <v>-1.5962621278675795</v>
      </c>
    </row>
    <row r="5" spans="1:45" ht="16.5" x14ac:dyDescent="0.45">
      <c r="A5" s="1299" t="s">
        <v>131</v>
      </c>
      <c r="B5" s="1298">
        <f t="shared" ref="B5:B13" si="3">L4/10000000</f>
        <v>0.65386339999999998</v>
      </c>
      <c r="C5" s="1298">
        <f t="shared" ref="C5:C14" si="4">(M4+N4)/10000000</f>
        <v>72.398719200000002</v>
      </c>
      <c r="D5" s="1300">
        <f>B5+C5</f>
        <v>73.052582600000008</v>
      </c>
      <c r="E5" s="1298">
        <v>28.3362947</v>
      </c>
      <c r="F5" s="1298">
        <f>AA4/10000000</f>
        <v>8.5769126999999994</v>
      </c>
      <c r="G5" s="1300">
        <f t="shared" ref="G5:G16" si="5">F5+E5+D5</f>
        <v>109.96579</v>
      </c>
      <c r="H5" s="1105">
        <f>AA20/10000000</f>
        <v>0.7554476</v>
      </c>
      <c r="I5" s="1107">
        <f>H5+G5</f>
        <v>110.72123759999999</v>
      </c>
      <c r="J5" s="229">
        <f>R5/10000000</f>
        <v>0</v>
      </c>
      <c r="K5" s="98" t="s">
        <v>132</v>
      </c>
      <c r="L5" s="598">
        <v>8449245</v>
      </c>
      <c r="M5" s="598">
        <v>25978710</v>
      </c>
      <c r="N5" s="660">
        <v>722982779</v>
      </c>
      <c r="O5" s="598">
        <f>SUM(L5:N5)</f>
        <v>757410734</v>
      </c>
      <c r="P5" s="103">
        <f>O5/10000000</f>
        <v>75.741073400000005</v>
      </c>
      <c r="Q5" s="229"/>
      <c r="S5" s="98" t="s">
        <v>132</v>
      </c>
      <c r="T5" s="660">
        <f>37493208+9390</f>
        <v>37502598</v>
      </c>
      <c r="U5" s="98">
        <v>25457795</v>
      </c>
      <c r="V5" s="98">
        <v>27853635</v>
      </c>
      <c r="W5" s="98">
        <v>1088869</v>
      </c>
      <c r="X5" s="98">
        <v>516380</v>
      </c>
      <c r="Y5" s="98">
        <v>3033920</v>
      </c>
      <c r="Z5" s="98">
        <f>(1005+20544+100+10469)+AI5</f>
        <v>811256</v>
      </c>
      <c r="AA5" s="98">
        <f t="shared" ref="AA5:AA15" si="6">SUM(T5:Z5)</f>
        <v>96264453</v>
      </c>
      <c r="AB5" s="98" t="s">
        <v>132</v>
      </c>
      <c r="AC5" s="280">
        <v>37312</v>
      </c>
      <c r="AD5" s="98">
        <v>554101</v>
      </c>
      <c r="AE5" s="98">
        <v>8926</v>
      </c>
      <c r="AF5" s="98">
        <v>1200</v>
      </c>
      <c r="AG5" s="98">
        <v>87100</v>
      </c>
      <c r="AH5" s="98">
        <v>173841</v>
      </c>
      <c r="AI5" s="98">
        <f t="shared" ref="AI5:AI13" si="7">AD5+AE5+AF5+AJ5</f>
        <v>779138</v>
      </c>
      <c r="AJ5" s="650">
        <v>214911</v>
      </c>
      <c r="AK5" s="650">
        <f t="shared" si="2"/>
        <v>25672706</v>
      </c>
      <c r="AM5" s="1751" t="s">
        <v>132</v>
      </c>
      <c r="AN5" s="1750">
        <f t="shared" ref="AN5:AN9" si="8">N21</f>
        <v>1135385</v>
      </c>
      <c r="AO5" s="1750">
        <f>'ACTUAL- 23-24'!G21</f>
        <v>979500</v>
      </c>
      <c r="AP5" s="1752">
        <f t="shared" ref="AP5:AP10" si="9">(AO5-AN5)/AN5*100</f>
        <v>-13.729704021102973</v>
      </c>
      <c r="AQ5" s="1750">
        <f t="shared" ref="AQ5:AQ9" si="10">N5</f>
        <v>722982779</v>
      </c>
      <c r="AR5" s="1750">
        <f>'ACTUAL- 23-24'!G4</f>
        <v>737264223</v>
      </c>
      <c r="AS5" s="1752">
        <f t="shared" ref="AS5:AS10" si="11">(AR5-AQ5)/AQ5*100</f>
        <v>1.975350508314113</v>
      </c>
    </row>
    <row r="6" spans="1:45" ht="16.5" x14ac:dyDescent="0.45">
      <c r="A6" s="1299" t="s">
        <v>132</v>
      </c>
      <c r="B6" s="1298">
        <f t="shared" si="3"/>
        <v>0.84492449999999997</v>
      </c>
      <c r="C6" s="1298">
        <f t="shared" si="4"/>
        <v>74.8961489</v>
      </c>
      <c r="D6" s="1300">
        <f t="shared" ref="D6:D15" si="12">B6+C6</f>
        <v>75.741073400000005</v>
      </c>
      <c r="E6" s="1298">
        <v>25.686530699999999</v>
      </c>
      <c r="F6" s="1298">
        <f t="shared" ref="F6:F15" si="13">AA5/10000000</f>
        <v>9.6264453000000003</v>
      </c>
      <c r="G6" s="1300">
        <f t="shared" si="5"/>
        <v>111.0540494</v>
      </c>
      <c r="H6" s="1105">
        <f t="shared" ref="H6:H14" si="14">AA21/10000000</f>
        <v>0.55169460000000003</v>
      </c>
      <c r="I6" s="1107">
        <f t="shared" ref="I6:I15" si="15">H6+G6</f>
        <v>111.605744</v>
      </c>
      <c r="J6" s="229">
        <f>R6/10000000</f>
        <v>0</v>
      </c>
      <c r="K6" s="98" t="s">
        <v>133</v>
      </c>
      <c r="L6" s="598">
        <v>8631216</v>
      </c>
      <c r="M6" s="598">
        <v>31360680</v>
      </c>
      <c r="N6" s="598">
        <v>737446934</v>
      </c>
      <c r="O6" s="598">
        <f t="shared" ref="O6:O15" si="16">SUM(L6:N6)</f>
        <v>777438830</v>
      </c>
      <c r="P6" s="103">
        <f t="shared" ref="P6:P15" si="17">O6/10000000</f>
        <v>77.743882999999997</v>
      </c>
      <c r="Q6" s="229"/>
      <c r="S6" s="98" t="s">
        <v>133</v>
      </c>
      <c r="T6" s="1125">
        <f>17280+33099253</f>
        <v>33116533</v>
      </c>
      <c r="U6" s="98">
        <v>20496885</v>
      </c>
      <c r="V6" s="98">
        <v>24922324</v>
      </c>
      <c r="W6" s="98">
        <v>917283</v>
      </c>
      <c r="X6" s="98">
        <v>33313067</v>
      </c>
      <c r="Y6" s="98">
        <v>3045830</v>
      </c>
      <c r="Z6" s="98">
        <f>(3515+225+30+90007+196+150+475+500+1170)+AI6</f>
        <v>589305</v>
      </c>
      <c r="AA6" s="98">
        <f t="shared" si="6"/>
        <v>116401227</v>
      </c>
      <c r="AB6" s="98" t="s">
        <v>133</v>
      </c>
      <c r="AC6" s="280">
        <v>30714</v>
      </c>
      <c r="AD6" s="98">
        <v>478100</v>
      </c>
      <c r="AE6" s="98">
        <v>9237</v>
      </c>
      <c r="AF6" s="98">
        <v>5700</v>
      </c>
      <c r="AG6" s="98">
        <v>300</v>
      </c>
      <c r="AH6" s="98">
        <v>0</v>
      </c>
      <c r="AI6" s="98">
        <f t="shared" si="7"/>
        <v>493037</v>
      </c>
      <c r="AJ6" s="650"/>
      <c r="AK6" s="650">
        <f t="shared" si="2"/>
        <v>20496885</v>
      </c>
      <c r="AM6" s="1751" t="s">
        <v>133</v>
      </c>
      <c r="AN6" s="1750">
        <f t="shared" si="8"/>
        <v>1106106</v>
      </c>
      <c r="AO6" s="1750">
        <f>'ACTUAL- 23-24'!G22</f>
        <v>965871</v>
      </c>
      <c r="AP6" s="1752">
        <f t="shared" si="9"/>
        <v>-12.678260492213223</v>
      </c>
      <c r="AQ6" s="1750">
        <f t="shared" si="10"/>
        <v>737446934</v>
      </c>
      <c r="AR6" s="1750">
        <f>'ACTUAL- 23-24'!G5</f>
        <v>725818639</v>
      </c>
      <c r="AS6" s="1752">
        <f t="shared" si="11"/>
        <v>-1.5768314252697129</v>
      </c>
    </row>
    <row r="7" spans="1:45" ht="16.5" x14ac:dyDescent="0.45">
      <c r="A7" s="677" t="s">
        <v>133</v>
      </c>
      <c r="B7" s="1298">
        <f t="shared" si="3"/>
        <v>0.86312160000000004</v>
      </c>
      <c r="C7" s="1298">
        <f t="shared" si="4"/>
        <v>76.880761399999997</v>
      </c>
      <c r="D7" s="1300">
        <f t="shared" si="12"/>
        <v>77.743882999999997</v>
      </c>
      <c r="E7" s="1298">
        <v>35.257206600000004</v>
      </c>
      <c r="F7" s="1298">
        <f t="shared" si="13"/>
        <v>11.640122699999999</v>
      </c>
      <c r="G7" s="1300">
        <f t="shared" si="5"/>
        <v>124.64121230000001</v>
      </c>
      <c r="H7" s="1105">
        <f t="shared" si="14"/>
        <v>1.1415767999999999</v>
      </c>
      <c r="I7" s="1107">
        <f t="shared" si="15"/>
        <v>125.7827891</v>
      </c>
      <c r="J7" s="229">
        <f>R7/10000000</f>
        <v>0</v>
      </c>
      <c r="K7" s="98" t="s">
        <v>51</v>
      </c>
      <c r="L7" s="598">
        <v>9323614</v>
      </c>
      <c r="M7" s="598">
        <v>88698466</v>
      </c>
      <c r="N7" s="660">
        <v>785005314</v>
      </c>
      <c r="O7" s="598">
        <f t="shared" si="16"/>
        <v>883027394</v>
      </c>
      <c r="P7" s="103">
        <f t="shared" si="17"/>
        <v>88.302739399999993</v>
      </c>
      <c r="Q7" s="229"/>
      <c r="S7" s="98" t="s">
        <v>51</v>
      </c>
      <c r="T7" s="98">
        <f>66240+32136142</f>
        <v>32202382</v>
      </c>
      <c r="U7" s="98">
        <v>15327085</v>
      </c>
      <c r="V7" s="98">
        <v>28321035</v>
      </c>
      <c r="W7" s="98">
        <v>955586</v>
      </c>
      <c r="X7" s="98">
        <v>10650203</v>
      </c>
      <c r="Y7" s="98">
        <v>2271910</v>
      </c>
      <c r="Z7" s="98">
        <f>(11640+320131+50+300)+AI7</f>
        <v>968218</v>
      </c>
      <c r="AA7" s="98">
        <f t="shared" si="6"/>
        <v>90696419</v>
      </c>
      <c r="AB7" s="98" t="s">
        <v>51</v>
      </c>
      <c r="AC7" s="280">
        <v>20555</v>
      </c>
      <c r="AD7" s="98">
        <v>612299</v>
      </c>
      <c r="AE7" s="98">
        <v>9848</v>
      </c>
      <c r="AF7" s="98">
        <v>13950</v>
      </c>
      <c r="AG7" s="98">
        <v>36304</v>
      </c>
      <c r="AH7" s="98">
        <v>42130</v>
      </c>
      <c r="AI7" s="98">
        <f t="shared" si="7"/>
        <v>636097</v>
      </c>
      <c r="AJ7" s="650"/>
      <c r="AK7" s="650">
        <f t="shared" si="2"/>
        <v>15327085</v>
      </c>
      <c r="AM7" s="1751" t="s">
        <v>51</v>
      </c>
      <c r="AN7" s="1750">
        <f t="shared" si="8"/>
        <v>1097905</v>
      </c>
      <c r="AO7" s="1750">
        <f>'ACTUAL- 23-24'!G23</f>
        <v>1319284</v>
      </c>
      <c r="AP7" s="1752">
        <f t="shared" si="9"/>
        <v>20.163766446095064</v>
      </c>
      <c r="AQ7" s="1750">
        <f t="shared" si="10"/>
        <v>785005314</v>
      </c>
      <c r="AR7" s="1750">
        <f>'ACTUAL- 23-24'!G6</f>
        <v>1027973286</v>
      </c>
      <c r="AS7" s="1752">
        <f t="shared" si="11"/>
        <v>30.951124491368731</v>
      </c>
    </row>
    <row r="8" spans="1:45" ht="16.5" x14ac:dyDescent="0.45">
      <c r="A8" s="677" t="s">
        <v>51</v>
      </c>
      <c r="B8" s="1298">
        <f t="shared" si="3"/>
        <v>0.93236140000000001</v>
      </c>
      <c r="C8" s="1298">
        <f t="shared" si="4"/>
        <v>87.370378000000002</v>
      </c>
      <c r="D8" s="1300">
        <f t="shared" si="12"/>
        <v>88.302739400000007</v>
      </c>
      <c r="E8" s="1298">
        <v>40.540534000000001</v>
      </c>
      <c r="F8" s="1298">
        <f t="shared" si="13"/>
        <v>9.0696419000000006</v>
      </c>
      <c r="G8" s="1300">
        <f t="shared" si="5"/>
        <v>137.91291530000001</v>
      </c>
      <c r="H8" s="1105">
        <f t="shared" si="14"/>
        <v>0.70937499999999998</v>
      </c>
      <c r="I8" s="1107">
        <f t="shared" si="15"/>
        <v>138.6222903</v>
      </c>
      <c r="J8" s="273"/>
      <c r="K8" s="98" t="s">
        <v>134</v>
      </c>
      <c r="L8" s="598">
        <v>9988221</v>
      </c>
      <c r="M8" s="598">
        <v>106585511</v>
      </c>
      <c r="N8" s="598">
        <v>740716922</v>
      </c>
      <c r="O8" s="598">
        <f t="shared" si="16"/>
        <v>857290654</v>
      </c>
      <c r="P8" s="103">
        <f t="shared" si="17"/>
        <v>85.729065399999996</v>
      </c>
      <c r="Q8" s="229"/>
      <c r="S8" s="98" t="s">
        <v>134</v>
      </c>
      <c r="T8" s="98">
        <f>35297820+75540</f>
        <v>35373360</v>
      </c>
      <c r="U8" s="98">
        <v>15254665</v>
      </c>
      <c r="V8" s="98">
        <v>23697997</v>
      </c>
      <c r="W8" s="98">
        <v>776220</v>
      </c>
      <c r="X8" s="98">
        <v>363459</v>
      </c>
      <c r="Y8" s="98">
        <v>2188100</v>
      </c>
      <c r="Z8" s="98">
        <f>(13785+675+52856+1050+70)+AI8</f>
        <v>641955</v>
      </c>
      <c r="AA8" s="98">
        <f t="shared" si="6"/>
        <v>78295756</v>
      </c>
      <c r="AB8" s="98" t="s">
        <v>134</v>
      </c>
      <c r="AC8" s="280">
        <v>21044</v>
      </c>
      <c r="AD8" s="98">
        <v>530871</v>
      </c>
      <c r="AE8" s="98">
        <v>30498</v>
      </c>
      <c r="AF8" s="98">
        <v>12150</v>
      </c>
      <c r="AG8" s="98">
        <v>0</v>
      </c>
      <c r="AH8" s="98">
        <v>30</v>
      </c>
      <c r="AI8" s="98">
        <f t="shared" si="7"/>
        <v>573519</v>
      </c>
      <c r="AJ8" s="650"/>
      <c r="AK8" s="650">
        <f t="shared" si="2"/>
        <v>15254665</v>
      </c>
      <c r="AM8" s="1751" t="s">
        <v>134</v>
      </c>
      <c r="AN8" s="1750">
        <f t="shared" si="8"/>
        <v>1024098</v>
      </c>
      <c r="AO8" s="1750">
        <f>'ACTUAL- 23-24'!G24</f>
        <v>1210564</v>
      </c>
      <c r="AP8" s="1752">
        <f t="shared" si="9"/>
        <v>18.207827766483287</v>
      </c>
      <c r="AQ8" s="1750">
        <f t="shared" si="10"/>
        <v>740716922</v>
      </c>
      <c r="AR8" s="1750">
        <f>'ACTUAL- 23-24'!G7</f>
        <v>879694251</v>
      </c>
      <c r="AS8" s="1752">
        <f t="shared" si="11"/>
        <v>18.762542730190251</v>
      </c>
    </row>
    <row r="9" spans="1:45" ht="16.5" x14ac:dyDescent="0.45">
      <c r="A9" s="677" t="s">
        <v>134</v>
      </c>
      <c r="B9" s="1298">
        <f t="shared" si="3"/>
        <v>0.99882210000000005</v>
      </c>
      <c r="C9" s="1298">
        <f t="shared" si="4"/>
        <v>84.730243299999998</v>
      </c>
      <c r="D9" s="1300">
        <f t="shared" si="12"/>
        <v>85.729065399999996</v>
      </c>
      <c r="E9" s="1298">
        <v>34.395103800000001</v>
      </c>
      <c r="F9" s="1298">
        <f t="shared" si="13"/>
        <v>7.8295756000000001</v>
      </c>
      <c r="G9" s="1300">
        <f t="shared" si="5"/>
        <v>127.9537448</v>
      </c>
      <c r="H9" s="1105">
        <f t="shared" si="14"/>
        <v>1.2659050999999999</v>
      </c>
      <c r="I9" s="1107">
        <f t="shared" si="15"/>
        <v>129.21964990000001</v>
      </c>
      <c r="J9" s="273"/>
      <c r="K9" s="98" t="s">
        <v>135</v>
      </c>
      <c r="L9" s="1182">
        <v>10199492</v>
      </c>
      <c r="M9" s="1182">
        <v>117188304</v>
      </c>
      <c r="N9" s="1211">
        <v>732756680</v>
      </c>
      <c r="O9" s="598">
        <f t="shared" si="16"/>
        <v>860144476</v>
      </c>
      <c r="P9" s="103">
        <f t="shared" si="17"/>
        <v>86.014447599999997</v>
      </c>
      <c r="Q9" s="229"/>
      <c r="S9" s="98" t="s">
        <v>135</v>
      </c>
      <c r="T9" s="969">
        <f>83730+32760679</f>
        <v>32844409</v>
      </c>
      <c r="U9" s="98">
        <v>19427920</v>
      </c>
      <c r="V9" s="98">
        <v>27555812</v>
      </c>
      <c r="W9" s="98">
        <v>795773</v>
      </c>
      <c r="X9" s="98">
        <v>0</v>
      </c>
      <c r="Y9" s="98">
        <v>2311680</v>
      </c>
      <c r="Z9" s="98">
        <f>(62117+52908+2898+15405)+AI9</f>
        <v>680021</v>
      </c>
      <c r="AA9" s="98">
        <f t="shared" si="6"/>
        <v>83615615</v>
      </c>
      <c r="AB9" s="98" t="s">
        <v>135</v>
      </c>
      <c r="AC9" s="280">
        <v>26555</v>
      </c>
      <c r="AD9" s="98">
        <v>512954</v>
      </c>
      <c r="AE9" s="98">
        <v>14700</v>
      </c>
      <c r="AF9" s="98">
        <v>19039</v>
      </c>
      <c r="AG9" s="98">
        <v>504</v>
      </c>
      <c r="AH9" s="98">
        <v>0</v>
      </c>
      <c r="AI9" s="98">
        <f t="shared" si="7"/>
        <v>546693</v>
      </c>
      <c r="AJ9" s="650"/>
      <c r="AK9" s="650">
        <f t="shared" si="2"/>
        <v>19427920</v>
      </c>
      <c r="AM9" s="1751" t="s">
        <v>135</v>
      </c>
      <c r="AN9" s="1750">
        <f t="shared" si="8"/>
        <v>1072316</v>
      </c>
      <c r="AO9" s="1750">
        <f>'ACTUAL- 23-24'!G25</f>
        <v>1081549</v>
      </c>
      <c r="AP9" s="1752">
        <f t="shared" si="9"/>
        <v>0.8610335013186412</v>
      </c>
      <c r="AQ9" s="1750">
        <f t="shared" si="10"/>
        <v>732756680</v>
      </c>
      <c r="AR9" s="1750">
        <f>'ACTUAL- 23-24'!G8</f>
        <v>796139697</v>
      </c>
      <c r="AS9" s="1752">
        <f t="shared" si="11"/>
        <v>8.6499405232307129</v>
      </c>
    </row>
    <row r="10" spans="1:45" ht="16.5" x14ac:dyDescent="0.45">
      <c r="A10" s="677" t="s">
        <v>135</v>
      </c>
      <c r="B10" s="1298">
        <f>L9/10000000</f>
        <v>1.0199491999999999</v>
      </c>
      <c r="C10" s="1298">
        <f t="shared" si="4"/>
        <v>84.994498399999998</v>
      </c>
      <c r="D10" s="1300">
        <f t="shared" si="12"/>
        <v>86.014447599999997</v>
      </c>
      <c r="E10" s="1298">
        <v>38.905856800000002</v>
      </c>
      <c r="F10" s="1298">
        <f t="shared" si="13"/>
        <v>8.3615615000000005</v>
      </c>
      <c r="G10" s="1300">
        <f t="shared" si="5"/>
        <v>133.28186590000001</v>
      </c>
      <c r="H10" s="1105">
        <f t="shared" si="14"/>
        <v>2.9474174999999998</v>
      </c>
      <c r="I10" s="1107">
        <f t="shared" si="15"/>
        <v>136.22928340000001</v>
      </c>
      <c r="J10" s="273"/>
      <c r="K10" s="98" t="s">
        <v>136</v>
      </c>
      <c r="L10" s="598">
        <v>10036879</v>
      </c>
      <c r="M10" s="598">
        <v>153600645</v>
      </c>
      <c r="N10" s="1131">
        <v>634293878</v>
      </c>
      <c r="O10" s="598">
        <f t="shared" si="16"/>
        <v>797931402</v>
      </c>
      <c r="P10" s="103">
        <f t="shared" si="17"/>
        <v>79.793140199999996</v>
      </c>
      <c r="Q10" s="229"/>
      <c r="S10" s="98" t="s">
        <v>136</v>
      </c>
      <c r="T10" s="1131">
        <f>40326026+160290</f>
        <v>40486316</v>
      </c>
      <c r="U10" s="98">
        <v>26353896</v>
      </c>
      <c r="V10" s="98">
        <v>23469667</v>
      </c>
      <c r="W10" s="98">
        <v>726290</v>
      </c>
      <c r="X10" s="850">
        <v>535354</v>
      </c>
      <c r="Y10" s="98">
        <v>3661970</v>
      </c>
      <c r="Z10" s="98">
        <f>(600+21230+225+1350+50763+2750)+AI10</f>
        <v>487286</v>
      </c>
      <c r="AA10" s="98">
        <f t="shared" si="6"/>
        <v>95720779</v>
      </c>
      <c r="AB10" s="98" t="s">
        <v>136</v>
      </c>
      <c r="AC10" s="280">
        <v>32841</v>
      </c>
      <c r="AD10" s="98">
        <v>390254</v>
      </c>
      <c r="AE10" s="98">
        <v>11714</v>
      </c>
      <c r="AF10" s="98">
        <v>8400</v>
      </c>
      <c r="AG10" s="98">
        <v>13694</v>
      </c>
      <c r="AH10" s="98">
        <v>0</v>
      </c>
      <c r="AI10" s="98">
        <f t="shared" si="7"/>
        <v>410368</v>
      </c>
      <c r="AJ10" s="650"/>
      <c r="AK10" s="650">
        <f t="shared" si="2"/>
        <v>26353896</v>
      </c>
      <c r="AM10" s="1751" t="s">
        <v>995</v>
      </c>
      <c r="AN10" s="1751">
        <f>SUM(AN4:AN9)</f>
        <v>6620046</v>
      </c>
      <c r="AO10" s="1751">
        <f t="shared" ref="AO10:AR10" si="18">SUM(AO4:AO9)</f>
        <v>6541487</v>
      </c>
      <c r="AP10" s="1753">
        <f t="shared" si="9"/>
        <v>-1.1866835970626186</v>
      </c>
      <c r="AQ10" s="1751">
        <f t="shared" si="18"/>
        <v>4424980508</v>
      </c>
      <c r="AR10" s="1751">
        <f t="shared" si="18"/>
        <v>4861691217</v>
      </c>
      <c r="AS10" s="1753">
        <f t="shared" si="11"/>
        <v>9.8692120385719893</v>
      </c>
    </row>
    <row r="11" spans="1:45" x14ac:dyDescent="0.45">
      <c r="A11" s="677" t="s">
        <v>136</v>
      </c>
      <c r="B11" s="1298">
        <f t="shared" si="3"/>
        <v>1.0036879000000001</v>
      </c>
      <c r="C11" s="1298">
        <f t="shared" si="4"/>
        <v>78.789452299999994</v>
      </c>
      <c r="D11" s="1300">
        <f t="shared" si="12"/>
        <v>79.793140199999996</v>
      </c>
      <c r="E11" s="1298">
        <v>30.021893899999998</v>
      </c>
      <c r="F11" s="1298">
        <f t="shared" si="13"/>
        <v>9.5720779</v>
      </c>
      <c r="G11" s="1300">
        <f t="shared" si="5"/>
        <v>119.387112</v>
      </c>
      <c r="H11" s="1105">
        <f t="shared" si="14"/>
        <v>0.99142969999999997</v>
      </c>
      <c r="I11" s="1107">
        <f t="shared" si="15"/>
        <v>120.3785417</v>
      </c>
      <c r="J11" s="273"/>
      <c r="K11" s="98" t="s">
        <v>137</v>
      </c>
      <c r="L11" s="598">
        <v>10817189</v>
      </c>
      <c r="M11" s="598">
        <v>144030315</v>
      </c>
      <c r="N11" s="598">
        <v>753193930</v>
      </c>
      <c r="O11" s="598">
        <f t="shared" si="16"/>
        <v>908041434</v>
      </c>
      <c r="P11" s="103">
        <f t="shared" si="17"/>
        <v>90.804143400000001</v>
      </c>
      <c r="Q11" s="229"/>
      <c r="S11" s="98" t="s">
        <v>137</v>
      </c>
      <c r="T11" s="98">
        <f>35679663+131285</f>
        <v>35810948</v>
      </c>
      <c r="U11" s="98">
        <v>19604565</v>
      </c>
      <c r="V11" s="98">
        <v>23856622</v>
      </c>
      <c r="W11" s="98">
        <v>853714</v>
      </c>
      <c r="X11" s="98">
        <v>2932856</v>
      </c>
      <c r="Y11" s="98">
        <v>2600650</v>
      </c>
      <c r="Z11" s="98">
        <f>(5400+3500+60+21030+450+122754+15054+680+1675+4900)+AI11</f>
        <v>719629</v>
      </c>
      <c r="AA11" s="98">
        <f t="shared" si="6"/>
        <v>86378984</v>
      </c>
      <c r="AB11" s="98" t="s">
        <v>137</v>
      </c>
      <c r="AC11" s="280">
        <v>26694</v>
      </c>
      <c r="AD11" s="98">
        <v>533291</v>
      </c>
      <c r="AE11" s="98">
        <v>8885</v>
      </c>
      <c r="AF11" s="98">
        <v>1950</v>
      </c>
      <c r="AG11" s="98">
        <v>4016</v>
      </c>
      <c r="AH11" s="98">
        <v>122152</v>
      </c>
      <c r="AI11" s="98">
        <f t="shared" si="7"/>
        <v>544126</v>
      </c>
      <c r="AJ11" s="650"/>
      <c r="AK11" s="650">
        <f t="shared" si="2"/>
        <v>19604565</v>
      </c>
    </row>
    <row r="12" spans="1:45" x14ac:dyDescent="0.45">
      <c r="A12" s="677" t="s">
        <v>137</v>
      </c>
      <c r="B12" s="1298">
        <f t="shared" si="3"/>
        <v>1.0817189</v>
      </c>
      <c r="C12" s="1298">
        <f t="shared" si="4"/>
        <v>89.722424500000002</v>
      </c>
      <c r="D12" s="1300">
        <f t="shared" si="12"/>
        <v>90.804143400000001</v>
      </c>
      <c r="E12" s="1298">
        <v>43.154922800000001</v>
      </c>
      <c r="F12" s="1298">
        <f t="shared" si="13"/>
        <v>8.6378983999999992</v>
      </c>
      <c r="G12" s="1300">
        <f t="shared" si="5"/>
        <v>142.59696460000001</v>
      </c>
      <c r="H12" s="1105">
        <f t="shared" si="14"/>
        <v>2.1321292999999999</v>
      </c>
      <c r="I12" s="1107">
        <f t="shared" si="15"/>
        <v>144.72909390000001</v>
      </c>
      <c r="J12" s="273"/>
      <c r="K12" s="98" t="s">
        <v>138</v>
      </c>
      <c r="L12" s="598">
        <v>10631889</v>
      </c>
      <c r="M12" s="598">
        <v>151899752</v>
      </c>
      <c r="N12" s="1277">
        <v>751673599</v>
      </c>
      <c r="O12" s="1252">
        <f t="shared" si="16"/>
        <v>914205240</v>
      </c>
      <c r="P12" s="103">
        <f t="shared" si="17"/>
        <v>91.420524</v>
      </c>
      <c r="Q12" s="229"/>
      <c r="S12" s="98" t="s">
        <v>138</v>
      </c>
      <c r="T12" s="1254">
        <f>41257771+145440</f>
        <v>41403211</v>
      </c>
      <c r="U12" s="802">
        <v>16995965</v>
      </c>
      <c r="V12" s="98">
        <v>20981466</v>
      </c>
      <c r="W12" s="98">
        <v>835642</v>
      </c>
      <c r="X12" s="98">
        <v>7333899</v>
      </c>
      <c r="Y12" s="98">
        <v>2587970</v>
      </c>
      <c r="Z12" s="98">
        <f>(900+900+15+21960+225+133781+3425+1500+135)+AI12</f>
        <v>658242</v>
      </c>
      <c r="AA12" s="98">
        <f t="shared" si="6"/>
        <v>90796395</v>
      </c>
      <c r="AB12" s="98" t="s">
        <v>138</v>
      </c>
      <c r="AC12" s="280">
        <v>23934</v>
      </c>
      <c r="AD12" s="98">
        <v>480090</v>
      </c>
      <c r="AE12" s="98">
        <v>14111</v>
      </c>
      <c r="AF12" s="98">
        <v>1200</v>
      </c>
      <c r="AG12" s="98">
        <v>21504</v>
      </c>
      <c r="AH12" s="98">
        <v>15068</v>
      </c>
      <c r="AI12" s="98">
        <f t="shared" si="7"/>
        <v>495401</v>
      </c>
      <c r="AJ12" s="98"/>
      <c r="AK12" s="650">
        <f t="shared" si="2"/>
        <v>16995965</v>
      </c>
    </row>
    <row r="13" spans="1:45" x14ac:dyDescent="0.45">
      <c r="A13" s="677" t="s">
        <v>138</v>
      </c>
      <c r="B13" s="1298">
        <f t="shared" si="3"/>
        <v>1.0631889000000001</v>
      </c>
      <c r="C13" s="1298">
        <f t="shared" si="4"/>
        <v>90.3573351</v>
      </c>
      <c r="D13" s="1300">
        <f t="shared" si="12"/>
        <v>91.420524</v>
      </c>
      <c r="E13" s="1298">
        <v>36.828302899999997</v>
      </c>
      <c r="F13" s="1298">
        <f t="shared" si="13"/>
        <v>9.0796395000000008</v>
      </c>
      <c r="G13" s="1300">
        <f t="shared" si="5"/>
        <v>137.3284664</v>
      </c>
      <c r="H13" s="1105">
        <f t="shared" si="14"/>
        <v>1.9775693000000001</v>
      </c>
      <c r="I13" s="1107">
        <f t="shared" si="15"/>
        <v>139.3060357</v>
      </c>
      <c r="J13" s="273"/>
      <c r="K13" s="98" t="s">
        <v>139</v>
      </c>
      <c r="L13" s="598">
        <v>10602129</v>
      </c>
      <c r="M13" s="598">
        <v>149186848</v>
      </c>
      <c r="N13" s="1276">
        <v>785016821</v>
      </c>
      <c r="O13" s="598">
        <f t="shared" si="16"/>
        <v>944805798</v>
      </c>
      <c r="P13" s="103">
        <f t="shared" si="17"/>
        <v>94.480579800000001</v>
      </c>
      <c r="Q13" s="229"/>
      <c r="S13" s="98" t="s">
        <v>139</v>
      </c>
      <c r="T13" s="1317">
        <f>38205447+113950</f>
        <v>38319397</v>
      </c>
      <c r="U13" s="802">
        <v>20217270</v>
      </c>
      <c r="V13" s="98">
        <v>17544238</v>
      </c>
      <c r="W13" s="98">
        <v>832819</v>
      </c>
      <c r="X13" s="98">
        <v>0</v>
      </c>
      <c r="Y13" s="98">
        <v>2417740</v>
      </c>
      <c r="Z13" s="98">
        <f>(4900+3000+17325+225)+AI13</f>
        <v>465679</v>
      </c>
      <c r="AA13" s="98">
        <f t="shared" si="6"/>
        <v>79797143</v>
      </c>
      <c r="AB13" s="98" t="s">
        <v>139</v>
      </c>
      <c r="AC13" s="280">
        <v>28006</v>
      </c>
      <c r="AD13" s="98">
        <v>423550</v>
      </c>
      <c r="AE13" s="98">
        <v>16679</v>
      </c>
      <c r="AF13" s="98">
        <v>0</v>
      </c>
      <c r="AG13" s="98">
        <v>16065</v>
      </c>
      <c r="AH13" s="98">
        <v>186</v>
      </c>
      <c r="AI13" s="98">
        <f t="shared" si="7"/>
        <v>440229</v>
      </c>
      <c r="AJ13" s="650"/>
      <c r="AK13" s="650">
        <f t="shared" si="2"/>
        <v>20217270</v>
      </c>
    </row>
    <row r="14" spans="1:45" x14ac:dyDescent="0.45">
      <c r="A14" s="677" t="s">
        <v>139</v>
      </c>
      <c r="B14" s="1298">
        <f>L13/10000000</f>
        <v>1.0602129</v>
      </c>
      <c r="C14" s="1298">
        <f t="shared" si="4"/>
        <v>93.420366900000005</v>
      </c>
      <c r="D14" s="1300">
        <f t="shared" si="12"/>
        <v>94.480579800000001</v>
      </c>
      <c r="E14" s="1298">
        <v>28.823673200000002</v>
      </c>
      <c r="F14" s="1298">
        <f t="shared" si="13"/>
        <v>7.9797143000000004</v>
      </c>
      <c r="G14" s="1300">
        <f t="shared" si="5"/>
        <v>131.2839673</v>
      </c>
      <c r="H14" s="1105">
        <f t="shared" si="14"/>
        <v>1.0965028999999999</v>
      </c>
      <c r="I14" s="1107">
        <f t="shared" si="15"/>
        <v>132.38047019999999</v>
      </c>
      <c r="J14" s="273"/>
      <c r="K14" s="98" t="s">
        <v>140</v>
      </c>
      <c r="L14" s="598">
        <v>9747371</v>
      </c>
      <c r="M14" s="598">
        <v>144172603</v>
      </c>
      <c r="N14" s="598">
        <v>734693595</v>
      </c>
      <c r="O14" s="598">
        <f t="shared" si="16"/>
        <v>888613569</v>
      </c>
      <c r="P14" s="103">
        <f t="shared" si="17"/>
        <v>88.861356900000004</v>
      </c>
      <c r="Q14" s="229"/>
      <c r="S14" s="98" t="s">
        <v>140</v>
      </c>
      <c r="T14" s="696">
        <f>142680+33943051</f>
        <v>34085731</v>
      </c>
      <c r="U14" s="98">
        <v>21288460</v>
      </c>
      <c r="V14" s="98">
        <v>16119236</v>
      </c>
      <c r="W14" s="98">
        <v>650815</v>
      </c>
      <c r="X14" s="778">
        <v>511618</v>
      </c>
      <c r="Y14" s="98">
        <v>2322930</v>
      </c>
      <c r="Z14" s="969">
        <f>(3800+3300+2+17105+1425+200+9864+59682)+AI14</f>
        <v>512289</v>
      </c>
      <c r="AA14" s="98">
        <f t="shared" si="6"/>
        <v>75491079</v>
      </c>
      <c r="AB14" s="98" t="s">
        <v>140</v>
      </c>
      <c r="AC14" s="280">
        <v>27551</v>
      </c>
      <c r="AD14" s="98">
        <v>380491</v>
      </c>
      <c r="AE14" s="98">
        <v>12254</v>
      </c>
      <c r="AF14" s="98">
        <v>1710</v>
      </c>
      <c r="AG14" s="98">
        <v>19699</v>
      </c>
      <c r="AH14" s="98">
        <v>2757</v>
      </c>
      <c r="AI14" s="98">
        <f>AD14+AE14+AF14+AJ14+AG14+AH14</f>
        <v>416911</v>
      </c>
      <c r="AJ14" s="650"/>
      <c r="AK14" s="650">
        <f t="shared" si="2"/>
        <v>21288460</v>
      </c>
    </row>
    <row r="15" spans="1:45" x14ac:dyDescent="0.45">
      <c r="A15" s="677" t="s">
        <v>140</v>
      </c>
      <c r="B15" s="1298">
        <f>L14/10000000</f>
        <v>0.97473710000000002</v>
      </c>
      <c r="C15" s="1298">
        <f>(M14+N14)/10000000</f>
        <v>87.886619800000005</v>
      </c>
      <c r="D15" s="1300">
        <f t="shared" si="12"/>
        <v>88.861356900000004</v>
      </c>
      <c r="E15" s="1298">
        <v>28.25</v>
      </c>
      <c r="F15" s="1298">
        <f t="shared" si="13"/>
        <v>7.5491079000000001</v>
      </c>
      <c r="G15" s="1300">
        <f t="shared" si="5"/>
        <v>124.6604648</v>
      </c>
      <c r="H15" s="1105">
        <f>AA30/10000000</f>
        <v>1.9933129000000001</v>
      </c>
      <c r="I15" s="1107">
        <f t="shared" si="15"/>
        <v>126.65377770000001</v>
      </c>
      <c r="J15" s="273"/>
      <c r="K15" s="98" t="s">
        <v>141</v>
      </c>
      <c r="L15" s="598">
        <v>10327909</v>
      </c>
      <c r="M15" s="598">
        <v>146200163</v>
      </c>
      <c r="N15" s="598">
        <v>776502520</v>
      </c>
      <c r="O15" s="598">
        <f t="shared" si="16"/>
        <v>933030592</v>
      </c>
      <c r="P15" s="103">
        <f t="shared" si="17"/>
        <v>93.303059200000007</v>
      </c>
      <c r="Q15" s="229"/>
      <c r="R15" s="599">
        <v>13736772</v>
      </c>
      <c r="S15" s="98" t="s">
        <v>141</v>
      </c>
      <c r="T15" s="98">
        <f>35623350+130920</f>
        <v>35754270</v>
      </c>
      <c r="U15" s="98">
        <v>21327530</v>
      </c>
      <c r="V15" s="98">
        <v>20591189</v>
      </c>
      <c r="W15" s="98">
        <v>832199</v>
      </c>
      <c r="X15" s="98">
        <v>5386715</v>
      </c>
      <c r="Y15" s="98">
        <v>2437040</v>
      </c>
      <c r="Z15" s="98">
        <f>(1400+16140+675+724865+37335+1600+2125)+AI15</f>
        <v>1298933</v>
      </c>
      <c r="AA15" s="98">
        <f t="shared" si="6"/>
        <v>87627876</v>
      </c>
      <c r="AB15" s="98" t="s">
        <v>141</v>
      </c>
      <c r="AC15" s="280"/>
      <c r="AD15" s="98">
        <v>485519</v>
      </c>
      <c r="AE15" s="98">
        <v>16803</v>
      </c>
      <c r="AF15" s="98">
        <v>1950</v>
      </c>
      <c r="AG15" s="98">
        <v>10097</v>
      </c>
      <c r="AH15" s="98">
        <v>424</v>
      </c>
      <c r="AI15" s="98">
        <f>AD15+AE15+AF15+AJ15+AG15+AH15</f>
        <v>514793</v>
      </c>
      <c r="AJ15" s="650"/>
      <c r="AK15" s="650">
        <f t="shared" si="2"/>
        <v>21327530</v>
      </c>
    </row>
    <row r="16" spans="1:45" x14ac:dyDescent="0.45">
      <c r="A16" s="677" t="s">
        <v>141</v>
      </c>
      <c r="B16" s="1298">
        <f>L15/10000000</f>
        <v>1.0327909</v>
      </c>
      <c r="C16" s="1298">
        <f>M15/10000000</f>
        <v>14.6200163</v>
      </c>
      <c r="D16" s="1298">
        <f>N15/10000000</f>
        <v>77.650251999999995</v>
      </c>
      <c r="E16" s="1298">
        <v>32.89</v>
      </c>
      <c r="F16" s="1298">
        <v>8.76</v>
      </c>
      <c r="G16" s="1300">
        <f t="shared" si="5"/>
        <v>119.300252</v>
      </c>
      <c r="H16" s="1105">
        <f>AA31/10000000</f>
        <v>2.1449723999999999</v>
      </c>
      <c r="I16" s="1107">
        <f>H16+G16</f>
        <v>121.4452244</v>
      </c>
      <c r="J16" s="273"/>
      <c r="K16" s="226" t="s">
        <v>63</v>
      </c>
      <c r="L16" s="599">
        <f>L4+L5+L6+L7+L8+L9+L10+L11+L12+L13+L14+L15</f>
        <v>115293788</v>
      </c>
      <c r="M16" s="599">
        <f>M4+M5+M6+M7+M8+M9+M10+M11+M12+M13+M14+M15</f>
        <v>1276817310</v>
      </c>
      <c r="N16" s="599">
        <f>N4+N5+N6+N7+N8+N9+N10+N11+N12+N13+N14+N15</f>
        <v>8860354851</v>
      </c>
      <c r="O16" s="599">
        <f>O4+O5+O6+O7+O8+O9+O10+O11+O12+O13+O14+O15</f>
        <v>10252465949</v>
      </c>
      <c r="P16" s="600">
        <f>O16/10000000</f>
        <v>1025.2465949</v>
      </c>
      <c r="Q16" s="629"/>
      <c r="S16" s="226" t="s">
        <v>63</v>
      </c>
      <c r="T16" s="599">
        <f>T4+T5+T6+T7+T8+T9+T10+T11+T12+T13+T14+T15</f>
        <v>430508802</v>
      </c>
      <c r="U16" s="599">
        <f>U4+U5+U6+U7+U8+U9+U10+U11+U12+U13+U14+U15</f>
        <v>246579901</v>
      </c>
      <c r="V16" s="599">
        <f>V4+V5+V6+V7+V8+V9+V10+V11+V12+V13+V14+V15</f>
        <v>276933041</v>
      </c>
      <c r="W16" s="599">
        <f>W4+W5+W6+W7+W8+W9+W10+W11+W12+W13+W14+W15</f>
        <v>10446718</v>
      </c>
      <c r="X16" s="599">
        <f t="shared" ref="X16:AA16" si="19">X4+X5+X6+X7+X8+X9+X10+X11+X12+X13+X14+X15</f>
        <v>62230025</v>
      </c>
      <c r="Y16" s="599">
        <f t="shared" si="19"/>
        <v>31600820</v>
      </c>
      <c r="Z16" s="599">
        <f t="shared" si="19"/>
        <v>8555546</v>
      </c>
      <c r="AA16" s="599">
        <f t="shared" si="19"/>
        <v>1066854853</v>
      </c>
      <c r="AB16" s="215">
        <f>Z16-AI16</f>
        <v>5953792</v>
      </c>
      <c r="AC16" s="280">
        <f>SUM(AC4:AC15)</f>
        <v>312159</v>
      </c>
      <c r="AD16" s="98">
        <f>SUM(AD4:AD14)</f>
        <v>5406610</v>
      </c>
      <c r="AE16" s="98">
        <f>SUM(AE4:AE12)</f>
        <v>110522</v>
      </c>
      <c r="AF16" s="98">
        <f>SUM(AF4:AF14)</f>
        <v>73699</v>
      </c>
      <c r="AG16" s="98">
        <f t="shared" ref="AG16:AH16" si="20">SUM(AG4:AG11)</f>
        <v>155633</v>
      </c>
      <c r="AH16" s="98">
        <f t="shared" si="20"/>
        <v>338153</v>
      </c>
      <c r="AI16" s="98">
        <f t="shared" ref="AI16" si="21">SUM(AI4:AI7)</f>
        <v>2601754</v>
      </c>
      <c r="AJ16" s="802">
        <f>AJ4+AJ5+AJ6+AJ7</f>
        <v>373066</v>
      </c>
      <c r="AK16" s="98">
        <f>AK4+AK5+AK6+AK7</f>
        <v>86482696</v>
      </c>
    </row>
    <row r="17" spans="1:38" ht="19.5" x14ac:dyDescent="0.45">
      <c r="A17" s="677" t="s">
        <v>845</v>
      </c>
      <c r="B17" s="1298">
        <f>SUM(B5:B16)</f>
        <v>11.5293788</v>
      </c>
      <c r="C17" s="1298">
        <f t="shared" ref="C17:H17" si="22">SUM(C5:C16)</f>
        <v>936.06696409999984</v>
      </c>
      <c r="D17" s="1298">
        <f t="shared" si="22"/>
        <v>1009.5937877</v>
      </c>
      <c r="E17" s="1298">
        <f t="shared" si="22"/>
        <v>403.0903194</v>
      </c>
      <c r="F17" s="1298">
        <f t="shared" si="22"/>
        <v>106.68269769999999</v>
      </c>
      <c r="G17" s="1298">
        <f t="shared" si="22"/>
        <v>1519.3668048000002</v>
      </c>
      <c r="H17" s="1298">
        <f t="shared" si="22"/>
        <v>17.7073331</v>
      </c>
      <c r="I17" s="1298">
        <f>D17+E17+F17+H17</f>
        <v>1537.0741378999999</v>
      </c>
      <c r="J17" s="216"/>
      <c r="K17" s="98"/>
      <c r="L17" s="912">
        <f>(L16/10000000)/365</f>
        <v>3.1587339178082194E-2</v>
      </c>
      <c r="M17" s="229">
        <f t="shared" ref="M17:O17" si="23">SUM(M4:M12)/10000000</f>
        <v>83.725769600000007</v>
      </c>
      <c r="N17" s="229">
        <f t="shared" si="23"/>
        <v>656.41419150000002</v>
      </c>
      <c r="O17" s="229">
        <f t="shared" si="23"/>
        <v>748.60159899999996</v>
      </c>
      <c r="P17" s="103">
        <f>O17/10000000</f>
        <v>7.4860159899999991E-5</v>
      </c>
      <c r="Q17" s="598">
        <f>Q16/365</f>
        <v>0</v>
      </c>
      <c r="T17" s="229">
        <f>SUM(T4:T13)/10000000</f>
        <v>36.066880099999999</v>
      </c>
      <c r="U17" s="229">
        <f t="shared" ref="U17:AA17" si="24">SUM(U4:U13)/10000000</f>
        <v>20.396391099999999</v>
      </c>
      <c r="V17" s="229">
        <f>SUM(V4:V13)/10000000</f>
        <v>24.0222616</v>
      </c>
      <c r="W17" s="229">
        <f>SUM(W4:W13)/10000000</f>
        <v>0.89637040000000001</v>
      </c>
      <c r="X17" s="229">
        <f t="shared" si="24"/>
        <v>5.6331692000000002</v>
      </c>
      <c r="Y17" s="229">
        <f t="shared" si="24"/>
        <v>2.6840850000000001</v>
      </c>
      <c r="Z17" s="229">
        <f>SUM(Z4:Z14)/10000000</f>
        <v>0.72566129999999995</v>
      </c>
      <c r="AA17" s="229">
        <f t="shared" si="24"/>
        <v>90.373589800000005</v>
      </c>
      <c r="AB17" s="190">
        <f>Z17-AE17</f>
        <v>0.17763039999999997</v>
      </c>
      <c r="AC17" s="273">
        <f>Z12/10000000</f>
        <v>6.5824199999999999E-2</v>
      </c>
      <c r="AD17" s="259">
        <f>AD16+AF16</f>
        <v>5480309</v>
      </c>
      <c r="AE17" s="273">
        <f>AD17/10000000</f>
        <v>0.54803089999999999</v>
      </c>
      <c r="AF17" s="771">
        <f>29251/10000000</f>
        <v>2.9250999999999999E-3</v>
      </c>
      <c r="AG17" s="771"/>
      <c r="AH17" s="771"/>
      <c r="AI17" s="771"/>
      <c r="AJ17" s="626"/>
      <c r="AK17" s="626"/>
    </row>
    <row r="18" spans="1:38" ht="19.5" x14ac:dyDescent="0.45">
      <c r="H18" s="216"/>
      <c r="I18" s="216"/>
      <c r="K18" s="2567" t="s">
        <v>442</v>
      </c>
      <c r="L18" s="2568"/>
      <c r="M18" s="2568"/>
      <c r="N18" s="2568"/>
      <c r="O18" s="2568"/>
      <c r="P18" s="2569"/>
      <c r="Q18" s="630"/>
      <c r="S18" s="2543" t="s">
        <v>203</v>
      </c>
      <c r="T18" s="2543"/>
      <c r="U18" s="2543"/>
      <c r="V18" s="2543"/>
      <c r="W18" s="2543"/>
      <c r="X18" s="2543"/>
      <c r="Y18" s="2543"/>
      <c r="Z18" s="2543"/>
      <c r="AA18" s="2543"/>
      <c r="AC18" s="189">
        <f>Z17</f>
        <v>0.72566129999999995</v>
      </c>
      <c r="AD18" s="273">
        <f>AC18-AE17</f>
        <v>0.17763039999999997</v>
      </c>
      <c r="AE18" s="273">
        <f>(AD14+AF14)/10000000</f>
        <v>3.82201E-2</v>
      </c>
      <c r="AF18" s="771"/>
      <c r="AG18" s="771"/>
      <c r="AH18" s="771"/>
      <c r="AI18" s="771"/>
      <c r="AJ18" s="663"/>
      <c r="AK18" s="663"/>
    </row>
    <row r="19" spans="1:38" ht="19.5" x14ac:dyDescent="0.45">
      <c r="D19">
        <v>0.86312160000000004</v>
      </c>
      <c r="E19">
        <v>3.1360679999999999</v>
      </c>
      <c r="F19" s="229">
        <v>73.744693400000003</v>
      </c>
      <c r="G19" s="229">
        <f>SUM(M5:M11)/10000000</f>
        <v>66.744263099999998</v>
      </c>
      <c r="H19" s="229">
        <f>SUM(N5:N11)/10000000</f>
        <v>510.63964370000002</v>
      </c>
      <c r="I19" s="229">
        <f>SUM(O5:O11)/10000000</f>
        <v>584.12849240000003</v>
      </c>
      <c r="K19" s="226"/>
      <c r="L19" s="599" t="s">
        <v>432</v>
      </c>
      <c r="M19" s="599" t="s">
        <v>433</v>
      </c>
      <c r="N19" s="599" t="s">
        <v>434</v>
      </c>
      <c r="O19" s="226" t="s">
        <v>63</v>
      </c>
      <c r="P19" s="226" t="s">
        <v>441</v>
      </c>
      <c r="Q19" s="631" t="s">
        <v>459</v>
      </c>
      <c r="S19" s="398" t="s">
        <v>127</v>
      </c>
      <c r="T19" s="398" t="s">
        <v>445</v>
      </c>
      <c r="U19" s="398" t="s">
        <v>446</v>
      </c>
      <c r="V19" s="398" t="s">
        <v>447</v>
      </c>
      <c r="W19" s="398" t="s">
        <v>448</v>
      </c>
      <c r="X19" s="398" t="s">
        <v>266</v>
      </c>
      <c r="Y19" s="398"/>
      <c r="Z19" s="398"/>
      <c r="AA19" s="398" t="s">
        <v>63</v>
      </c>
      <c r="AB19" s="966">
        <f>AA16-578808725</f>
        <v>488046128</v>
      </c>
      <c r="AC19" s="113" t="s">
        <v>275</v>
      </c>
      <c r="AD19" s="601"/>
      <c r="AE19" s="98" t="s">
        <v>462</v>
      </c>
      <c r="AF19" s="98"/>
      <c r="AH19">
        <v>15301545</v>
      </c>
      <c r="AJ19" s="664"/>
      <c r="AK19" s="665"/>
    </row>
    <row r="20" spans="1:38" ht="19.5" x14ac:dyDescent="0.45">
      <c r="B20" s="229"/>
      <c r="C20" s="229"/>
      <c r="D20" s="229">
        <v>0.86312160000000004</v>
      </c>
      <c r="E20" s="229"/>
      <c r="F20" s="229">
        <f>SUM(L12:L15)/10000000</f>
        <v>4.1309297999999997</v>
      </c>
      <c r="G20" s="229">
        <f>SUM(M12:M15)/10000000</f>
        <v>59.145936599999999</v>
      </c>
      <c r="H20" s="229">
        <f>SUM(N12:N15)/10000000</f>
        <v>304.78865350000001</v>
      </c>
      <c r="I20" s="229">
        <f>SUM(O11:O15)/10000000</f>
        <v>458.86966330000001</v>
      </c>
      <c r="J20" s="229"/>
      <c r="K20" s="98" t="s">
        <v>131</v>
      </c>
      <c r="L20" s="598">
        <v>1139293</v>
      </c>
      <c r="M20" s="598">
        <v>589582</v>
      </c>
      <c r="N20" s="1124">
        <v>1184236</v>
      </c>
      <c r="O20" s="1252">
        <f>SUM(L20:N20)</f>
        <v>2913111</v>
      </c>
      <c r="P20" s="103">
        <f t="shared" ref="P20:P31" si="25">O20/1000000</f>
        <v>2.9131109999999998</v>
      </c>
      <c r="Q20" s="229">
        <f>O20/1000000</f>
        <v>2.9131109999999998</v>
      </c>
      <c r="S20" s="98" t="s">
        <v>131</v>
      </c>
      <c r="T20" s="604">
        <v>5637501</v>
      </c>
      <c r="U20" s="98">
        <v>222561</v>
      </c>
      <c r="V20" s="98">
        <v>321816</v>
      </c>
      <c r="W20" s="98">
        <v>0</v>
      </c>
      <c r="X20" s="98">
        <f t="shared" ref="X20:X31" si="26">AE20</f>
        <v>1372598</v>
      </c>
      <c r="Y20" s="103"/>
      <c r="Z20" s="98"/>
      <c r="AA20" s="98">
        <f>SUM(T20:Z20)</f>
        <v>7554476</v>
      </c>
      <c r="AB20" s="967">
        <f>V20/100000</f>
        <v>3.2181600000000001</v>
      </c>
      <c r="AC20" s="98">
        <v>1378458</v>
      </c>
      <c r="AD20" s="98">
        <f>4000+1860</f>
        <v>5860</v>
      </c>
      <c r="AE20" s="98">
        <f t="shared" ref="AE20:AE31" si="27">AC20-AD20</f>
        <v>1372598</v>
      </c>
      <c r="AF20" s="98"/>
      <c r="AJ20" s="664">
        <v>50</v>
      </c>
      <c r="AK20" s="784">
        <v>38.5</v>
      </c>
    </row>
    <row r="21" spans="1:38" ht="19.5" x14ac:dyDescent="0.45">
      <c r="A21">
        <v>2026105111</v>
      </c>
      <c r="B21" s="229"/>
      <c r="C21" s="229"/>
      <c r="D21" s="229">
        <v>3.1360679999999999</v>
      </c>
      <c r="E21" s="229"/>
      <c r="F21" s="229"/>
      <c r="G21" s="229"/>
      <c r="J21" s="229"/>
      <c r="K21" s="98" t="s">
        <v>132</v>
      </c>
      <c r="L21" s="598">
        <v>1359308</v>
      </c>
      <c r="M21" s="598">
        <v>696693</v>
      </c>
      <c r="N21" s="1253">
        <v>1135385</v>
      </c>
      <c r="O21" s="1252">
        <f t="shared" ref="O21:O31" si="28">SUM(L21:N21)</f>
        <v>3191386</v>
      </c>
      <c r="P21" s="103">
        <f t="shared" si="25"/>
        <v>3.1913860000000001</v>
      </c>
      <c r="Q21" s="229">
        <f t="shared" ref="Q21:Q33" si="29">O21/1000000</f>
        <v>3.1913860000000001</v>
      </c>
      <c r="S21" s="98" t="s">
        <v>132</v>
      </c>
      <c r="T21" s="98">
        <v>4528115</v>
      </c>
      <c r="U21" s="98">
        <v>167677</v>
      </c>
      <c r="V21" s="98">
        <v>0</v>
      </c>
      <c r="W21" s="98">
        <v>183158</v>
      </c>
      <c r="X21" s="98">
        <f t="shared" si="26"/>
        <v>637996</v>
      </c>
      <c r="Y21" s="103"/>
      <c r="Z21" s="98"/>
      <c r="AA21" s="98">
        <f>SUM(T21:Z21)</f>
        <v>5516946</v>
      </c>
      <c r="AB21" s="967">
        <f t="shared" ref="AB21:AB32" si="30">V21/100000</f>
        <v>0</v>
      </c>
      <c r="AC21" s="98">
        <v>637996</v>
      </c>
      <c r="AD21" s="5"/>
      <c r="AE21" s="98">
        <f t="shared" si="27"/>
        <v>637996</v>
      </c>
      <c r="AF21" s="98"/>
      <c r="AH21">
        <v>203963911</v>
      </c>
      <c r="AJ21" s="664"/>
      <c r="AK21" s="664"/>
    </row>
    <row r="22" spans="1:38" x14ac:dyDescent="0.45">
      <c r="D22" s="229">
        <v>73.744693400000003</v>
      </c>
      <c r="F22" s="229">
        <f>SUM(L21:L27)/1000000</f>
        <v>10.968842</v>
      </c>
      <c r="G22" s="229">
        <f>SUM(M21:M27)/1000000</f>
        <v>8.5374119999999998</v>
      </c>
      <c r="H22" s="229">
        <f>SUM(N21:N27)/1000000</f>
        <v>7.4701240000000002</v>
      </c>
      <c r="J22" s="229"/>
      <c r="K22" s="98" t="s">
        <v>133</v>
      </c>
      <c r="L22" s="598">
        <v>1401597</v>
      </c>
      <c r="M22" s="598">
        <v>801407</v>
      </c>
      <c r="N22" s="598">
        <v>1106106</v>
      </c>
      <c r="O22" s="1252">
        <f t="shared" si="28"/>
        <v>3309110</v>
      </c>
      <c r="P22" s="103">
        <f t="shared" si="25"/>
        <v>3.30911</v>
      </c>
      <c r="Q22" s="229">
        <f t="shared" si="29"/>
        <v>3.30911</v>
      </c>
      <c r="S22" s="98" t="s">
        <v>133</v>
      </c>
      <c r="T22" s="98">
        <v>9982070</v>
      </c>
      <c r="U22" s="98">
        <v>425749</v>
      </c>
      <c r="V22" s="98">
        <v>234786</v>
      </c>
      <c r="W22" s="98">
        <v>0</v>
      </c>
      <c r="X22" s="98">
        <f t="shared" si="26"/>
        <v>773163</v>
      </c>
      <c r="Y22" s="103"/>
      <c r="Z22" s="98"/>
      <c r="AA22" s="98">
        <f>SUM(T22:Z22)</f>
        <v>11415768</v>
      </c>
      <c r="AB22" s="967">
        <f t="shared" si="30"/>
        <v>2.3478599999999998</v>
      </c>
      <c r="AC22" s="98">
        <v>893932</v>
      </c>
      <c r="AD22" s="98">
        <f>107065+13704</f>
        <v>120769</v>
      </c>
      <c r="AE22" s="98">
        <f t="shared" si="27"/>
        <v>773163</v>
      </c>
      <c r="AF22" s="98"/>
      <c r="AH22">
        <f>AH21/100000</f>
        <v>2039.6391100000001</v>
      </c>
    </row>
    <row r="23" spans="1:38" x14ac:dyDescent="0.45">
      <c r="C23" s="273">
        <v>1.7565010000000001</v>
      </c>
      <c r="D23" s="229">
        <f>L22/1000000</f>
        <v>1.401597</v>
      </c>
      <c r="J23" s="229"/>
      <c r="K23" s="98" t="s">
        <v>51</v>
      </c>
      <c r="L23" s="598">
        <v>1424397</v>
      </c>
      <c r="M23" s="598">
        <v>1114904</v>
      </c>
      <c r="N23" s="1124">
        <v>1097905</v>
      </c>
      <c r="O23" s="1252">
        <f t="shared" si="28"/>
        <v>3637206</v>
      </c>
      <c r="P23" s="103">
        <f t="shared" si="25"/>
        <v>3.6372059999999999</v>
      </c>
      <c r="Q23" s="229">
        <f t="shared" si="29"/>
        <v>3.6372059999999999</v>
      </c>
      <c r="S23" s="98" t="s">
        <v>51</v>
      </c>
      <c r="T23" s="98">
        <v>5185746</v>
      </c>
      <c r="U23" s="98">
        <v>316874</v>
      </c>
      <c r="V23" s="98">
        <v>793384</v>
      </c>
      <c r="W23" s="98">
        <v>63045</v>
      </c>
      <c r="X23" s="98">
        <f t="shared" si="26"/>
        <v>734701</v>
      </c>
      <c r="Y23" s="103"/>
      <c r="Z23" s="98"/>
      <c r="AA23" s="98">
        <f t="shared" ref="AA23:AA31" si="31">SUM(T23:Z23)</f>
        <v>7093750</v>
      </c>
      <c r="AB23" s="967">
        <f t="shared" si="30"/>
        <v>7.93384</v>
      </c>
      <c r="AC23" s="98">
        <v>875282</v>
      </c>
      <c r="AD23" s="98">
        <f>140581</f>
        <v>140581</v>
      </c>
      <c r="AE23" s="98">
        <f t="shared" si="27"/>
        <v>734701</v>
      </c>
      <c r="AF23" s="98"/>
      <c r="AJ23" s="625">
        <v>145058041</v>
      </c>
      <c r="AK23" s="625">
        <v>6811476</v>
      </c>
    </row>
    <row r="24" spans="1:38" x14ac:dyDescent="0.45">
      <c r="C24" s="273">
        <v>1.380501</v>
      </c>
      <c r="D24" s="229">
        <f>M22/1000000</f>
        <v>0.80140699999999998</v>
      </c>
      <c r="F24">
        <f>L4/10000000</f>
        <v>0.65386339999999998</v>
      </c>
      <c r="G24">
        <f>M4/10000000</f>
        <v>1.7915312999999999</v>
      </c>
      <c r="H24">
        <f>N4/10000000</f>
        <v>70.6071879</v>
      </c>
      <c r="J24" s="229"/>
      <c r="K24" s="98" t="s">
        <v>134</v>
      </c>
      <c r="L24" s="598">
        <v>1566841</v>
      </c>
      <c r="M24" s="598">
        <v>1282771</v>
      </c>
      <c r="N24" s="598">
        <v>1024098</v>
      </c>
      <c r="O24" s="1252">
        <f t="shared" si="28"/>
        <v>3873710</v>
      </c>
      <c r="P24" s="103">
        <f t="shared" si="25"/>
        <v>3.87371</v>
      </c>
      <c r="Q24" s="229">
        <f t="shared" si="29"/>
        <v>3.87371</v>
      </c>
      <c r="S24" s="98" t="s">
        <v>134</v>
      </c>
      <c r="T24" s="98">
        <v>8595038</v>
      </c>
      <c r="U24" s="98">
        <v>902841</v>
      </c>
      <c r="V24" s="98">
        <v>666592</v>
      </c>
      <c r="W24" s="98">
        <v>0</v>
      </c>
      <c r="X24" s="98">
        <f t="shared" si="26"/>
        <v>2494580</v>
      </c>
      <c r="Y24" s="103"/>
      <c r="Z24" s="98"/>
      <c r="AA24" s="98">
        <f t="shared" si="31"/>
        <v>12659051</v>
      </c>
      <c r="AB24" s="967">
        <f t="shared" si="30"/>
        <v>6.6659199999999998</v>
      </c>
      <c r="AC24" s="98">
        <v>2918857</v>
      </c>
      <c r="AD24" s="98">
        <f>399594+24683</f>
        <v>424277</v>
      </c>
      <c r="AE24" s="98">
        <f t="shared" si="27"/>
        <v>2494580</v>
      </c>
      <c r="AF24" s="98"/>
      <c r="AJ24" s="625">
        <f>AJ23-V16</f>
        <v>-131875000</v>
      </c>
      <c r="AK24" s="625">
        <f>AK23-W16</f>
        <v>-3635242</v>
      </c>
    </row>
    <row r="25" spans="1:38" x14ac:dyDescent="0.45">
      <c r="C25" s="273">
        <v>1.072316</v>
      </c>
      <c r="D25" s="229">
        <f>N22/1000000</f>
        <v>1.106106</v>
      </c>
      <c r="F25" s="273">
        <f>F24/30</f>
        <v>2.1795446666666666E-2</v>
      </c>
      <c r="G25" s="273">
        <f>G24/30</f>
        <v>5.971771E-2</v>
      </c>
      <c r="H25" s="273">
        <f>H24/30</f>
        <v>2.3535729299999999</v>
      </c>
      <c r="J25" s="226"/>
      <c r="K25" s="98" t="s">
        <v>135</v>
      </c>
      <c r="L25" s="1182">
        <v>1756501</v>
      </c>
      <c r="M25" s="1182">
        <v>1380501</v>
      </c>
      <c r="N25" s="1254">
        <v>1072316</v>
      </c>
      <c r="O25" s="1252">
        <f t="shared" si="28"/>
        <v>4209318</v>
      </c>
      <c r="P25" s="103">
        <f t="shared" si="25"/>
        <v>4.2093179999999997</v>
      </c>
      <c r="Q25" s="229">
        <f t="shared" si="29"/>
        <v>4.2093179999999997</v>
      </c>
      <c r="S25" s="98" t="s">
        <v>135</v>
      </c>
      <c r="T25" s="98">
        <v>17060818</v>
      </c>
      <c r="U25" s="98">
        <v>3620062</v>
      </c>
      <c r="V25" s="98">
        <v>4819407</v>
      </c>
      <c r="W25" s="98">
        <v>1800002</v>
      </c>
      <c r="X25" s="98">
        <f t="shared" si="26"/>
        <v>2173886</v>
      </c>
      <c r="Y25" s="103"/>
      <c r="Z25" s="98"/>
      <c r="AA25" s="98">
        <f t="shared" si="31"/>
        <v>29474175</v>
      </c>
      <c r="AB25" s="967">
        <f t="shared" si="30"/>
        <v>48.194070000000004</v>
      </c>
      <c r="AC25" s="98">
        <v>3658638</v>
      </c>
      <c r="AD25" s="98">
        <f>212914+1271838</f>
        <v>1484752</v>
      </c>
      <c r="AE25" s="98">
        <f t="shared" si="27"/>
        <v>2173886</v>
      </c>
      <c r="AF25" s="98"/>
      <c r="AI25">
        <f>9878/1000</f>
        <v>9.8780000000000001</v>
      </c>
    </row>
    <row r="26" spans="1:38" x14ac:dyDescent="0.45">
      <c r="F26" s="273">
        <f>F25*26</f>
        <v>0.56668161333333333</v>
      </c>
      <c r="G26" s="273">
        <f>G25*26</f>
        <v>1.55266046</v>
      </c>
      <c r="H26" s="273">
        <f>H25*26</f>
        <v>61.192896179999998</v>
      </c>
      <c r="K26" s="98" t="s">
        <v>136</v>
      </c>
      <c r="L26" s="598">
        <v>1610768</v>
      </c>
      <c r="M26" s="598">
        <v>1604759</v>
      </c>
      <c r="N26" s="1254">
        <v>940121</v>
      </c>
      <c r="O26" s="1252">
        <f t="shared" si="28"/>
        <v>4155648</v>
      </c>
      <c r="P26" s="103">
        <f t="shared" si="25"/>
        <v>4.1556480000000002</v>
      </c>
      <c r="Q26" s="229">
        <f t="shared" si="29"/>
        <v>4.1556480000000002</v>
      </c>
      <c r="S26" s="98" t="s">
        <v>136</v>
      </c>
      <c r="T26" s="98">
        <v>7085326</v>
      </c>
      <c r="U26" s="98">
        <v>832768</v>
      </c>
      <c r="V26" s="98">
        <v>1203597</v>
      </c>
      <c r="W26" s="98">
        <v>0</v>
      </c>
      <c r="X26" s="98">
        <f t="shared" si="26"/>
        <v>792606</v>
      </c>
      <c r="Y26" s="103"/>
      <c r="Z26" s="98"/>
      <c r="AA26" s="98">
        <f t="shared" si="31"/>
        <v>9914297</v>
      </c>
      <c r="AB26" s="967">
        <f t="shared" si="30"/>
        <v>12.035970000000001</v>
      </c>
      <c r="AC26" s="98">
        <v>1093284</v>
      </c>
      <c r="AD26" s="98">
        <f>300678</f>
        <v>300678</v>
      </c>
      <c r="AE26" s="98">
        <f t="shared" si="27"/>
        <v>792606</v>
      </c>
      <c r="AF26" s="98"/>
      <c r="AL26" s="625">
        <f>28</f>
        <v>28</v>
      </c>
    </row>
    <row r="27" spans="1:38" x14ac:dyDescent="0.45">
      <c r="J27" s="229"/>
      <c r="K27" s="98" t="s">
        <v>137</v>
      </c>
      <c r="L27" s="598">
        <v>1849430</v>
      </c>
      <c r="M27" s="598">
        <v>1656377</v>
      </c>
      <c r="N27" s="598">
        <v>1094193</v>
      </c>
      <c r="O27" s="1252">
        <f t="shared" si="28"/>
        <v>4600000</v>
      </c>
      <c r="P27" s="103">
        <f t="shared" si="25"/>
        <v>4.5999999999999996</v>
      </c>
      <c r="Q27" s="229">
        <f t="shared" si="29"/>
        <v>4.5999999999999996</v>
      </c>
      <c r="R27">
        <f>P27*4</f>
        <v>18.399999999999999</v>
      </c>
      <c r="S27" s="98" t="s">
        <v>137</v>
      </c>
      <c r="T27" s="98">
        <v>12100426</v>
      </c>
      <c r="U27" s="98">
        <v>1550318</v>
      </c>
      <c r="V27" s="98">
        <v>4454316</v>
      </c>
      <c r="W27" s="98">
        <v>55115</v>
      </c>
      <c r="X27" s="98">
        <f t="shared" si="26"/>
        <v>3161118</v>
      </c>
      <c r="Y27" s="103"/>
      <c r="Z27" s="98"/>
      <c r="AA27" s="98">
        <f>SUM(T27:Z27)</f>
        <v>21321293</v>
      </c>
      <c r="AB27" s="967">
        <f t="shared" si="30"/>
        <v>44.54316</v>
      </c>
      <c r="AC27" s="98">
        <v>4070161</v>
      </c>
      <c r="AD27" s="98">
        <f>794846+114197</f>
        <v>909043</v>
      </c>
      <c r="AE27" s="98">
        <f t="shared" si="27"/>
        <v>3161118</v>
      </c>
      <c r="AF27" s="98"/>
      <c r="AG27">
        <v>0.99820699999999996</v>
      </c>
      <c r="AH27">
        <v>4.2574899999999999E-2</v>
      </c>
      <c r="AI27">
        <v>2.3478599999999999E-2</v>
      </c>
      <c r="AJ27" s="625">
        <v>0</v>
      </c>
      <c r="AK27" s="625">
        <v>7.7316300000000004E-2</v>
      </c>
    </row>
    <row r="28" spans="1:38" x14ac:dyDescent="0.45">
      <c r="E28" s="229">
        <v>1.0199491999999999</v>
      </c>
      <c r="F28" s="229">
        <v>11.7188304</v>
      </c>
      <c r="G28" s="229">
        <v>73.275667999999996</v>
      </c>
      <c r="J28" s="229"/>
      <c r="K28" s="98" t="s">
        <v>138</v>
      </c>
      <c r="L28" s="598">
        <v>1771610</v>
      </c>
      <c r="M28" s="598">
        <v>1674131</v>
      </c>
      <c r="N28" s="598">
        <v>1026366</v>
      </c>
      <c r="O28" s="598">
        <f t="shared" si="28"/>
        <v>4472107</v>
      </c>
      <c r="P28" s="103">
        <f t="shared" si="25"/>
        <v>4.4721070000000003</v>
      </c>
      <c r="Q28" s="229">
        <f t="shared" si="29"/>
        <v>4.4721070000000003</v>
      </c>
      <c r="R28" s="229">
        <f>R27+O33</f>
        <v>137818.33023255813</v>
      </c>
      <c r="S28" s="98" t="s">
        <v>138</v>
      </c>
      <c r="T28" s="98">
        <v>10860209</v>
      </c>
      <c r="U28" s="280">
        <v>4872664</v>
      </c>
      <c r="V28" s="98">
        <v>2668827</v>
      </c>
      <c r="W28" s="98">
        <v>0</v>
      </c>
      <c r="X28" s="98">
        <f t="shared" si="26"/>
        <v>1373993</v>
      </c>
      <c r="Y28" s="103"/>
      <c r="Z28" s="98"/>
      <c r="AA28" s="98">
        <f t="shared" si="31"/>
        <v>19775693</v>
      </c>
      <c r="AB28" s="967">
        <f t="shared" si="30"/>
        <v>26.688269999999999</v>
      </c>
      <c r="AC28" s="98">
        <v>1572055</v>
      </c>
      <c r="AD28" s="98">
        <f>20129+177933</f>
        <v>198062</v>
      </c>
      <c r="AE28" s="98">
        <f t="shared" si="27"/>
        <v>1373993</v>
      </c>
      <c r="AF28" s="98"/>
      <c r="AG28" s="400">
        <f>V28/10000000</f>
        <v>0.26688269999999997</v>
      </c>
      <c r="AI28">
        <v>920867</v>
      </c>
      <c r="AJ28" s="625">
        <f>12297+5500</f>
        <v>17797</v>
      </c>
    </row>
    <row r="29" spans="1:38" x14ac:dyDescent="0.45">
      <c r="E29" s="273">
        <v>1.7565010000000001</v>
      </c>
      <c r="F29" s="273">
        <v>1.380501</v>
      </c>
      <c r="G29" s="273">
        <v>1.072316</v>
      </c>
      <c r="H29">
        <v>30</v>
      </c>
      <c r="J29" s="229"/>
      <c r="K29" s="98" t="s">
        <v>139</v>
      </c>
      <c r="L29" s="598">
        <v>1763151</v>
      </c>
      <c r="M29" s="598">
        <v>1664164</v>
      </c>
      <c r="N29" s="598">
        <v>1094219</v>
      </c>
      <c r="O29" s="598">
        <f t="shared" si="28"/>
        <v>4521534</v>
      </c>
      <c r="P29" s="103">
        <f t="shared" si="25"/>
        <v>4.5215339999999999</v>
      </c>
      <c r="Q29" s="229">
        <f t="shared" si="29"/>
        <v>4.5215339999999999</v>
      </c>
      <c r="S29" s="98" t="s">
        <v>139</v>
      </c>
      <c r="T29" s="98">
        <v>8516770</v>
      </c>
      <c r="U29" s="98">
        <v>880815</v>
      </c>
      <c r="V29" s="850">
        <v>976511</v>
      </c>
      <c r="W29" s="98">
        <v>14000</v>
      </c>
      <c r="X29" s="98">
        <f t="shared" si="26"/>
        <v>576933</v>
      </c>
      <c r="Y29" s="103"/>
      <c r="Z29" s="98"/>
      <c r="AA29" s="98">
        <f t="shared" si="31"/>
        <v>10965029</v>
      </c>
      <c r="AB29" s="967">
        <f t="shared" si="30"/>
        <v>9.76511</v>
      </c>
      <c r="AC29" s="98">
        <v>671993</v>
      </c>
      <c r="AD29" s="98">
        <f>95030+30</f>
        <v>95060</v>
      </c>
      <c r="AE29" s="98">
        <f t="shared" si="27"/>
        <v>576933</v>
      </c>
      <c r="AF29" s="98"/>
      <c r="AG29" s="400">
        <f>V29/10000000</f>
        <v>9.7651100000000005E-2</v>
      </c>
      <c r="AJ29" s="229">
        <v>0.99820699999999996</v>
      </c>
    </row>
    <row r="30" spans="1:38" x14ac:dyDescent="0.45">
      <c r="H30">
        <v>31</v>
      </c>
      <c r="J30" s="229"/>
      <c r="K30" s="98" t="s">
        <v>140</v>
      </c>
      <c r="L30" s="598">
        <v>1641313</v>
      </c>
      <c r="M30" s="598">
        <v>1460303</v>
      </c>
      <c r="N30" s="598">
        <v>993707</v>
      </c>
      <c r="O30" s="598">
        <f t="shared" si="28"/>
        <v>4095323</v>
      </c>
      <c r="P30" s="103">
        <f t="shared" si="25"/>
        <v>4.0953229999999996</v>
      </c>
      <c r="Q30" s="229">
        <f t="shared" si="29"/>
        <v>4.0953229999999996</v>
      </c>
      <c r="S30" s="98" t="s">
        <v>140</v>
      </c>
      <c r="T30" s="98">
        <v>16537408</v>
      </c>
      <c r="U30" s="98">
        <v>1100289</v>
      </c>
      <c r="V30" s="98">
        <v>1516779</v>
      </c>
      <c r="W30" s="98">
        <v>0</v>
      </c>
      <c r="X30" s="98">
        <f t="shared" si="26"/>
        <v>778653</v>
      </c>
      <c r="Y30" s="103"/>
      <c r="Z30" s="98"/>
      <c r="AA30" s="98">
        <f t="shared" si="31"/>
        <v>19933129</v>
      </c>
      <c r="AB30" s="967">
        <f t="shared" si="30"/>
        <v>15.16779</v>
      </c>
      <c r="AC30" s="98">
        <v>1481054</v>
      </c>
      <c r="AD30" s="98">
        <f>702401</f>
        <v>702401</v>
      </c>
      <c r="AE30" s="98">
        <f t="shared" si="27"/>
        <v>778653</v>
      </c>
      <c r="AF30" s="98"/>
      <c r="AG30" s="400">
        <f>V30/10000000</f>
        <v>0.1516779</v>
      </c>
      <c r="AJ30" s="229">
        <v>4.2574899999999999E-2</v>
      </c>
    </row>
    <row r="31" spans="1:38" ht="14.65" thickBot="1" x14ac:dyDescent="0.5">
      <c r="A31" s="2554" t="s">
        <v>416</v>
      </c>
      <c r="B31" s="2554"/>
      <c r="C31" s="2554"/>
      <c r="D31" s="2554"/>
      <c r="E31" s="2554"/>
      <c r="F31" s="2554"/>
      <c r="G31" s="2554"/>
      <c r="H31">
        <v>30</v>
      </c>
      <c r="J31" s="229"/>
      <c r="K31" s="98" t="s">
        <v>141</v>
      </c>
      <c r="L31" s="598">
        <v>1732637</v>
      </c>
      <c r="M31" s="598">
        <v>1602762</v>
      </c>
      <c r="N31" s="519">
        <v>1089324</v>
      </c>
      <c r="O31" s="598">
        <f t="shared" si="28"/>
        <v>4424723</v>
      </c>
      <c r="P31" s="103">
        <f t="shared" si="25"/>
        <v>4.4247230000000002</v>
      </c>
      <c r="Q31" s="229">
        <f t="shared" si="29"/>
        <v>4.4247230000000002</v>
      </c>
      <c r="S31" s="98" t="s">
        <v>141</v>
      </c>
      <c r="T31" s="98">
        <v>14105460</v>
      </c>
      <c r="U31" s="98">
        <v>4544678</v>
      </c>
      <c r="V31" s="98">
        <v>1972632</v>
      </c>
      <c r="W31" s="98">
        <v>0</v>
      </c>
      <c r="X31" s="98">
        <f t="shared" si="26"/>
        <v>826954</v>
      </c>
      <c r="Y31" s="98"/>
      <c r="Z31" s="98"/>
      <c r="AA31" s="98">
        <f t="shared" si="31"/>
        <v>21449724</v>
      </c>
      <c r="AB31" s="967">
        <f t="shared" si="30"/>
        <v>19.726320000000001</v>
      </c>
      <c r="AC31" s="98">
        <v>1002498</v>
      </c>
      <c r="AD31" s="98">
        <f>175144+400</f>
        <v>175544</v>
      </c>
      <c r="AE31" s="98">
        <f t="shared" si="27"/>
        <v>826954</v>
      </c>
      <c r="AF31" s="98"/>
      <c r="AG31" s="400">
        <f>V31/10000000</f>
        <v>0.1972632</v>
      </c>
      <c r="AJ31" s="229">
        <v>2.3478599999999999E-2</v>
      </c>
    </row>
    <row r="32" spans="1:38" ht="14.65" thickBot="1" x14ac:dyDescent="0.5">
      <c r="A32" s="2555" t="s">
        <v>127</v>
      </c>
      <c r="B32" s="2556" t="s">
        <v>237</v>
      </c>
      <c r="C32" s="2557"/>
      <c r="D32" s="2558"/>
      <c r="E32" s="2559" t="s">
        <v>370</v>
      </c>
      <c r="F32" s="2560" t="s">
        <v>371</v>
      </c>
      <c r="G32" s="2559" t="s">
        <v>63</v>
      </c>
      <c r="H32">
        <v>31</v>
      </c>
      <c r="L32" s="599">
        <f>L20+L21+L22+L23+L24+L25+L26+L27+L28+L29+L30+L31</f>
        <v>19016846</v>
      </c>
      <c r="M32" s="599">
        <f>M20+M21+M22+M23+M24+M25+M26+M27+M28+M29+M30+M31</f>
        <v>15528354</v>
      </c>
      <c r="N32" s="599">
        <f>N20+N21+N22+N23+N24+N25+N26+N27+N28+N29+N30+N31</f>
        <v>12857976</v>
      </c>
      <c r="O32" s="599">
        <f>O20+O21+O22+O23+O24+O25+O26+O27+O28+O29+O30+O31</f>
        <v>47403176</v>
      </c>
      <c r="P32" s="103">
        <f>O32/1000000</f>
        <v>47.403176000000002</v>
      </c>
      <c r="Q32" s="229">
        <f t="shared" si="29"/>
        <v>47.403176000000002</v>
      </c>
      <c r="S32" s="226" t="s">
        <v>63</v>
      </c>
      <c r="T32" s="226">
        <f>SUM(T20:T30)</f>
        <v>106089427</v>
      </c>
      <c r="U32" s="226">
        <f t="shared" ref="U32:Z32" si="32">SUM(U20:U30)</f>
        <v>14892618</v>
      </c>
      <c r="V32" s="226">
        <f t="shared" si="32"/>
        <v>17656015</v>
      </c>
      <c r="W32" s="226">
        <f t="shared" si="32"/>
        <v>2115320</v>
      </c>
      <c r="X32" s="226">
        <f t="shared" si="32"/>
        <v>14870227</v>
      </c>
      <c r="Y32" s="226">
        <f t="shared" si="32"/>
        <v>0</v>
      </c>
      <c r="Z32" s="226">
        <f t="shared" si="32"/>
        <v>0</v>
      </c>
      <c r="AA32" s="226">
        <f>SUM(AA20:AA30)</f>
        <v>155623607</v>
      </c>
      <c r="AB32" s="967">
        <f t="shared" si="30"/>
        <v>176.56014999999999</v>
      </c>
      <c r="AC32" s="98"/>
      <c r="AD32" s="98"/>
      <c r="AE32" s="98"/>
      <c r="AF32" s="98"/>
      <c r="AG32" s="400">
        <f>V32/10000000</f>
        <v>1.7656015</v>
      </c>
      <c r="AJ32" s="1508">
        <v>0</v>
      </c>
    </row>
    <row r="33" spans="1:47" ht="14.65" thickBot="1" x14ac:dyDescent="0.5">
      <c r="A33" s="2279"/>
      <c r="B33" s="667" t="s">
        <v>94</v>
      </c>
      <c r="C33" s="668" t="s">
        <v>97</v>
      </c>
      <c r="D33" s="669" t="s">
        <v>63</v>
      </c>
      <c r="E33" s="2284"/>
      <c r="F33" s="2286"/>
      <c r="G33" s="2284"/>
      <c r="H33">
        <v>31</v>
      </c>
      <c r="L33" s="598">
        <f>L32/365</f>
        <v>52100.94794520548</v>
      </c>
      <c r="M33" s="598">
        <f>(M32+N32)/365</f>
        <v>77770.767123287675</v>
      </c>
      <c r="N33" s="598">
        <f>N32/344</f>
        <v>37377.837209302328</v>
      </c>
      <c r="O33" s="598">
        <f>O32/344</f>
        <v>137799.93023255814</v>
      </c>
      <c r="P33" s="1097">
        <f>O33/100000</f>
        <v>1.3779993023255814</v>
      </c>
      <c r="Q33" s="229">
        <f t="shared" si="29"/>
        <v>0.13779993023255813</v>
      </c>
      <c r="T33" s="400">
        <f>T23/10000000</f>
        <v>0.5185746</v>
      </c>
      <c r="U33" s="400">
        <f t="shared" ref="U33:AA33" si="33">U23/10000000</f>
        <v>3.1687399999999998E-2</v>
      </c>
      <c r="V33" s="400">
        <f t="shared" si="33"/>
        <v>7.9338400000000003E-2</v>
      </c>
      <c r="W33" s="400">
        <f t="shared" si="33"/>
        <v>6.3045000000000002E-3</v>
      </c>
      <c r="X33" s="400">
        <f t="shared" si="33"/>
        <v>7.3470099999999997E-2</v>
      </c>
      <c r="Y33" s="400">
        <f t="shared" si="33"/>
        <v>0</v>
      </c>
      <c r="Z33" s="400">
        <f t="shared" si="33"/>
        <v>0</v>
      </c>
      <c r="AA33" s="400">
        <f t="shared" si="33"/>
        <v>0.70937499999999998</v>
      </c>
      <c r="AJ33" s="1508">
        <v>7.7316300000000004E-2</v>
      </c>
    </row>
    <row r="34" spans="1:47" x14ac:dyDescent="0.45">
      <c r="A34" s="853" t="s">
        <v>131</v>
      </c>
      <c r="B34" s="671">
        <v>0.16</v>
      </c>
      <c r="C34" s="672">
        <v>68.09</v>
      </c>
      <c r="D34" s="673">
        <v>68.25</v>
      </c>
      <c r="E34" s="674">
        <v>11.57</v>
      </c>
      <c r="F34" s="674">
        <v>5.0999999999999996</v>
      </c>
      <c r="G34" s="674">
        <v>84.919999999999987</v>
      </c>
      <c r="H34" s="229">
        <v>30</v>
      </c>
      <c r="I34" s="229"/>
      <c r="J34" s="229">
        <f>M24/1000000</f>
        <v>1.2827710000000001</v>
      </c>
      <c r="L34" s="229">
        <f>SUM(L20:L25)/1000000</f>
        <v>8.6479370000000007</v>
      </c>
      <c r="M34" s="229">
        <f>SUM(M20:M25)/1000000</f>
        <v>5.8658580000000002</v>
      </c>
      <c r="N34" s="229">
        <f>SUM(N20:N25)/1000000</f>
        <v>6.6200460000000003</v>
      </c>
      <c r="O34" s="229">
        <f t="shared" ref="O34" si="34">O24/1000000</f>
        <v>3.87371</v>
      </c>
      <c r="P34" s="229">
        <f>P31/1000000</f>
        <v>4.4247230000000006E-6</v>
      </c>
      <c r="Q34" s="259">
        <f>Q31/1000000</f>
        <v>4.4247230000000006E-6</v>
      </c>
      <c r="T34" s="229">
        <f>T30/10000000</f>
        <v>1.6537408</v>
      </c>
      <c r="U34" s="229">
        <f t="shared" ref="U34:X34" si="35">U30/10000000</f>
        <v>0.1100289</v>
      </c>
      <c r="V34" s="229">
        <f t="shared" si="35"/>
        <v>0.1516779</v>
      </c>
      <c r="W34" s="229">
        <f t="shared" si="35"/>
        <v>0</v>
      </c>
      <c r="X34" s="229">
        <f t="shared" si="35"/>
        <v>7.7865299999999998E-2</v>
      </c>
      <c r="Y34" s="229">
        <f t="shared" ref="Y34:AA34" si="36">Y32/10000000</f>
        <v>0</v>
      </c>
      <c r="Z34" s="229">
        <f t="shared" si="36"/>
        <v>0</v>
      </c>
      <c r="AA34" s="229">
        <f t="shared" si="36"/>
        <v>15.562360699999999</v>
      </c>
    </row>
    <row r="35" spans="1:47" x14ac:dyDescent="0.45">
      <c r="A35" s="854" t="s">
        <v>132</v>
      </c>
      <c r="B35" s="676">
        <v>0.18</v>
      </c>
      <c r="C35" s="677">
        <v>75.430000000000007</v>
      </c>
      <c r="D35" s="678">
        <v>75.610000000000014</v>
      </c>
      <c r="E35" s="675">
        <v>12.42</v>
      </c>
      <c r="F35" s="675">
        <v>8.61</v>
      </c>
      <c r="G35" s="675">
        <v>96.640000000000015</v>
      </c>
      <c r="H35">
        <v>31</v>
      </c>
      <c r="L35" s="229">
        <f>(L20+L21+L22+L23+L24)/100000</f>
        <v>68.914360000000002</v>
      </c>
      <c r="M35" s="229">
        <f t="shared" ref="M35:O35" si="37">(M20+M21+M22+M23+M24)/100000</f>
        <v>44.853569999999998</v>
      </c>
      <c r="N35" s="229">
        <f t="shared" si="37"/>
        <v>55.4773</v>
      </c>
      <c r="O35" s="229">
        <f t="shared" si="37"/>
        <v>169.24522999999999</v>
      </c>
      <c r="P35" s="229">
        <f>P32/1000000</f>
        <v>4.7403176000000001E-5</v>
      </c>
      <c r="T35" s="229">
        <f>T32/10000000</f>
        <v>10.6089427</v>
      </c>
      <c r="U35" s="229">
        <f t="shared" ref="U35:Z35" si="38">U32/10000000</f>
        <v>1.4892618</v>
      </c>
      <c r="V35" s="229">
        <f t="shared" si="38"/>
        <v>1.7656015</v>
      </c>
      <c r="W35" s="229">
        <f t="shared" si="38"/>
        <v>0.211532</v>
      </c>
      <c r="X35" s="229">
        <f>X32/10000000</f>
        <v>1.4870227</v>
      </c>
      <c r="Y35" s="229">
        <f t="shared" si="38"/>
        <v>0</v>
      </c>
      <c r="Z35" s="229">
        <f t="shared" si="38"/>
        <v>0</v>
      </c>
      <c r="AA35" s="229">
        <f>AA32/10000000</f>
        <v>15.562360699999999</v>
      </c>
    </row>
    <row r="36" spans="1:47" x14ac:dyDescent="0.45">
      <c r="A36" s="679" t="s">
        <v>204</v>
      </c>
      <c r="B36" s="680">
        <v>0.33999999999999997</v>
      </c>
      <c r="C36" s="681">
        <v>143.52000000000001</v>
      </c>
      <c r="D36" s="682">
        <v>143.86000000000001</v>
      </c>
      <c r="E36" s="679">
        <v>23.990000000000002</v>
      </c>
      <c r="F36" s="679">
        <v>13.709999999999999</v>
      </c>
      <c r="G36" s="679">
        <v>181.56</v>
      </c>
      <c r="H36">
        <v>30</v>
      </c>
      <c r="L36" s="259">
        <f>L32+M32</f>
        <v>34545200</v>
      </c>
      <c r="O36" s="259"/>
      <c r="T36" s="216">
        <f>T32/100000</f>
        <v>1060.89427</v>
      </c>
      <c r="U36" s="216">
        <f t="shared" ref="U36:X36" si="39">U32/100000</f>
        <v>148.92617999999999</v>
      </c>
      <c r="V36" s="216">
        <f t="shared" si="39"/>
        <v>176.56014999999999</v>
      </c>
      <c r="W36" s="216">
        <f t="shared" si="39"/>
        <v>21.153199999999998</v>
      </c>
      <c r="X36" s="216">
        <f t="shared" si="39"/>
        <v>148.70227</v>
      </c>
    </row>
    <row r="37" spans="1:47" x14ac:dyDescent="0.45">
      <c r="A37" s="675" t="s">
        <v>133</v>
      </c>
      <c r="B37" s="676">
        <v>0.17</v>
      </c>
      <c r="C37" s="677">
        <v>71.95</v>
      </c>
      <c r="D37" s="678">
        <v>72.12</v>
      </c>
      <c r="E37" s="675">
        <v>11.88</v>
      </c>
      <c r="F37" s="675">
        <v>3.22</v>
      </c>
      <c r="G37" s="675">
        <v>87.22</v>
      </c>
      <c r="L37" s="229">
        <v>8.6479370000000007</v>
      </c>
      <c r="M37" s="229">
        <v>5.8658580000000002</v>
      </c>
      <c r="N37" s="229">
        <v>6.6200460000000003</v>
      </c>
      <c r="O37" s="229"/>
      <c r="T37" s="229">
        <f>T20+T21</f>
        <v>10165616</v>
      </c>
      <c r="U37" s="229">
        <f>U20+U21</f>
        <v>390238</v>
      </c>
      <c r="V37" s="229">
        <f>V20+V21</f>
        <v>321816</v>
      </c>
      <c r="W37" s="229">
        <f>W20+W21</f>
        <v>183158</v>
      </c>
    </row>
    <row r="38" spans="1:47" x14ac:dyDescent="0.45">
      <c r="A38" s="679" t="s">
        <v>205</v>
      </c>
      <c r="B38" s="680">
        <v>0.51</v>
      </c>
      <c r="C38" s="681">
        <v>215.47000000000003</v>
      </c>
      <c r="D38" s="683">
        <v>215.98000000000002</v>
      </c>
      <c r="E38" s="679">
        <v>35.870000000000005</v>
      </c>
      <c r="F38" s="679">
        <v>16.93</v>
      </c>
      <c r="G38" s="679">
        <v>268.77999999999997</v>
      </c>
      <c r="T38">
        <f>T37/100000</f>
        <v>101.65616</v>
      </c>
      <c r="U38">
        <f>U37/100000</f>
        <v>3.90238</v>
      </c>
      <c r="V38">
        <f>V37/100000</f>
        <v>3.2181600000000001</v>
      </c>
      <c r="W38">
        <f>W37/100000</f>
        <v>1.83158</v>
      </c>
    </row>
    <row r="39" spans="1:47" x14ac:dyDescent="0.45">
      <c r="A39" s="675" t="s">
        <v>51</v>
      </c>
      <c r="B39" s="676">
        <v>0.17</v>
      </c>
      <c r="C39" s="677">
        <v>71.290000000000006</v>
      </c>
      <c r="D39" s="678">
        <v>71.460000000000008</v>
      </c>
      <c r="E39" s="675">
        <v>9.6300000000000008</v>
      </c>
      <c r="F39" s="675">
        <v>4.12</v>
      </c>
      <c r="G39" s="675">
        <v>85.210000000000008</v>
      </c>
      <c r="L39" s="216">
        <f>L60+L61</f>
        <v>184898</v>
      </c>
      <c r="M39" s="216">
        <f>M60+M61</f>
        <v>56902</v>
      </c>
      <c r="N39" s="216">
        <f>N60+N61</f>
        <v>702496</v>
      </c>
      <c r="T39" s="259">
        <f>T44+T45+T46</f>
        <v>68190016</v>
      </c>
      <c r="U39" s="259">
        <f t="shared" ref="U39:Z39" si="40">U44+U45+U46</f>
        <v>7243564</v>
      </c>
      <c r="V39" s="259">
        <f>V44+V45+V46</f>
        <v>51668341</v>
      </c>
      <c r="W39" s="259">
        <f>W44+W45+W46</f>
        <v>2436250</v>
      </c>
      <c r="X39" s="259">
        <f t="shared" si="40"/>
        <v>304670</v>
      </c>
      <c r="Y39" s="259">
        <f t="shared" si="40"/>
        <v>529060</v>
      </c>
      <c r="Z39" s="259">
        <f t="shared" si="40"/>
        <v>866941</v>
      </c>
    </row>
    <row r="40" spans="1:47" x14ac:dyDescent="0.45">
      <c r="A40" s="679" t="s">
        <v>207</v>
      </c>
      <c r="B40" s="680">
        <v>0.68</v>
      </c>
      <c r="C40" s="681">
        <v>286.76000000000005</v>
      </c>
      <c r="D40" s="683">
        <v>287.44000000000005</v>
      </c>
      <c r="E40" s="679">
        <v>45.500000000000007</v>
      </c>
      <c r="F40" s="679">
        <v>21.05</v>
      </c>
      <c r="G40" s="679">
        <v>353.99</v>
      </c>
      <c r="L40" s="273">
        <f>L46/100000</f>
        <v>5.7094699999999996</v>
      </c>
      <c r="M40" s="273">
        <f>M46/100000</f>
        <v>4.4491199999999997</v>
      </c>
      <c r="N40" s="273">
        <f>N46/100000</f>
        <v>3041.72073</v>
      </c>
      <c r="T40" s="229">
        <f>SUM(T44:T50)/10000000</f>
        <v>14.8732702</v>
      </c>
      <c r="U40" s="229">
        <f t="shared" ref="U40:Z40" si="41">SUM(U44:U50)/10000000</f>
        <v>3.0940484000000001</v>
      </c>
      <c r="V40" s="229">
        <f t="shared" si="41"/>
        <v>14.4931479</v>
      </c>
      <c r="W40" s="229">
        <f t="shared" si="41"/>
        <v>0.69638440000000001</v>
      </c>
      <c r="X40" s="229">
        <f t="shared" si="41"/>
        <v>1.8012378</v>
      </c>
      <c r="Y40" s="229">
        <f t="shared" si="41"/>
        <v>0.14499500000000001</v>
      </c>
      <c r="Z40" s="229">
        <f t="shared" si="41"/>
        <v>0.30724360000000001</v>
      </c>
      <c r="AA40" s="229">
        <f>SUM(AA45:AA51)/10000000</f>
        <v>37.019754200000001</v>
      </c>
    </row>
    <row r="41" spans="1:47" x14ac:dyDescent="0.45">
      <c r="A41" s="675" t="s">
        <v>134</v>
      </c>
      <c r="B41" s="676">
        <v>0.14000000000000001</v>
      </c>
      <c r="C41" s="677">
        <v>62.13</v>
      </c>
      <c r="D41" s="678">
        <v>62.27</v>
      </c>
      <c r="E41" s="675">
        <v>8.61</v>
      </c>
      <c r="F41" s="675">
        <v>5.48</v>
      </c>
      <c r="G41" s="675">
        <v>76.36</v>
      </c>
      <c r="K41" s="2561" t="s">
        <v>439</v>
      </c>
      <c r="L41" s="2562"/>
      <c r="M41" s="2562"/>
      <c r="N41" s="2562"/>
      <c r="O41" s="2562"/>
      <c r="P41" s="2566"/>
      <c r="Q41" s="627"/>
      <c r="S41" s="2570" t="s">
        <v>439</v>
      </c>
      <c r="T41" s="2571"/>
      <c r="U41" s="2571"/>
      <c r="V41" s="2571"/>
      <c r="W41" s="2571"/>
      <c r="X41" s="2571"/>
      <c r="Y41" s="2571"/>
      <c r="Z41" s="2571"/>
      <c r="AA41" s="2571"/>
      <c r="AC41" s="2561" t="s">
        <v>439</v>
      </c>
      <c r="AD41" s="2562"/>
      <c r="AE41" s="2562"/>
      <c r="AF41" s="2562"/>
      <c r="AG41" s="2562"/>
      <c r="AH41" s="2562"/>
      <c r="AI41" s="2562"/>
    </row>
    <row r="42" spans="1:47" x14ac:dyDescent="0.45">
      <c r="A42" s="679" t="s">
        <v>208</v>
      </c>
      <c r="B42" s="680">
        <v>0.82000000000000006</v>
      </c>
      <c r="C42" s="681">
        <v>348.89000000000004</v>
      </c>
      <c r="D42" s="683">
        <v>349.71000000000004</v>
      </c>
      <c r="E42" s="679">
        <v>54.110000000000007</v>
      </c>
      <c r="F42" s="679">
        <v>26.53</v>
      </c>
      <c r="G42" s="679">
        <v>430.35</v>
      </c>
      <c r="K42" s="2536" t="s">
        <v>278</v>
      </c>
      <c r="L42" s="2537"/>
      <c r="M42" s="2537"/>
      <c r="N42" s="2537"/>
      <c r="O42" s="2537"/>
      <c r="P42" s="2538"/>
      <c r="Q42" s="628"/>
      <c r="S42" s="2542" t="s">
        <v>371</v>
      </c>
      <c r="T42" s="2542"/>
      <c r="U42" s="2542"/>
      <c r="V42" s="2542"/>
      <c r="W42" s="2542"/>
      <c r="X42" s="2542"/>
      <c r="Y42" s="2542"/>
      <c r="Z42" s="2542"/>
      <c r="AA42" s="2542"/>
    </row>
    <row r="43" spans="1:47" x14ac:dyDescent="0.45">
      <c r="A43" s="675" t="s">
        <v>135</v>
      </c>
      <c r="B43" s="676">
        <v>0.16</v>
      </c>
      <c r="C43" s="677">
        <v>66.77</v>
      </c>
      <c r="D43" s="678">
        <v>66.929999999999993</v>
      </c>
      <c r="E43" s="675">
        <v>7.99</v>
      </c>
      <c r="F43" s="675">
        <v>5</v>
      </c>
      <c r="G43" s="675">
        <v>79.919999999999987</v>
      </c>
      <c r="K43" s="98"/>
      <c r="L43" s="598" t="s">
        <v>432</v>
      </c>
      <c r="M43" s="598" t="s">
        <v>433</v>
      </c>
      <c r="N43" s="598" t="s">
        <v>434</v>
      </c>
      <c r="O43" s="98" t="s">
        <v>63</v>
      </c>
      <c r="P43" s="98" t="s">
        <v>440</v>
      </c>
      <c r="S43" s="226" t="s">
        <v>127</v>
      </c>
      <c r="T43" s="226" t="s">
        <v>443</v>
      </c>
      <c r="U43" s="777" t="s">
        <v>436</v>
      </c>
      <c r="V43" s="777" t="s">
        <v>124</v>
      </c>
      <c r="W43" s="777" t="s">
        <v>125</v>
      </c>
      <c r="X43" s="777" t="s">
        <v>123</v>
      </c>
      <c r="Y43" s="777" t="s">
        <v>196</v>
      </c>
      <c r="Z43" s="777" t="s">
        <v>275</v>
      </c>
      <c r="AA43" s="226" t="s">
        <v>63</v>
      </c>
      <c r="AB43" s="662" t="s">
        <v>444</v>
      </c>
      <c r="AC43" s="226" t="s">
        <v>449</v>
      </c>
      <c r="AD43" s="226" t="s">
        <v>450</v>
      </c>
      <c r="AE43" s="226" t="s">
        <v>451</v>
      </c>
      <c r="AF43" s="226" t="s">
        <v>452</v>
      </c>
      <c r="AG43" s="226" t="s">
        <v>646</v>
      </c>
      <c r="AH43" s="226"/>
      <c r="AI43" s="226" t="s">
        <v>190</v>
      </c>
      <c r="AJ43" s="835" t="s">
        <v>520</v>
      </c>
      <c r="AK43" s="835"/>
      <c r="AM43" s="775"/>
      <c r="AN43" t="s">
        <v>231</v>
      </c>
      <c r="AO43" t="s">
        <v>232</v>
      </c>
      <c r="AQ43" t="s">
        <v>527</v>
      </c>
      <c r="AR43" t="s">
        <v>233</v>
      </c>
      <c r="AS43" s="216" t="s">
        <v>234</v>
      </c>
      <c r="AT43" t="s">
        <v>466</v>
      </c>
      <c r="AU43" t="s">
        <v>453</v>
      </c>
    </row>
    <row r="44" spans="1:47" x14ac:dyDescent="0.45">
      <c r="A44" s="679" t="s">
        <v>209</v>
      </c>
      <c r="B44" s="680">
        <v>0.98000000000000009</v>
      </c>
      <c r="C44" s="681">
        <v>415.66</v>
      </c>
      <c r="D44" s="683">
        <v>416.64000000000004</v>
      </c>
      <c r="E44" s="679">
        <v>62.100000000000009</v>
      </c>
      <c r="F44" s="679">
        <v>31.53</v>
      </c>
      <c r="G44" s="679">
        <v>510.27</v>
      </c>
      <c r="J44" s="273">
        <f>L44/10000000</f>
        <v>3.9327188999999999E-2</v>
      </c>
      <c r="K44" s="98" t="s">
        <v>131</v>
      </c>
      <c r="L44" s="598">
        <v>393271.89</v>
      </c>
      <c r="M44" s="598">
        <v>365097</v>
      </c>
      <c r="N44" s="598">
        <v>326562343</v>
      </c>
      <c r="O44" s="598">
        <f>SUM(L44:N44)</f>
        <v>327320711.88999999</v>
      </c>
      <c r="P44" s="103">
        <f>O44/10000000</f>
        <v>32.732071188999996</v>
      </c>
      <c r="Q44" s="229"/>
      <c r="S44" s="98" t="s">
        <v>131</v>
      </c>
      <c r="T44" s="911">
        <v>35720134</v>
      </c>
      <c r="U44" s="98">
        <v>2564168</v>
      </c>
      <c r="V44" s="98">
        <v>19245622</v>
      </c>
      <c r="W44" s="98">
        <v>1092967</v>
      </c>
      <c r="X44" s="98">
        <f>45670+91340</f>
        <v>137010</v>
      </c>
      <c r="Y44" s="98">
        <v>171360</v>
      </c>
      <c r="Z44" s="98">
        <f>(1955+9534+450+40+8753+9720)+AI44</f>
        <v>324917</v>
      </c>
      <c r="AA44" s="98">
        <f>SUM(T44:Z44)</f>
        <v>59256178</v>
      </c>
      <c r="AB44" s="189">
        <f>U44/10000000</f>
        <v>0.2564168</v>
      </c>
      <c r="AC44" s="280">
        <v>5874</v>
      </c>
      <c r="AD44" s="98">
        <v>191261</v>
      </c>
      <c r="AE44" s="98">
        <v>12730</v>
      </c>
      <c r="AF44" s="98">
        <v>9906</v>
      </c>
      <c r="AG44" s="98"/>
      <c r="AH44" s="98"/>
      <c r="AI44" s="98">
        <f>AD44+AE44+AF44+AJ44</f>
        <v>294465</v>
      </c>
      <c r="AJ44" s="650">
        <v>80568</v>
      </c>
      <c r="AK44" s="650">
        <f>U44+AJ44</f>
        <v>2644736</v>
      </c>
      <c r="AM44" s="776" t="s">
        <v>131</v>
      </c>
    </row>
    <row r="45" spans="1:47" x14ac:dyDescent="0.45">
      <c r="A45" s="675" t="s">
        <v>136</v>
      </c>
      <c r="B45" s="676">
        <v>0.12</v>
      </c>
      <c r="C45" s="677">
        <v>52.5</v>
      </c>
      <c r="D45" s="678">
        <v>52.62</v>
      </c>
      <c r="E45" s="675">
        <v>8.0500000000000007</v>
      </c>
      <c r="F45" s="675">
        <v>4.63</v>
      </c>
      <c r="G45" s="675">
        <v>65.3</v>
      </c>
      <c r="J45" s="273">
        <f t="shared" ref="J45:J56" si="42">L45/10000000</f>
        <v>3.6307567999999998E-2</v>
      </c>
      <c r="K45" s="98" t="s">
        <v>132</v>
      </c>
      <c r="L45" s="598">
        <v>363075.68</v>
      </c>
      <c r="M45" s="598">
        <v>245380</v>
      </c>
      <c r="N45" s="660">
        <v>154465646</v>
      </c>
      <c r="O45" s="598">
        <f t="shared" ref="O45:O55" si="43">SUM(L45:N45)</f>
        <v>155074101.68000001</v>
      </c>
      <c r="P45" s="103">
        <f t="shared" ref="P45:P55" si="44">O45/10000000</f>
        <v>15.507410168</v>
      </c>
      <c r="Q45" s="229"/>
      <c r="S45" s="98" t="s">
        <v>132</v>
      </c>
      <c r="T45" s="911">
        <v>20836104</v>
      </c>
      <c r="U45" s="98">
        <v>1741842</v>
      </c>
      <c r="V45" s="98">
        <v>12964384</v>
      </c>
      <c r="W45" s="98">
        <v>521590</v>
      </c>
      <c r="X45" s="98">
        <v>167660</v>
      </c>
      <c r="Y45" s="98">
        <v>102700</v>
      </c>
      <c r="Z45" s="98">
        <f>(515+3706+550)+AI45</f>
        <v>174964</v>
      </c>
      <c r="AA45" s="98">
        <f>SUM(T45:Z45)</f>
        <v>36509244</v>
      </c>
      <c r="AB45" s="189">
        <f t="shared" ref="AB45:AB54" si="45">U45/10000000</f>
        <v>0.17418420000000001</v>
      </c>
      <c r="AC45" s="280">
        <v>4390</v>
      </c>
      <c r="AD45" s="98">
        <v>103123</v>
      </c>
      <c r="AE45" s="98">
        <v>315</v>
      </c>
      <c r="AF45" s="98">
        <v>5550</v>
      </c>
      <c r="AG45" s="98"/>
      <c r="AH45" s="98"/>
      <c r="AI45" s="98">
        <f t="shared" ref="AI45:AI51" si="46">AD45+AE45+AF45+AJ45</f>
        <v>170193</v>
      </c>
      <c r="AJ45" s="650">
        <v>61205</v>
      </c>
      <c r="AK45" s="650">
        <f>U45+AJ45</f>
        <v>1803047</v>
      </c>
      <c r="AM45" s="776" t="s">
        <v>132</v>
      </c>
    </row>
    <row r="46" spans="1:47" x14ac:dyDescent="0.45">
      <c r="A46" s="679" t="s">
        <v>210</v>
      </c>
      <c r="B46" s="680">
        <v>1.1000000000000001</v>
      </c>
      <c r="C46" s="681">
        <v>468.16</v>
      </c>
      <c r="D46" s="683">
        <v>469.26000000000005</v>
      </c>
      <c r="E46" s="679">
        <v>70.150000000000006</v>
      </c>
      <c r="F46" s="679">
        <v>36.160000000000004</v>
      </c>
      <c r="G46" s="679">
        <v>575.56999999999994</v>
      </c>
      <c r="J46" s="273">
        <f t="shared" si="42"/>
        <v>5.7094699999999998E-2</v>
      </c>
      <c r="K46" s="98" t="s">
        <v>133</v>
      </c>
      <c r="L46" s="598">
        <v>570947</v>
      </c>
      <c r="M46" s="598">
        <v>444912</v>
      </c>
      <c r="N46" s="598">
        <v>304172073</v>
      </c>
      <c r="O46" s="598">
        <f>SUM(L46:N46)</f>
        <v>305187932</v>
      </c>
      <c r="P46" s="103">
        <f t="shared" si="44"/>
        <v>30.518793200000001</v>
      </c>
      <c r="Q46" s="229"/>
      <c r="S46" s="98" t="s">
        <v>133</v>
      </c>
      <c r="T46" s="98">
        <v>11633778</v>
      </c>
      <c r="U46" s="98">
        <v>2937554</v>
      </c>
      <c r="V46" s="98">
        <v>19458335</v>
      </c>
      <c r="W46" s="98">
        <v>821693</v>
      </c>
      <c r="X46" s="98">
        <v>0</v>
      </c>
      <c r="Y46" s="98">
        <v>255000</v>
      </c>
      <c r="Z46" s="98">
        <f>(3760+9667+1626)+AI46</f>
        <v>367060</v>
      </c>
      <c r="AA46" s="98">
        <f t="shared" ref="AA46:AA53" si="47">SUM(T46:Z46)</f>
        <v>35473420</v>
      </c>
      <c r="AB46" s="189">
        <f t="shared" si="45"/>
        <v>0.2937554</v>
      </c>
      <c r="AC46" s="280">
        <v>7386</v>
      </c>
      <c r="AD46" s="98">
        <v>218114</v>
      </c>
      <c r="AE46" s="98">
        <v>8114</v>
      </c>
      <c r="AF46" s="98">
        <v>3000</v>
      </c>
      <c r="AG46" s="98"/>
      <c r="AH46" s="98"/>
      <c r="AI46" s="98">
        <f t="shared" si="46"/>
        <v>352007</v>
      </c>
      <c r="AJ46" s="650">
        <v>122779</v>
      </c>
      <c r="AK46" s="650">
        <f>U46+AJ46</f>
        <v>3060333</v>
      </c>
      <c r="AM46" s="776" t="s">
        <v>133</v>
      </c>
    </row>
    <row r="47" spans="1:47" x14ac:dyDescent="0.45">
      <c r="A47" s="675" t="s">
        <v>137</v>
      </c>
      <c r="B47" s="676">
        <v>0.14000000000000001</v>
      </c>
      <c r="C47" s="677">
        <v>58.73</v>
      </c>
      <c r="D47" s="678">
        <v>58.87</v>
      </c>
      <c r="E47" s="675">
        <v>8.7799999999999994</v>
      </c>
      <c r="F47" s="675">
        <v>4.82</v>
      </c>
      <c r="G47" s="675">
        <v>72.47</v>
      </c>
      <c r="H47" s="259"/>
      <c r="I47" s="259"/>
      <c r="J47" s="273">
        <f t="shared" si="42"/>
        <v>6.56606E-2</v>
      </c>
      <c r="K47" s="98" t="s">
        <v>51</v>
      </c>
      <c r="L47" s="598">
        <v>656606</v>
      </c>
      <c r="M47" s="598">
        <v>508370</v>
      </c>
      <c r="N47" s="598">
        <v>451073820</v>
      </c>
      <c r="O47" s="98">
        <f t="shared" si="43"/>
        <v>452238796</v>
      </c>
      <c r="P47" s="103">
        <f t="shared" si="44"/>
        <v>45.223879599999997</v>
      </c>
      <c r="Q47" s="229"/>
      <c r="S47" s="98" t="s">
        <v>51</v>
      </c>
      <c r="T47" s="98">
        <v>15740901</v>
      </c>
      <c r="U47" s="98">
        <v>3852606</v>
      </c>
      <c r="V47" s="98">
        <f>11392636+8837701</f>
        <v>20230337</v>
      </c>
      <c r="W47" s="98">
        <v>1169375</v>
      </c>
      <c r="X47" s="98">
        <f>4460124+2117470</f>
        <v>6577594</v>
      </c>
      <c r="Y47" s="98">
        <v>150030</v>
      </c>
      <c r="Z47" s="98">
        <f>(3330+11513+90+75)+AI47</f>
        <v>416703</v>
      </c>
      <c r="AA47" s="98">
        <f t="shared" si="47"/>
        <v>48137546</v>
      </c>
      <c r="AB47" s="189">
        <f t="shared" si="45"/>
        <v>0.38526060000000001</v>
      </c>
      <c r="AC47" s="280">
        <v>9878</v>
      </c>
      <c r="AD47" s="98">
        <v>247637</v>
      </c>
      <c r="AE47" s="98">
        <v>16274</v>
      </c>
      <c r="AF47" s="98">
        <v>2550</v>
      </c>
      <c r="AG47" s="98"/>
      <c r="AH47" s="98"/>
      <c r="AI47" s="98">
        <f>AD47+AE47+AF47+AJ47</f>
        <v>401695</v>
      </c>
      <c r="AJ47" s="650">
        <v>135234</v>
      </c>
      <c r="AK47" s="650">
        <f>U47+AJ47</f>
        <v>3987840</v>
      </c>
      <c r="AM47" s="776" t="s">
        <v>51</v>
      </c>
    </row>
    <row r="48" spans="1:47" x14ac:dyDescent="0.45">
      <c r="A48" s="679" t="s">
        <v>211</v>
      </c>
      <c r="B48" s="680">
        <v>1.2400000000000002</v>
      </c>
      <c r="C48" s="681">
        <v>526.89</v>
      </c>
      <c r="D48" s="683">
        <v>528.13</v>
      </c>
      <c r="E48" s="679">
        <v>78.930000000000007</v>
      </c>
      <c r="F48" s="679">
        <v>40.980000000000004</v>
      </c>
      <c r="G48" s="679">
        <v>648.04</v>
      </c>
      <c r="J48" s="273">
        <f t="shared" si="42"/>
        <v>8.4121825999999997E-2</v>
      </c>
      <c r="K48" s="98" t="s">
        <v>134</v>
      </c>
      <c r="L48" s="598">
        <v>841218.26</v>
      </c>
      <c r="M48" s="598">
        <v>592905</v>
      </c>
      <c r="N48" s="598">
        <v>515549113</v>
      </c>
      <c r="O48" s="598">
        <f>SUM(L48:N48)</f>
        <v>516983236.25999999</v>
      </c>
      <c r="P48" s="103">
        <f t="shared" si="44"/>
        <v>51.698323625999997</v>
      </c>
      <c r="Q48" s="229"/>
      <c r="S48" s="98" t="s">
        <v>134</v>
      </c>
      <c r="T48" s="98">
        <v>17619872</v>
      </c>
      <c r="U48" s="98">
        <v>4410979</v>
      </c>
      <c r="V48" s="98">
        <f>11487862+12842717</f>
        <v>24330579</v>
      </c>
      <c r="W48" s="98">
        <v>1217897</v>
      </c>
      <c r="X48" s="98">
        <v>0</v>
      </c>
      <c r="Y48" s="98">
        <v>219860</v>
      </c>
      <c r="Z48" s="98">
        <f>(4145+50+368833)+AI48</f>
        <v>846531</v>
      </c>
      <c r="AA48" s="98">
        <f>SUM(T48:Z48)</f>
        <v>48645718</v>
      </c>
      <c r="AB48" s="189">
        <f t="shared" si="45"/>
        <v>0.44109789999999999</v>
      </c>
      <c r="AC48" s="280">
        <v>10963</v>
      </c>
      <c r="AD48" s="98">
        <v>278777</v>
      </c>
      <c r="AE48" s="98">
        <v>7350</v>
      </c>
      <c r="AF48" s="98">
        <f>25988+14786</f>
        <v>40774</v>
      </c>
      <c r="AG48" s="98"/>
      <c r="AH48" s="98"/>
      <c r="AI48" s="98">
        <f>AD48+AE48+AF48+AJ48</f>
        <v>473503</v>
      </c>
      <c r="AJ48" s="650">
        <v>146602</v>
      </c>
      <c r="AK48" s="650">
        <f>U48+AJ48</f>
        <v>4557581</v>
      </c>
      <c r="AL48" s="625">
        <f>AD56+AF56</f>
        <v>3519166</v>
      </c>
      <c r="AM48" s="776" t="s">
        <v>134</v>
      </c>
    </row>
    <row r="49" spans="1:39" x14ac:dyDescent="0.45">
      <c r="A49" s="675" t="s">
        <v>138</v>
      </c>
      <c r="B49" s="676">
        <v>0.14000000000000001</v>
      </c>
      <c r="C49" s="684">
        <v>58.26</v>
      </c>
      <c r="D49" s="678">
        <v>58.4</v>
      </c>
      <c r="E49" s="675">
        <v>10.32</v>
      </c>
      <c r="F49" s="675">
        <v>3.58</v>
      </c>
      <c r="G49" s="675">
        <v>72.3</v>
      </c>
      <c r="J49" s="273">
        <f t="shared" si="42"/>
        <v>0.102888752</v>
      </c>
      <c r="K49" s="98" t="s">
        <v>135</v>
      </c>
      <c r="L49" s="598">
        <v>1028887.52</v>
      </c>
      <c r="M49" s="598">
        <v>617096.48</v>
      </c>
      <c r="N49" s="598">
        <v>584497523</v>
      </c>
      <c r="O49" s="98">
        <f t="shared" si="43"/>
        <v>586143507</v>
      </c>
      <c r="P49" s="103">
        <f t="shared" si="44"/>
        <v>58.614350700000003</v>
      </c>
      <c r="Q49" s="229"/>
      <c r="S49" s="98" t="s">
        <v>135</v>
      </c>
      <c r="T49" s="98">
        <v>19631273</v>
      </c>
      <c r="U49" s="98">
        <v>5658607</v>
      </c>
      <c r="V49" s="98">
        <v>24216751</v>
      </c>
      <c r="W49" s="98">
        <v>1030680</v>
      </c>
      <c r="X49" s="98">
        <v>108980</v>
      </c>
      <c r="Y49" s="98">
        <v>251120</v>
      </c>
      <c r="Z49" s="98">
        <f>(2935+1122+217860+550+7338)+AI49</f>
        <v>530151</v>
      </c>
      <c r="AA49" s="98">
        <f t="shared" si="47"/>
        <v>51427562</v>
      </c>
      <c r="AB49" s="189">
        <f t="shared" si="45"/>
        <v>0.56586069999999999</v>
      </c>
      <c r="AC49" s="280">
        <v>13712</v>
      </c>
      <c r="AD49" s="98">
        <v>289610</v>
      </c>
      <c r="AE49" s="98">
        <v>4286</v>
      </c>
      <c r="AF49" s="98">
        <v>6450</v>
      </c>
      <c r="AG49" s="98"/>
      <c r="AH49" s="98"/>
      <c r="AI49" s="98">
        <f>AD49+AE49+AF49+AJ49</f>
        <v>300346</v>
      </c>
      <c r="AJ49" s="650"/>
      <c r="AK49" s="650"/>
      <c r="AL49" s="625">
        <f>AL48/10000000</f>
        <v>0.35191660000000002</v>
      </c>
      <c r="AM49" s="776" t="s">
        <v>135</v>
      </c>
    </row>
    <row r="50" spans="1:39" ht="15.75" customHeight="1" x14ac:dyDescent="0.45">
      <c r="A50" s="679" t="s">
        <v>212</v>
      </c>
      <c r="B50" s="680">
        <v>1.3800000000000003</v>
      </c>
      <c r="C50" s="681">
        <v>585.15</v>
      </c>
      <c r="D50" s="683">
        <v>586.53</v>
      </c>
      <c r="E50" s="679">
        <v>89.25</v>
      </c>
      <c r="F50" s="679">
        <v>44.56</v>
      </c>
      <c r="G50" s="679">
        <v>720.33999999999992</v>
      </c>
      <c r="J50" s="273">
        <f t="shared" si="42"/>
        <v>0.12636130000000001</v>
      </c>
      <c r="K50" s="98" t="s">
        <v>136</v>
      </c>
      <c r="L50" s="598">
        <v>1263613</v>
      </c>
      <c r="M50" s="598">
        <v>593560</v>
      </c>
      <c r="N50" s="598">
        <v>656593618</v>
      </c>
      <c r="O50" s="98">
        <f t="shared" si="43"/>
        <v>658450791</v>
      </c>
      <c r="P50" s="103">
        <f t="shared" si="44"/>
        <v>65.845079100000007</v>
      </c>
      <c r="Q50" s="229"/>
      <c r="S50" s="98" t="s">
        <v>136</v>
      </c>
      <c r="T50" s="98">
        <v>27550640</v>
      </c>
      <c r="U50" s="98">
        <v>9774728</v>
      </c>
      <c r="V50" s="98">
        <v>24485471</v>
      </c>
      <c r="W50" s="98">
        <v>1109642</v>
      </c>
      <c r="X50" s="850">
        <v>11021134</v>
      </c>
      <c r="Y50" s="98">
        <v>299880</v>
      </c>
      <c r="Z50" s="98">
        <f>(1460+36+8179+87383+41299)+AI50</f>
        <v>412110</v>
      </c>
      <c r="AA50" s="98">
        <f t="shared" si="47"/>
        <v>74653605</v>
      </c>
      <c r="AB50" s="189">
        <f t="shared" si="45"/>
        <v>0.97747280000000003</v>
      </c>
      <c r="AC50" s="280">
        <v>23875</v>
      </c>
      <c r="AD50" s="601">
        <v>256792</v>
      </c>
      <c r="AE50" s="601">
        <v>12311</v>
      </c>
      <c r="AF50" s="601">
        <v>4650</v>
      </c>
      <c r="AG50" s="98"/>
      <c r="AH50" s="98"/>
      <c r="AI50" s="98">
        <f t="shared" si="46"/>
        <v>273753</v>
      </c>
      <c r="AJ50" s="650"/>
      <c r="AK50" s="650"/>
      <c r="AM50" s="776" t="s">
        <v>136</v>
      </c>
    </row>
    <row r="51" spans="1:39" x14ac:dyDescent="0.45">
      <c r="A51" s="675" t="s">
        <v>139</v>
      </c>
      <c r="B51" s="676">
        <v>0.23</v>
      </c>
      <c r="C51" s="684">
        <v>96.82</v>
      </c>
      <c r="D51" s="678">
        <v>97.05</v>
      </c>
      <c r="E51" s="675">
        <v>15.63</v>
      </c>
      <c r="F51" s="675">
        <v>6.14</v>
      </c>
      <c r="G51" s="675">
        <v>118.82</v>
      </c>
      <c r="J51" s="273">
        <f>M51/10000000</f>
        <v>0.1729067</v>
      </c>
      <c r="K51" s="98" t="s">
        <v>137</v>
      </c>
      <c r="L51" s="598">
        <v>1958308</v>
      </c>
      <c r="M51" s="598">
        <v>1729067</v>
      </c>
      <c r="N51" s="598">
        <v>618899378</v>
      </c>
      <c r="O51" s="98">
        <f t="shared" si="43"/>
        <v>622586753</v>
      </c>
      <c r="P51" s="103">
        <f t="shared" si="44"/>
        <v>62.2586753</v>
      </c>
      <c r="Q51" s="229"/>
      <c r="S51" s="98" t="s">
        <v>137</v>
      </c>
      <c r="T51" s="98">
        <v>31739018</v>
      </c>
      <c r="U51" s="98">
        <v>14049899</v>
      </c>
      <c r="V51" s="98">
        <v>20141947</v>
      </c>
      <c r="W51" s="98">
        <v>832946</v>
      </c>
      <c r="X51" s="98">
        <v>7674064</v>
      </c>
      <c r="Y51" s="98">
        <v>484430</v>
      </c>
      <c r="Z51" s="98">
        <f>(10523+125+2000)+AI51</f>
        <v>428143</v>
      </c>
      <c r="AA51" s="98">
        <f t="shared" si="47"/>
        <v>75350447</v>
      </c>
      <c r="AB51" s="189">
        <f t="shared" si="45"/>
        <v>1.4049898999999999</v>
      </c>
      <c r="AC51" s="280">
        <v>31094</v>
      </c>
      <c r="AD51" s="98">
        <v>415045</v>
      </c>
      <c r="AE51" s="98"/>
      <c r="AF51" s="98">
        <v>450</v>
      </c>
      <c r="AG51" s="98"/>
      <c r="AH51" s="98"/>
      <c r="AI51" s="98">
        <f t="shared" si="46"/>
        <v>415495</v>
      </c>
      <c r="AJ51" s="650"/>
      <c r="AK51" s="650"/>
      <c r="AM51" s="776" t="s">
        <v>137</v>
      </c>
    </row>
    <row r="52" spans="1:39" x14ac:dyDescent="0.45">
      <c r="A52" s="679" t="s">
        <v>206</v>
      </c>
      <c r="B52" s="680">
        <v>1.6100000000000003</v>
      </c>
      <c r="C52" s="681">
        <v>681.97</v>
      </c>
      <c r="D52" s="683">
        <v>683.57999999999993</v>
      </c>
      <c r="E52" s="679">
        <v>104.88</v>
      </c>
      <c r="F52" s="679">
        <v>50.7</v>
      </c>
      <c r="G52" s="679">
        <v>839.15999999999985</v>
      </c>
      <c r="J52" s="273">
        <f t="shared" si="42"/>
        <v>0.27969699999999997</v>
      </c>
      <c r="K52" s="98" t="s">
        <v>138</v>
      </c>
      <c r="L52" s="598">
        <v>2796970</v>
      </c>
      <c r="M52" s="598">
        <v>3103255</v>
      </c>
      <c r="N52" s="598">
        <v>597342869</v>
      </c>
      <c r="O52" s="98">
        <f t="shared" si="43"/>
        <v>603243094</v>
      </c>
      <c r="P52" s="103">
        <f t="shared" si="44"/>
        <v>60.324309399999997</v>
      </c>
      <c r="Q52" s="229"/>
      <c r="S52" s="98" t="s">
        <v>138</v>
      </c>
      <c r="T52" s="932">
        <f>31934681+960</f>
        <v>31935641</v>
      </c>
      <c r="U52" s="98">
        <v>14544739</v>
      </c>
      <c r="V52" s="98">
        <f>18635866+6392898</f>
        <v>25028764</v>
      </c>
      <c r="W52" s="98">
        <v>858164</v>
      </c>
      <c r="X52" s="98">
        <v>123940</v>
      </c>
      <c r="Y52" s="98">
        <v>439070</v>
      </c>
      <c r="Z52" s="98">
        <f>(53515+250)+AI52</f>
        <v>514644</v>
      </c>
      <c r="AA52" s="98">
        <f>SUM(T52:Z52)</f>
        <v>73444962</v>
      </c>
      <c r="AB52" s="189">
        <f t="shared" si="45"/>
        <v>1.4544739</v>
      </c>
      <c r="AC52" s="280">
        <v>27089</v>
      </c>
      <c r="AD52" s="98">
        <v>447796</v>
      </c>
      <c r="AE52" s="98">
        <v>7233</v>
      </c>
      <c r="AF52" s="98">
        <v>5850</v>
      </c>
      <c r="AG52" s="98"/>
      <c r="AH52" s="98"/>
      <c r="AI52" s="98">
        <f>AD52+AE52+AF52+AJ52</f>
        <v>460879</v>
      </c>
      <c r="AJ52" s="98"/>
      <c r="AK52" s="650"/>
      <c r="AM52" s="776" t="s">
        <v>138</v>
      </c>
    </row>
    <row r="53" spans="1:39" x14ac:dyDescent="0.45">
      <c r="A53" s="675" t="s">
        <v>140</v>
      </c>
      <c r="B53" s="676">
        <v>0.23</v>
      </c>
      <c r="C53" s="684">
        <v>90.74</v>
      </c>
      <c r="D53" s="678">
        <v>90.97</v>
      </c>
      <c r="E53" s="675">
        <v>14.85</v>
      </c>
      <c r="F53" s="675">
        <v>6.35</v>
      </c>
      <c r="G53" s="675">
        <v>112.16999999999999</v>
      </c>
      <c r="J53" s="273">
        <f t="shared" si="42"/>
        <v>0.26399119999999998</v>
      </c>
      <c r="K53" s="98" t="s">
        <v>139</v>
      </c>
      <c r="L53" s="598">
        <v>2639912</v>
      </c>
      <c r="M53" s="598">
        <v>2646234</v>
      </c>
      <c r="N53" s="598">
        <v>515744664</v>
      </c>
      <c r="O53" s="98">
        <f t="shared" si="43"/>
        <v>521030810</v>
      </c>
      <c r="P53" s="103">
        <f t="shared" si="44"/>
        <v>52.103081000000003</v>
      </c>
      <c r="Q53" s="229"/>
      <c r="S53" s="98" t="s">
        <v>139</v>
      </c>
      <c r="T53" s="98">
        <f>34730026+960</f>
        <v>34730986</v>
      </c>
      <c r="U53" s="98">
        <v>14294364</v>
      </c>
      <c r="V53" s="98">
        <v>22167969</v>
      </c>
      <c r="W53" s="98">
        <v>948762</v>
      </c>
      <c r="X53" s="98">
        <v>88400</v>
      </c>
      <c r="Y53" s="98">
        <v>388060</v>
      </c>
      <c r="Z53" s="98">
        <f>(18429+700+11069)+AI53</f>
        <v>362876</v>
      </c>
      <c r="AA53" s="98">
        <f t="shared" si="47"/>
        <v>72981417</v>
      </c>
      <c r="AB53" s="189">
        <f t="shared" si="45"/>
        <v>1.4294363999999999</v>
      </c>
      <c r="AC53" s="280">
        <v>25148</v>
      </c>
      <c r="AD53" s="98">
        <f>290837+17706+7893</f>
        <v>316436</v>
      </c>
      <c r="AE53" s="98">
        <f>14901+891</f>
        <v>15792</v>
      </c>
      <c r="AF53" s="98">
        <f>450</f>
        <v>450</v>
      </c>
      <c r="AG53" s="98"/>
      <c r="AH53" s="98"/>
      <c r="AI53" s="98">
        <f>AD53+AE53+AF53+AJ53</f>
        <v>332678</v>
      </c>
      <c r="AJ53" s="650"/>
      <c r="AK53" s="650"/>
      <c r="AL53" s="625">
        <f>14049899/10000000</f>
        <v>1.4049898999999999</v>
      </c>
      <c r="AM53" s="776" t="s">
        <v>139</v>
      </c>
    </row>
    <row r="54" spans="1:39" x14ac:dyDescent="0.45">
      <c r="A54" s="679" t="s">
        <v>215</v>
      </c>
      <c r="B54" s="685">
        <v>1.8400000000000003</v>
      </c>
      <c r="C54" s="681">
        <v>772.71</v>
      </c>
      <c r="D54" s="683">
        <v>774.55</v>
      </c>
      <c r="E54" s="679">
        <v>119.72999999999999</v>
      </c>
      <c r="F54" s="679">
        <v>57.050000000000004</v>
      </c>
      <c r="G54" s="679">
        <v>951.32999999999981</v>
      </c>
      <c r="J54" s="273">
        <f t="shared" si="42"/>
        <v>0.33638357899999999</v>
      </c>
      <c r="K54" s="98" t="s">
        <v>140</v>
      </c>
      <c r="L54" s="598">
        <v>3363835.79</v>
      </c>
      <c r="M54" s="598">
        <v>3466395</v>
      </c>
      <c r="N54" s="598">
        <v>624730042</v>
      </c>
      <c r="O54" s="598">
        <f t="shared" si="43"/>
        <v>631560272.78999996</v>
      </c>
      <c r="P54" s="103">
        <f t="shared" si="44"/>
        <v>63.156027278999993</v>
      </c>
      <c r="Q54" s="229"/>
      <c r="S54" s="98" t="s">
        <v>140</v>
      </c>
      <c r="T54" s="98">
        <f>24463057+1200</f>
        <v>24464257</v>
      </c>
      <c r="U54" s="98">
        <v>15930513</v>
      </c>
      <c r="V54" s="98">
        <v>19980369</v>
      </c>
      <c r="W54" s="98">
        <v>769784</v>
      </c>
      <c r="X54" s="98">
        <v>0</v>
      </c>
      <c r="Y54" s="98">
        <v>403700</v>
      </c>
      <c r="Z54" s="969">
        <f>(50+100+20955+20+3600)+AI54</f>
        <v>295386</v>
      </c>
      <c r="AA54" s="98">
        <f>SUM(T54:Z54)</f>
        <v>61844009</v>
      </c>
      <c r="AB54" s="189">
        <f t="shared" si="45"/>
        <v>1.5930512999999999</v>
      </c>
      <c r="AC54" s="280">
        <v>27518</v>
      </c>
      <c r="AD54" s="98">
        <v>261502</v>
      </c>
      <c r="AE54" s="98">
        <v>8159</v>
      </c>
      <c r="AF54" s="98">
        <v>0</v>
      </c>
      <c r="AG54" s="98">
        <v>1000</v>
      </c>
      <c r="AH54" s="98"/>
      <c r="AI54" s="98">
        <f>AD54+AE54+AF54+AJ54+AG54</f>
        <v>270661</v>
      </c>
      <c r="AJ54" s="650"/>
      <c r="AK54" s="650"/>
      <c r="AM54" s="776" t="s">
        <v>140</v>
      </c>
    </row>
    <row r="55" spans="1:39" x14ac:dyDescent="0.45">
      <c r="A55" s="675" t="s">
        <v>141</v>
      </c>
      <c r="B55" s="676">
        <v>0.08</v>
      </c>
      <c r="C55" s="684">
        <v>36.07</v>
      </c>
      <c r="D55" s="678">
        <v>36.15</v>
      </c>
      <c r="E55" s="675">
        <v>13.16</v>
      </c>
      <c r="F55" s="675">
        <v>6.16</v>
      </c>
      <c r="G55" s="675">
        <v>55.47</v>
      </c>
      <c r="J55" s="273">
        <f t="shared" si="42"/>
        <v>0.50202440000000004</v>
      </c>
      <c r="K55" s="98" t="s">
        <v>141</v>
      </c>
      <c r="L55" s="598">
        <v>5020244</v>
      </c>
      <c r="M55" s="598">
        <v>6845137</v>
      </c>
      <c r="N55" s="598">
        <v>759265926</v>
      </c>
      <c r="O55" s="98">
        <f t="shared" si="43"/>
        <v>771131307</v>
      </c>
      <c r="P55" s="103">
        <f t="shared" si="44"/>
        <v>77.113130699999999</v>
      </c>
      <c r="Q55" s="229"/>
      <c r="S55" s="98" t="s">
        <v>141</v>
      </c>
      <c r="T55" s="98">
        <f>3840+29016064</f>
        <v>29019904</v>
      </c>
      <c r="U55" s="98">
        <v>20012975</v>
      </c>
      <c r="V55" s="98">
        <f>(24073154+152368)-25806</f>
        <v>24199716</v>
      </c>
      <c r="W55" s="98">
        <f>930192-152368</f>
        <v>777824</v>
      </c>
      <c r="X55" s="98">
        <v>3872583</v>
      </c>
      <c r="Y55" s="98">
        <v>492020</v>
      </c>
      <c r="Z55" s="98">
        <f>(480+29978+200+255)+AI55</f>
        <v>641867</v>
      </c>
      <c r="AA55" s="98">
        <f>SUM(T55:Z55)</f>
        <v>79016889</v>
      </c>
      <c r="AB55" s="189">
        <f>AA55/100000</f>
        <v>790.16889000000003</v>
      </c>
      <c r="AC55" s="280">
        <v>32317</v>
      </c>
      <c r="AD55" s="98">
        <v>413443</v>
      </c>
      <c r="AE55" s="98">
        <v>5441</v>
      </c>
      <c r="AF55" s="98">
        <v>0</v>
      </c>
      <c r="AG55" s="98">
        <v>31340</v>
      </c>
      <c r="AH55" s="98"/>
      <c r="AI55" s="98">
        <f>AD55+AE55+AF55+AJ55</f>
        <v>610954</v>
      </c>
      <c r="AJ55" s="650">
        <v>192070</v>
      </c>
      <c r="AK55" s="650"/>
      <c r="AM55" s="776" t="s">
        <v>141</v>
      </c>
    </row>
    <row r="56" spans="1:39" ht="14.65" thickBot="1" x14ac:dyDescent="0.5">
      <c r="A56" s="686" t="s">
        <v>240</v>
      </c>
      <c r="B56" s="687">
        <v>1.9200000000000004</v>
      </c>
      <c r="C56" s="688">
        <v>808.78000000000009</v>
      </c>
      <c r="D56" s="689">
        <v>810.69999999999993</v>
      </c>
      <c r="E56" s="686">
        <v>132.88999999999999</v>
      </c>
      <c r="F56" s="686">
        <v>63.210000000000008</v>
      </c>
      <c r="G56" s="686">
        <v>1006.7999999999998</v>
      </c>
      <c r="J56" s="273">
        <f t="shared" si="42"/>
        <v>2.0896889139999999</v>
      </c>
      <c r="K56" s="226" t="s">
        <v>63</v>
      </c>
      <c r="L56" s="599">
        <f>L44+L45+L46+L47+L48+L49+L50+L51+L52+L53+L54+L55</f>
        <v>20896889.140000001</v>
      </c>
      <c r="M56" s="599">
        <f>M44+M45+M46+M47+M48+M49+M50+M51+M52+M53+M54+M55</f>
        <v>21157408.48</v>
      </c>
      <c r="N56" s="599">
        <f>N44+N45+N46+N47+N48+N49+N50+N51+N52+N53+N54+N55</f>
        <v>6108897015</v>
      </c>
      <c r="O56" s="599">
        <f>O44+O45+O46+O47+O48+O49+O50+O51+O52+O53+O54+O55</f>
        <v>6150951312.6199999</v>
      </c>
      <c r="P56" s="600">
        <f>O56/10000000</f>
        <v>615.095131262</v>
      </c>
      <c r="Q56" s="629"/>
      <c r="S56" s="226" t="s">
        <v>63</v>
      </c>
      <c r="T56" s="599">
        <f t="shared" ref="T56:AA56" si="48">T44+T45+T46+T47+T48+T49+T50+T51+T52+T53+T54+T55</f>
        <v>300622508</v>
      </c>
      <c r="U56" s="599">
        <f t="shared" si="48"/>
        <v>109772974</v>
      </c>
      <c r="V56" s="599">
        <f t="shared" si="48"/>
        <v>256450244</v>
      </c>
      <c r="W56" s="599">
        <f t="shared" si="48"/>
        <v>11151324</v>
      </c>
      <c r="X56" s="599">
        <f t="shared" si="48"/>
        <v>29771365</v>
      </c>
      <c r="Y56" s="599">
        <f t="shared" si="48"/>
        <v>3657230</v>
      </c>
      <c r="Z56" s="599">
        <f t="shared" si="48"/>
        <v>5315352</v>
      </c>
      <c r="AA56" s="599">
        <f t="shared" si="48"/>
        <v>716740997</v>
      </c>
      <c r="AB56" s="215">
        <f>Z56-AI56</f>
        <v>1698181</v>
      </c>
      <c r="AC56" s="280">
        <f>SUM(AC44:AC55)</f>
        <v>219244</v>
      </c>
      <c r="AD56" s="98">
        <f>SUM(AD44:AD55)</f>
        <v>3439536</v>
      </c>
      <c r="AE56" s="98">
        <f>SUM(AE44:AE55)</f>
        <v>98005</v>
      </c>
      <c r="AF56" s="98">
        <f>SUM(AF44:AF55)</f>
        <v>79630</v>
      </c>
      <c r="AG56" s="98">
        <f>SUM(AG44:AG55)</f>
        <v>32340</v>
      </c>
      <c r="AH56" s="98"/>
      <c r="AI56" s="98">
        <f>AD56+AE56+AF56</f>
        <v>3617171</v>
      </c>
      <c r="AJ56" s="802">
        <f>AJ44+AJ45+AJ46+AJ47</f>
        <v>399786</v>
      </c>
      <c r="AK56" s="98">
        <f>AK44+AK45+AK46+AK47</f>
        <v>11495956</v>
      </c>
    </row>
    <row r="57" spans="1:39" ht="19.5" x14ac:dyDescent="0.45">
      <c r="H57" s="216">
        <f>J57/100000</f>
        <v>5183.9089800000002</v>
      </c>
      <c r="I57" s="216"/>
      <c r="J57" s="216">
        <f>M53+N53</f>
        <v>518390898</v>
      </c>
      <c r="K57" s="98"/>
      <c r="L57" s="213">
        <f>L56/10000000</f>
        <v>2.0896889139999999</v>
      </c>
      <c r="M57" s="103">
        <f>M56/10000000</f>
        <v>2.1157408480000002</v>
      </c>
      <c r="N57" s="103">
        <f>N56/10000000</f>
        <v>610.8897015</v>
      </c>
      <c r="O57" s="103">
        <f>O56/10000000</f>
        <v>615.095131262</v>
      </c>
      <c r="P57" s="103">
        <f>P55/10000000</f>
        <v>7.7113130699999995E-6</v>
      </c>
      <c r="Q57" s="103">
        <f>Q55/10000000</f>
        <v>0</v>
      </c>
      <c r="T57" s="229">
        <f>SUM(T61:T67)/10000000</f>
        <v>2.1133617</v>
      </c>
      <c r="U57" s="229">
        <f t="shared" ref="U57:Z57" si="49">SUM(U61:U67)/10000000</f>
        <v>0.1508091</v>
      </c>
      <c r="V57" s="229">
        <f t="shared" si="49"/>
        <v>0.19865379999999999</v>
      </c>
      <c r="W57" s="229">
        <f t="shared" si="49"/>
        <v>4.0018400000000003E-2</v>
      </c>
      <c r="X57" s="229">
        <f t="shared" si="49"/>
        <v>0.2837711</v>
      </c>
      <c r="Y57" s="229">
        <f t="shared" si="49"/>
        <v>0</v>
      </c>
      <c r="Z57" s="229">
        <f t="shared" si="49"/>
        <v>0</v>
      </c>
      <c r="AA57" s="229">
        <f>SUM(AA61:AA67)/10000000</f>
        <v>2.7866141</v>
      </c>
      <c r="AB57" s="189"/>
      <c r="AC57" s="259"/>
      <c r="AD57" s="259">
        <f>AD44+AD45+AD46+AD47+AD48+AD49+AD50+AD51+AD52+AD53+AD54</f>
        <v>3026093</v>
      </c>
      <c r="AE57" s="259">
        <f>AE44+AE45+AE46+AE47+AE48+AE49+AE50+AE51+AE52+AE53+AE54</f>
        <v>92564</v>
      </c>
      <c r="AF57" s="259">
        <f>AF44+AF45+AF46+AF47+AF48+AF49+AF50+AF51+AF52+AF53+AF54</f>
        <v>79630</v>
      </c>
      <c r="AG57" s="259">
        <f>AF57+AD57</f>
        <v>3105723</v>
      </c>
      <c r="AH57" s="771">
        <f>AG57/10000000</f>
        <v>0.31057230000000002</v>
      </c>
      <c r="AI57" s="771"/>
      <c r="AJ57" s="626"/>
      <c r="AK57" s="626"/>
      <c r="AL57" s="626"/>
      <c r="AM57" s="626"/>
    </row>
    <row r="58" spans="1:39" ht="19.5" x14ac:dyDescent="0.45">
      <c r="B58">
        <f>B46*10000000</f>
        <v>11000000</v>
      </c>
      <c r="C58">
        <f>C46*10000000</f>
        <v>4681600000</v>
      </c>
      <c r="D58">
        <f>D46*10000000</f>
        <v>4692600000.000001</v>
      </c>
      <c r="E58">
        <f>E46*10000000</f>
        <v>701500000</v>
      </c>
      <c r="F58">
        <f>F46*10000000</f>
        <v>361600000.00000006</v>
      </c>
      <c r="H58" s="216"/>
      <c r="I58" s="216"/>
      <c r="K58" s="2567" t="s">
        <v>442</v>
      </c>
      <c r="L58" s="2568"/>
      <c r="M58" s="2568"/>
      <c r="N58" s="2568"/>
      <c r="O58" s="2568"/>
      <c r="P58" s="2569"/>
      <c r="Q58" s="630"/>
      <c r="S58" s="2543" t="s">
        <v>203</v>
      </c>
      <c r="T58" s="2543"/>
      <c r="U58" s="2543"/>
      <c r="V58" s="2543"/>
      <c r="W58" s="2543"/>
      <c r="X58" s="2543"/>
      <c r="Y58" s="2543"/>
      <c r="Z58" s="2543"/>
      <c r="AA58" s="2543"/>
      <c r="AC58" s="91"/>
      <c r="AD58" s="273">
        <f>AD54+AF54</f>
        <v>261502</v>
      </c>
      <c r="AE58">
        <f>AD58/10000000</f>
        <v>2.6150199999999998E-2</v>
      </c>
      <c r="AF58" s="771"/>
      <c r="AG58" s="771"/>
      <c r="AH58" s="771"/>
      <c r="AI58" s="771"/>
      <c r="AJ58" s="663"/>
      <c r="AK58" s="663"/>
      <c r="AL58" s="829"/>
      <c r="AM58" s="663"/>
    </row>
    <row r="59" spans="1:39" ht="19.5" x14ac:dyDescent="0.45">
      <c r="B59">
        <f>B58/100000</f>
        <v>110</v>
      </c>
      <c r="C59">
        <f>C58/100000</f>
        <v>46816</v>
      </c>
      <c r="D59">
        <f>D58/100000</f>
        <v>46926.000000000007</v>
      </c>
      <c r="E59">
        <f>E58/100000</f>
        <v>7015</v>
      </c>
      <c r="F59">
        <f>F58/100000</f>
        <v>3616.0000000000005</v>
      </c>
      <c r="K59" s="98"/>
      <c r="L59" s="598" t="s">
        <v>432</v>
      </c>
      <c r="M59" s="598" t="s">
        <v>433</v>
      </c>
      <c r="N59" s="598" t="s">
        <v>434</v>
      </c>
      <c r="O59" s="98" t="s">
        <v>63</v>
      </c>
      <c r="P59" s="98" t="s">
        <v>441</v>
      </c>
      <c r="Q59" s="631" t="s">
        <v>459</v>
      </c>
      <c r="S59" s="398" t="s">
        <v>127</v>
      </c>
      <c r="T59" s="398" t="s">
        <v>445</v>
      </c>
      <c r="U59" s="398" t="s">
        <v>446</v>
      </c>
      <c r="V59" s="398" t="s">
        <v>447</v>
      </c>
      <c r="W59" s="398" t="s">
        <v>448</v>
      </c>
      <c r="X59" s="398" t="s">
        <v>266</v>
      </c>
      <c r="Y59" s="398"/>
      <c r="Z59" s="398"/>
      <c r="AA59" s="398" t="s">
        <v>63</v>
      </c>
      <c r="AB59" s="966">
        <f>AA56-578808725</f>
        <v>137932272</v>
      </c>
      <c r="AC59" s="113" t="s">
        <v>275</v>
      </c>
      <c r="AD59" s="601"/>
      <c r="AE59" s="98" t="s">
        <v>462</v>
      </c>
      <c r="AF59" s="98"/>
      <c r="AJ59" s="664"/>
      <c r="AK59" s="665"/>
      <c r="AL59" s="664">
        <f>AL58/10000000</f>
        <v>0</v>
      </c>
      <c r="AM59" s="666"/>
    </row>
    <row r="60" spans="1:39" ht="19.5" x14ac:dyDescent="0.45">
      <c r="B60" s="229"/>
      <c r="C60" s="229"/>
      <c r="D60" s="229"/>
      <c r="E60" s="229"/>
      <c r="F60" s="229"/>
      <c r="G60" s="229"/>
      <c r="J60" s="229">
        <f>L60/100000</f>
        <v>0.96052000000000004</v>
      </c>
      <c r="K60" s="98" t="s">
        <v>131</v>
      </c>
      <c r="L60" s="598">
        <v>96052</v>
      </c>
      <c r="M60" s="598">
        <v>34434</v>
      </c>
      <c r="N60" s="598">
        <v>429218</v>
      </c>
      <c r="O60" s="98">
        <f>SUM(L60:N60)</f>
        <v>559704</v>
      </c>
      <c r="P60" s="103">
        <f>O60/100000</f>
        <v>5.5970399999999998</v>
      </c>
      <c r="Q60" s="229">
        <f>O60/1000000</f>
        <v>0.55970399999999998</v>
      </c>
      <c r="S60" s="98" t="s">
        <v>131</v>
      </c>
      <c r="T60" s="604">
        <v>282164</v>
      </c>
      <c r="U60" s="98">
        <v>0</v>
      </c>
      <c r="V60" s="98">
        <v>46282</v>
      </c>
      <c r="W60" s="98">
        <v>0</v>
      </c>
      <c r="X60" s="98">
        <f t="shared" ref="X60:X71" si="50">AE60</f>
        <v>255186</v>
      </c>
      <c r="Y60" s="98"/>
      <c r="Z60" s="98"/>
      <c r="AA60" s="98">
        <f>SUM(T60:Z60)</f>
        <v>583632</v>
      </c>
      <c r="AB60" s="967">
        <f>V60/100000</f>
        <v>0.46282000000000001</v>
      </c>
      <c r="AC60" s="98">
        <v>395993</v>
      </c>
      <c r="AD60" s="98">
        <f>400+139046+1361</f>
        <v>140807</v>
      </c>
      <c r="AE60" s="98">
        <f>AC60-AD60</f>
        <v>255186</v>
      </c>
      <c r="AF60" s="98"/>
      <c r="AJ60" s="664">
        <v>50</v>
      </c>
      <c r="AK60" s="784">
        <v>38.5</v>
      </c>
      <c r="AL60" s="783">
        <f>(AK60-AJ60)/AJ60*100</f>
        <v>-23</v>
      </c>
      <c r="AM60" s="665"/>
    </row>
    <row r="61" spans="1:39" ht="19.5" x14ac:dyDescent="0.45">
      <c r="B61" s="229"/>
      <c r="C61" s="229"/>
      <c r="D61" s="229"/>
      <c r="E61" s="229"/>
      <c r="F61" s="229"/>
      <c r="G61" s="229"/>
      <c r="J61" s="229">
        <f t="shared" ref="J61:J71" si="51">L61/100000</f>
        <v>0.88846000000000003</v>
      </c>
      <c r="K61" s="98" t="s">
        <v>132</v>
      </c>
      <c r="L61" s="598">
        <v>88846</v>
      </c>
      <c r="M61" s="598">
        <v>22468</v>
      </c>
      <c r="N61" s="660">
        <v>273278</v>
      </c>
      <c r="O61" s="98">
        <f t="shared" ref="O61:O71" si="52">SUM(L61:N61)</f>
        <v>384592</v>
      </c>
      <c r="P61" s="103">
        <f t="shared" ref="P61:P71" si="53">O61/100000</f>
        <v>3.84592</v>
      </c>
      <c r="Q61" s="229">
        <f t="shared" ref="Q61:Q72" si="54">O61/1000000</f>
        <v>0.38459199999999999</v>
      </c>
      <c r="S61" s="98" t="s">
        <v>132</v>
      </c>
      <c r="T61" s="98">
        <v>1479828</v>
      </c>
      <c r="U61" s="98">
        <v>0</v>
      </c>
      <c r="V61" s="98">
        <v>0</v>
      </c>
      <c r="W61" s="98">
        <v>0</v>
      </c>
      <c r="X61" s="98">
        <f t="shared" si="50"/>
        <v>339866</v>
      </c>
      <c r="Y61" s="98"/>
      <c r="Z61" s="98"/>
      <c r="AA61" s="98">
        <f>SUM(T61:Z61)</f>
        <v>1819694</v>
      </c>
      <c r="AB61" s="967">
        <f t="shared" ref="AB61:AB72" si="55">V61/100000</f>
        <v>0</v>
      </c>
      <c r="AC61" s="98">
        <v>1035455</v>
      </c>
      <c r="AD61" s="5">
        <f>694624+565+400</f>
        <v>695589</v>
      </c>
      <c r="AE61" s="98">
        <f>AC61-AD61</f>
        <v>339866</v>
      </c>
      <c r="AF61" s="98"/>
      <c r="AJ61" s="664"/>
      <c r="AK61" s="664"/>
      <c r="AL61" s="664"/>
      <c r="AM61" s="664"/>
    </row>
    <row r="62" spans="1:39" x14ac:dyDescent="0.45">
      <c r="C62" s="216"/>
      <c r="G62" s="259"/>
      <c r="J62" s="229">
        <f t="shared" si="51"/>
        <v>1.35772</v>
      </c>
      <c r="K62" s="98" t="s">
        <v>133</v>
      </c>
      <c r="L62" s="598">
        <v>135772</v>
      </c>
      <c r="M62" s="598">
        <v>50238</v>
      </c>
      <c r="N62" s="598">
        <v>504279</v>
      </c>
      <c r="O62" s="98">
        <f t="shared" si="52"/>
        <v>690289</v>
      </c>
      <c r="P62" s="103">
        <f t="shared" si="53"/>
        <v>6.9028900000000002</v>
      </c>
      <c r="Q62" s="229">
        <f t="shared" si="54"/>
        <v>0.69028900000000004</v>
      </c>
      <c r="S62" s="98" t="s">
        <v>133</v>
      </c>
      <c r="T62" s="98">
        <v>4809656</v>
      </c>
      <c r="U62" s="98">
        <v>253779</v>
      </c>
      <c r="V62" s="98">
        <v>51777</v>
      </c>
      <c r="W62" s="98">
        <v>397131</v>
      </c>
      <c r="X62" s="98">
        <f t="shared" si="50"/>
        <v>200379</v>
      </c>
      <c r="Y62" s="98"/>
      <c r="Z62" s="98"/>
      <c r="AA62" s="98">
        <f>SUM(T62:Z62)</f>
        <v>5712722</v>
      </c>
      <c r="AB62" s="967">
        <f t="shared" si="55"/>
        <v>0.51776999999999995</v>
      </c>
      <c r="AC62" s="98">
        <v>339060</v>
      </c>
      <c r="AD62" s="98">
        <f>102579+36102</f>
        <v>138681</v>
      </c>
      <c r="AE62" s="98">
        <f>AC62-AD62</f>
        <v>200379</v>
      </c>
      <c r="AF62" s="98"/>
    </row>
    <row r="63" spans="1:39" x14ac:dyDescent="0.45">
      <c r="J63" s="229">
        <f t="shared" si="51"/>
        <v>1.60717</v>
      </c>
      <c r="K63" s="98" t="s">
        <v>51</v>
      </c>
      <c r="L63" s="598">
        <v>160717</v>
      </c>
      <c r="M63" s="598">
        <v>54493</v>
      </c>
      <c r="N63" s="598">
        <v>773040</v>
      </c>
      <c r="O63" s="98">
        <f t="shared" si="52"/>
        <v>988250</v>
      </c>
      <c r="P63" s="103">
        <f t="shared" si="53"/>
        <v>9.8825000000000003</v>
      </c>
      <c r="Q63" s="229">
        <f t="shared" si="54"/>
        <v>0.98824999999999996</v>
      </c>
      <c r="S63" s="98" t="s">
        <v>51</v>
      </c>
      <c r="T63" s="98">
        <v>1072304</v>
      </c>
      <c r="U63" s="98">
        <v>624891</v>
      </c>
      <c r="V63" s="98">
        <v>5052</v>
      </c>
      <c r="W63" s="98">
        <v>0</v>
      </c>
      <c r="X63" s="98">
        <f t="shared" si="50"/>
        <v>320234</v>
      </c>
      <c r="Y63" s="98"/>
      <c r="Z63" s="98"/>
      <c r="AA63" s="98">
        <f>SUM(T63:Z63)</f>
        <v>2022481</v>
      </c>
      <c r="AB63" s="967">
        <f t="shared" si="55"/>
        <v>5.0520000000000002E-2</v>
      </c>
      <c r="AC63" s="98">
        <v>499683</v>
      </c>
      <c r="AD63" s="98">
        <f>179449</f>
        <v>179449</v>
      </c>
      <c r="AE63" s="98">
        <f>AC63-AD63</f>
        <v>320234</v>
      </c>
      <c r="AF63" s="98"/>
      <c r="AJ63" s="625">
        <v>145058041</v>
      </c>
      <c r="AK63" s="625">
        <v>6811476</v>
      </c>
    </row>
    <row r="64" spans="1:39" x14ac:dyDescent="0.45">
      <c r="J64" s="229">
        <f t="shared" si="51"/>
        <v>2.0281799999999999</v>
      </c>
      <c r="K64" s="98" t="s">
        <v>134</v>
      </c>
      <c r="L64" s="598">
        <v>202818</v>
      </c>
      <c r="M64" s="598">
        <v>61156</v>
      </c>
      <c r="N64" s="598">
        <v>926489</v>
      </c>
      <c r="O64" s="98">
        <f t="shared" si="52"/>
        <v>1190463</v>
      </c>
      <c r="P64" s="103">
        <f t="shared" si="53"/>
        <v>11.904629999999999</v>
      </c>
      <c r="Q64" s="229">
        <f t="shared" si="54"/>
        <v>1.190463</v>
      </c>
      <c r="S64" s="98" t="s">
        <v>134</v>
      </c>
      <c r="T64" s="98">
        <v>7106277</v>
      </c>
      <c r="U64" s="98">
        <v>363824</v>
      </c>
      <c r="V64" s="98">
        <v>10359</v>
      </c>
      <c r="W64" s="98">
        <v>0</v>
      </c>
      <c r="X64" s="98">
        <f t="shared" si="50"/>
        <v>365835</v>
      </c>
      <c r="Y64" s="98"/>
      <c r="Z64" s="98"/>
      <c r="AA64" s="98">
        <f t="shared" ref="AA64:AA69" si="56">SUM(T64:Z64)</f>
        <v>7846295</v>
      </c>
      <c r="AB64" s="967">
        <f t="shared" si="55"/>
        <v>0.10359</v>
      </c>
      <c r="AC64" s="98">
        <v>624295</v>
      </c>
      <c r="AD64" s="98">
        <f>(252236+4200+1124+900)</f>
        <v>258460</v>
      </c>
      <c r="AE64" s="98">
        <f t="shared" ref="AE64:AE71" si="57">AC64-AD64</f>
        <v>365835</v>
      </c>
      <c r="AF64" s="98"/>
      <c r="AJ64" s="625">
        <f>AJ63-V56</f>
        <v>-111392203</v>
      </c>
      <c r="AK64" s="625">
        <f>AK63-W56</f>
        <v>-4339848</v>
      </c>
    </row>
    <row r="65" spans="6:38" x14ac:dyDescent="0.45">
      <c r="J65" s="229">
        <f t="shared" si="51"/>
        <v>2.5074100000000001</v>
      </c>
      <c r="K65" s="98" t="s">
        <v>135</v>
      </c>
      <c r="L65" s="598">
        <v>250741</v>
      </c>
      <c r="M65" s="598">
        <v>52392</v>
      </c>
      <c r="N65" s="598">
        <v>1009527</v>
      </c>
      <c r="O65" s="98">
        <f t="shared" si="52"/>
        <v>1312660</v>
      </c>
      <c r="P65" s="103">
        <f t="shared" si="53"/>
        <v>13.1266</v>
      </c>
      <c r="Q65" s="229">
        <f t="shared" si="54"/>
        <v>1.3126599999999999</v>
      </c>
      <c r="S65" s="98" t="s">
        <v>135</v>
      </c>
      <c r="T65" s="98">
        <v>1284081</v>
      </c>
      <c r="U65" s="98">
        <v>265597</v>
      </c>
      <c r="V65" s="98">
        <v>1481770</v>
      </c>
      <c r="W65" s="98">
        <v>3053</v>
      </c>
      <c r="X65" s="98">
        <f t="shared" si="50"/>
        <v>237583</v>
      </c>
      <c r="Y65" s="98"/>
      <c r="Z65" s="98"/>
      <c r="AA65" s="98">
        <f t="shared" si="56"/>
        <v>3272084</v>
      </c>
      <c r="AB65" s="967">
        <f t="shared" si="55"/>
        <v>14.8177</v>
      </c>
      <c r="AC65" s="98">
        <v>875191</v>
      </c>
      <c r="AD65" s="98">
        <v>637608</v>
      </c>
      <c r="AE65" s="98">
        <f>AC65-AD65</f>
        <v>237583</v>
      </c>
      <c r="AF65" s="98"/>
    </row>
    <row r="66" spans="6:38" x14ac:dyDescent="0.45">
      <c r="J66" s="229">
        <f t="shared" si="51"/>
        <v>3.1974999999999998</v>
      </c>
      <c r="K66" s="98" t="s">
        <v>136</v>
      </c>
      <c r="L66" s="598">
        <v>319750</v>
      </c>
      <c r="M66" s="598">
        <v>54133</v>
      </c>
      <c r="N66" s="598">
        <v>1137564</v>
      </c>
      <c r="O66" s="98">
        <f t="shared" si="52"/>
        <v>1511447</v>
      </c>
      <c r="P66" s="103">
        <f t="shared" si="53"/>
        <v>15.114470000000001</v>
      </c>
      <c r="Q66" s="229">
        <f t="shared" si="54"/>
        <v>1.511447</v>
      </c>
      <c r="S66" s="98" t="s">
        <v>136</v>
      </c>
      <c r="T66" s="98">
        <v>5309104</v>
      </c>
      <c r="U66" s="98">
        <v>0</v>
      </c>
      <c r="V66" s="98">
        <v>0</v>
      </c>
      <c r="W66" s="98">
        <v>0</v>
      </c>
      <c r="X66" s="98">
        <f t="shared" si="50"/>
        <v>452415</v>
      </c>
      <c r="Y66" s="98"/>
      <c r="Z66" s="98"/>
      <c r="AA66" s="98">
        <f t="shared" si="56"/>
        <v>5761519</v>
      </c>
      <c r="AB66" s="967">
        <f t="shared" si="55"/>
        <v>0</v>
      </c>
      <c r="AC66" s="98">
        <v>1484965</v>
      </c>
      <c r="AD66" s="98">
        <v>1032550</v>
      </c>
      <c r="AE66" s="98">
        <f>AC66-AD66</f>
        <v>452415</v>
      </c>
      <c r="AF66" s="98"/>
    </row>
    <row r="67" spans="6:38" x14ac:dyDescent="0.45">
      <c r="J67" s="229">
        <f t="shared" si="51"/>
        <v>4.5688700000000004</v>
      </c>
      <c r="K67" s="98" t="s">
        <v>137</v>
      </c>
      <c r="L67" s="598">
        <v>456887</v>
      </c>
      <c r="M67" s="598">
        <v>107517</v>
      </c>
      <c r="N67" s="598">
        <v>1189384</v>
      </c>
      <c r="O67" s="98">
        <f t="shared" si="52"/>
        <v>1753788</v>
      </c>
      <c r="P67" s="103">
        <f t="shared" si="53"/>
        <v>17.537880000000001</v>
      </c>
      <c r="Q67" s="229">
        <f t="shared" si="54"/>
        <v>1.7537879999999999</v>
      </c>
      <c r="S67" s="280" t="s">
        <v>137</v>
      </c>
      <c r="T67" s="280">
        <v>72367</v>
      </c>
      <c r="U67" s="280">
        <v>0</v>
      </c>
      <c r="V67" s="280">
        <v>437580</v>
      </c>
      <c r="W67" s="280">
        <v>0</v>
      </c>
      <c r="X67" s="280">
        <f t="shared" si="50"/>
        <v>921399</v>
      </c>
      <c r="Y67" s="280"/>
      <c r="Z67" s="280"/>
      <c r="AA67" s="280">
        <f t="shared" si="56"/>
        <v>1431346</v>
      </c>
      <c r="AB67" s="967">
        <f t="shared" si="55"/>
        <v>4.3757999999999999</v>
      </c>
      <c r="AC67" s="98">
        <v>1638372</v>
      </c>
      <c r="AD67" s="98">
        <f>484322+226289+1262+5100</f>
        <v>716973</v>
      </c>
      <c r="AE67" s="98">
        <f t="shared" si="57"/>
        <v>921399</v>
      </c>
      <c r="AF67" s="98"/>
    </row>
    <row r="68" spans="6:38" x14ac:dyDescent="0.45">
      <c r="F68">
        <v>1.63</v>
      </c>
      <c r="G68">
        <f>F68*10000000</f>
        <v>16299999.999999998</v>
      </c>
      <c r="J68" s="229">
        <f t="shared" si="51"/>
        <v>5.8939700000000004</v>
      </c>
      <c r="K68" s="98" t="s">
        <v>138</v>
      </c>
      <c r="L68" s="598">
        <v>589397</v>
      </c>
      <c r="M68" s="598">
        <v>141848</v>
      </c>
      <c r="N68" s="598">
        <v>1199569</v>
      </c>
      <c r="O68" s="98">
        <f t="shared" si="52"/>
        <v>1930814</v>
      </c>
      <c r="P68" s="103">
        <f t="shared" si="53"/>
        <v>19.308140000000002</v>
      </c>
      <c r="Q68" s="229">
        <f t="shared" si="54"/>
        <v>1.930814</v>
      </c>
      <c r="S68" s="98" t="s">
        <v>138</v>
      </c>
      <c r="T68" s="98">
        <v>4796189</v>
      </c>
      <c r="U68" s="98">
        <v>46386</v>
      </c>
      <c r="V68" s="98">
        <v>253421</v>
      </c>
      <c r="W68" s="98">
        <v>5095</v>
      </c>
      <c r="X68" s="98">
        <f t="shared" si="50"/>
        <v>464633</v>
      </c>
      <c r="Y68" s="98"/>
      <c r="Z68" s="98"/>
      <c r="AA68" s="98">
        <f t="shared" si="56"/>
        <v>5565724</v>
      </c>
      <c r="AB68" s="967">
        <f t="shared" si="55"/>
        <v>2.5342099999999999</v>
      </c>
      <c r="AC68" s="98">
        <v>1367703</v>
      </c>
      <c r="AD68" s="98">
        <f>AI68-AJ68</f>
        <v>903070</v>
      </c>
      <c r="AE68" s="98">
        <f>AC68-AD68</f>
        <v>464633</v>
      </c>
      <c r="AF68" s="98"/>
      <c r="AI68">
        <v>920867</v>
      </c>
      <c r="AJ68" s="625">
        <f>12297+5500</f>
        <v>17797</v>
      </c>
    </row>
    <row r="69" spans="6:38" x14ac:dyDescent="0.45">
      <c r="F69">
        <v>0.48</v>
      </c>
      <c r="G69">
        <f>F69*10000000</f>
        <v>4800000</v>
      </c>
      <c r="H69">
        <f>19.41</f>
        <v>19.41</v>
      </c>
      <c r="J69" s="229">
        <f t="shared" si="51"/>
        <v>5.4072899999999997</v>
      </c>
      <c r="K69" s="98" t="s">
        <v>139</v>
      </c>
      <c r="L69" s="598">
        <v>540729</v>
      </c>
      <c r="M69" s="598">
        <v>129798</v>
      </c>
      <c r="N69" s="598">
        <v>1023175</v>
      </c>
      <c r="O69" s="98">
        <f t="shared" si="52"/>
        <v>1693702</v>
      </c>
      <c r="P69" s="103">
        <f t="shared" si="53"/>
        <v>16.93702</v>
      </c>
      <c r="Q69" s="229">
        <f t="shared" si="54"/>
        <v>1.693702</v>
      </c>
      <c r="R69">
        <f>T69/10000000</f>
        <v>0.34388449999999998</v>
      </c>
      <c r="S69" s="98" t="s">
        <v>139</v>
      </c>
      <c r="T69" s="98">
        <v>3438845</v>
      </c>
      <c r="U69" s="98">
        <v>167677</v>
      </c>
      <c r="V69" s="98">
        <v>59695</v>
      </c>
      <c r="W69" s="98">
        <v>0</v>
      </c>
      <c r="X69" s="98">
        <f t="shared" si="50"/>
        <v>258650</v>
      </c>
      <c r="Y69" s="98"/>
      <c r="Z69" s="98"/>
      <c r="AA69" s="98">
        <f t="shared" si="56"/>
        <v>3924867</v>
      </c>
      <c r="AB69" s="967">
        <f t="shared" si="55"/>
        <v>0.59694999999999998</v>
      </c>
      <c r="AC69" s="98">
        <v>752284</v>
      </c>
      <c r="AD69" s="98">
        <f>493634</f>
        <v>493634</v>
      </c>
      <c r="AE69" s="98">
        <f t="shared" si="57"/>
        <v>258650</v>
      </c>
      <c r="AF69" s="98"/>
    </row>
    <row r="70" spans="6:38" x14ac:dyDescent="0.45">
      <c r="F70">
        <v>1.98</v>
      </c>
      <c r="G70">
        <f>F70*10000000</f>
        <v>19800000</v>
      </c>
      <c r="J70" s="229">
        <f t="shared" si="51"/>
        <v>6.6512500000000001</v>
      </c>
      <c r="K70" s="98" t="s">
        <v>140</v>
      </c>
      <c r="L70" s="598">
        <v>665125</v>
      </c>
      <c r="M70" s="598">
        <v>161415</v>
      </c>
      <c r="N70" s="598">
        <v>1154882</v>
      </c>
      <c r="O70" s="98">
        <f t="shared" si="52"/>
        <v>1981422</v>
      </c>
      <c r="P70" s="103">
        <f t="shared" si="53"/>
        <v>19.814219999999999</v>
      </c>
      <c r="Q70" s="229">
        <f t="shared" si="54"/>
        <v>1.981422</v>
      </c>
      <c r="R70">
        <f>T70/10000000</f>
        <v>0.51021989999999995</v>
      </c>
      <c r="S70" s="98" t="s">
        <v>140</v>
      </c>
      <c r="T70" s="98">
        <v>5102199</v>
      </c>
      <c r="U70" s="98">
        <v>0</v>
      </c>
      <c r="V70" s="98">
        <v>9562</v>
      </c>
      <c r="W70" s="98">
        <v>0</v>
      </c>
      <c r="X70" s="98">
        <f t="shared" si="50"/>
        <v>801100</v>
      </c>
      <c r="Y70" s="98"/>
      <c r="Z70" s="98"/>
      <c r="AA70" s="98">
        <f>SUM(T70:Z70)</f>
        <v>5912861</v>
      </c>
      <c r="AB70" s="967">
        <f t="shared" si="55"/>
        <v>9.5619999999999997E-2</v>
      </c>
      <c r="AC70" s="98">
        <v>1122346</v>
      </c>
      <c r="AD70" s="98">
        <f>317646+3600</f>
        <v>321246</v>
      </c>
      <c r="AE70" s="98">
        <f>AC70-AD70</f>
        <v>801100</v>
      </c>
      <c r="AF70" s="98"/>
    </row>
    <row r="71" spans="6:38" x14ac:dyDescent="0.45">
      <c r="G71">
        <f>SUM(G68:G70)</f>
        <v>40900000</v>
      </c>
      <c r="J71" s="229">
        <f t="shared" si="51"/>
        <v>9.4987100000000009</v>
      </c>
      <c r="K71" s="98" t="s">
        <v>141</v>
      </c>
      <c r="L71" s="598">
        <v>949871</v>
      </c>
      <c r="M71" s="598">
        <v>321705</v>
      </c>
      <c r="N71" s="519">
        <v>1342695</v>
      </c>
      <c r="O71" s="98">
        <f t="shared" si="52"/>
        <v>2614271</v>
      </c>
      <c r="P71" s="103">
        <f t="shared" si="53"/>
        <v>26.142710000000001</v>
      </c>
      <c r="Q71" s="229">
        <f t="shared" si="54"/>
        <v>2.614271</v>
      </c>
      <c r="R71">
        <f>T71/10000000</f>
        <v>0.70177780000000001</v>
      </c>
      <c r="S71" s="98" t="s">
        <v>141</v>
      </c>
      <c r="T71" s="98">
        <v>7017778</v>
      </c>
      <c r="U71" s="98">
        <v>0</v>
      </c>
      <c r="V71" s="98">
        <v>0</v>
      </c>
      <c r="W71" s="98">
        <v>6297</v>
      </c>
      <c r="X71" s="98">
        <f t="shared" si="50"/>
        <v>655488</v>
      </c>
      <c r="Y71" s="98"/>
      <c r="Z71" s="98"/>
      <c r="AA71" s="98">
        <f>SUM(T71:Z71)</f>
        <v>7679563</v>
      </c>
      <c r="AB71" s="967">
        <f t="shared" si="55"/>
        <v>0</v>
      </c>
      <c r="AC71" s="98">
        <v>755357</v>
      </c>
      <c r="AD71" s="98">
        <f>1575+98294</f>
        <v>99869</v>
      </c>
      <c r="AE71" s="98">
        <f t="shared" si="57"/>
        <v>655488</v>
      </c>
      <c r="AF71" s="98"/>
    </row>
    <row r="72" spans="6:38" x14ac:dyDescent="0.45">
      <c r="G72" s="273">
        <f>G71/10000000</f>
        <v>4.09</v>
      </c>
      <c r="K72" s="226" t="s">
        <v>63</v>
      </c>
      <c r="L72" s="599">
        <f>L60+L61+L62+L63+L64+L65+L66+L67+L68+L69+L70+L71</f>
        <v>4456705</v>
      </c>
      <c r="M72" s="599">
        <f>M60+M61+M62+M63+M64+M65+M66+M67+M68+M69+M70+M71</f>
        <v>1191597</v>
      </c>
      <c r="N72" s="599">
        <f>N60+N61+N62+N63+N64+N65+N66+N67+N68+N69+N70+N71</f>
        <v>10963100</v>
      </c>
      <c r="O72" s="599">
        <f>O60+O61+O62+O63+O64+O65+O66+O67+O68+O69+O70+O71</f>
        <v>16611402</v>
      </c>
      <c r="P72" s="103">
        <f>O72/100000</f>
        <v>166.11402000000001</v>
      </c>
      <c r="Q72" s="229">
        <f t="shared" si="54"/>
        <v>16.611401999999998</v>
      </c>
      <c r="R72">
        <f>T72/10000000</f>
        <v>4.1770791999999997</v>
      </c>
      <c r="S72" s="226" t="s">
        <v>63</v>
      </c>
      <c r="T72" s="98">
        <f>SUM(T60:T71)</f>
        <v>41770792</v>
      </c>
      <c r="U72" s="98">
        <f t="shared" ref="U72:AA72" si="58">SUM(U60:U71)</f>
        <v>1722154</v>
      </c>
      <c r="V72" s="98">
        <f t="shared" si="58"/>
        <v>2355498</v>
      </c>
      <c r="W72" s="98">
        <f t="shared" si="58"/>
        <v>411576</v>
      </c>
      <c r="X72" s="98">
        <f t="shared" si="58"/>
        <v>5272768</v>
      </c>
      <c r="Y72" s="98">
        <f t="shared" si="58"/>
        <v>0</v>
      </c>
      <c r="Z72" s="98">
        <f t="shared" si="58"/>
        <v>0</v>
      </c>
      <c r="AA72" s="98">
        <f t="shared" si="58"/>
        <v>51532788</v>
      </c>
      <c r="AB72" s="967">
        <f t="shared" si="55"/>
        <v>23.55498</v>
      </c>
      <c r="AC72" s="98"/>
      <c r="AD72" s="98"/>
      <c r="AE72" s="98"/>
      <c r="AF72" s="98"/>
    </row>
    <row r="73" spans="6:38" x14ac:dyDescent="0.45">
      <c r="L73" s="598">
        <f>L72/365</f>
        <v>12210.150684931506</v>
      </c>
      <c r="M73" s="103">
        <f>(M60+M61+M62+M63)/1000000</f>
        <v>0.161633</v>
      </c>
      <c r="N73" s="103">
        <f>(N60+N61+N62+N63)/1000000</f>
        <v>1.9798150000000001</v>
      </c>
      <c r="O73" s="103">
        <f>(O60+O61+O62+O63)/1000000</f>
        <v>2.6228349999999998</v>
      </c>
      <c r="P73" s="103">
        <f>(P60+P61+P62+P63)/10000000</f>
        <v>2.622835E-6</v>
      </c>
      <c r="S73" s="778" t="s">
        <v>530</v>
      </c>
      <c r="T73" s="229"/>
      <c r="U73" s="229"/>
      <c r="V73" s="229"/>
      <c r="W73" s="229"/>
      <c r="X73" s="229"/>
      <c r="Y73" s="229"/>
      <c r="Z73" s="229"/>
      <c r="AA73" s="229"/>
      <c r="AL73" s="849"/>
    </row>
    <row r="74" spans="6:38" ht="16.149999999999999" thickBot="1" x14ac:dyDescent="0.5">
      <c r="J74">
        <f>L64/1000000</f>
        <v>0.202818</v>
      </c>
      <c r="O74" s="216"/>
      <c r="T74" s="229">
        <f>T71/100000</f>
        <v>70.177779999999998</v>
      </c>
      <c r="U74" s="229">
        <f t="shared" ref="U74:AA74" si="59">U71/10000000</f>
        <v>0</v>
      </c>
      <c r="V74" s="229">
        <f t="shared" si="59"/>
        <v>0</v>
      </c>
      <c r="W74" s="229">
        <f t="shared" si="59"/>
        <v>6.2969999999999996E-4</v>
      </c>
      <c r="X74" s="229">
        <f t="shared" si="59"/>
        <v>6.5548800000000004E-2</v>
      </c>
      <c r="Y74" s="229">
        <f t="shared" si="59"/>
        <v>0</v>
      </c>
      <c r="Z74" s="229">
        <f t="shared" si="59"/>
        <v>0</v>
      </c>
      <c r="AA74" s="229">
        <f t="shared" si="59"/>
        <v>0.76795630000000004</v>
      </c>
      <c r="AB74" s="910">
        <v>1199569</v>
      </c>
    </row>
    <row r="75" spans="6:38" x14ac:dyDescent="0.45">
      <c r="K75" s="229"/>
      <c r="L75" s="273">
        <f>L71/1000000</f>
        <v>0.94987100000000002</v>
      </c>
      <c r="M75" s="273">
        <f>M71/1000000</f>
        <v>0.32170500000000002</v>
      </c>
      <c r="N75" s="273">
        <f>N71/1000000</f>
        <v>1.342695</v>
      </c>
      <c r="O75" s="273">
        <f>O71/1000000</f>
        <v>2.614271</v>
      </c>
      <c r="P75" s="273">
        <f>P71/1000000</f>
        <v>2.614271E-5</v>
      </c>
      <c r="T75" s="229">
        <f>T72/10000000</f>
        <v>4.1770791999999997</v>
      </c>
      <c r="U75" s="229">
        <f t="shared" ref="U75:AA75" si="60">U72/10000000</f>
        <v>0.17221539999999999</v>
      </c>
      <c r="V75" s="229">
        <f t="shared" si="60"/>
        <v>0.2355498</v>
      </c>
      <c r="W75" s="229">
        <f t="shared" si="60"/>
        <v>4.1157600000000003E-2</v>
      </c>
      <c r="X75" s="229">
        <f t="shared" si="60"/>
        <v>0.52727679999999999</v>
      </c>
      <c r="Y75" s="229">
        <f t="shared" si="60"/>
        <v>0</v>
      </c>
      <c r="Z75" s="229">
        <f t="shared" si="60"/>
        <v>0</v>
      </c>
      <c r="AA75" s="229">
        <f t="shared" si="60"/>
        <v>5.1532787999999998</v>
      </c>
      <c r="AB75" s="91"/>
      <c r="AK75" s="625">
        <v>25000</v>
      </c>
      <c r="AL75" s="625">
        <f>AK75+AK77</f>
        <v>25040</v>
      </c>
    </row>
    <row r="76" spans="6:38" x14ac:dyDescent="0.45">
      <c r="L76" s="229">
        <f>L72/1000000</f>
        <v>4.4567050000000004</v>
      </c>
      <c r="M76" s="229">
        <f>M72/1000000</f>
        <v>1.191597</v>
      </c>
      <c r="N76" s="229">
        <f>N72/1000000</f>
        <v>10.963100000000001</v>
      </c>
      <c r="O76" s="229">
        <f>O72/1000000</f>
        <v>16.611401999999998</v>
      </c>
      <c r="T76" s="912"/>
      <c r="U76" s="912"/>
      <c r="V76" s="912"/>
      <c r="W76" s="912"/>
      <c r="X76" s="912"/>
      <c r="Z76" s="229"/>
      <c r="AA76" s="229"/>
      <c r="AK76" s="625">
        <f>(AK75*16)%</f>
        <v>4000</v>
      </c>
      <c r="AL76" s="934">
        <f>AL75/12</f>
        <v>2086.6666666666665</v>
      </c>
    </row>
    <row r="77" spans="6:38" x14ac:dyDescent="0.45">
      <c r="M77" s="229"/>
      <c r="AK77" s="625">
        <f>AK76/100</f>
        <v>40</v>
      </c>
    </row>
    <row r="78" spans="6:38" x14ac:dyDescent="0.45">
      <c r="K78" s="98"/>
      <c r="L78" s="598"/>
      <c r="M78" s="598"/>
      <c r="N78" s="599" t="s">
        <v>437</v>
      </c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128"/>
      <c r="AC78" s="98"/>
      <c r="AD78" s="98"/>
      <c r="AE78" s="98"/>
      <c r="AF78" s="98"/>
    </row>
    <row r="79" spans="6:38" x14ac:dyDescent="0.45">
      <c r="K79" s="98"/>
      <c r="L79" s="2308" t="s">
        <v>278</v>
      </c>
      <c r="M79" s="2308"/>
      <c r="N79" s="2308"/>
      <c r="O79" s="2308"/>
      <c r="P79" s="98"/>
      <c r="Q79" s="98"/>
      <c r="R79" s="98"/>
      <c r="S79" s="98"/>
      <c r="T79" s="98"/>
      <c r="U79" s="98"/>
      <c r="V79" s="98"/>
      <c r="W79" s="98"/>
      <c r="X79" s="98" t="s">
        <v>371</v>
      </c>
      <c r="Y79" s="98"/>
      <c r="Z79" s="98"/>
      <c r="AA79" s="98"/>
      <c r="AB79" s="128"/>
      <c r="AC79" s="98"/>
      <c r="AD79" s="98"/>
      <c r="AE79" s="98"/>
      <c r="AF79" s="98"/>
    </row>
    <row r="80" spans="6:38" x14ac:dyDescent="0.45">
      <c r="K80" s="98"/>
      <c r="L80" s="598" t="s">
        <v>432</v>
      </c>
      <c r="M80" s="598" t="s">
        <v>433</v>
      </c>
      <c r="N80" s="598" t="s">
        <v>434</v>
      </c>
      <c r="O80" s="98"/>
      <c r="P80" s="98"/>
      <c r="Q80" s="98"/>
      <c r="R80" s="98"/>
      <c r="S80" s="98"/>
      <c r="T80" s="98"/>
      <c r="U80" s="98"/>
      <c r="V80" s="98"/>
      <c r="W80" s="98"/>
      <c r="X80" s="98" t="s">
        <v>436</v>
      </c>
      <c r="Y80" s="98"/>
      <c r="Z80" s="98" t="s">
        <v>124</v>
      </c>
      <c r="AA80" s="98" t="s">
        <v>125</v>
      </c>
      <c r="AB80" s="601" t="s">
        <v>196</v>
      </c>
      <c r="AC80" s="98" t="s">
        <v>435</v>
      </c>
      <c r="AD80" s="98" t="s">
        <v>123</v>
      </c>
      <c r="AE80" s="98" t="s">
        <v>266</v>
      </c>
      <c r="AF80" s="98" t="s">
        <v>63</v>
      </c>
    </row>
    <row r="81" spans="8:32" x14ac:dyDescent="0.45">
      <c r="H81" s="229">
        <f>L81/10000000</f>
        <v>0</v>
      </c>
      <c r="I81" s="229">
        <f>(M81+N81)/10000000</f>
        <v>-14.077521600000001</v>
      </c>
      <c r="J81" s="229">
        <f>SUM(H81:I81)</f>
        <v>-14.077521600000001</v>
      </c>
      <c r="K81" s="98" t="s">
        <v>131</v>
      </c>
      <c r="L81" s="598">
        <v>0</v>
      </c>
      <c r="M81" s="598">
        <v>0</v>
      </c>
      <c r="N81" s="598">
        <v>-140775216</v>
      </c>
      <c r="O81" s="98">
        <f>SUM(L81:N81)</f>
        <v>-140775216</v>
      </c>
      <c r="P81" s="103">
        <f>O81/10000000</f>
        <v>-14.077521600000001</v>
      </c>
      <c r="Q81" s="103"/>
      <c r="R81" s="98">
        <f>O81/100000</f>
        <v>-1407.75216</v>
      </c>
      <c r="S81" s="213">
        <f t="shared" ref="S81:S91" si="61">L81/10000000</f>
        <v>0</v>
      </c>
      <c r="T81" s="213">
        <f t="shared" ref="T81:T91" si="62">M81/10000000</f>
        <v>0</v>
      </c>
      <c r="U81" s="213">
        <f>N81/10000000</f>
        <v>-14.077521600000001</v>
      </c>
      <c r="V81" s="98"/>
      <c r="W81" s="98" t="s">
        <v>131</v>
      </c>
      <c r="X81" s="98"/>
      <c r="Y81" s="98"/>
      <c r="Z81" s="98">
        <v>108214</v>
      </c>
      <c r="AA81" s="98">
        <v>0</v>
      </c>
      <c r="AB81" s="128">
        <v>0</v>
      </c>
      <c r="AC81" s="98">
        <v>3247525</v>
      </c>
      <c r="AD81" s="98">
        <v>0</v>
      </c>
      <c r="AE81" s="98"/>
      <c r="AF81" s="98">
        <f>SUM(X81:AE81)</f>
        <v>3355739</v>
      </c>
    </row>
    <row r="82" spans="8:32" x14ac:dyDescent="0.45">
      <c r="H82" s="229">
        <f t="shared" ref="H82:H93" si="63">L82/10000000</f>
        <v>0</v>
      </c>
      <c r="I82" s="229">
        <f t="shared" ref="I82:I93" si="64">(M82+N82)/10000000</f>
        <v>-0.1126067</v>
      </c>
      <c r="J82" s="229">
        <f t="shared" ref="J82:J93" si="65">SUM(H82:I82)</f>
        <v>-0.1126067</v>
      </c>
      <c r="K82" s="98" t="s">
        <v>132</v>
      </c>
      <c r="L82" s="598">
        <v>0</v>
      </c>
      <c r="M82" s="598">
        <v>137466053</v>
      </c>
      <c r="N82" s="598">
        <v>-138592120</v>
      </c>
      <c r="O82" s="98">
        <f t="shared" ref="O82:O92" si="66">SUM(L82:N82)</f>
        <v>-1126067</v>
      </c>
      <c r="P82" s="103">
        <f t="shared" ref="P82:P92" si="67">O82/10000000</f>
        <v>-0.1126067</v>
      </c>
      <c r="Q82" s="103"/>
      <c r="R82" s="98">
        <f>O82/100000</f>
        <v>-11.260669999999999</v>
      </c>
      <c r="S82" s="213">
        <f t="shared" si="61"/>
        <v>0</v>
      </c>
      <c r="T82" s="213">
        <f t="shared" si="62"/>
        <v>13.746605300000001</v>
      </c>
      <c r="U82" s="213">
        <f t="shared" ref="U82:U91" si="68">N82/10000000</f>
        <v>-13.859211999999999</v>
      </c>
      <c r="V82" s="98"/>
      <c r="W82" s="98" t="s">
        <v>132</v>
      </c>
      <c r="X82" s="98"/>
      <c r="Y82" s="98"/>
      <c r="Z82" s="98">
        <v>692143</v>
      </c>
      <c r="AA82" s="98">
        <v>0</v>
      </c>
      <c r="AB82" s="128">
        <v>0</v>
      </c>
      <c r="AC82" s="98">
        <v>1480244</v>
      </c>
      <c r="AD82" s="98">
        <v>0</v>
      </c>
      <c r="AE82" s="98"/>
      <c r="AF82" s="98">
        <f t="shared" ref="AF82:AF92" si="69">SUM(X82:AE82)</f>
        <v>2172387</v>
      </c>
    </row>
    <row r="83" spans="8:32" x14ac:dyDescent="0.45">
      <c r="H83" s="229">
        <f t="shared" si="63"/>
        <v>0</v>
      </c>
      <c r="I83" s="229">
        <f t="shared" si="64"/>
        <v>-3.1032923000000001</v>
      </c>
      <c r="J83" s="229">
        <f t="shared" si="65"/>
        <v>-3.1032923000000001</v>
      </c>
      <c r="K83" s="98" t="s">
        <v>133</v>
      </c>
      <c r="L83" s="598">
        <v>0</v>
      </c>
      <c r="M83" s="598">
        <v>1299540</v>
      </c>
      <c r="N83" s="598">
        <v>-32332463</v>
      </c>
      <c r="O83" s="98">
        <f t="shared" si="66"/>
        <v>-31032923</v>
      </c>
      <c r="P83" s="103">
        <f t="shared" si="67"/>
        <v>-3.1032923000000001</v>
      </c>
      <c r="Q83" s="103"/>
      <c r="R83" s="98">
        <f>O83/100000</f>
        <v>-310.32923</v>
      </c>
      <c r="S83" s="213">
        <f t="shared" si="61"/>
        <v>0</v>
      </c>
      <c r="T83" s="213">
        <f t="shared" si="62"/>
        <v>0.12995399999999999</v>
      </c>
      <c r="U83" s="213">
        <f t="shared" si="68"/>
        <v>-3.2332462999999998</v>
      </c>
      <c r="V83" s="98"/>
      <c r="W83" s="98" t="s">
        <v>133</v>
      </c>
      <c r="X83" s="98"/>
      <c r="Y83" s="98"/>
      <c r="Z83" s="98">
        <v>4593991</v>
      </c>
      <c r="AA83" s="98">
        <v>29224</v>
      </c>
      <c r="AB83" s="128">
        <v>0</v>
      </c>
      <c r="AC83" s="98">
        <v>4643517</v>
      </c>
      <c r="AD83" s="98">
        <v>0</v>
      </c>
      <c r="AE83" s="98"/>
      <c r="AF83" s="98">
        <f t="shared" si="69"/>
        <v>9266732</v>
      </c>
    </row>
    <row r="84" spans="8:32" x14ac:dyDescent="0.45">
      <c r="H84" s="229">
        <f t="shared" si="63"/>
        <v>0</v>
      </c>
      <c r="I84" s="229">
        <f t="shared" si="64"/>
        <v>5.7114256000000001</v>
      </c>
      <c r="J84" s="229">
        <f t="shared" si="65"/>
        <v>5.7114256000000001</v>
      </c>
      <c r="K84" s="98" t="s">
        <v>51</v>
      </c>
      <c r="L84" s="598">
        <v>0</v>
      </c>
      <c r="M84" s="598">
        <v>0</v>
      </c>
      <c r="N84" s="598">
        <v>57114256</v>
      </c>
      <c r="O84" s="98">
        <f t="shared" si="66"/>
        <v>57114256</v>
      </c>
      <c r="P84" s="103">
        <f t="shared" si="67"/>
        <v>5.7114256000000001</v>
      </c>
      <c r="Q84" s="103"/>
      <c r="R84" s="98">
        <f>O84/100000</f>
        <v>571.14256</v>
      </c>
      <c r="S84" s="213">
        <f t="shared" si="61"/>
        <v>0</v>
      </c>
      <c r="T84" s="213">
        <f t="shared" si="62"/>
        <v>0</v>
      </c>
      <c r="U84" s="213">
        <f t="shared" si="68"/>
        <v>5.7114256000000001</v>
      </c>
      <c r="V84" s="98"/>
      <c r="W84" s="98" t="s">
        <v>51</v>
      </c>
      <c r="X84" s="98"/>
      <c r="Y84" s="98"/>
      <c r="Z84" s="98">
        <v>5193412</v>
      </c>
      <c r="AA84" s="98">
        <v>30271</v>
      </c>
      <c r="AB84" s="128">
        <v>0</v>
      </c>
      <c r="AC84" s="98">
        <v>3905717</v>
      </c>
      <c r="AD84" s="98">
        <v>0</v>
      </c>
      <c r="AE84" s="98"/>
      <c r="AF84" s="98">
        <f t="shared" si="69"/>
        <v>9129400</v>
      </c>
    </row>
    <row r="85" spans="8:32" x14ac:dyDescent="0.45">
      <c r="H85" s="229">
        <f t="shared" si="63"/>
        <v>6.8099999999999996E-4</v>
      </c>
      <c r="I85" s="229">
        <f t="shared" si="64"/>
        <v>6.9647135999999996</v>
      </c>
      <c r="J85" s="229">
        <f t="shared" si="65"/>
        <v>6.9653945999999998</v>
      </c>
      <c r="K85" s="98" t="s">
        <v>134</v>
      </c>
      <c r="L85" s="598">
        <v>6810</v>
      </c>
      <c r="M85" s="598">
        <v>13575</v>
      </c>
      <c r="N85" s="598">
        <v>69633561</v>
      </c>
      <c r="O85" s="98">
        <f t="shared" si="66"/>
        <v>69653946</v>
      </c>
      <c r="P85" s="103">
        <f t="shared" si="67"/>
        <v>6.9653945999999998</v>
      </c>
      <c r="Q85" s="103"/>
      <c r="R85" s="98">
        <f>O85/100000</f>
        <v>696.53945999999996</v>
      </c>
      <c r="S85" s="213">
        <f t="shared" si="61"/>
        <v>6.8099999999999996E-4</v>
      </c>
      <c r="T85" s="213">
        <f t="shared" si="62"/>
        <v>1.3575E-3</v>
      </c>
      <c r="U85" s="213">
        <f t="shared" si="68"/>
        <v>6.9633561000000004</v>
      </c>
      <c r="V85" s="98"/>
      <c r="W85" s="98" t="s">
        <v>134</v>
      </c>
      <c r="X85" s="98"/>
      <c r="Y85" s="98"/>
      <c r="Z85" s="98">
        <v>7527724</v>
      </c>
      <c r="AA85" s="98">
        <v>64517</v>
      </c>
      <c r="AB85" s="128">
        <v>0</v>
      </c>
      <c r="AC85" s="98">
        <v>2890498</v>
      </c>
      <c r="AD85" s="98">
        <v>0</v>
      </c>
      <c r="AE85" s="98"/>
      <c r="AF85" s="98">
        <f t="shared" si="69"/>
        <v>10482739</v>
      </c>
    </row>
    <row r="86" spans="8:32" x14ac:dyDescent="0.45">
      <c r="H86" s="229">
        <f t="shared" si="63"/>
        <v>1.1904999999999999E-3</v>
      </c>
      <c r="I86" s="229">
        <f t="shared" si="64"/>
        <v>8.6655017000000001</v>
      </c>
      <c r="J86" s="229">
        <f t="shared" si="65"/>
        <v>8.6666922</v>
      </c>
      <c r="K86" s="98" t="s">
        <v>135</v>
      </c>
      <c r="L86" s="598">
        <v>11905</v>
      </c>
      <c r="M86" s="598">
        <v>62890</v>
      </c>
      <c r="N86" s="98">
        <v>86592127</v>
      </c>
      <c r="O86" s="98">
        <f t="shared" si="66"/>
        <v>86666922</v>
      </c>
      <c r="P86" s="103">
        <f t="shared" si="67"/>
        <v>8.6666922</v>
      </c>
      <c r="Q86" s="103"/>
      <c r="R86" s="98"/>
      <c r="S86" s="213">
        <f t="shared" si="61"/>
        <v>1.1904999999999999E-3</v>
      </c>
      <c r="T86" s="213">
        <f t="shared" si="62"/>
        <v>6.2890000000000003E-3</v>
      </c>
      <c r="U86" s="213">
        <f t="shared" si="68"/>
        <v>8.6592126999999994</v>
      </c>
      <c r="V86" s="98"/>
      <c r="W86" s="98" t="s">
        <v>135</v>
      </c>
      <c r="X86" s="98"/>
      <c r="Y86" s="98"/>
      <c r="Z86" s="98">
        <v>8999972</v>
      </c>
      <c r="AA86" s="98">
        <v>64863</v>
      </c>
      <c r="AB86" s="128">
        <v>0</v>
      </c>
      <c r="AC86" s="98">
        <v>3518640</v>
      </c>
      <c r="AD86" s="98">
        <v>0</v>
      </c>
      <c r="AE86" s="98"/>
      <c r="AF86" s="98">
        <f t="shared" si="69"/>
        <v>12583475</v>
      </c>
    </row>
    <row r="87" spans="8:32" x14ac:dyDescent="0.45">
      <c r="H87" s="229">
        <f t="shared" si="63"/>
        <v>1.6473397000000001E-2</v>
      </c>
      <c r="I87" s="229">
        <f t="shared" si="64"/>
        <v>18.9816094</v>
      </c>
      <c r="J87" s="229">
        <f t="shared" si="65"/>
        <v>18.998082796999999</v>
      </c>
      <c r="K87" s="98" t="s">
        <v>136</v>
      </c>
      <c r="L87" s="598">
        <v>164733.97</v>
      </c>
      <c r="M87" s="598">
        <v>69990</v>
      </c>
      <c r="N87" s="598">
        <v>189746104</v>
      </c>
      <c r="O87" s="98">
        <f t="shared" si="66"/>
        <v>189980827.97</v>
      </c>
      <c r="P87" s="103">
        <f t="shared" si="67"/>
        <v>18.998082796999999</v>
      </c>
      <c r="Q87" s="103"/>
      <c r="R87" s="98"/>
      <c r="S87" s="213">
        <f t="shared" si="61"/>
        <v>1.6473397000000001E-2</v>
      </c>
      <c r="T87" s="213">
        <f t="shared" si="62"/>
        <v>6.999E-3</v>
      </c>
      <c r="U87" s="213">
        <f t="shared" si="68"/>
        <v>18.9746104</v>
      </c>
      <c r="V87" s="98"/>
      <c r="W87" s="98" t="s">
        <v>136</v>
      </c>
      <c r="X87" s="98"/>
      <c r="Y87" s="98"/>
      <c r="Z87" s="98">
        <v>11770085</v>
      </c>
      <c r="AA87" s="98">
        <v>210912</v>
      </c>
      <c r="AB87" s="128">
        <v>0</v>
      </c>
      <c r="AC87" s="98">
        <v>7024968</v>
      </c>
      <c r="AD87" s="98">
        <v>0</v>
      </c>
      <c r="AE87" s="98"/>
      <c r="AF87" s="98">
        <f t="shared" si="69"/>
        <v>19005965</v>
      </c>
    </row>
    <row r="88" spans="8:32" x14ac:dyDescent="0.45">
      <c r="H88" s="229">
        <f t="shared" si="63"/>
        <v>1.5498731E-2</v>
      </c>
      <c r="I88" s="229">
        <f t="shared" si="64"/>
        <v>20.284775</v>
      </c>
      <c r="J88" s="229">
        <f t="shared" si="65"/>
        <v>20.300273731000001</v>
      </c>
      <c r="K88" s="98" t="s">
        <v>137</v>
      </c>
      <c r="L88" s="598">
        <v>154987.31</v>
      </c>
      <c r="M88" s="598">
        <v>121748</v>
      </c>
      <c r="N88" s="598">
        <v>202726002</v>
      </c>
      <c r="O88" s="98">
        <f t="shared" si="66"/>
        <v>203002737.31</v>
      </c>
      <c r="P88" s="103">
        <f t="shared" si="67"/>
        <v>20.300273731000001</v>
      </c>
      <c r="Q88" s="103"/>
      <c r="R88" s="98"/>
      <c r="S88" s="213">
        <f t="shared" si="61"/>
        <v>1.5498731E-2</v>
      </c>
      <c r="T88" s="213">
        <f t="shared" si="62"/>
        <v>1.21748E-2</v>
      </c>
      <c r="U88" s="213">
        <f t="shared" si="68"/>
        <v>20.272600199999999</v>
      </c>
      <c r="V88" s="98"/>
      <c r="W88" s="98" t="s">
        <v>137</v>
      </c>
      <c r="X88" s="98"/>
      <c r="Y88" s="98"/>
      <c r="Z88" s="98">
        <v>12648188</v>
      </c>
      <c r="AA88" s="98">
        <v>415898</v>
      </c>
      <c r="AB88" s="128">
        <v>0</v>
      </c>
      <c r="AC88" s="98">
        <v>13038225</v>
      </c>
      <c r="AD88" s="98">
        <v>0</v>
      </c>
      <c r="AE88" s="98"/>
      <c r="AF88" s="98">
        <f t="shared" si="69"/>
        <v>26102311</v>
      </c>
    </row>
    <row r="89" spans="8:32" x14ac:dyDescent="0.45">
      <c r="H89" s="229">
        <f t="shared" si="63"/>
        <v>2.5583986999999999E-2</v>
      </c>
      <c r="I89" s="229">
        <f t="shared" si="64"/>
        <v>29.123975999999999</v>
      </c>
      <c r="J89" s="229">
        <f t="shared" si="65"/>
        <v>29.149559987</v>
      </c>
      <c r="K89" s="98" t="s">
        <v>138</v>
      </c>
      <c r="L89" s="598">
        <v>255839.87</v>
      </c>
      <c r="M89" s="598">
        <v>138315</v>
      </c>
      <c r="N89" s="598">
        <v>291101445</v>
      </c>
      <c r="O89" s="98">
        <f t="shared" si="66"/>
        <v>291495599.87</v>
      </c>
      <c r="P89" s="103">
        <f t="shared" si="67"/>
        <v>29.149559987</v>
      </c>
      <c r="Q89" s="103"/>
      <c r="R89" s="98"/>
      <c r="S89" s="213">
        <f t="shared" si="61"/>
        <v>2.5583986999999999E-2</v>
      </c>
      <c r="T89" s="213">
        <f t="shared" si="62"/>
        <v>1.38315E-2</v>
      </c>
      <c r="U89" s="213">
        <f t="shared" si="68"/>
        <v>29.110144500000001</v>
      </c>
      <c r="V89" s="98"/>
      <c r="W89" s="98" t="s">
        <v>138</v>
      </c>
      <c r="X89" s="98"/>
      <c r="Y89" s="98"/>
      <c r="Z89" s="98">
        <v>13288780</v>
      </c>
      <c r="AA89" s="98">
        <v>427710</v>
      </c>
      <c r="AB89" s="128">
        <v>0</v>
      </c>
      <c r="AC89" s="98">
        <v>12012330</v>
      </c>
      <c r="AD89" s="98">
        <v>0</v>
      </c>
      <c r="AE89" s="98"/>
      <c r="AF89" s="98">
        <f t="shared" si="69"/>
        <v>25728820</v>
      </c>
    </row>
    <row r="90" spans="8:32" x14ac:dyDescent="0.45">
      <c r="H90" s="229">
        <f t="shared" si="63"/>
        <v>5.1386088000000003E-2</v>
      </c>
      <c r="I90" s="229">
        <f t="shared" si="64"/>
        <v>43.042134799999999</v>
      </c>
      <c r="J90" s="229">
        <f t="shared" si="65"/>
        <v>43.093520888</v>
      </c>
      <c r="K90" s="98" t="s">
        <v>139</v>
      </c>
      <c r="L90" s="598">
        <v>513860.88</v>
      </c>
      <c r="M90" s="598">
        <v>245794</v>
      </c>
      <c r="N90" s="598">
        <v>430175554</v>
      </c>
      <c r="O90" s="98">
        <f t="shared" si="66"/>
        <v>430935208.88</v>
      </c>
      <c r="P90" s="103">
        <f t="shared" si="67"/>
        <v>43.093520888</v>
      </c>
      <c r="Q90" s="103"/>
      <c r="R90" s="98"/>
      <c r="S90" s="213">
        <f t="shared" si="61"/>
        <v>5.1386088000000003E-2</v>
      </c>
      <c r="T90" s="213">
        <f t="shared" si="62"/>
        <v>2.4579400000000001E-2</v>
      </c>
      <c r="U90" s="213">
        <f t="shared" si="68"/>
        <v>43.017555399999999</v>
      </c>
      <c r="V90" s="98"/>
      <c r="W90" s="98" t="s">
        <v>139</v>
      </c>
      <c r="X90" s="98"/>
      <c r="Y90" s="98"/>
      <c r="Z90" s="98">
        <v>13488702</v>
      </c>
      <c r="AA90" s="98">
        <v>654746</v>
      </c>
      <c r="AB90" s="128">
        <v>0</v>
      </c>
      <c r="AC90" s="98">
        <v>14045855</v>
      </c>
      <c r="AD90" s="98">
        <v>0</v>
      </c>
      <c r="AE90" s="98"/>
      <c r="AF90" s="98">
        <f t="shared" si="69"/>
        <v>28189303</v>
      </c>
    </row>
    <row r="91" spans="8:32" x14ac:dyDescent="0.45">
      <c r="H91" s="229">
        <f t="shared" si="63"/>
        <v>4.1974644999999998E-2</v>
      </c>
      <c r="I91" s="229">
        <f t="shared" si="64"/>
        <v>40.734391600000002</v>
      </c>
      <c r="J91" s="229">
        <f t="shared" si="65"/>
        <v>40.776366245000006</v>
      </c>
      <c r="K91" s="98" t="s">
        <v>140</v>
      </c>
      <c r="L91" s="598">
        <v>419746.45</v>
      </c>
      <c r="M91" s="598">
        <v>335756</v>
      </c>
      <c r="N91" s="598">
        <v>407008160</v>
      </c>
      <c r="O91" s="98">
        <f t="shared" si="66"/>
        <v>407763662.44999999</v>
      </c>
      <c r="P91" s="103">
        <f t="shared" si="67"/>
        <v>40.776366244999998</v>
      </c>
      <c r="Q91" s="103"/>
      <c r="R91" s="98"/>
      <c r="S91" s="213">
        <f t="shared" si="61"/>
        <v>4.1974644999999998E-2</v>
      </c>
      <c r="T91" s="213">
        <f t="shared" si="62"/>
        <v>3.3575599999999997E-2</v>
      </c>
      <c r="U91" s="213">
        <f t="shared" si="68"/>
        <v>40.700816000000003</v>
      </c>
      <c r="V91" s="98"/>
      <c r="W91" s="98" t="s">
        <v>140</v>
      </c>
      <c r="X91" s="98"/>
      <c r="Y91" s="98"/>
      <c r="Z91" s="98">
        <v>16794965</v>
      </c>
      <c r="AA91" s="98">
        <v>635173</v>
      </c>
      <c r="AB91" s="128">
        <v>0</v>
      </c>
      <c r="AC91" s="98">
        <v>19362274</v>
      </c>
      <c r="AD91" s="98">
        <v>0</v>
      </c>
      <c r="AE91" s="98"/>
      <c r="AF91" s="98">
        <f t="shared" si="69"/>
        <v>36792412</v>
      </c>
    </row>
    <row r="92" spans="8:32" x14ac:dyDescent="0.45">
      <c r="H92" s="229">
        <f t="shared" si="63"/>
        <v>6.0005963000000002E-2</v>
      </c>
      <c r="I92" s="229">
        <f t="shared" si="64"/>
        <v>46.108587800000002</v>
      </c>
      <c r="J92" s="229">
        <f t="shared" si="65"/>
        <v>46.168593763000004</v>
      </c>
      <c r="K92" s="98" t="s">
        <v>141</v>
      </c>
      <c r="L92" s="598">
        <v>600059.63</v>
      </c>
      <c r="M92" s="598">
        <v>511944</v>
      </c>
      <c r="N92" s="598">
        <v>460573934</v>
      </c>
      <c r="O92" s="98">
        <f t="shared" si="66"/>
        <v>461685937.63</v>
      </c>
      <c r="P92" s="103">
        <f t="shared" si="67"/>
        <v>46.168593762999997</v>
      </c>
      <c r="Q92" s="103"/>
      <c r="R92" s="98"/>
      <c r="S92" s="213">
        <f>L92/10000000</f>
        <v>6.0005963000000002E-2</v>
      </c>
      <c r="T92" s="213">
        <f>M92/10000000</f>
        <v>5.1194400000000001E-2</v>
      </c>
      <c r="U92" s="213">
        <f>N92/10000000</f>
        <v>46.057393400000002</v>
      </c>
      <c r="V92" s="98"/>
      <c r="W92" s="98" t="s">
        <v>141</v>
      </c>
      <c r="X92" s="98"/>
      <c r="Y92" s="98"/>
      <c r="Z92" s="98">
        <v>21429631</v>
      </c>
      <c r="AA92" s="98">
        <v>901268</v>
      </c>
      <c r="AB92" s="128">
        <v>0</v>
      </c>
      <c r="AC92" s="98">
        <v>23984635</v>
      </c>
      <c r="AD92" s="98">
        <v>0</v>
      </c>
      <c r="AE92" s="98"/>
      <c r="AF92" s="98">
        <f t="shared" si="69"/>
        <v>46315534</v>
      </c>
    </row>
    <row r="93" spans="8:32" x14ac:dyDescent="0.45">
      <c r="H93" s="229">
        <f t="shared" si="63"/>
        <v>0.21279431099999999</v>
      </c>
      <c r="I93" s="229">
        <f t="shared" si="64"/>
        <v>202.32369489999999</v>
      </c>
      <c r="J93" s="229">
        <f t="shared" si="65"/>
        <v>202.536489211</v>
      </c>
      <c r="K93" s="226" t="s">
        <v>63</v>
      </c>
      <c r="L93" s="599">
        <f>SUM(L81:L92)</f>
        <v>2127943.11</v>
      </c>
      <c r="M93" s="599">
        <f>SUM(M81:M92)</f>
        <v>140265605</v>
      </c>
      <c r="N93" s="599">
        <f>SUM(N81:N92)</f>
        <v>1882971344</v>
      </c>
      <c r="O93" s="599">
        <f>SUM(O81:O92)</f>
        <v>2025364892.1100001</v>
      </c>
      <c r="P93" s="600">
        <f>O93/10000000</f>
        <v>202.536489211</v>
      </c>
      <c r="Q93" s="600"/>
      <c r="R93" s="98"/>
      <c r="S93" s="98"/>
      <c r="T93" s="98"/>
      <c r="U93" s="98"/>
      <c r="V93" s="98"/>
      <c r="W93" s="98"/>
      <c r="X93" s="98">
        <f>SUM(X81:X92)</f>
        <v>0</v>
      </c>
      <c r="Y93" s="98"/>
      <c r="Z93" s="98">
        <f t="shared" ref="Z93:AF93" si="70">SUM(Z81:Z92)</f>
        <v>116535807</v>
      </c>
      <c r="AA93" s="98">
        <f t="shared" si="70"/>
        <v>3434582</v>
      </c>
      <c r="AB93" s="128">
        <f t="shared" si="70"/>
        <v>0</v>
      </c>
      <c r="AC93" s="98">
        <f t="shared" si="70"/>
        <v>109154428</v>
      </c>
      <c r="AD93" s="98">
        <f t="shared" si="70"/>
        <v>0</v>
      </c>
      <c r="AE93" s="98">
        <f t="shared" si="70"/>
        <v>0</v>
      </c>
      <c r="AF93" s="98">
        <f t="shared" si="70"/>
        <v>229124817</v>
      </c>
    </row>
    <row r="94" spans="8:32" x14ac:dyDescent="0.45">
      <c r="K94" s="98"/>
      <c r="L94" s="229">
        <f>L93/10000000</f>
        <v>0.21279431099999999</v>
      </c>
      <c r="M94" s="216">
        <f t="shared" ref="L94:O95" si="71">M92/100000</f>
        <v>5.11944</v>
      </c>
      <c r="N94" s="216">
        <f t="shared" si="71"/>
        <v>4605.7393400000001</v>
      </c>
      <c r="O94" s="216">
        <f t="shared" si="71"/>
        <v>4616.8593762999999</v>
      </c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226">
        <f>Z93+AA93</f>
        <v>119970389</v>
      </c>
      <c r="AA94" s="98"/>
      <c r="AB94" s="128"/>
      <c r="AC94" s="98"/>
      <c r="AD94" s="98"/>
      <c r="AE94" s="98"/>
      <c r="AF94" s="98"/>
    </row>
    <row r="95" spans="8:32" x14ac:dyDescent="0.45">
      <c r="K95" s="98"/>
      <c r="L95" s="216">
        <f t="shared" si="71"/>
        <v>21.2794311</v>
      </c>
      <c r="M95" s="216">
        <f t="shared" si="71"/>
        <v>1402.6560500000001</v>
      </c>
      <c r="N95" s="216">
        <f t="shared" si="71"/>
        <v>18829.71344</v>
      </c>
      <c r="O95" s="216">
        <f t="shared" si="71"/>
        <v>20253.648921100001</v>
      </c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128"/>
      <c r="AC95" s="98"/>
      <c r="AD95" s="98"/>
      <c r="AE95" s="98"/>
      <c r="AF95" s="98"/>
    </row>
    <row r="96" spans="8:32" x14ac:dyDescent="0.45">
      <c r="K96" s="98"/>
      <c r="L96" s="598" t="s">
        <v>432</v>
      </c>
      <c r="M96" s="598" t="s">
        <v>433</v>
      </c>
      <c r="N96" s="598" t="s">
        <v>434</v>
      </c>
      <c r="O96" s="98"/>
      <c r="P96" s="98"/>
      <c r="Q96" s="98"/>
      <c r="R96" s="98"/>
      <c r="S96" s="98"/>
      <c r="T96" s="98"/>
      <c r="U96" s="98"/>
      <c r="V96" s="2563" t="s">
        <v>811</v>
      </c>
      <c r="W96" s="2564"/>
      <c r="X96" s="2564"/>
      <c r="Y96" s="2564"/>
      <c r="Z96" s="2564"/>
      <c r="AA96" s="2565"/>
      <c r="AB96" s="128"/>
      <c r="AC96" s="98"/>
      <c r="AD96" s="98"/>
      <c r="AE96" s="98"/>
      <c r="AF96" s="98"/>
    </row>
    <row r="97" spans="7:40" x14ac:dyDescent="0.45">
      <c r="H97">
        <f>L97/100000</f>
        <v>0</v>
      </c>
      <c r="I97" s="229">
        <f>(M97+N97)/100000</f>
        <v>-2.1001599999999998</v>
      </c>
      <c r="J97" s="229">
        <f>H97+I97</f>
        <v>-2.1001599999999998</v>
      </c>
      <c r="K97" s="98" t="s">
        <v>131</v>
      </c>
      <c r="L97" s="598">
        <v>0</v>
      </c>
      <c r="M97" s="598">
        <v>0</v>
      </c>
      <c r="N97" s="598">
        <v>-210016</v>
      </c>
      <c r="O97" s="598">
        <f>SUM(L97:N97)</f>
        <v>-210016</v>
      </c>
      <c r="P97" s="598">
        <f>M97+N97</f>
        <v>-210016</v>
      </c>
      <c r="Q97" s="103"/>
      <c r="R97" s="103">
        <f>M97/1000000</f>
        <v>0</v>
      </c>
      <c r="S97" s="103">
        <f>N97/1000000</f>
        <v>-0.21001600000000001</v>
      </c>
      <c r="T97" s="98"/>
      <c r="U97" s="98"/>
      <c r="V97" s="226" t="s">
        <v>804</v>
      </c>
      <c r="W97" s="777" t="s">
        <v>83</v>
      </c>
      <c r="X97" s="777" t="s">
        <v>438</v>
      </c>
      <c r="Y97" s="777" t="s">
        <v>701</v>
      </c>
      <c r="Z97" s="777" t="s">
        <v>809</v>
      </c>
      <c r="AA97" s="777" t="s">
        <v>810</v>
      </c>
      <c r="AB97" s="98"/>
      <c r="AC97" s="128"/>
      <c r="AD97" s="98"/>
      <c r="AE97" s="98"/>
      <c r="AF97" s="98"/>
      <c r="AG97" s="98"/>
      <c r="AJ97"/>
      <c r="AN97" s="625"/>
    </row>
    <row r="98" spans="7:40" x14ac:dyDescent="0.45">
      <c r="H98" s="229">
        <f t="shared" ref="H98:H108" si="72">L98/100000</f>
        <v>0</v>
      </c>
      <c r="I98" s="229">
        <f t="shared" ref="I98:I109" si="73">(M98+N98)/100000</f>
        <v>-0.18717</v>
      </c>
      <c r="J98" s="229">
        <f t="shared" ref="J98:J109" si="74">H98+I98</f>
        <v>-0.18717</v>
      </c>
      <c r="K98" s="98" t="s">
        <v>132</v>
      </c>
      <c r="L98" s="598">
        <v>0</v>
      </c>
      <c r="M98" s="598">
        <v>181190</v>
      </c>
      <c r="N98" s="598">
        <v>-199907</v>
      </c>
      <c r="O98" s="98">
        <f t="shared" ref="O98:O108" si="75">SUM(L98:N98)</f>
        <v>-18717</v>
      </c>
      <c r="P98" s="598">
        <f t="shared" ref="P98:P108" si="76">M98+N98</f>
        <v>-18717</v>
      </c>
      <c r="Q98" s="103"/>
      <c r="R98" s="103">
        <f t="shared" ref="R98:R108" si="77">M98/1000000</f>
        <v>0.18118999999999999</v>
      </c>
      <c r="S98" s="103">
        <f t="shared" ref="S98:S108" si="78">N98/1000000</f>
        <v>-0.199907</v>
      </c>
      <c r="T98" s="98"/>
      <c r="U98" s="98"/>
      <c r="V98" s="98" t="s">
        <v>131</v>
      </c>
      <c r="W98" s="252">
        <v>20.4166666666667</v>
      </c>
      <c r="X98" s="252">
        <v>0.46282000000000001</v>
      </c>
      <c r="Y98" s="252">
        <f>V20/100000</f>
        <v>3.2181600000000001</v>
      </c>
      <c r="Z98" s="1002">
        <f>(Y98-W98)/W98*100</f>
        <v>-84.237583673469402</v>
      </c>
      <c r="AA98" s="1002">
        <f>(Y98-X98)/X98*100</f>
        <v>595.33728015211102</v>
      </c>
      <c r="AB98" s="98"/>
      <c r="AC98" s="128"/>
      <c r="AD98" s="98"/>
      <c r="AE98" s="98"/>
      <c r="AF98" s="98"/>
      <c r="AG98" s="98"/>
      <c r="AJ98"/>
      <c r="AN98" s="625"/>
    </row>
    <row r="99" spans="7:40" x14ac:dyDescent="0.45">
      <c r="H99" s="229">
        <f t="shared" si="72"/>
        <v>0</v>
      </c>
      <c r="I99" s="229">
        <f t="shared" si="73"/>
        <v>-0.77810000000000001</v>
      </c>
      <c r="J99" s="229">
        <f t="shared" si="74"/>
        <v>-0.77810000000000001</v>
      </c>
      <c r="K99" s="98" t="s">
        <v>133</v>
      </c>
      <c r="L99" s="598">
        <v>0</v>
      </c>
      <c r="M99" s="598">
        <v>1168</v>
      </c>
      <c r="N99" s="598">
        <v>-78978</v>
      </c>
      <c r="O99" s="98">
        <f t="shared" si="75"/>
        <v>-77810</v>
      </c>
      <c r="P99" s="598">
        <f t="shared" si="76"/>
        <v>-77810</v>
      </c>
      <c r="Q99" s="103"/>
      <c r="R99" s="103">
        <f t="shared" si="77"/>
        <v>1.168E-3</v>
      </c>
      <c r="S99" s="103">
        <f t="shared" si="78"/>
        <v>-7.8978000000000007E-2</v>
      </c>
      <c r="T99" s="98"/>
      <c r="U99" s="98"/>
      <c r="V99" s="98" t="s">
        <v>132</v>
      </c>
      <c r="W99" s="252">
        <v>20.416666666666668</v>
      </c>
      <c r="X99" s="252">
        <v>0</v>
      </c>
      <c r="Y99" s="252">
        <f t="shared" ref="Y99:Y107" si="79">V21/100000</f>
        <v>0</v>
      </c>
      <c r="Z99" s="1002" t="s">
        <v>221</v>
      </c>
      <c r="AA99" s="1002" t="s">
        <v>221</v>
      </c>
      <c r="AB99" s="98"/>
      <c r="AC99" s="128"/>
      <c r="AD99" s="98"/>
      <c r="AE99" s="98"/>
      <c r="AF99" s="98"/>
      <c r="AG99" s="98"/>
      <c r="AJ99"/>
      <c r="AN99" s="625"/>
    </row>
    <row r="100" spans="7:40" x14ac:dyDescent="0.45">
      <c r="H100" s="229">
        <f t="shared" si="72"/>
        <v>0</v>
      </c>
      <c r="I100" s="229">
        <f t="shared" si="73"/>
        <v>0.51163000000000003</v>
      </c>
      <c r="J100" s="229">
        <f t="shared" si="74"/>
        <v>0.51163000000000003</v>
      </c>
      <c r="K100" s="98" t="s">
        <v>51</v>
      </c>
      <c r="L100" s="598">
        <v>0</v>
      </c>
      <c r="M100" s="598">
        <v>0</v>
      </c>
      <c r="N100" s="598">
        <v>51163</v>
      </c>
      <c r="O100" s="98">
        <f t="shared" si="75"/>
        <v>51163</v>
      </c>
      <c r="P100" s="598">
        <f t="shared" si="76"/>
        <v>51163</v>
      </c>
      <c r="Q100" s="103"/>
      <c r="R100" s="103">
        <f t="shared" si="77"/>
        <v>0</v>
      </c>
      <c r="S100" s="103">
        <f t="shared" si="78"/>
        <v>5.1163E-2</v>
      </c>
      <c r="T100" s="98"/>
      <c r="U100" s="98"/>
      <c r="V100" s="98" t="s">
        <v>133</v>
      </c>
      <c r="W100" s="252">
        <v>20.416666666666668</v>
      </c>
      <c r="X100" s="252">
        <v>0.51776999999999995</v>
      </c>
      <c r="Y100" s="252">
        <f t="shared" si="79"/>
        <v>2.3478599999999998</v>
      </c>
      <c r="Z100" s="1002">
        <f t="shared" ref="Z100:Z107" si="80">(Y100-W100)/W100*100</f>
        <v>-88.500277551020403</v>
      </c>
      <c r="AA100" s="1002">
        <f t="shared" ref="AA100:AA110" si="81">(Y100-X100)/X100*100</f>
        <v>353.45616779651198</v>
      </c>
      <c r="AB100" s="98"/>
      <c r="AC100" s="128"/>
      <c r="AD100" s="98"/>
      <c r="AE100" s="98"/>
      <c r="AF100" s="98"/>
      <c r="AG100" s="98"/>
      <c r="AJ100"/>
      <c r="AN100" s="625"/>
    </row>
    <row r="101" spans="7:40" x14ac:dyDescent="0.45">
      <c r="G101">
        <v>31</v>
      </c>
      <c r="H101" s="229">
        <f t="shared" si="72"/>
        <v>8.5000000000000006E-3</v>
      </c>
      <c r="I101" s="229">
        <f t="shared" si="73"/>
        <v>0.85773999999999995</v>
      </c>
      <c r="J101" s="229">
        <f t="shared" si="74"/>
        <v>0.8662399999999999</v>
      </c>
      <c r="K101" s="98" t="s">
        <v>134</v>
      </c>
      <c r="L101" s="598">
        <v>850</v>
      </c>
      <c r="M101" s="598">
        <v>551</v>
      </c>
      <c r="N101" s="598">
        <v>85223</v>
      </c>
      <c r="O101" s="98">
        <f t="shared" si="75"/>
        <v>86624</v>
      </c>
      <c r="P101" s="598">
        <f t="shared" si="76"/>
        <v>85774</v>
      </c>
      <c r="Q101" s="103"/>
      <c r="R101" s="103">
        <f t="shared" si="77"/>
        <v>5.5099999999999995E-4</v>
      </c>
      <c r="S101" s="103">
        <f t="shared" si="78"/>
        <v>8.5222999999999993E-2</v>
      </c>
      <c r="T101" s="98"/>
      <c r="U101" s="98"/>
      <c r="V101" s="98" t="s">
        <v>51</v>
      </c>
      <c r="W101" s="252">
        <v>20.416666666666668</v>
      </c>
      <c r="X101" s="252">
        <v>5.0520000000000002E-2</v>
      </c>
      <c r="Y101" s="252">
        <f t="shared" si="79"/>
        <v>7.93384</v>
      </c>
      <c r="Z101" s="1002">
        <f t="shared" si="80"/>
        <v>-61.14037551020408</v>
      </c>
      <c r="AA101" s="1002">
        <f t="shared" si="81"/>
        <v>15604.354711005541</v>
      </c>
      <c r="AB101" s="98"/>
      <c r="AC101" s="128"/>
      <c r="AD101" s="98"/>
      <c r="AE101" s="98"/>
      <c r="AF101" s="98"/>
      <c r="AG101" s="98"/>
      <c r="AJ101"/>
      <c r="AN101" s="625"/>
    </row>
    <row r="102" spans="7:40" x14ac:dyDescent="0.45">
      <c r="G102">
        <v>30</v>
      </c>
      <c r="H102" s="229">
        <f t="shared" si="72"/>
        <v>2.35E-2</v>
      </c>
      <c r="I102" s="229">
        <f t="shared" si="73"/>
        <v>1.2947599999999999</v>
      </c>
      <c r="J102" s="229">
        <f t="shared" si="74"/>
        <v>1.31826</v>
      </c>
      <c r="K102" s="98" t="s">
        <v>135</v>
      </c>
      <c r="L102" s="598">
        <v>2350</v>
      </c>
      <c r="M102" s="598">
        <v>958</v>
      </c>
      <c r="N102" s="598">
        <v>128518</v>
      </c>
      <c r="O102" s="98">
        <f t="shared" si="75"/>
        <v>131826</v>
      </c>
      <c r="P102" s="598">
        <f t="shared" si="76"/>
        <v>129476</v>
      </c>
      <c r="Q102" s="103"/>
      <c r="R102" s="103">
        <f t="shared" si="77"/>
        <v>9.5799999999999998E-4</v>
      </c>
      <c r="S102" s="103">
        <f t="shared" si="78"/>
        <v>0.12851799999999999</v>
      </c>
      <c r="T102" s="98"/>
      <c r="U102" s="98"/>
      <c r="V102" s="98" t="s">
        <v>134</v>
      </c>
      <c r="W102" s="252">
        <v>20.416666666666668</v>
      </c>
      <c r="X102" s="252">
        <v>0.10359</v>
      </c>
      <c r="Y102" s="252">
        <f t="shared" si="79"/>
        <v>6.6659199999999998</v>
      </c>
      <c r="Z102" s="1002">
        <f t="shared" si="80"/>
        <v>-67.350595918367347</v>
      </c>
      <c r="AA102" s="1002">
        <f t="shared" si="81"/>
        <v>6334.9068442899888</v>
      </c>
      <c r="AB102" s="98"/>
      <c r="AC102" s="128"/>
      <c r="AD102" s="98"/>
      <c r="AE102" s="98"/>
      <c r="AF102" s="98"/>
      <c r="AG102" s="98"/>
      <c r="AJ102"/>
      <c r="AN102" s="625"/>
    </row>
    <row r="103" spans="7:40" x14ac:dyDescent="0.45">
      <c r="G103">
        <v>31</v>
      </c>
      <c r="H103" s="229">
        <f t="shared" si="72"/>
        <v>0.39476</v>
      </c>
      <c r="I103" s="229">
        <f t="shared" si="73"/>
        <v>2.8818899999999998</v>
      </c>
      <c r="J103" s="229">
        <f t="shared" si="74"/>
        <v>3.2766500000000001</v>
      </c>
      <c r="K103" s="98" t="s">
        <v>136</v>
      </c>
      <c r="L103" s="598">
        <v>39476</v>
      </c>
      <c r="M103" s="598">
        <v>1558</v>
      </c>
      <c r="N103" s="598">
        <v>286631</v>
      </c>
      <c r="O103" s="98">
        <f t="shared" si="75"/>
        <v>327665</v>
      </c>
      <c r="P103" s="598">
        <f t="shared" si="76"/>
        <v>288189</v>
      </c>
      <c r="Q103" s="103"/>
      <c r="R103" s="103">
        <f t="shared" si="77"/>
        <v>1.5579999999999999E-3</v>
      </c>
      <c r="S103" s="103">
        <f t="shared" si="78"/>
        <v>0.28663100000000002</v>
      </c>
      <c r="T103" s="98"/>
      <c r="U103" s="98"/>
      <c r="V103" s="98" t="s">
        <v>135</v>
      </c>
      <c r="W103" s="252">
        <v>20.416666666666668</v>
      </c>
      <c r="X103" s="252">
        <v>14.8177</v>
      </c>
      <c r="Y103" s="252">
        <f t="shared" si="79"/>
        <v>48.194070000000004</v>
      </c>
      <c r="Z103" s="1002">
        <f t="shared" si="80"/>
        <v>136.05258775510205</v>
      </c>
      <c r="AA103" s="1002">
        <f t="shared" si="81"/>
        <v>225.24663071866752</v>
      </c>
      <c r="AB103" s="98"/>
      <c r="AC103" s="128"/>
      <c r="AD103" s="98"/>
      <c r="AE103" s="98"/>
      <c r="AF103" s="98"/>
      <c r="AG103" s="98"/>
      <c r="AJ103"/>
      <c r="AN103" s="625"/>
    </row>
    <row r="104" spans="7:40" x14ac:dyDescent="0.45">
      <c r="G104">
        <v>30</v>
      </c>
      <c r="H104" s="229">
        <f t="shared" si="72"/>
        <v>0.31079000000000001</v>
      </c>
      <c r="I104" s="229">
        <f t="shared" si="73"/>
        <v>3.6680199999999998</v>
      </c>
      <c r="J104" s="229">
        <f t="shared" si="74"/>
        <v>3.9788099999999997</v>
      </c>
      <c r="K104" s="98" t="s">
        <v>137</v>
      </c>
      <c r="L104" s="598">
        <v>31079</v>
      </c>
      <c r="M104" s="598">
        <v>104</v>
      </c>
      <c r="N104" s="598">
        <v>366698</v>
      </c>
      <c r="O104" s="98">
        <f t="shared" si="75"/>
        <v>397881</v>
      </c>
      <c r="P104" s="598">
        <f t="shared" si="76"/>
        <v>366802</v>
      </c>
      <c r="Q104" s="103"/>
      <c r="R104" s="103">
        <f t="shared" si="77"/>
        <v>1.0399999999999999E-4</v>
      </c>
      <c r="S104" s="103">
        <f t="shared" si="78"/>
        <v>0.36669800000000002</v>
      </c>
      <c r="T104" s="98"/>
      <c r="U104" s="98"/>
      <c r="V104" s="98" t="s">
        <v>136</v>
      </c>
      <c r="W104" s="252">
        <v>20.416666666666668</v>
      </c>
      <c r="X104" s="252">
        <v>0</v>
      </c>
      <c r="Y104" s="252">
        <f t="shared" si="79"/>
        <v>12.035970000000001</v>
      </c>
      <c r="Z104" s="1002">
        <f t="shared" si="80"/>
        <v>-41.048310204081631</v>
      </c>
      <c r="AA104" s="1002" t="s">
        <v>221</v>
      </c>
      <c r="AB104" s="98"/>
      <c r="AC104" s="128"/>
      <c r="AD104" s="98"/>
      <c r="AE104" s="98"/>
      <c r="AF104" s="98"/>
      <c r="AG104" s="98"/>
      <c r="AJ104"/>
      <c r="AN104" s="625"/>
    </row>
    <row r="105" spans="7:40" x14ac:dyDescent="0.45">
      <c r="G105">
        <v>31</v>
      </c>
      <c r="H105" s="229">
        <f t="shared" si="72"/>
        <v>0.42096</v>
      </c>
      <c r="I105" s="229">
        <f t="shared" si="73"/>
        <v>5.4597600000000002</v>
      </c>
      <c r="J105" s="229">
        <f t="shared" si="74"/>
        <v>5.8807200000000002</v>
      </c>
      <c r="K105" s="98" t="s">
        <v>138</v>
      </c>
      <c r="L105" s="598">
        <v>42096</v>
      </c>
      <c r="M105" s="598">
        <v>119</v>
      </c>
      <c r="N105" s="598">
        <v>545857</v>
      </c>
      <c r="O105" s="98">
        <f t="shared" si="75"/>
        <v>588072</v>
      </c>
      <c r="P105" s="598">
        <f t="shared" si="76"/>
        <v>545976</v>
      </c>
      <c r="Q105" s="103"/>
      <c r="R105" s="103">
        <f t="shared" si="77"/>
        <v>1.1900000000000001E-4</v>
      </c>
      <c r="S105" s="103">
        <f t="shared" si="78"/>
        <v>0.54585700000000004</v>
      </c>
      <c r="T105" s="98"/>
      <c r="U105" s="98"/>
      <c r="V105" s="98" t="s">
        <v>137</v>
      </c>
      <c r="W105" s="252">
        <v>20.416666666666668</v>
      </c>
      <c r="X105" s="252">
        <v>4.3757999999999999</v>
      </c>
      <c r="Y105" s="252">
        <f t="shared" si="79"/>
        <v>44.54316</v>
      </c>
      <c r="Z105" s="1002">
        <f t="shared" si="80"/>
        <v>118.17057959183673</v>
      </c>
      <c r="AA105" s="1002">
        <f t="shared" si="81"/>
        <v>917.94323323735102</v>
      </c>
      <c r="AB105" s="98"/>
      <c r="AC105" s="128"/>
      <c r="AD105" s="98"/>
      <c r="AE105" s="98"/>
      <c r="AF105" s="98"/>
      <c r="AG105" s="98"/>
      <c r="AJ105"/>
      <c r="AN105" s="625"/>
    </row>
    <row r="106" spans="7:40" x14ac:dyDescent="0.45">
      <c r="G106">
        <v>31</v>
      </c>
      <c r="H106" s="229">
        <f t="shared" si="72"/>
        <v>1.16926</v>
      </c>
      <c r="I106" s="229">
        <f t="shared" si="73"/>
        <v>7.61625</v>
      </c>
      <c r="J106" s="229">
        <f t="shared" si="74"/>
        <v>8.7855100000000004</v>
      </c>
      <c r="K106" s="98" t="s">
        <v>139</v>
      </c>
      <c r="L106" s="598">
        <v>116926</v>
      </c>
      <c r="M106" s="598">
        <v>13610</v>
      </c>
      <c r="N106" s="598">
        <v>748015</v>
      </c>
      <c r="O106" s="98">
        <f t="shared" si="75"/>
        <v>878551</v>
      </c>
      <c r="P106" s="598">
        <f t="shared" si="76"/>
        <v>761625</v>
      </c>
      <c r="Q106" s="103"/>
      <c r="R106" s="103">
        <f t="shared" si="77"/>
        <v>1.3610000000000001E-2</v>
      </c>
      <c r="S106" s="103">
        <f t="shared" si="78"/>
        <v>0.74801499999999999</v>
      </c>
      <c r="T106" s="98"/>
      <c r="U106" s="98"/>
      <c r="V106" s="98" t="s">
        <v>138</v>
      </c>
      <c r="W106" s="252">
        <v>20.416666666666668</v>
      </c>
      <c r="X106" s="252">
        <v>2.5342099999999999</v>
      </c>
      <c r="Y106" s="252">
        <f t="shared" si="79"/>
        <v>26.688269999999999</v>
      </c>
      <c r="Z106" s="1002">
        <f t="shared" si="80"/>
        <v>30.718057142857131</v>
      </c>
      <c r="AA106" s="1002">
        <f t="shared" si="81"/>
        <v>953.1199071900121</v>
      </c>
      <c r="AB106" s="98"/>
      <c r="AC106" s="128"/>
      <c r="AD106" s="98"/>
      <c r="AE106" s="98"/>
      <c r="AF106" s="98"/>
      <c r="AG106" s="98"/>
      <c r="AJ106"/>
      <c r="AN106" s="625"/>
    </row>
    <row r="107" spans="7:40" x14ac:dyDescent="0.45">
      <c r="G107">
        <v>28</v>
      </c>
      <c r="H107" s="229">
        <f t="shared" si="72"/>
        <v>0.93120999999999998</v>
      </c>
      <c r="I107" s="229">
        <f t="shared" si="73"/>
        <v>7.2160900000000003</v>
      </c>
      <c r="J107" s="229">
        <f t="shared" si="74"/>
        <v>8.1472999999999995</v>
      </c>
      <c r="K107" s="98" t="s">
        <v>140</v>
      </c>
      <c r="L107" s="598">
        <v>93121</v>
      </c>
      <c r="M107" s="598">
        <v>12258</v>
      </c>
      <c r="N107" s="598">
        <v>709351</v>
      </c>
      <c r="O107" s="98">
        <f t="shared" si="75"/>
        <v>814730</v>
      </c>
      <c r="P107" s="598">
        <f t="shared" si="76"/>
        <v>721609</v>
      </c>
      <c r="Q107" s="103"/>
      <c r="R107" s="103">
        <f t="shared" si="77"/>
        <v>1.2258E-2</v>
      </c>
      <c r="S107" s="103">
        <f t="shared" si="78"/>
        <v>0.70935099999999995</v>
      </c>
      <c r="T107" s="98"/>
      <c r="U107" s="98"/>
      <c r="V107" s="98" t="s">
        <v>139</v>
      </c>
      <c r="W107" s="252">
        <v>20.416666666666668</v>
      </c>
      <c r="X107" s="252">
        <v>0.59694999999999998</v>
      </c>
      <c r="Y107" s="252">
        <f t="shared" si="79"/>
        <v>9.76511</v>
      </c>
      <c r="Z107" s="1002">
        <f t="shared" si="80"/>
        <v>-52.17088979591837</v>
      </c>
      <c r="AA107" s="1002">
        <f t="shared" si="81"/>
        <v>1535.8338219281347</v>
      </c>
      <c r="AB107" s="98"/>
      <c r="AC107" s="128"/>
      <c r="AD107" s="98"/>
      <c r="AE107" s="98"/>
      <c r="AF107" s="98"/>
      <c r="AG107" s="98"/>
      <c r="AJ107"/>
      <c r="AN107" s="625"/>
    </row>
    <row r="108" spans="7:40" x14ac:dyDescent="0.45">
      <c r="G108">
        <v>31</v>
      </c>
      <c r="H108" s="229">
        <f t="shared" si="72"/>
        <v>1.43418</v>
      </c>
      <c r="I108" s="229">
        <f t="shared" si="73"/>
        <v>7.64907</v>
      </c>
      <c r="J108" s="229">
        <f t="shared" si="74"/>
        <v>9.0832499999999996</v>
      </c>
      <c r="K108" s="98" t="s">
        <v>141</v>
      </c>
      <c r="L108" s="598">
        <v>143418</v>
      </c>
      <c r="M108" s="598">
        <v>49576</v>
      </c>
      <c r="N108" s="519">
        <v>715331</v>
      </c>
      <c r="O108" s="98">
        <f t="shared" si="75"/>
        <v>908325</v>
      </c>
      <c r="P108" s="598">
        <f t="shared" si="76"/>
        <v>764907</v>
      </c>
      <c r="Q108" s="103"/>
      <c r="R108" s="103">
        <f t="shared" si="77"/>
        <v>4.9576000000000002E-2</v>
      </c>
      <c r="S108" s="103">
        <f t="shared" si="78"/>
        <v>0.71533100000000005</v>
      </c>
      <c r="T108" s="98"/>
      <c r="U108" s="98"/>
      <c r="V108" s="98" t="s">
        <v>140</v>
      </c>
      <c r="W108" s="252">
        <v>20.416666666666668</v>
      </c>
      <c r="X108" s="252">
        <v>9.5619999999999997E-2</v>
      </c>
      <c r="Y108" s="252">
        <f>1502044/100000</f>
        <v>15.020440000000001</v>
      </c>
      <c r="Z108" s="1002" t="s">
        <v>221</v>
      </c>
      <c r="AA108" s="1002" t="s">
        <v>221</v>
      </c>
      <c r="AB108" s="98"/>
      <c r="AC108" s="128"/>
      <c r="AD108" s="98"/>
      <c r="AE108" s="98"/>
      <c r="AF108" s="98"/>
      <c r="AG108" s="98"/>
      <c r="AJ108"/>
      <c r="AN108" s="625"/>
    </row>
    <row r="109" spans="7:40" x14ac:dyDescent="0.45">
      <c r="H109" s="229">
        <f>SUM(H97:H108)</f>
        <v>4.6931600000000007</v>
      </c>
      <c r="I109" s="229">
        <f t="shared" si="73"/>
        <v>34.089779999999998</v>
      </c>
      <c r="J109" s="229">
        <f t="shared" si="74"/>
        <v>38.782939999999996</v>
      </c>
      <c r="K109" s="226" t="s">
        <v>63</v>
      </c>
      <c r="L109" s="599">
        <f>SUM(L97:L108)</f>
        <v>469316</v>
      </c>
      <c r="M109" s="599">
        <f>SUM(M97:M108)</f>
        <v>261092</v>
      </c>
      <c r="N109" s="599">
        <f>SUM(N97:N108)</f>
        <v>3147886</v>
      </c>
      <c r="O109" s="599">
        <f>SUM(L109:N109)</f>
        <v>3878294</v>
      </c>
      <c r="P109" s="98"/>
      <c r="Q109" s="98"/>
      <c r="R109" s="98"/>
      <c r="S109" s="98"/>
      <c r="T109" s="98"/>
      <c r="U109" s="98"/>
      <c r="V109" s="98" t="s">
        <v>141</v>
      </c>
      <c r="W109" s="252">
        <v>20.416666666666668</v>
      </c>
      <c r="X109" s="252">
        <v>0</v>
      </c>
      <c r="Y109" s="252"/>
      <c r="Z109" s="1002" t="s">
        <v>221</v>
      </c>
      <c r="AA109" s="1002" t="s">
        <v>221</v>
      </c>
      <c r="AB109" s="98"/>
      <c r="AC109" s="128"/>
      <c r="AD109" s="98"/>
      <c r="AE109" s="98"/>
      <c r="AF109" s="98"/>
      <c r="AG109" s="98"/>
      <c r="AJ109"/>
      <c r="AN109" s="625"/>
    </row>
    <row r="110" spans="7:40" ht="15.75" x14ac:dyDescent="0.5">
      <c r="K110" s="98"/>
      <c r="L110" s="216">
        <f>L109/243</f>
        <v>1931.3415637860082</v>
      </c>
      <c r="M110" s="216">
        <f t="shared" ref="L110:O111" si="82">M108/100000</f>
        <v>0.49575999999999998</v>
      </c>
      <c r="N110" s="216">
        <f t="shared" si="82"/>
        <v>7.1533100000000003</v>
      </c>
      <c r="O110" s="216">
        <f t="shared" si="82"/>
        <v>9.0832499999999996</v>
      </c>
      <c r="P110" s="98"/>
      <c r="Q110" s="98"/>
      <c r="R110" s="98"/>
      <c r="S110" s="98"/>
      <c r="T110" s="98"/>
      <c r="U110" s="98"/>
      <c r="V110" s="98" t="s">
        <v>206</v>
      </c>
      <c r="W110" s="252">
        <f>SUM(W98:W107)</f>
        <v>204.16666666666669</v>
      </c>
      <c r="X110" s="252">
        <f>SUM(X98:X107)</f>
        <v>23.459360000000004</v>
      </c>
      <c r="Y110" s="252">
        <f>SUM(Y98:Y108)</f>
        <v>176.4128</v>
      </c>
      <c r="Z110" s="1305">
        <f>(Y110-W110)/W110*100</f>
        <v>-13.593730612244903</v>
      </c>
      <c r="AA110" s="1002">
        <f t="shared" si="81"/>
        <v>651.99323425702994</v>
      </c>
      <c r="AB110" s="98"/>
      <c r="AC110" s="128"/>
      <c r="AD110" s="98"/>
      <c r="AE110" s="98"/>
      <c r="AF110" s="98"/>
      <c r="AG110" s="98"/>
      <c r="AJ110"/>
      <c r="AN110" s="625"/>
    </row>
    <row r="111" spans="7:40" x14ac:dyDescent="0.45">
      <c r="K111" s="98"/>
      <c r="L111" s="216">
        <f t="shared" si="82"/>
        <v>4.6931599999999998</v>
      </c>
      <c r="M111" s="216">
        <f t="shared" si="82"/>
        <v>2.6109200000000001</v>
      </c>
      <c r="N111" s="216">
        <f t="shared" si="82"/>
        <v>31.478860000000001</v>
      </c>
      <c r="O111" s="216">
        <f t="shared" si="82"/>
        <v>38.782940000000004</v>
      </c>
      <c r="P111" s="98"/>
      <c r="Q111" s="98"/>
      <c r="R111" s="98"/>
      <c r="S111" s="98"/>
      <c r="T111" s="98"/>
      <c r="U111" s="98"/>
      <c r="V111" s="98" t="s">
        <v>240</v>
      </c>
      <c r="W111" s="1296">
        <f>SUM(W98:W109)</f>
        <v>245</v>
      </c>
      <c r="X111" s="252">
        <f>SUM(X98:X109)</f>
        <v>23.554980000000004</v>
      </c>
      <c r="Y111" s="122" t="s">
        <v>221</v>
      </c>
      <c r="Z111" s="122"/>
      <c r="AA111" s="122"/>
      <c r="AB111" s="128"/>
      <c r="AC111" s="98"/>
      <c r="AD111" s="98"/>
      <c r="AE111" s="98"/>
      <c r="AF111" s="98"/>
    </row>
    <row r="112" spans="7:40" ht="15.75" x14ac:dyDescent="0.5">
      <c r="L112" s="229"/>
      <c r="M112" s="229"/>
      <c r="N112" s="229"/>
      <c r="O112" s="229"/>
      <c r="V112" s="98" t="s">
        <v>499</v>
      </c>
      <c r="W112" s="122">
        <v>245</v>
      </c>
      <c r="X112" s="122"/>
      <c r="Y112" s="1304">
        <f>W111-Y110</f>
        <v>68.587199999999996</v>
      </c>
      <c r="Z112" s="122"/>
      <c r="AA112" s="122"/>
    </row>
    <row r="116" spans="11:27" x14ac:dyDescent="0.45">
      <c r="K116" s="2561" t="s">
        <v>978</v>
      </c>
      <c r="L116" s="2562"/>
      <c r="M116" s="2562"/>
      <c r="N116" s="2562"/>
      <c r="O116" s="2562"/>
      <c r="P116" s="2566"/>
      <c r="S116" s="2542" t="s">
        <v>371</v>
      </c>
      <c r="T116" s="2542"/>
      <c r="U116" s="2542"/>
      <c r="V116" s="2542"/>
      <c r="W116" s="2542"/>
      <c r="X116" s="2542"/>
      <c r="Y116" s="2542"/>
      <c r="Z116" s="2542"/>
      <c r="AA116" s="2542"/>
    </row>
    <row r="117" spans="11:27" x14ac:dyDescent="0.45">
      <c r="K117" s="2536" t="s">
        <v>278</v>
      </c>
      <c r="L117" s="2537"/>
      <c r="M117" s="2537"/>
      <c r="N117" s="2537"/>
      <c r="O117" s="2537"/>
      <c r="P117" s="2538"/>
      <c r="S117" s="226" t="s">
        <v>127</v>
      </c>
      <c r="T117" s="226" t="s">
        <v>443</v>
      </c>
      <c r="U117" s="777" t="s">
        <v>436</v>
      </c>
      <c r="V117" s="777" t="s">
        <v>124</v>
      </c>
      <c r="W117" s="777" t="s">
        <v>125</v>
      </c>
      <c r="X117" s="777" t="s">
        <v>123</v>
      </c>
      <c r="Y117" s="777" t="s">
        <v>196</v>
      </c>
      <c r="Z117" s="777" t="s">
        <v>275</v>
      </c>
      <c r="AA117" s="226" t="s">
        <v>63</v>
      </c>
    </row>
    <row r="118" spans="11:27" x14ac:dyDescent="0.45">
      <c r="K118" s="98"/>
      <c r="L118" s="598" t="s">
        <v>432</v>
      </c>
      <c r="M118" s="598" t="s">
        <v>433</v>
      </c>
      <c r="N118" s="598" t="s">
        <v>434</v>
      </c>
      <c r="O118" s="98" t="s">
        <v>63</v>
      </c>
      <c r="P118" s="98" t="s">
        <v>440</v>
      </c>
      <c r="S118" s="98" t="s">
        <v>131</v>
      </c>
      <c r="T118" s="911"/>
      <c r="U118" s="98"/>
      <c r="V118" s="98"/>
      <c r="W118" s="98"/>
      <c r="X118" s="98"/>
      <c r="Y118" s="98">
        <v>2959660</v>
      </c>
      <c r="Z118" s="98"/>
      <c r="AA118" s="98">
        <f>SUM(T118:Z118)</f>
        <v>2959660</v>
      </c>
    </row>
    <row r="119" spans="11:27" x14ac:dyDescent="0.45">
      <c r="K119" s="98" t="s">
        <v>131</v>
      </c>
      <c r="L119" s="598">
        <v>15089433</v>
      </c>
      <c r="M119" s="598">
        <v>194736306</v>
      </c>
      <c r="N119" s="598"/>
      <c r="O119" s="598">
        <f>SUM(L119:N119)</f>
        <v>209825739</v>
      </c>
      <c r="P119" s="103">
        <f>O119/10000000</f>
        <v>20.982573899999998</v>
      </c>
      <c r="S119" s="98" t="s">
        <v>132</v>
      </c>
      <c r="T119" s="660"/>
      <c r="U119" s="98"/>
      <c r="V119" s="98"/>
      <c r="W119" s="98"/>
      <c r="X119" s="98"/>
      <c r="Y119" s="98">
        <v>3213050</v>
      </c>
      <c r="Z119" s="98"/>
      <c r="AA119" s="98">
        <f t="shared" ref="AA119:AA129" si="83">SUM(T119:Z119)</f>
        <v>3213050</v>
      </c>
    </row>
    <row r="120" spans="11:27" x14ac:dyDescent="0.45">
      <c r="K120" s="98" t="s">
        <v>132</v>
      </c>
      <c r="L120" s="598">
        <v>16306851</v>
      </c>
      <c r="M120" s="598">
        <v>202592921</v>
      </c>
      <c r="N120" s="660"/>
      <c r="O120" s="598">
        <f t="shared" ref="O120" si="84">SUM(L120:N120)</f>
        <v>218899772</v>
      </c>
      <c r="P120" s="103">
        <f t="shared" ref="P120:P130" si="85">O120/10000000</f>
        <v>21.889977200000001</v>
      </c>
      <c r="S120" s="98" t="s">
        <v>133</v>
      </c>
      <c r="T120" s="1125"/>
      <c r="U120" s="98"/>
      <c r="V120" s="98"/>
      <c r="W120" s="98"/>
      <c r="X120" s="98"/>
      <c r="Y120" s="98">
        <v>2923510</v>
      </c>
      <c r="Z120" s="98"/>
      <c r="AA120" s="98">
        <f t="shared" si="83"/>
        <v>2923510</v>
      </c>
    </row>
    <row r="121" spans="11:27" x14ac:dyDescent="0.45">
      <c r="K121" s="98" t="s">
        <v>133</v>
      </c>
      <c r="L121" s="598">
        <v>17128531</v>
      </c>
      <c r="M121" s="598">
        <v>176523332</v>
      </c>
      <c r="N121" s="598"/>
      <c r="O121" s="598">
        <f>SUM(L121:N121)</f>
        <v>193651863</v>
      </c>
      <c r="P121" s="103">
        <f t="shared" si="85"/>
        <v>19.365186300000001</v>
      </c>
      <c r="S121" s="98" t="s">
        <v>51</v>
      </c>
      <c r="T121" s="98"/>
      <c r="U121" s="98"/>
      <c r="V121" s="98"/>
      <c r="W121" s="98"/>
      <c r="X121" s="98"/>
      <c r="Y121" s="98">
        <v>2387300</v>
      </c>
      <c r="Z121" s="98"/>
      <c r="AA121" s="98">
        <f t="shared" si="83"/>
        <v>2387300</v>
      </c>
    </row>
    <row r="122" spans="11:27" x14ac:dyDescent="0.45">
      <c r="K122" s="98" t="s">
        <v>51</v>
      </c>
      <c r="L122" s="598">
        <v>19454165</v>
      </c>
      <c r="M122" s="598">
        <v>146565497</v>
      </c>
      <c r="N122" s="598"/>
      <c r="O122" s="98">
        <f t="shared" ref="O122" si="86">SUM(L122:N122)</f>
        <v>166019662</v>
      </c>
      <c r="P122" s="103">
        <f t="shared" si="85"/>
        <v>16.6019662</v>
      </c>
      <c r="S122" s="98" t="s">
        <v>134</v>
      </c>
      <c r="T122" s="98"/>
      <c r="U122" s="98"/>
      <c r="V122" s="98"/>
      <c r="W122" s="98"/>
      <c r="X122" s="98"/>
      <c r="Y122" s="98">
        <v>2153250</v>
      </c>
      <c r="Z122" s="98"/>
      <c r="AA122" s="98">
        <f t="shared" si="83"/>
        <v>2153250</v>
      </c>
    </row>
    <row r="123" spans="11:27" x14ac:dyDescent="0.45">
      <c r="K123" s="98" t="s">
        <v>134</v>
      </c>
      <c r="L123" s="598">
        <v>17395030</v>
      </c>
      <c r="M123" s="598">
        <v>125250921</v>
      </c>
      <c r="N123" s="598"/>
      <c r="O123" s="598">
        <f>SUM(L123:N123)</f>
        <v>142645951</v>
      </c>
      <c r="P123" s="103">
        <f t="shared" si="85"/>
        <v>14.264595099999999</v>
      </c>
      <c r="S123" s="98" t="s">
        <v>135</v>
      </c>
      <c r="T123" s="969"/>
      <c r="U123" s="98"/>
      <c r="V123" s="98"/>
      <c r="W123" s="98"/>
      <c r="X123" s="98"/>
      <c r="Y123" s="98">
        <v>1326800</v>
      </c>
      <c r="Z123" s="98"/>
      <c r="AA123" s="98">
        <f t="shared" si="83"/>
        <v>1326800</v>
      </c>
    </row>
    <row r="124" spans="11:27" ht="15" x14ac:dyDescent="0.55000000000000004">
      <c r="K124" s="98" t="s">
        <v>135</v>
      </c>
      <c r="L124" s="598">
        <v>17007118</v>
      </c>
      <c r="M124" s="598">
        <v>143300408</v>
      </c>
      <c r="N124" s="598"/>
      <c r="O124" s="98">
        <f t="shared" ref="O124:O130" si="87">SUM(L124:N124)</f>
        <v>160307526</v>
      </c>
      <c r="P124" s="103">
        <f t="shared" si="85"/>
        <v>16.0307526</v>
      </c>
      <c r="S124" s="98" t="s">
        <v>136</v>
      </c>
      <c r="T124" s="1131"/>
      <c r="U124" s="98"/>
      <c r="V124" s="98"/>
      <c r="W124" s="98"/>
      <c r="X124" s="850"/>
      <c r="Y124" s="98">
        <v>634190</v>
      </c>
      <c r="Z124" s="98"/>
      <c r="AA124" s="98">
        <f t="shared" si="83"/>
        <v>634190</v>
      </c>
    </row>
    <row r="125" spans="11:27" x14ac:dyDescent="0.45">
      <c r="K125" s="98" t="s">
        <v>136</v>
      </c>
      <c r="L125" s="598">
        <v>15790291</v>
      </c>
      <c r="M125" s="598">
        <v>184414551</v>
      </c>
      <c r="N125" s="598"/>
      <c r="O125" s="98">
        <f t="shared" si="87"/>
        <v>200204842</v>
      </c>
      <c r="P125" s="103">
        <f t="shared" si="85"/>
        <v>20.020484199999999</v>
      </c>
      <c r="S125" s="98" t="s">
        <v>137</v>
      </c>
      <c r="T125" s="98"/>
      <c r="U125" s="98"/>
      <c r="V125" s="98"/>
      <c r="W125" s="98"/>
      <c r="X125" s="98"/>
      <c r="Y125" s="98">
        <v>677120</v>
      </c>
      <c r="Z125" s="98"/>
      <c r="AA125" s="98">
        <f t="shared" si="83"/>
        <v>677120</v>
      </c>
    </row>
    <row r="126" spans="11:27" ht="15" x14ac:dyDescent="0.55000000000000004">
      <c r="K126" s="98" t="s">
        <v>137</v>
      </c>
      <c r="L126" s="598">
        <v>16748616</v>
      </c>
      <c r="M126" s="598">
        <v>164553976</v>
      </c>
      <c r="N126" s="598"/>
      <c r="O126" s="98">
        <f t="shared" si="87"/>
        <v>181302592</v>
      </c>
      <c r="P126" s="103">
        <f t="shared" si="85"/>
        <v>18.130259200000001</v>
      </c>
      <c r="S126" s="98" t="s">
        <v>138</v>
      </c>
      <c r="T126" s="1254"/>
      <c r="U126" s="802"/>
      <c r="V126" s="98"/>
      <c r="W126" s="98"/>
      <c r="X126" s="98"/>
      <c r="Y126" s="98">
        <v>634030</v>
      </c>
      <c r="Z126" s="98"/>
      <c r="AA126" s="98">
        <f t="shared" si="83"/>
        <v>634030</v>
      </c>
    </row>
    <row r="127" spans="11:27" x14ac:dyDescent="0.45">
      <c r="K127" s="98" t="s">
        <v>138</v>
      </c>
      <c r="L127" s="598">
        <v>17778699</v>
      </c>
      <c r="M127" s="598">
        <v>162738681</v>
      </c>
      <c r="N127" s="598"/>
      <c r="O127" s="98">
        <f t="shared" si="87"/>
        <v>180517380</v>
      </c>
      <c r="P127" s="103">
        <f t="shared" si="85"/>
        <v>18.051738</v>
      </c>
      <c r="S127" s="98" t="s">
        <v>139</v>
      </c>
      <c r="T127" s="1317"/>
      <c r="U127" s="802"/>
      <c r="V127" s="98"/>
      <c r="W127" s="98"/>
      <c r="X127" s="98"/>
      <c r="Y127" s="98">
        <v>624950</v>
      </c>
      <c r="Z127" s="98"/>
      <c r="AA127" s="98">
        <f t="shared" si="83"/>
        <v>624950</v>
      </c>
    </row>
    <row r="128" spans="11:27" x14ac:dyDescent="0.45">
      <c r="K128" s="98" t="s">
        <v>139</v>
      </c>
      <c r="L128" s="598">
        <v>17109408</v>
      </c>
      <c r="M128" s="598">
        <v>164393410</v>
      </c>
      <c r="N128" s="598"/>
      <c r="O128" s="98">
        <f t="shared" si="87"/>
        <v>181502818</v>
      </c>
      <c r="P128" s="103">
        <f t="shared" si="85"/>
        <v>18.150281799999998</v>
      </c>
      <c r="S128" s="98" t="s">
        <v>140</v>
      </c>
      <c r="T128" s="696"/>
      <c r="U128" s="98"/>
      <c r="V128" s="98"/>
      <c r="W128" s="98"/>
      <c r="X128" s="778"/>
      <c r="Y128" s="98">
        <v>615990</v>
      </c>
      <c r="Z128" s="969"/>
      <c r="AA128" s="98">
        <f t="shared" si="83"/>
        <v>615990</v>
      </c>
    </row>
    <row r="129" spans="11:27" x14ac:dyDescent="0.45">
      <c r="K129" s="98" t="s">
        <v>140</v>
      </c>
      <c r="L129" s="598">
        <v>15696265</v>
      </c>
      <c r="M129" s="598">
        <v>165259930</v>
      </c>
      <c r="N129" s="598"/>
      <c r="O129" s="598">
        <f t="shared" si="87"/>
        <v>180956195</v>
      </c>
      <c r="P129" s="103">
        <f t="shared" si="85"/>
        <v>18.095619500000002</v>
      </c>
      <c r="S129" s="98" t="s">
        <v>141</v>
      </c>
      <c r="T129" s="98"/>
      <c r="U129" s="98"/>
      <c r="V129" s="98"/>
      <c r="W129" s="98"/>
      <c r="X129" s="98"/>
      <c r="Y129" s="98">
        <v>385940</v>
      </c>
      <c r="Z129" s="98"/>
      <c r="AA129" s="98">
        <f t="shared" si="83"/>
        <v>385940</v>
      </c>
    </row>
    <row r="130" spans="11:27" x14ac:dyDescent="0.45">
      <c r="K130" s="98" t="s">
        <v>141</v>
      </c>
      <c r="L130" s="598">
        <v>9362563</v>
      </c>
      <c r="M130" s="598">
        <v>131039197</v>
      </c>
      <c r="N130" s="598"/>
      <c r="O130" s="98">
        <f t="shared" si="87"/>
        <v>140401760</v>
      </c>
      <c r="P130" s="103">
        <f t="shared" si="85"/>
        <v>14.040176000000001</v>
      </c>
      <c r="S130" s="226" t="s">
        <v>63</v>
      </c>
      <c r="T130" s="599">
        <f>T118+T119+T120+T121+T122+T123+T124+T125+T126+T127+T128+T129</f>
        <v>0</v>
      </c>
      <c r="U130" s="599">
        <f t="shared" ref="U130" si="88">U118+U119+U120+U121+U122+U123+U124+U125+U126+U127+U128+U129</f>
        <v>0</v>
      </c>
      <c r="V130" s="599">
        <f>V118+V119+V120+V121+V122+V123+V124+V125+V126+V127+V128+V129</f>
        <v>0</v>
      </c>
      <c r="W130" s="599">
        <f>W118+W119+W120+W121+W122+W123+W124+W125+W126+W127+W128+W129</f>
        <v>0</v>
      </c>
      <c r="X130" s="599">
        <f t="shared" ref="X130:AA130" si="89">X118+X119+X120+X121+X122+X123+X124+X125+X126+X127+X128+X129</f>
        <v>0</v>
      </c>
      <c r="Y130" s="599">
        <f t="shared" si="89"/>
        <v>18535790</v>
      </c>
      <c r="Z130" s="599">
        <f t="shared" si="89"/>
        <v>0</v>
      </c>
      <c r="AA130" s="599">
        <f t="shared" si="89"/>
        <v>18535790</v>
      </c>
    </row>
    <row r="131" spans="11:27" x14ac:dyDescent="0.45">
      <c r="K131" s="226" t="s">
        <v>63</v>
      </c>
      <c r="L131" s="599">
        <f>L119+L120+L121+L122+L123+L124+L125+L126+L127+L128+L129+L130</f>
        <v>194866970</v>
      </c>
      <c r="M131" s="599">
        <f>M119+M120+M121+M122+M123+M124+M125+M126+M127+M128+M129+M130</f>
        <v>1961369130</v>
      </c>
      <c r="N131" s="599">
        <f>N119+N120+N121+N122+N123+N124+N125+N126+N127+N128+N129+N130</f>
        <v>0</v>
      </c>
      <c r="O131" s="599">
        <f>O119+O120+O121+O122+O123+O124+O125+O126+O127+O128+O129+O130</f>
        <v>2156236100</v>
      </c>
      <c r="P131" s="600">
        <f>O131/10000000</f>
        <v>215.62361000000001</v>
      </c>
      <c r="T131" s="229">
        <f>SUM(T118:T122)/10000000</f>
        <v>0</v>
      </c>
      <c r="U131" s="229">
        <f>SUM(U118:U122)/10000000</f>
        <v>0</v>
      </c>
      <c r="V131" s="229">
        <f>V130/10000000</f>
        <v>0</v>
      </c>
      <c r="W131" s="229">
        <f>W130/10000000</f>
        <v>0</v>
      </c>
      <c r="X131" s="229">
        <f t="shared" ref="X131:AA131" si="90">SUM(X118:X122)/10000000</f>
        <v>0</v>
      </c>
      <c r="Y131" s="229">
        <f t="shared" si="90"/>
        <v>1.363677</v>
      </c>
      <c r="Z131" s="229">
        <f t="shared" si="90"/>
        <v>0</v>
      </c>
      <c r="AA131" s="229">
        <f t="shared" si="90"/>
        <v>1.363677</v>
      </c>
    </row>
    <row r="132" spans="11:27" x14ac:dyDescent="0.45">
      <c r="K132" s="98"/>
      <c r="L132" s="103">
        <f>L131/365</f>
        <v>533882.10958904109</v>
      </c>
      <c r="M132" s="103">
        <f>M131/10000000</f>
        <v>196.13691299999999</v>
      </c>
      <c r="N132" s="103">
        <f>N131/10000000</f>
        <v>0</v>
      </c>
      <c r="O132" s="103">
        <f>O131/10000000</f>
        <v>215.62361000000001</v>
      </c>
      <c r="P132" s="103">
        <f>P130/10000000</f>
        <v>1.4040176000000001E-6</v>
      </c>
      <c r="S132" s="2543" t="s">
        <v>203</v>
      </c>
      <c r="T132" s="2543"/>
      <c r="U132" s="2543"/>
      <c r="V132" s="2543"/>
      <c r="W132" s="2543"/>
      <c r="X132" s="2543"/>
      <c r="Y132" s="2543"/>
      <c r="Z132" s="2543"/>
      <c r="AA132" s="2543"/>
    </row>
    <row r="133" spans="11:27" x14ac:dyDescent="0.45">
      <c r="K133" s="2567" t="s">
        <v>442</v>
      </c>
      <c r="L133" s="2568"/>
      <c r="M133" s="2568"/>
      <c r="N133" s="2568"/>
      <c r="O133" s="2568"/>
      <c r="P133" s="2569"/>
      <c r="S133" s="398" t="s">
        <v>127</v>
      </c>
      <c r="T133" s="398" t="s">
        <v>445</v>
      </c>
      <c r="U133" s="398" t="s">
        <v>446</v>
      </c>
      <c r="V133" s="398" t="s">
        <v>447</v>
      </c>
      <c r="W133" s="398" t="s">
        <v>448</v>
      </c>
      <c r="X133" s="398" t="s">
        <v>266</v>
      </c>
      <c r="Y133" s="398"/>
      <c r="Z133" s="398"/>
      <c r="AA133" s="398" t="s">
        <v>63</v>
      </c>
    </row>
    <row r="134" spans="11:27" x14ac:dyDescent="0.45">
      <c r="K134" s="98"/>
      <c r="L134" s="598" t="s">
        <v>432</v>
      </c>
      <c r="M134" s="598" t="s">
        <v>433</v>
      </c>
      <c r="N134" s="598" t="s">
        <v>434</v>
      </c>
      <c r="O134" s="98" t="s">
        <v>63</v>
      </c>
      <c r="P134" s="98" t="s">
        <v>441</v>
      </c>
      <c r="S134" s="98" t="s">
        <v>131</v>
      </c>
      <c r="T134" s="604"/>
      <c r="U134" s="98"/>
      <c r="V134" s="98"/>
      <c r="W134" s="98"/>
      <c r="X134" s="98">
        <f t="shared" ref="X134:X145" si="91">AE134</f>
        <v>0</v>
      </c>
      <c r="Y134" s="103"/>
      <c r="Z134" s="98"/>
      <c r="AA134" s="98">
        <f>SUM(T134:Z134)</f>
        <v>0</v>
      </c>
    </row>
    <row r="135" spans="11:27" x14ac:dyDescent="0.45">
      <c r="K135" s="98" t="s">
        <v>131</v>
      </c>
      <c r="L135" s="598">
        <v>2598215</v>
      </c>
      <c r="M135" s="598">
        <v>2666313</v>
      </c>
      <c r="N135" s="598"/>
      <c r="O135" s="98">
        <f>SUM(L135:N135)</f>
        <v>5264528</v>
      </c>
      <c r="P135" s="103">
        <f>O135/100000</f>
        <v>52.64528</v>
      </c>
      <c r="S135" s="98" t="s">
        <v>132</v>
      </c>
      <c r="T135" s="98"/>
      <c r="U135" s="98"/>
      <c r="V135" s="98"/>
      <c r="W135" s="98"/>
      <c r="X135" s="98">
        <f t="shared" si="91"/>
        <v>0</v>
      </c>
      <c r="Y135" s="103"/>
      <c r="Z135" s="98"/>
      <c r="AA135" s="98">
        <f>SUM(T135:Z135)</f>
        <v>0</v>
      </c>
    </row>
    <row r="136" spans="11:27" x14ac:dyDescent="0.45">
      <c r="K136" s="98" t="s">
        <v>132</v>
      </c>
      <c r="L136" s="598">
        <v>2708352</v>
      </c>
      <c r="M136" s="598">
        <v>2887361</v>
      </c>
      <c r="N136" s="660"/>
      <c r="O136" s="98">
        <f t="shared" ref="O136:O146" si="92">SUM(L136:N136)</f>
        <v>5595713</v>
      </c>
      <c r="P136" s="103">
        <f t="shared" ref="P136:P146" si="93">O136/100000</f>
        <v>55.957129999999999</v>
      </c>
      <c r="S136" s="98" t="s">
        <v>133</v>
      </c>
      <c r="T136" s="98"/>
      <c r="U136" s="98"/>
      <c r="V136" s="98"/>
      <c r="W136" s="98"/>
      <c r="X136" s="98">
        <f t="shared" si="91"/>
        <v>0</v>
      </c>
      <c r="Y136" s="103"/>
      <c r="Z136" s="98"/>
      <c r="AA136" s="98">
        <f>SUM(T136:Z136)</f>
        <v>0</v>
      </c>
    </row>
    <row r="137" spans="11:27" x14ac:dyDescent="0.45">
      <c r="K137" s="98" t="s">
        <v>133</v>
      </c>
      <c r="L137" s="598">
        <v>2937013</v>
      </c>
      <c r="M137" s="598">
        <v>2697318</v>
      </c>
      <c r="N137" s="598"/>
      <c r="O137" s="98">
        <f t="shared" si="92"/>
        <v>5634331</v>
      </c>
      <c r="P137" s="103">
        <f t="shared" si="93"/>
        <v>56.343310000000002</v>
      </c>
      <c r="S137" s="98" t="s">
        <v>51</v>
      </c>
      <c r="T137" s="98"/>
      <c r="U137" s="98"/>
      <c r="V137" s="98"/>
      <c r="W137" s="98"/>
      <c r="X137" s="98">
        <f t="shared" si="91"/>
        <v>0</v>
      </c>
      <c r="Y137" s="103"/>
      <c r="Z137" s="98"/>
      <c r="AA137" s="98">
        <f t="shared" ref="AA137:AA140" si="94">SUM(T137:Z137)</f>
        <v>0</v>
      </c>
    </row>
    <row r="138" spans="11:27" x14ac:dyDescent="0.45">
      <c r="K138" s="98" t="s">
        <v>51</v>
      </c>
      <c r="L138" s="598">
        <v>3377353</v>
      </c>
      <c r="M138" s="598">
        <v>2402868</v>
      </c>
      <c r="N138" s="598"/>
      <c r="O138" s="98">
        <f t="shared" si="92"/>
        <v>5780221</v>
      </c>
      <c r="P138" s="103">
        <f t="shared" si="93"/>
        <v>57.802210000000002</v>
      </c>
      <c r="S138" s="98" t="s">
        <v>134</v>
      </c>
      <c r="T138" s="98"/>
      <c r="U138" s="98"/>
      <c r="V138" s="98"/>
      <c r="W138" s="98"/>
      <c r="X138" s="98">
        <f t="shared" si="91"/>
        <v>0</v>
      </c>
      <c r="Y138" s="103"/>
      <c r="Z138" s="98"/>
      <c r="AA138" s="98">
        <f t="shared" si="94"/>
        <v>0</v>
      </c>
    </row>
    <row r="139" spans="11:27" x14ac:dyDescent="0.45">
      <c r="K139" s="98" t="s">
        <v>134</v>
      </c>
      <c r="L139" s="598">
        <v>3123466</v>
      </c>
      <c r="M139" s="598">
        <v>2008520</v>
      </c>
      <c r="N139" s="598"/>
      <c r="O139" s="98">
        <f t="shared" si="92"/>
        <v>5131986</v>
      </c>
      <c r="P139" s="103">
        <f t="shared" si="93"/>
        <v>51.319859999999998</v>
      </c>
      <c r="S139" s="98" t="s">
        <v>135</v>
      </c>
      <c r="T139" s="98"/>
      <c r="U139" s="98"/>
      <c r="V139" s="98"/>
      <c r="W139" s="98"/>
      <c r="X139" s="98">
        <f t="shared" si="91"/>
        <v>0</v>
      </c>
      <c r="Y139" s="103"/>
      <c r="Z139" s="98"/>
      <c r="AA139" s="98">
        <f t="shared" si="94"/>
        <v>0</v>
      </c>
    </row>
    <row r="140" spans="11:27" x14ac:dyDescent="0.45">
      <c r="K140" s="98" t="s">
        <v>135</v>
      </c>
      <c r="L140" s="598">
        <v>3112599</v>
      </c>
      <c r="M140" s="598">
        <v>2336198</v>
      </c>
      <c r="N140" s="598"/>
      <c r="O140" s="98">
        <f t="shared" si="92"/>
        <v>5448797</v>
      </c>
      <c r="P140" s="103">
        <f t="shared" si="93"/>
        <v>54.487969999999997</v>
      </c>
      <c r="S140" s="98" t="s">
        <v>136</v>
      </c>
      <c r="T140" s="98"/>
      <c r="U140" s="98"/>
      <c r="V140" s="98"/>
      <c r="W140" s="98"/>
      <c r="X140" s="98">
        <f t="shared" si="91"/>
        <v>0</v>
      </c>
      <c r="Y140" s="103"/>
      <c r="Z140" s="98"/>
      <c r="AA140" s="98">
        <f t="shared" si="94"/>
        <v>0</v>
      </c>
    </row>
    <row r="141" spans="11:27" x14ac:dyDescent="0.45">
      <c r="K141" s="98" t="s">
        <v>136</v>
      </c>
      <c r="L141" s="598">
        <v>2684405</v>
      </c>
      <c r="M141" s="598">
        <v>2601449</v>
      </c>
      <c r="N141" s="598"/>
      <c r="O141" s="98">
        <f t="shared" si="92"/>
        <v>5285854</v>
      </c>
      <c r="P141" s="103">
        <f t="shared" si="93"/>
        <v>52.858539999999998</v>
      </c>
      <c r="S141" s="98" t="s">
        <v>137</v>
      </c>
      <c r="T141" s="98"/>
      <c r="U141" s="98"/>
      <c r="V141" s="98"/>
      <c r="W141" s="98"/>
      <c r="X141" s="98">
        <f t="shared" si="91"/>
        <v>0</v>
      </c>
      <c r="Y141" s="103"/>
      <c r="Z141" s="98"/>
      <c r="AA141" s="98">
        <f>SUM(T141:Z141)</f>
        <v>0</v>
      </c>
    </row>
    <row r="142" spans="11:27" x14ac:dyDescent="0.45">
      <c r="K142" s="98" t="s">
        <v>137</v>
      </c>
      <c r="L142" s="598">
        <v>2955898</v>
      </c>
      <c r="M142" s="598">
        <v>2675862</v>
      </c>
      <c r="N142" s="598"/>
      <c r="O142" s="98">
        <f t="shared" si="92"/>
        <v>5631760</v>
      </c>
      <c r="P142" s="103">
        <f t="shared" si="93"/>
        <v>56.317599999999999</v>
      </c>
      <c r="S142" s="98" t="s">
        <v>138</v>
      </c>
      <c r="T142" s="98"/>
      <c r="U142" s="280"/>
      <c r="V142" s="98"/>
      <c r="W142" s="98"/>
      <c r="X142" s="98">
        <f t="shared" si="91"/>
        <v>0</v>
      </c>
      <c r="Y142" s="103"/>
      <c r="Z142" s="98"/>
      <c r="AA142" s="98">
        <f t="shared" ref="AA142:AA145" si="95">SUM(T142:Z142)</f>
        <v>0</v>
      </c>
    </row>
    <row r="143" spans="11:27" x14ac:dyDescent="0.45">
      <c r="K143" s="98" t="s">
        <v>138</v>
      </c>
      <c r="L143" s="598">
        <v>3161527</v>
      </c>
      <c r="M143" s="598">
        <v>2704188</v>
      </c>
      <c r="N143" s="598"/>
      <c r="O143" s="98">
        <f t="shared" si="92"/>
        <v>5865715</v>
      </c>
      <c r="P143" s="103">
        <f t="shared" si="93"/>
        <v>58.657150000000001</v>
      </c>
      <c r="S143" s="98" t="s">
        <v>139</v>
      </c>
      <c r="T143" s="98"/>
      <c r="U143" s="98"/>
      <c r="V143" s="850"/>
      <c r="W143" s="98"/>
      <c r="X143" s="98">
        <f t="shared" si="91"/>
        <v>0</v>
      </c>
      <c r="Y143" s="103"/>
      <c r="Z143" s="98"/>
      <c r="AA143" s="98">
        <f t="shared" si="95"/>
        <v>0</v>
      </c>
    </row>
    <row r="144" spans="11:27" x14ac:dyDescent="0.45">
      <c r="K144" s="98" t="s">
        <v>139</v>
      </c>
      <c r="L144" s="598">
        <v>3134654</v>
      </c>
      <c r="M144" s="598">
        <v>2511310</v>
      </c>
      <c r="N144" s="598"/>
      <c r="O144" s="98">
        <f t="shared" si="92"/>
        <v>5645964</v>
      </c>
      <c r="P144" s="103">
        <f t="shared" si="93"/>
        <v>56.45964</v>
      </c>
      <c r="S144" s="98" t="s">
        <v>140</v>
      </c>
      <c r="T144" s="98"/>
      <c r="U144" s="98"/>
      <c r="V144" s="98"/>
      <c r="W144" s="98"/>
      <c r="X144" s="98">
        <f t="shared" si="91"/>
        <v>0</v>
      </c>
      <c r="Y144" s="103"/>
      <c r="Z144" s="98"/>
      <c r="AA144" s="98">
        <f t="shared" si="95"/>
        <v>0</v>
      </c>
    </row>
    <row r="145" spans="10:27" x14ac:dyDescent="0.45">
      <c r="K145" s="98" t="s">
        <v>140</v>
      </c>
      <c r="L145" s="598">
        <v>2759101</v>
      </c>
      <c r="M145" s="598">
        <v>2408869</v>
      </c>
      <c r="N145" s="598"/>
      <c r="O145" s="98">
        <f t="shared" si="92"/>
        <v>5167970</v>
      </c>
      <c r="P145" s="103">
        <f t="shared" si="93"/>
        <v>51.679699999999997</v>
      </c>
      <c r="S145" s="98" t="s">
        <v>141</v>
      </c>
      <c r="T145" s="98"/>
      <c r="U145" s="98"/>
      <c r="V145" s="98"/>
      <c r="W145" s="98"/>
      <c r="X145" s="98">
        <f t="shared" si="91"/>
        <v>0</v>
      </c>
      <c r="Y145" s="98"/>
      <c r="Z145" s="98"/>
      <c r="AA145" s="98">
        <f t="shared" si="95"/>
        <v>0</v>
      </c>
    </row>
    <row r="146" spans="10:27" x14ac:dyDescent="0.45">
      <c r="K146" s="98" t="s">
        <v>141</v>
      </c>
      <c r="L146" s="598">
        <v>1664701</v>
      </c>
      <c r="M146" s="598">
        <v>1531910</v>
      </c>
      <c r="N146" s="519"/>
      <c r="O146" s="98">
        <f t="shared" si="92"/>
        <v>3196611</v>
      </c>
      <c r="P146" s="103">
        <f t="shared" si="93"/>
        <v>31.96611</v>
      </c>
      <c r="S146" s="226" t="s">
        <v>63</v>
      </c>
      <c r="T146" s="226">
        <f>SUM(T134:T139)</f>
        <v>0</v>
      </c>
      <c r="U146" s="226">
        <f t="shared" ref="U146:AA146" si="96">SUM(U134:U139)</f>
        <v>0</v>
      </c>
      <c r="V146" s="226">
        <f t="shared" si="96"/>
        <v>0</v>
      </c>
      <c r="W146" s="226">
        <f t="shared" si="96"/>
        <v>0</v>
      </c>
      <c r="X146" s="226">
        <f t="shared" si="96"/>
        <v>0</v>
      </c>
      <c r="Y146" s="226">
        <f t="shared" si="96"/>
        <v>0</v>
      </c>
      <c r="Z146" s="226">
        <f t="shared" si="96"/>
        <v>0</v>
      </c>
      <c r="AA146" s="226">
        <f t="shared" si="96"/>
        <v>0</v>
      </c>
    </row>
    <row r="147" spans="10:27" x14ac:dyDescent="0.45">
      <c r="K147" s="226" t="s">
        <v>63</v>
      </c>
      <c r="L147" s="599">
        <f>L135+L136+L137+L138+L139+L140+L141+L142+L143+L144+L145+L146</f>
        <v>34217284</v>
      </c>
      <c r="M147" s="599">
        <f>M135+M136+M137+M138+M139+M140+M141+M142+M143+M144+M145+M146</f>
        <v>29432166</v>
      </c>
      <c r="N147" s="599">
        <f>N135+N136+N137+N138+N139+N140+N141+N142+N143+N144+N145+N146</f>
        <v>0</v>
      </c>
      <c r="O147" s="599">
        <f>O135+O136+O137+O138+O139+O140+O141+O142+O143+O144+O145+O146</f>
        <v>63649450</v>
      </c>
      <c r="P147" s="103">
        <f>O147/100000</f>
        <v>636.49450000000002</v>
      </c>
    </row>
    <row r="148" spans="10:27" x14ac:dyDescent="0.45">
      <c r="L148" s="259">
        <f>L147/357</f>
        <v>95846.733893557423</v>
      </c>
    </row>
    <row r="154" spans="10:27" x14ac:dyDescent="0.45">
      <c r="K154" s="1824" t="s">
        <v>1026</v>
      </c>
      <c r="L154" s="259" t="s">
        <v>299</v>
      </c>
    </row>
    <row r="155" spans="10:27" x14ac:dyDescent="0.45">
      <c r="J155" s="1823">
        <v>44287</v>
      </c>
      <c r="K155">
        <v>6642</v>
      </c>
      <c r="L155" s="259">
        <v>0</v>
      </c>
    </row>
    <row r="156" spans="10:27" x14ac:dyDescent="0.45">
      <c r="J156" s="1823">
        <v>44317</v>
      </c>
      <c r="K156">
        <v>6765</v>
      </c>
      <c r="L156" s="259">
        <v>0</v>
      </c>
    </row>
    <row r="157" spans="10:27" x14ac:dyDescent="0.45">
      <c r="J157" s="1823">
        <v>44348</v>
      </c>
      <c r="K157">
        <v>12033</v>
      </c>
      <c r="L157" s="259">
        <v>0</v>
      </c>
    </row>
    <row r="158" spans="10:27" x14ac:dyDescent="0.45">
      <c r="J158" s="1823">
        <v>44378</v>
      </c>
      <c r="K158">
        <v>10754</v>
      </c>
      <c r="L158" s="259">
        <v>0</v>
      </c>
    </row>
    <row r="159" spans="10:27" x14ac:dyDescent="0.45">
      <c r="J159" s="1823">
        <v>44409</v>
      </c>
      <c r="K159">
        <v>13047</v>
      </c>
      <c r="L159" s="259">
        <v>18</v>
      </c>
    </row>
    <row r="160" spans="10:27" x14ac:dyDescent="0.45">
      <c r="J160" s="1823">
        <v>44440</v>
      </c>
      <c r="K160">
        <v>13834</v>
      </c>
      <c r="L160" s="259">
        <v>52</v>
      </c>
    </row>
    <row r="161" spans="10:12" x14ac:dyDescent="0.45">
      <c r="J161" s="1823">
        <v>44470</v>
      </c>
      <c r="K161">
        <v>14385</v>
      </c>
      <c r="L161" s="259">
        <v>1224</v>
      </c>
    </row>
    <row r="162" spans="10:12" x14ac:dyDescent="0.45">
      <c r="J162" s="1823">
        <v>44501</v>
      </c>
      <c r="L162" s="259">
        <v>2950</v>
      </c>
    </row>
    <row r="163" spans="10:12" x14ac:dyDescent="0.45">
      <c r="J163" s="1823">
        <v>44531</v>
      </c>
      <c r="K163">
        <v>26174</v>
      </c>
      <c r="L163" s="259">
        <v>11856</v>
      </c>
    </row>
    <row r="164" spans="10:12" x14ac:dyDescent="0.45">
      <c r="J164" s="1823">
        <v>44562</v>
      </c>
      <c r="K164">
        <v>107334</v>
      </c>
      <c r="L164" s="259">
        <v>2654</v>
      </c>
    </row>
    <row r="165" spans="10:12" x14ac:dyDescent="0.45">
      <c r="J165" s="1823">
        <v>44593</v>
      </c>
      <c r="L165" s="259">
        <v>931276</v>
      </c>
    </row>
    <row r="166" spans="10:12" x14ac:dyDescent="0.45">
      <c r="J166" s="1823">
        <v>44621</v>
      </c>
    </row>
    <row r="167" spans="10:12" x14ac:dyDescent="0.45">
      <c r="K167">
        <f>SUM(K155:K166)</f>
        <v>210968</v>
      </c>
    </row>
    <row r="168" spans="10:12" x14ac:dyDescent="0.45">
      <c r="K168">
        <f>K167/365</f>
        <v>577.99452054794517</v>
      </c>
    </row>
  </sheetData>
  <mergeCells count="37">
    <mergeCell ref="AN3:AO3"/>
    <mergeCell ref="AQ3:AR3"/>
    <mergeCell ref="AP2:AP3"/>
    <mergeCell ref="AS2:AS3"/>
    <mergeCell ref="AM1:AS1"/>
    <mergeCell ref="K116:P116"/>
    <mergeCell ref="K117:P117"/>
    <mergeCell ref="K133:P133"/>
    <mergeCell ref="S116:AA116"/>
    <mergeCell ref="S132:AA132"/>
    <mergeCell ref="K18:P18"/>
    <mergeCell ref="S18:AA18"/>
    <mergeCell ref="A2:G2"/>
    <mergeCell ref="K2:P2"/>
    <mergeCell ref="S2:AA2"/>
    <mergeCell ref="A3:A4"/>
    <mergeCell ref="B3:D3"/>
    <mergeCell ref="E3:E4"/>
    <mergeCell ref="F3:F4"/>
    <mergeCell ref="G3:G4"/>
    <mergeCell ref="H3:H4"/>
    <mergeCell ref="I3:I4"/>
    <mergeCell ref="AC41:AI41"/>
    <mergeCell ref="V96:AA96"/>
    <mergeCell ref="L79:O79"/>
    <mergeCell ref="K41:P41"/>
    <mergeCell ref="K42:P42"/>
    <mergeCell ref="K58:P58"/>
    <mergeCell ref="S41:AA41"/>
    <mergeCell ref="S42:AA42"/>
    <mergeCell ref="S58:AA58"/>
    <mergeCell ref="A31:G31"/>
    <mergeCell ref="A32:A33"/>
    <mergeCell ref="B32:D32"/>
    <mergeCell ref="E32:E33"/>
    <mergeCell ref="F32:F33"/>
    <mergeCell ref="G32:G33"/>
  </mergeCells>
  <phoneticPr fontId="166" type="noConversion"/>
  <printOptions horizontalCentered="1"/>
  <pageMargins left="0.2" right="0.2" top="0.75" bottom="0.75" header="0.3" footer="0.3"/>
  <pageSetup paperSize="9" scale="19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00B050"/>
    <pageSetUpPr fitToPage="1"/>
  </sheetPr>
  <dimension ref="C1:DU83"/>
  <sheetViews>
    <sheetView topLeftCell="O31" zoomScale="80" zoomScaleNormal="80" workbookViewId="0">
      <selection activeCell="AF40" sqref="AF40"/>
    </sheetView>
  </sheetViews>
  <sheetFormatPr defaultColWidth="9.1328125" defaultRowHeight="13.9" x14ac:dyDescent="0.4"/>
  <cols>
    <col min="1" max="2" width="9.1328125" style="859"/>
    <col min="3" max="3" width="16" style="875" bestFit="1" customWidth="1"/>
    <col min="4" max="4" width="12" style="876" customWidth="1"/>
    <col min="5" max="5" width="13.1328125" style="876" customWidth="1"/>
    <col min="6" max="6" width="12" style="876" customWidth="1"/>
    <col min="7" max="7" width="10.86328125" style="859" customWidth="1"/>
    <col min="8" max="8" width="14" style="859" customWidth="1"/>
    <col min="9" max="10" width="10.86328125" style="859" customWidth="1"/>
    <col min="11" max="11" width="14.59765625" style="859" customWidth="1"/>
    <col min="12" max="12" width="14.1328125" style="859" customWidth="1"/>
    <col min="13" max="13" width="10.73046875" style="859" customWidth="1"/>
    <col min="14" max="14" width="13.265625" style="859" customWidth="1"/>
    <col min="15" max="15" width="12.3984375" style="859" customWidth="1"/>
    <col min="16" max="16" width="11.59765625" style="859" customWidth="1"/>
    <col min="17" max="18" width="12.3984375" style="859" customWidth="1"/>
    <col min="19" max="22" width="14.1328125" style="859" customWidth="1"/>
    <col min="23" max="23" width="9.1328125" style="859"/>
    <col min="24" max="24" width="17.59765625" style="859" customWidth="1"/>
    <col min="25" max="25" width="10.73046875" style="859" hidden="1" customWidth="1"/>
    <col min="26" max="26" width="12.265625" style="859" hidden="1" customWidth="1"/>
    <col min="27" max="27" width="10.59765625" style="859" hidden="1" customWidth="1"/>
    <col min="28" max="28" width="9.59765625" style="859" customWidth="1"/>
    <col min="29" max="29" width="12.265625" style="859" customWidth="1"/>
    <col min="30" max="31" width="10" style="859" customWidth="1"/>
    <col min="32" max="32" width="12.265625" style="859" customWidth="1"/>
    <col min="33" max="33" width="15.3984375" style="859" customWidth="1"/>
    <col min="34" max="34" width="11" style="859" customWidth="1"/>
    <col min="35" max="35" width="12.265625" style="859" customWidth="1"/>
    <col min="36" max="36" width="15.265625" style="859" customWidth="1"/>
    <col min="37" max="37" width="12.3984375" style="859" hidden="1" customWidth="1"/>
    <col min="38" max="38" width="12.265625" style="859" hidden="1" customWidth="1"/>
    <col min="39" max="39" width="15" style="859" hidden="1" customWidth="1"/>
    <col min="40" max="40" width="9.265625" style="859" customWidth="1"/>
    <col min="41" max="41" width="10.3984375" style="859" customWidth="1"/>
    <col min="42" max="42" width="9.265625" style="859" customWidth="1"/>
    <col min="43" max="43" width="10.1328125" style="859" hidden="1" customWidth="1"/>
    <col min="44" max="44" width="11.59765625" style="859" hidden="1" customWidth="1"/>
    <col min="45" max="45" width="15.73046875" style="859" hidden="1" customWidth="1"/>
    <col min="46" max="46" width="9.1328125" style="859" customWidth="1"/>
    <col min="47" max="47" width="10.265625" style="859" customWidth="1"/>
    <col min="48" max="48" width="12.3984375" style="859" customWidth="1"/>
    <col min="49" max="49" width="9" style="859" hidden="1" customWidth="1"/>
    <col min="50" max="50" width="9.265625" style="859" hidden="1" customWidth="1"/>
    <col min="51" max="51" width="16.265625" style="859" hidden="1" customWidth="1"/>
    <col min="52" max="54" width="9.1328125" style="859" customWidth="1"/>
    <col min="55" max="55" width="7.73046875" style="859" customWidth="1"/>
    <col min="56" max="56" width="6.86328125" style="859" customWidth="1"/>
    <col min="57" max="57" width="8.3984375" style="859" customWidth="1"/>
    <col min="58" max="58" width="9.1328125" style="859"/>
    <col min="59" max="60" width="0" style="859" hidden="1" customWidth="1"/>
    <col min="61" max="61" width="11.265625" style="859" hidden="1" customWidth="1"/>
    <col min="62" max="62" width="16.59765625" style="859" hidden="1" customWidth="1"/>
    <col min="63" max="63" width="12.59765625" style="859" hidden="1" customWidth="1"/>
    <col min="64" max="64" width="20.265625" style="859" hidden="1" customWidth="1"/>
    <col min="65" max="65" width="11.73046875" style="859" hidden="1" customWidth="1"/>
    <col min="66" max="66" width="16.3984375" style="859" hidden="1" customWidth="1"/>
    <col min="67" max="67" width="15.73046875" style="859" hidden="1" customWidth="1"/>
    <col min="68" max="68" width="11.73046875" style="859" hidden="1" customWidth="1"/>
    <col min="69" max="69" width="12.73046875" style="859" hidden="1" customWidth="1"/>
    <col min="70" max="70" width="11.73046875" style="859" hidden="1" customWidth="1"/>
    <col min="71" max="71" width="10.73046875" style="859" hidden="1" customWidth="1"/>
    <col min="72" max="72" width="20.265625" style="859" hidden="1" customWidth="1"/>
    <col min="73" max="73" width="7.3984375" style="859" hidden="1" customWidth="1"/>
    <col min="74" max="74" width="10.86328125" style="859" hidden="1" customWidth="1"/>
    <col min="75" max="75" width="15.73046875" style="859" hidden="1" customWidth="1"/>
    <col min="76" max="76" width="12.59765625" style="859" hidden="1" customWidth="1"/>
    <col min="77" max="77" width="10.265625" style="859" hidden="1" customWidth="1"/>
    <col min="78" max="85" width="0" style="859" hidden="1" customWidth="1"/>
    <col min="86" max="87" width="9.1328125" style="859"/>
    <col min="88" max="88" width="14.86328125" style="859" bestFit="1" customWidth="1"/>
    <col min="89" max="89" width="11.265625" style="859" customWidth="1"/>
    <col min="90" max="91" width="10.59765625" style="859" bestFit="1" customWidth="1"/>
    <col min="92" max="108" width="9.1328125" style="859"/>
    <col min="109" max="109" width="6.3984375" style="859" bestFit="1" customWidth="1"/>
    <col min="110" max="113" width="10.265625" style="859" bestFit="1" customWidth="1"/>
    <col min="114" max="114" width="7" style="859" bestFit="1" customWidth="1"/>
    <col min="115" max="115" width="10.265625" style="859" bestFit="1" customWidth="1"/>
    <col min="116" max="118" width="11.59765625" style="859" bestFit="1" customWidth="1"/>
    <col min="119" max="119" width="7" style="859" bestFit="1" customWidth="1"/>
    <col min="120" max="121" width="14.265625" style="859" bestFit="1" customWidth="1"/>
    <col min="122" max="123" width="15.59765625" style="859" bestFit="1" customWidth="1"/>
    <col min="124" max="125" width="7" style="859" bestFit="1" customWidth="1"/>
    <col min="126" max="16384" width="9.1328125" style="859"/>
  </cols>
  <sheetData>
    <row r="1" spans="3:91" x14ac:dyDescent="0.4">
      <c r="Z1" s="859">
        <f>91+31</f>
        <v>122</v>
      </c>
    </row>
    <row r="2" spans="3:91" ht="22.5" x14ac:dyDescent="0.6">
      <c r="X2" s="2581" t="s">
        <v>852</v>
      </c>
      <c r="Y2" s="2581"/>
      <c r="Z2" s="2581"/>
      <c r="AA2" s="2581"/>
      <c r="AB2" s="2581"/>
      <c r="AC2" s="2581"/>
      <c r="AD2" s="2581"/>
      <c r="AE2" s="2581"/>
      <c r="AF2" s="2581"/>
      <c r="AG2" s="2581"/>
      <c r="AH2" s="2581"/>
      <c r="AI2" s="2581"/>
      <c r="AJ2" s="2581"/>
      <c r="AK2" s="2581"/>
      <c r="AL2" s="2581"/>
      <c r="AM2" s="2581"/>
      <c r="AN2" s="2581"/>
      <c r="AO2" s="2581"/>
      <c r="AP2" s="2581"/>
      <c r="AQ2" s="2581"/>
      <c r="AR2" s="2581"/>
      <c r="AS2" s="2581"/>
      <c r="AT2" s="2581"/>
      <c r="AU2" s="2581"/>
      <c r="AV2" s="2581"/>
      <c r="AW2" s="1924"/>
      <c r="AX2" s="1924"/>
      <c r="AY2" s="1924"/>
      <c r="AZ2" s="1924"/>
      <c r="BA2" s="1924"/>
      <c r="BB2" s="1924"/>
      <c r="BC2" s="1924"/>
      <c r="BD2" s="1924"/>
      <c r="BE2" s="1924"/>
    </row>
    <row r="3" spans="3:91" ht="20.65" thickBot="1" x14ac:dyDescent="0.6">
      <c r="C3" s="2595" t="s">
        <v>595</v>
      </c>
      <c r="D3" s="2595"/>
      <c r="E3" s="2595"/>
      <c r="F3" s="2595"/>
      <c r="G3" s="2595"/>
      <c r="H3" s="2595"/>
      <c r="I3" s="2595"/>
      <c r="J3" s="2595"/>
      <c r="K3" s="2595"/>
      <c r="L3" s="2595"/>
      <c r="M3" s="2595"/>
      <c r="N3" s="2595"/>
      <c r="O3" s="2595"/>
      <c r="P3" s="2595"/>
      <c r="Q3" s="858" t="s">
        <v>589</v>
      </c>
      <c r="R3" s="858"/>
      <c r="S3" s="858"/>
      <c r="T3" s="858"/>
      <c r="U3" s="858"/>
      <c r="V3" s="858">
        <f>122+31</f>
        <v>153</v>
      </c>
      <c r="X3" s="2588" t="s">
        <v>759</v>
      </c>
      <c r="Y3" s="2588"/>
      <c r="Z3" s="2588"/>
      <c r="AA3" s="2588"/>
      <c r="AB3" s="2588"/>
      <c r="AC3" s="2588"/>
      <c r="AD3" s="2588"/>
      <c r="AE3" s="2588"/>
      <c r="AF3" s="2588"/>
      <c r="AG3" s="2588"/>
      <c r="AH3" s="2588"/>
      <c r="AI3" s="2588"/>
      <c r="AJ3" s="2588"/>
      <c r="AK3" s="2588"/>
      <c r="AL3" s="2588"/>
      <c r="AM3" s="2588"/>
      <c r="AN3" s="2588"/>
      <c r="AO3" s="2588"/>
      <c r="AP3" s="2588"/>
      <c r="AQ3" s="2588"/>
      <c r="AR3" s="2588"/>
      <c r="AS3" s="2588"/>
      <c r="AT3" s="2588"/>
      <c r="AU3" s="2588"/>
      <c r="AV3" s="1115"/>
      <c r="AX3" s="858" t="s">
        <v>589</v>
      </c>
    </row>
    <row r="4" spans="3:91" ht="26.25" customHeight="1" x14ac:dyDescent="0.5">
      <c r="C4" s="901"/>
      <c r="D4" s="2599" t="s">
        <v>591</v>
      </c>
      <c r="E4" s="2600"/>
      <c r="F4" s="2601"/>
      <c r="G4" s="2599" t="s">
        <v>585</v>
      </c>
      <c r="H4" s="2600"/>
      <c r="I4" s="2601"/>
      <c r="J4" s="2599" t="s">
        <v>586</v>
      </c>
      <c r="K4" s="2600"/>
      <c r="L4" s="2601"/>
      <c r="M4" s="2596" t="s">
        <v>592</v>
      </c>
      <c r="N4" s="2597"/>
      <c r="O4" s="2597"/>
      <c r="P4" s="2597" t="s">
        <v>593</v>
      </c>
      <c r="Q4" s="2597"/>
      <c r="R4" s="2598"/>
      <c r="S4" s="883"/>
      <c r="T4" s="883"/>
      <c r="U4" s="883"/>
      <c r="V4" s="883">
        <f>61+30</f>
        <v>91</v>
      </c>
      <c r="X4" s="1265"/>
      <c r="Y4" s="2589" t="s">
        <v>788</v>
      </c>
      <c r="Z4" s="2590"/>
      <c r="AA4" s="2591"/>
      <c r="AB4" s="2584" t="s">
        <v>881</v>
      </c>
      <c r="AC4" s="2584"/>
      <c r="AD4" s="2584"/>
      <c r="AE4" s="2584" t="s">
        <v>880</v>
      </c>
      <c r="AF4" s="2584"/>
      <c r="AG4" s="2584"/>
      <c r="AH4" s="2584" t="s">
        <v>687</v>
      </c>
      <c r="AI4" s="2584"/>
      <c r="AJ4" s="2584"/>
      <c r="AK4" s="2584" t="s">
        <v>584</v>
      </c>
      <c r="AL4" s="2584"/>
      <c r="AM4" s="2584"/>
      <c r="AN4" s="2589" t="s">
        <v>758</v>
      </c>
      <c r="AO4" s="2590"/>
      <c r="AP4" s="2591"/>
      <c r="AQ4" s="2584" t="s">
        <v>585</v>
      </c>
      <c r="AR4" s="2584"/>
      <c r="AS4" s="2584"/>
      <c r="AT4" s="2592" t="s">
        <v>515</v>
      </c>
      <c r="AU4" s="2592"/>
      <c r="AV4" s="2593"/>
      <c r="AW4" s="2584" t="s">
        <v>586</v>
      </c>
      <c r="AX4" s="2584"/>
      <c r="AY4" s="2584"/>
      <c r="AZ4" s="2586" t="s">
        <v>884</v>
      </c>
      <c r="BA4" s="2586"/>
      <c r="BB4" s="2587"/>
      <c r="BC4" s="2583" t="s">
        <v>592</v>
      </c>
      <c r="BD4" s="2583"/>
      <c r="BE4" s="2583"/>
      <c r="BL4" s="2603" t="s">
        <v>127</v>
      </c>
      <c r="BM4" s="2602" t="s">
        <v>149</v>
      </c>
      <c r="BN4" s="2602"/>
      <c r="BO4" s="2602"/>
      <c r="BP4" s="2602"/>
      <c r="BQ4" s="2602"/>
      <c r="BR4" s="2602"/>
      <c r="BS4" s="860"/>
      <c r="BT4" s="2603" t="s">
        <v>127</v>
      </c>
      <c r="BU4" s="2602" t="s">
        <v>150</v>
      </c>
      <c r="BV4" s="2602"/>
      <c r="BW4" s="2602"/>
      <c r="BX4" s="2602"/>
      <c r="BY4" s="2602"/>
      <c r="BZ4" s="2602"/>
    </row>
    <row r="5" spans="3:91" ht="27.75" x14ac:dyDescent="0.5">
      <c r="C5" s="902" t="s">
        <v>127</v>
      </c>
      <c r="D5" s="877" t="s">
        <v>432</v>
      </c>
      <c r="E5" s="856" t="s">
        <v>588</v>
      </c>
      <c r="F5" s="878" t="s">
        <v>63</v>
      </c>
      <c r="G5" s="877" t="s">
        <v>432</v>
      </c>
      <c r="H5" s="856" t="s">
        <v>588</v>
      </c>
      <c r="I5" s="878" t="s">
        <v>63</v>
      </c>
      <c r="J5" s="877" t="s">
        <v>432</v>
      </c>
      <c r="K5" s="856" t="s">
        <v>588</v>
      </c>
      <c r="L5" s="878" t="s">
        <v>63</v>
      </c>
      <c r="M5" s="891" t="s">
        <v>432</v>
      </c>
      <c r="N5" s="889" t="s">
        <v>588</v>
      </c>
      <c r="O5" s="890" t="s">
        <v>63</v>
      </c>
      <c r="P5" s="889" t="s">
        <v>432</v>
      </c>
      <c r="Q5" s="889" t="s">
        <v>588</v>
      </c>
      <c r="R5" s="892" t="s">
        <v>63</v>
      </c>
      <c r="S5" s="884"/>
      <c r="T5" s="884"/>
      <c r="U5" s="884">
        <f>244+31</f>
        <v>275</v>
      </c>
      <c r="V5" s="884"/>
      <c r="X5" s="1354" t="s">
        <v>127</v>
      </c>
      <c r="Y5" s="1355" t="s">
        <v>432</v>
      </c>
      <c r="Z5" s="1355" t="s">
        <v>588</v>
      </c>
      <c r="AA5" s="1356" t="s">
        <v>63</v>
      </c>
      <c r="AB5" s="1355" t="s">
        <v>432</v>
      </c>
      <c r="AC5" s="1355" t="s">
        <v>588</v>
      </c>
      <c r="AD5" s="1356" t="s">
        <v>63</v>
      </c>
      <c r="AE5" s="1355" t="s">
        <v>432</v>
      </c>
      <c r="AF5" s="1355" t="s">
        <v>588</v>
      </c>
      <c r="AG5" s="1356" t="s">
        <v>63</v>
      </c>
      <c r="AH5" s="1355" t="s">
        <v>432</v>
      </c>
      <c r="AI5" s="1355" t="s">
        <v>588</v>
      </c>
      <c r="AJ5" s="1356" t="s">
        <v>63</v>
      </c>
      <c r="AK5" s="1355" t="s">
        <v>432</v>
      </c>
      <c r="AL5" s="1355" t="s">
        <v>588</v>
      </c>
      <c r="AM5" s="1356" t="s">
        <v>63</v>
      </c>
      <c r="AN5" s="1355" t="s">
        <v>432</v>
      </c>
      <c r="AO5" s="1355" t="s">
        <v>588</v>
      </c>
      <c r="AP5" s="1356" t="s">
        <v>63</v>
      </c>
      <c r="AQ5" s="1355" t="s">
        <v>432</v>
      </c>
      <c r="AR5" s="1355" t="s">
        <v>588</v>
      </c>
      <c r="AS5" s="1356" t="s">
        <v>63</v>
      </c>
      <c r="AT5" s="1357" t="s">
        <v>432</v>
      </c>
      <c r="AU5" s="1357" t="s">
        <v>588</v>
      </c>
      <c r="AV5" s="1358" t="s">
        <v>63</v>
      </c>
      <c r="AW5" s="1355" t="s">
        <v>432</v>
      </c>
      <c r="AX5" s="1355" t="s">
        <v>588</v>
      </c>
      <c r="AY5" s="1356" t="s">
        <v>63</v>
      </c>
      <c r="AZ5" s="1256" t="s">
        <v>432</v>
      </c>
      <c r="BA5" s="1256" t="s">
        <v>588</v>
      </c>
      <c r="BB5" s="1469" t="s">
        <v>63</v>
      </c>
      <c r="BC5" s="1256" t="s">
        <v>432</v>
      </c>
      <c r="BD5" s="1256" t="s">
        <v>588</v>
      </c>
      <c r="BE5" s="1502" t="s">
        <v>63</v>
      </c>
      <c r="BL5" s="2603"/>
      <c r="BM5" s="861" t="s">
        <v>94</v>
      </c>
      <c r="BN5" s="862" t="s">
        <v>90</v>
      </c>
      <c r="BO5" s="861" t="s">
        <v>130</v>
      </c>
      <c r="BP5" s="863" t="s">
        <v>90</v>
      </c>
      <c r="BQ5" s="861" t="s">
        <v>63</v>
      </c>
      <c r="BR5" s="863" t="s">
        <v>90</v>
      </c>
      <c r="BS5" s="864"/>
      <c r="BT5" s="2603"/>
      <c r="BU5" s="861" t="s">
        <v>94</v>
      </c>
      <c r="BV5" s="862" t="s">
        <v>90</v>
      </c>
      <c r="BW5" s="861" t="s">
        <v>130</v>
      </c>
      <c r="BX5" s="862" t="s">
        <v>90</v>
      </c>
      <c r="BY5" s="861" t="s">
        <v>63</v>
      </c>
      <c r="BZ5" s="862" t="s">
        <v>90</v>
      </c>
      <c r="CJ5" s="1148" t="s">
        <v>127</v>
      </c>
      <c r="CK5" s="1148" t="s">
        <v>83</v>
      </c>
      <c r="CL5" s="1148" t="s">
        <v>701</v>
      </c>
      <c r="CM5" s="1148" t="s">
        <v>907</v>
      </c>
    </row>
    <row r="6" spans="3:91" ht="26.25" customHeight="1" x14ac:dyDescent="0.5">
      <c r="C6" s="903" t="s">
        <v>131</v>
      </c>
      <c r="D6" s="899">
        <v>0</v>
      </c>
      <c r="E6" s="886">
        <v>0</v>
      </c>
      <c r="F6" s="882">
        <f>SUM(D6:E6)</f>
        <v>0</v>
      </c>
      <c r="G6" s="899">
        <v>0</v>
      </c>
      <c r="H6" s="285">
        <v>-14.077521600000001</v>
      </c>
      <c r="I6" s="882">
        <f>SUM(G6:H6)</f>
        <v>-14.077521600000001</v>
      </c>
      <c r="J6" s="347">
        <v>1.5</v>
      </c>
      <c r="K6" s="289">
        <v>73.849999999999994</v>
      </c>
      <c r="L6" s="900">
        <f>SUM(J6:K6)</f>
        <v>75.349999999999994</v>
      </c>
      <c r="M6" s="893" t="s">
        <v>221</v>
      </c>
      <c r="N6" s="887" t="s">
        <v>221</v>
      </c>
      <c r="O6" s="888" t="s">
        <v>221</v>
      </c>
      <c r="P6" s="887">
        <f>(G6-J6)/J6*100</f>
        <v>-100</v>
      </c>
      <c r="Q6" s="887">
        <f>(H6-K6)/K6*100</f>
        <v>-119.06231767095463</v>
      </c>
      <c r="R6" s="894">
        <f>(I6-L6)/L6*100</f>
        <v>-118.68284220305243</v>
      </c>
      <c r="S6" s="883"/>
      <c r="T6" s="883"/>
      <c r="U6" s="883"/>
      <c r="V6" s="883">
        <v>30</v>
      </c>
      <c r="X6" s="1077" t="s">
        <v>131</v>
      </c>
      <c r="Y6" s="857">
        <v>1.72</v>
      </c>
      <c r="Z6" s="857">
        <v>81.02</v>
      </c>
      <c r="AA6" s="1258">
        <f>SUM(Y6:Z6)</f>
        <v>82.74</v>
      </c>
      <c r="AB6" s="1324">
        <f>'TARGET 23-24'!B91</f>
        <v>0.75</v>
      </c>
      <c r="AC6" s="1323">
        <f>'TARGET 23-24'!C91</f>
        <v>78.73</v>
      </c>
      <c r="AD6" s="1324">
        <f>SUM(AB6:AC6)</f>
        <v>79.48</v>
      </c>
      <c r="AE6" s="1324">
        <f>'ACTUAL- 23-24'!E3/10000000</f>
        <v>1.0765871</v>
      </c>
      <c r="AF6" s="1324">
        <f>'ACTUAL- 23-24'!H3/10000000</f>
        <v>87.003617399999996</v>
      </c>
      <c r="AG6" s="1324">
        <f>SUM(AE6:AF6)</f>
        <v>88.080204499999994</v>
      </c>
      <c r="AH6" s="1258">
        <f>'actual fig'!L4/10000000</f>
        <v>0.65386339999999998</v>
      </c>
      <c r="AI6" s="1258">
        <f>('actual fig'!M4+'actual fig'!N4)/10000000</f>
        <v>72.398719200000002</v>
      </c>
      <c r="AJ6" s="1078">
        <f>SUM(AH6:AI6)</f>
        <v>73.052582600000008</v>
      </c>
      <c r="AK6" s="285">
        <v>3.9327188999999999E-2</v>
      </c>
      <c r="AL6" s="285">
        <v>32.692743999999998</v>
      </c>
      <c r="AM6" s="1078">
        <f>SUM(AK6:AL6)</f>
        <v>32.732071188999996</v>
      </c>
      <c r="AN6" s="1889">
        <f>(AE6-AB6)/AB6*100</f>
        <v>43.544946666666668</v>
      </c>
      <c r="AO6" s="1889">
        <f>(AF6-AC6)/AC6*100</f>
        <v>10.5088497396164</v>
      </c>
      <c r="AP6" s="1889">
        <f>(AG6-AD6)/AD6*100</f>
        <v>10.820589456467022</v>
      </c>
      <c r="AQ6" s="1889">
        <v>0</v>
      </c>
      <c r="AR6" s="1889">
        <v>-14.077521600000001</v>
      </c>
      <c r="AS6" s="1889">
        <f>SUM(AQ6:AR6)</f>
        <v>-14.077521600000001</v>
      </c>
      <c r="AT6" s="1889">
        <f>(AE6-AH6)/AH6*100</f>
        <v>64.650154757094541</v>
      </c>
      <c r="AU6" s="1889">
        <f>(AF6-AI6)/AI6*100</f>
        <v>20.172868196264986</v>
      </c>
      <c r="AV6" s="1889">
        <f>(AG6-AJ6)/AJ6*100</f>
        <v>20.570965960620239</v>
      </c>
      <c r="AW6" s="289">
        <v>1.5</v>
      </c>
      <c r="AX6" s="289">
        <v>73.849999999999994</v>
      </c>
      <c r="AY6" s="857">
        <f>SUM(AW6:AX6)</f>
        <v>75.349999999999994</v>
      </c>
      <c r="AZ6" s="887">
        <f t="shared" ref="AZ6:BB7" si="0">(AE6-AH6)/AH6*100</f>
        <v>64.650154757094541</v>
      </c>
      <c r="BA6" s="887">
        <f t="shared" si="0"/>
        <v>20.172868196264986</v>
      </c>
      <c r="BB6" s="887">
        <f t="shared" si="0"/>
        <v>20.570965960620239</v>
      </c>
      <c r="BC6" s="1501">
        <f t="shared" ref="BC6:BE7" si="1">(AE6-AB6)/AB6*100</f>
        <v>43.544946666666668</v>
      </c>
      <c r="BD6" s="1501">
        <f t="shared" si="1"/>
        <v>10.5088497396164</v>
      </c>
      <c r="BE6" s="1501">
        <f t="shared" si="1"/>
        <v>10.820589456467022</v>
      </c>
      <c r="BL6" s="284" t="s">
        <v>131</v>
      </c>
      <c r="BM6" s="865">
        <v>25.07</v>
      </c>
      <c r="BN6" s="866">
        <f>BM6</f>
        <v>25.07</v>
      </c>
      <c r="BO6" s="865">
        <v>38.020000000000003</v>
      </c>
      <c r="BP6" s="867">
        <f>BO6</f>
        <v>38.020000000000003</v>
      </c>
      <c r="BQ6" s="868">
        <f t="shared" ref="BQ6:BQ15" si="2">BM6+BO6</f>
        <v>63.09</v>
      </c>
      <c r="BR6" s="867">
        <f>BQ6</f>
        <v>63.09</v>
      </c>
      <c r="BT6" s="284" t="s">
        <v>131</v>
      </c>
      <c r="BU6" s="865">
        <v>1.5</v>
      </c>
      <c r="BV6" s="866">
        <f>BU6</f>
        <v>1.5</v>
      </c>
      <c r="BW6" s="865">
        <v>73.849999999999994</v>
      </c>
      <c r="BX6" s="866">
        <f>BW6</f>
        <v>73.849999999999994</v>
      </c>
      <c r="BY6" s="868">
        <f t="shared" ref="BY6:BY15" si="3">BU6+BW6</f>
        <v>75.349999999999994</v>
      </c>
      <c r="BZ6" s="866">
        <f>BY6</f>
        <v>75.349999999999994</v>
      </c>
      <c r="CJ6" s="1148" t="s">
        <v>131</v>
      </c>
      <c r="CK6" s="1802">
        <f t="shared" ref="CK6:CK12" si="4">AD24</f>
        <v>33.700000000000003</v>
      </c>
      <c r="CL6" s="1802">
        <f t="shared" ref="CL6:CL12" si="5">AJ24</f>
        <v>29.13111</v>
      </c>
      <c r="CM6" s="1802">
        <f t="shared" ref="CM6:CM12" si="6">AG24</f>
        <v>44.029589999999999</v>
      </c>
    </row>
    <row r="7" spans="3:91" ht="26.25" customHeight="1" x14ac:dyDescent="0.5">
      <c r="C7" s="903" t="s">
        <v>132</v>
      </c>
      <c r="D7" s="899">
        <v>0</v>
      </c>
      <c r="E7" s="285">
        <v>0.5</v>
      </c>
      <c r="F7" s="882">
        <f t="shared" ref="F7:F16" si="7">SUM(D7:E7)</f>
        <v>0.5</v>
      </c>
      <c r="G7" s="899">
        <v>0</v>
      </c>
      <c r="H7" s="285">
        <v>-0.11260669999999884</v>
      </c>
      <c r="I7" s="882">
        <f t="shared" ref="I7:I16" si="8">SUM(G7:H7)</f>
        <v>-0.11260669999999884</v>
      </c>
      <c r="J7" s="347">
        <v>1.63</v>
      </c>
      <c r="K7" s="289">
        <v>73.8</v>
      </c>
      <c r="L7" s="900">
        <f t="shared" ref="L7:L16" si="9">SUM(J7:K7)</f>
        <v>75.429999999999993</v>
      </c>
      <c r="M7" s="893" t="s">
        <v>221</v>
      </c>
      <c r="N7" s="887">
        <f t="shared" ref="N7:N16" si="10">(H7-E7)/E7*100</f>
        <v>-122.52133999999977</v>
      </c>
      <c r="O7" s="888">
        <f t="shared" ref="O7:O16" si="11">(I7-F7)/F7*100</f>
        <v>-122.52133999999977</v>
      </c>
      <c r="P7" s="887">
        <f t="shared" ref="P7:P16" si="12">(G7-J7)/J7*100</f>
        <v>-100</v>
      </c>
      <c r="Q7" s="887">
        <f t="shared" ref="Q7:Q16" si="13">(H7-K7)/K7*100</f>
        <v>-100.15258360433606</v>
      </c>
      <c r="R7" s="894">
        <f t="shared" ref="R7:R16" si="14">(I7-L7)/L7*100</f>
        <v>-100.14928635821292</v>
      </c>
      <c r="S7" s="883"/>
      <c r="T7" s="883"/>
      <c r="U7" s="883"/>
      <c r="V7" s="883">
        <v>31</v>
      </c>
      <c r="X7" s="1077" t="s">
        <v>132</v>
      </c>
      <c r="Y7" s="857">
        <v>1.86</v>
      </c>
      <c r="Z7" s="857">
        <v>80.39</v>
      </c>
      <c r="AA7" s="1258">
        <f t="shared" ref="AA7:AA18" si="15">SUM(Y7:Z7)</f>
        <v>82.25</v>
      </c>
      <c r="AB7" s="1324">
        <f>'TARGET 23-24'!B92</f>
        <v>0.98</v>
      </c>
      <c r="AC7" s="1323">
        <f>'TARGET 23-24'!C92</f>
        <v>81.14</v>
      </c>
      <c r="AD7" s="1324">
        <f t="shared" ref="AD7:AD15" si="16">SUM(AB7:AC7)</f>
        <v>82.12</v>
      </c>
      <c r="AE7" s="1324">
        <f>'ACTUAL- 23-24'!E4/10000000</f>
        <v>1.1882771999999999</v>
      </c>
      <c r="AF7" s="1324">
        <f>'ACTUAL- 23-24'!H4/10000000</f>
        <v>92.928104500000003</v>
      </c>
      <c r="AG7" s="1324">
        <f t="shared" ref="AG7:AG18" si="17">SUM(AE7:AF7)</f>
        <v>94.116381700000005</v>
      </c>
      <c r="AH7" s="1258">
        <f>'actual fig'!L5/10000000</f>
        <v>0.84492449999999997</v>
      </c>
      <c r="AI7" s="1258">
        <f>('actual fig'!M5+'actual fig'!N5)/10000000</f>
        <v>74.8961489</v>
      </c>
      <c r="AJ7" s="1078">
        <f>SUM(AH7:AI7)</f>
        <v>75.741073400000005</v>
      </c>
      <c r="AK7" s="285">
        <v>3.6307567999999998E-2</v>
      </c>
      <c r="AL7" s="285">
        <v>15.4711026</v>
      </c>
      <c r="AM7" s="1078">
        <f t="shared" ref="AM7:AM13" si="18">SUM(AK7:AL7)</f>
        <v>15.507410168</v>
      </c>
      <c r="AN7" s="1889">
        <f t="shared" ref="AN7:AN8" si="19">(AE7-AB7)/AB7*100</f>
        <v>21.252775510204074</v>
      </c>
      <c r="AO7" s="1889">
        <f t="shared" ref="AO7:AO8" si="20">(AF7-AC7)/AC7*100</f>
        <v>14.528105126941092</v>
      </c>
      <c r="AP7" s="1889">
        <f t="shared" ref="AP7:AP8" si="21">(AG7-AD7)/AD7*100</f>
        <v>14.608355698977107</v>
      </c>
      <c r="AQ7" s="1889">
        <v>0</v>
      </c>
      <c r="AR7" s="1889">
        <v>-0.1126067</v>
      </c>
      <c r="AS7" s="1889">
        <f t="shared" ref="AS7:AS18" si="22">SUM(AQ7:AR7)</f>
        <v>-0.1126067</v>
      </c>
      <c r="AT7" s="1889">
        <f t="shared" ref="AT7:AT8" si="23">(AE7-AH7)/AH7*100</f>
        <v>40.637086508912923</v>
      </c>
      <c r="AU7" s="1889">
        <f t="shared" ref="AU7:AU8" si="24">(AF7-AI7)/AI7*100</f>
        <v>24.075944978260431</v>
      </c>
      <c r="AV7" s="1889">
        <f>(AG7-AJ7)/AJ7*100</f>
        <v>24.260691689642726</v>
      </c>
      <c r="AW7" s="289">
        <v>1.63</v>
      </c>
      <c r="AX7" s="289">
        <v>73.8</v>
      </c>
      <c r="AY7" s="857">
        <f t="shared" ref="AY7:AY18" si="25">SUM(AW7:AX7)</f>
        <v>75.429999999999993</v>
      </c>
      <c r="AZ7" s="887">
        <f t="shared" si="0"/>
        <v>40.637086508912923</v>
      </c>
      <c r="BA7" s="887">
        <f t="shared" si="0"/>
        <v>24.075944978260431</v>
      </c>
      <c r="BB7" s="887">
        <f t="shared" si="0"/>
        <v>24.260691689642726</v>
      </c>
      <c r="BC7" s="1501">
        <f t="shared" si="1"/>
        <v>21.252775510204074</v>
      </c>
      <c r="BD7" s="1501">
        <f t="shared" si="1"/>
        <v>14.528105126941092</v>
      </c>
      <c r="BE7" s="1501">
        <f t="shared" si="1"/>
        <v>14.608355698977107</v>
      </c>
      <c r="BL7" s="284" t="s">
        <v>132</v>
      </c>
      <c r="BM7" s="865">
        <v>26.98</v>
      </c>
      <c r="BN7" s="866">
        <f t="shared" ref="BN7:BN12" si="26">BN6+BM7</f>
        <v>52.05</v>
      </c>
      <c r="BO7" s="865">
        <v>38.520000000000003</v>
      </c>
      <c r="BP7" s="867">
        <f t="shared" ref="BP7:BP12" si="27">BP6+BO7</f>
        <v>76.540000000000006</v>
      </c>
      <c r="BQ7" s="868">
        <f t="shared" si="2"/>
        <v>65.5</v>
      </c>
      <c r="BR7" s="867">
        <f t="shared" ref="BR7:BR12" si="28">BR6+BQ7</f>
        <v>128.59</v>
      </c>
      <c r="BT7" s="284" t="s">
        <v>132</v>
      </c>
      <c r="BU7" s="865">
        <v>1.63</v>
      </c>
      <c r="BV7" s="866">
        <f t="shared" ref="BV7:BV12" si="29">BV6+BU7</f>
        <v>3.13</v>
      </c>
      <c r="BW7" s="865">
        <v>73.8</v>
      </c>
      <c r="BX7" s="866">
        <f t="shared" ref="BX7:BX12" si="30">BX6+BW7</f>
        <v>147.64999999999998</v>
      </c>
      <c r="BY7" s="868">
        <f t="shared" si="3"/>
        <v>75.429999999999993</v>
      </c>
      <c r="BZ7" s="866">
        <f t="shared" ref="BZ7:BZ12" si="31">BZ6+BY7</f>
        <v>150.77999999999997</v>
      </c>
      <c r="CJ7" s="1148" t="s">
        <v>132</v>
      </c>
      <c r="CK7" s="1802">
        <f t="shared" si="4"/>
        <v>36.900000000000006</v>
      </c>
      <c r="CL7" s="1802">
        <f t="shared" si="5"/>
        <v>31.91386</v>
      </c>
      <c r="CM7" s="1802">
        <f t="shared" si="6"/>
        <v>46.799399999999999</v>
      </c>
    </row>
    <row r="8" spans="3:91" ht="26.25" customHeight="1" x14ac:dyDescent="0.5">
      <c r="C8" s="903" t="s">
        <v>51</v>
      </c>
      <c r="D8" s="899">
        <v>0</v>
      </c>
      <c r="E8" s="285">
        <v>5.26</v>
      </c>
      <c r="F8" s="882">
        <f t="shared" si="7"/>
        <v>5.26</v>
      </c>
      <c r="G8" s="899">
        <v>0</v>
      </c>
      <c r="H8" s="285">
        <v>5.7114256000000001</v>
      </c>
      <c r="I8" s="882">
        <f t="shared" si="8"/>
        <v>5.7114256000000001</v>
      </c>
      <c r="J8" s="347">
        <v>1.95</v>
      </c>
      <c r="K8" s="289">
        <v>78.37</v>
      </c>
      <c r="L8" s="900">
        <f t="shared" si="9"/>
        <v>80.320000000000007</v>
      </c>
      <c r="M8" s="893" t="s">
        <v>221</v>
      </c>
      <c r="N8" s="887">
        <f t="shared" si="10"/>
        <v>8.5822357414448724</v>
      </c>
      <c r="O8" s="888">
        <f t="shared" si="11"/>
        <v>8.5822357414448724</v>
      </c>
      <c r="P8" s="887">
        <f t="shared" si="12"/>
        <v>-100</v>
      </c>
      <c r="Q8" s="887">
        <f t="shared" si="13"/>
        <v>-92.712229679724388</v>
      </c>
      <c r="R8" s="894">
        <f t="shared" si="14"/>
        <v>-92.889161354581674</v>
      </c>
      <c r="S8" s="883"/>
      <c r="T8" s="883"/>
      <c r="U8" s="883"/>
      <c r="V8" s="883">
        <v>31</v>
      </c>
      <c r="X8" s="1077" t="s">
        <v>133</v>
      </c>
      <c r="Y8" s="857">
        <v>1.94</v>
      </c>
      <c r="Z8" s="857">
        <v>87.23</v>
      </c>
      <c r="AA8" s="1258">
        <f t="shared" si="15"/>
        <v>89.17</v>
      </c>
      <c r="AB8" s="1324">
        <f>'TARGET 23-24'!B93</f>
        <v>0.99</v>
      </c>
      <c r="AC8" s="1323">
        <f>'TARGET 23-24'!C93</f>
        <v>83.97</v>
      </c>
      <c r="AD8" s="1324">
        <f t="shared" si="16"/>
        <v>84.96</v>
      </c>
      <c r="AE8" s="1324">
        <f>'ACTUAL- 23-24'!E5/10000000</f>
        <v>1.1307984</v>
      </c>
      <c r="AF8" s="1324">
        <f>'ACTUAL- 23-24'!H5/10000000</f>
        <v>88.844433899999999</v>
      </c>
      <c r="AG8" s="1510">
        <f t="shared" si="17"/>
        <v>89.975232300000002</v>
      </c>
      <c r="AH8" s="1258">
        <f>'actual fig'!L6/10000000</f>
        <v>0.86312160000000004</v>
      </c>
      <c r="AI8" s="1258">
        <f>('actual fig'!M6+'actual fig'!N6)/10000000</f>
        <v>76.880761399999997</v>
      </c>
      <c r="AJ8" s="1078">
        <f t="shared" ref="AJ8:AJ18" si="32">SUM(AH8:AI8)</f>
        <v>77.743882999999997</v>
      </c>
      <c r="AK8" s="285">
        <v>5.7094699999999998E-2</v>
      </c>
      <c r="AL8" s="285">
        <v>30.461698500000001</v>
      </c>
      <c r="AM8" s="1078">
        <f t="shared" si="18"/>
        <v>30.518793200000001</v>
      </c>
      <c r="AN8" s="1889">
        <f t="shared" si="19"/>
        <v>14.222060606060605</v>
      </c>
      <c r="AO8" s="1889">
        <f t="shared" si="20"/>
        <v>5.8049707038227938</v>
      </c>
      <c r="AP8" s="1889">
        <f t="shared" si="21"/>
        <v>5.9030512005649811</v>
      </c>
      <c r="AQ8" s="1889">
        <v>0</v>
      </c>
      <c r="AR8" s="1889">
        <v>-3.1032923000000001</v>
      </c>
      <c r="AS8" s="1889">
        <f t="shared" si="22"/>
        <v>-3.1032923000000001</v>
      </c>
      <c r="AT8" s="1889">
        <f t="shared" si="23"/>
        <v>31.012640629084004</v>
      </c>
      <c r="AU8" s="1889">
        <f t="shared" si="24"/>
        <v>15.561334568156346</v>
      </c>
      <c r="AV8" s="1889">
        <f t="shared" ref="AV8" si="33">(AG8-AJ8)/AJ8*100</f>
        <v>15.732876758934211</v>
      </c>
      <c r="AW8" s="289">
        <v>1.72</v>
      </c>
      <c r="AX8" s="289">
        <v>79.180000000000007</v>
      </c>
      <c r="AY8" s="857">
        <f t="shared" si="25"/>
        <v>80.900000000000006</v>
      </c>
      <c r="AZ8" s="887"/>
      <c r="BA8" s="887"/>
      <c r="BB8" s="887"/>
      <c r="BC8" s="865"/>
      <c r="BD8" s="865"/>
      <c r="BE8" s="865"/>
      <c r="BL8" s="284" t="s">
        <v>51</v>
      </c>
      <c r="BM8" s="865">
        <v>33.75</v>
      </c>
      <c r="BN8" s="866" t="e">
        <f>#REF!+BM8</f>
        <v>#REF!</v>
      </c>
      <c r="BO8" s="865">
        <v>34.85</v>
      </c>
      <c r="BP8" s="867" t="e">
        <f>#REF!+BO8</f>
        <v>#REF!</v>
      </c>
      <c r="BQ8" s="868">
        <f t="shared" si="2"/>
        <v>68.599999999999994</v>
      </c>
      <c r="BR8" s="867" t="e">
        <f>#REF!+BQ8</f>
        <v>#REF!</v>
      </c>
      <c r="BT8" s="284" t="s">
        <v>51</v>
      </c>
      <c r="BU8" s="865">
        <v>1.95</v>
      </c>
      <c r="BV8" s="866" t="e">
        <f>#REF!+BU8</f>
        <v>#REF!</v>
      </c>
      <c r="BW8" s="865">
        <v>78.37</v>
      </c>
      <c r="BX8" s="866" t="e">
        <f>#REF!+BW8</f>
        <v>#REF!</v>
      </c>
      <c r="BY8" s="868">
        <f t="shared" si="3"/>
        <v>80.320000000000007</v>
      </c>
      <c r="BZ8" s="866" t="e">
        <f>#REF!+BY8</f>
        <v>#REF!</v>
      </c>
      <c r="CJ8" s="1148" t="s">
        <v>133</v>
      </c>
      <c r="CK8" s="1802">
        <f t="shared" si="4"/>
        <v>38.5</v>
      </c>
      <c r="CL8" s="1802">
        <f t="shared" si="5"/>
        <v>33.091099999999997</v>
      </c>
      <c r="CM8" s="1802">
        <f t="shared" si="6"/>
        <v>43.931340000000006</v>
      </c>
    </row>
    <row r="9" spans="3:91" ht="26.25" customHeight="1" x14ac:dyDescent="0.5">
      <c r="C9" s="903" t="s">
        <v>134</v>
      </c>
      <c r="D9" s="899">
        <v>0</v>
      </c>
      <c r="E9" s="285">
        <v>4.97</v>
      </c>
      <c r="F9" s="882">
        <f t="shared" si="7"/>
        <v>4.97</v>
      </c>
      <c r="G9" s="899">
        <v>6.8099999999999996E-4</v>
      </c>
      <c r="H9" s="285">
        <v>6.9647136000000005</v>
      </c>
      <c r="I9" s="882">
        <f t="shared" si="8"/>
        <v>6.9653946000000007</v>
      </c>
      <c r="J9" s="347">
        <v>1.75</v>
      </c>
      <c r="K9" s="289">
        <v>63.12</v>
      </c>
      <c r="L9" s="900">
        <f t="shared" si="9"/>
        <v>64.87</v>
      </c>
      <c r="M9" s="893" t="s">
        <v>221</v>
      </c>
      <c r="N9" s="887">
        <f t="shared" si="10"/>
        <v>40.135082494969836</v>
      </c>
      <c r="O9" s="888">
        <f t="shared" si="11"/>
        <v>40.148784708249522</v>
      </c>
      <c r="P9" s="887">
        <f t="shared" si="12"/>
        <v>-99.961085714285716</v>
      </c>
      <c r="Q9" s="887">
        <f t="shared" si="13"/>
        <v>-88.965916349809888</v>
      </c>
      <c r="R9" s="894">
        <f t="shared" si="14"/>
        <v>-89.26253337444119</v>
      </c>
      <c r="S9" s="883"/>
      <c r="T9" s="883"/>
      <c r="U9" s="883"/>
      <c r="V9" s="883">
        <v>31</v>
      </c>
      <c r="X9" s="1077" t="s">
        <v>51</v>
      </c>
      <c r="Y9" s="857">
        <v>2.21</v>
      </c>
      <c r="Z9" s="857">
        <v>86.01</v>
      </c>
      <c r="AA9" s="1258">
        <f t="shared" si="15"/>
        <v>88.22</v>
      </c>
      <c r="AB9" s="1324">
        <f>'TARGET 23-24'!B94</f>
        <v>1.06</v>
      </c>
      <c r="AC9" s="1323">
        <f>'TARGET 23-24'!C94</f>
        <v>96.04</v>
      </c>
      <c r="AD9" s="1324">
        <f t="shared" si="16"/>
        <v>97.100000000000009</v>
      </c>
      <c r="AE9" s="1324">
        <f>'ACTUAL- 23-24'!E6/10000000</f>
        <v>1.3062503000000001</v>
      </c>
      <c r="AF9" s="1324">
        <f>'ACTUAL- 23-24'!H6/10000000</f>
        <v>117.2740182</v>
      </c>
      <c r="AG9" s="1510">
        <f t="shared" si="17"/>
        <v>118.5802685</v>
      </c>
      <c r="AH9" s="1258">
        <f>'actual fig'!L7/10000000</f>
        <v>0.93236140000000001</v>
      </c>
      <c r="AI9" s="1258">
        <f>('actual fig'!M7+'actual fig'!N7)/10000000</f>
        <v>87.370378000000002</v>
      </c>
      <c r="AJ9" s="1078">
        <f t="shared" si="32"/>
        <v>88.302739400000007</v>
      </c>
      <c r="AK9" s="285">
        <v>6.56606E-2</v>
      </c>
      <c r="AL9" s="285">
        <v>45.158219000000003</v>
      </c>
      <c r="AM9" s="1078">
        <f t="shared" si="18"/>
        <v>45.223879600000004</v>
      </c>
      <c r="AN9" s="1889">
        <f t="shared" ref="AN9" si="34">(AE9-AB9)/AB9*100</f>
        <v>23.231160377358492</v>
      </c>
      <c r="AO9" s="1889">
        <f t="shared" ref="AO9" si="35">(AF9-AC9)/AC9*100</f>
        <v>22.109556643065382</v>
      </c>
      <c r="AP9" s="1889">
        <f t="shared" ref="AP9" si="36">(AG9-AD9)/AD9*100</f>
        <v>22.121800720906272</v>
      </c>
      <c r="AQ9" s="1889">
        <v>0</v>
      </c>
      <c r="AR9" s="1889">
        <v>5.7114256000000001</v>
      </c>
      <c r="AS9" s="1889">
        <f t="shared" si="22"/>
        <v>5.7114256000000001</v>
      </c>
      <c r="AT9" s="1889">
        <f t="shared" ref="AT9" si="37">(AE9-AH9)/AH9*100</f>
        <v>40.101284759321878</v>
      </c>
      <c r="AU9" s="1889">
        <f t="shared" ref="AU9" si="38">(AF9-AI9)/AI9*100</f>
        <v>34.226291432549367</v>
      </c>
      <c r="AV9" s="1889">
        <f t="shared" ref="AV9" si="39">(AG9-AJ9)/AJ9*100</f>
        <v>34.28832367572052</v>
      </c>
      <c r="AW9" s="289">
        <v>1.95</v>
      </c>
      <c r="AX9" s="289">
        <v>78.37</v>
      </c>
      <c r="AY9" s="857">
        <f t="shared" si="25"/>
        <v>80.320000000000007</v>
      </c>
      <c r="AZ9" s="887"/>
      <c r="BA9" s="887"/>
      <c r="BB9" s="887"/>
      <c r="BC9" s="865"/>
      <c r="BD9" s="865"/>
      <c r="BE9" s="865"/>
      <c r="BL9" s="284" t="s">
        <v>134</v>
      </c>
      <c r="BM9" s="865">
        <v>31.46</v>
      </c>
      <c r="BN9" s="866" t="e">
        <f>BN8+BM9</f>
        <v>#REF!</v>
      </c>
      <c r="BO9" s="865">
        <v>27.97</v>
      </c>
      <c r="BP9" s="867" t="e">
        <f>BP8+BO9</f>
        <v>#REF!</v>
      </c>
      <c r="BQ9" s="288">
        <f t="shared" si="2"/>
        <v>59.43</v>
      </c>
      <c r="BR9" s="867" t="e">
        <f>BR8+BQ9</f>
        <v>#REF!</v>
      </c>
      <c r="BT9" s="284" t="s">
        <v>134</v>
      </c>
      <c r="BU9" s="865">
        <v>1.75</v>
      </c>
      <c r="BV9" s="866" t="e">
        <f>BV8+BU9</f>
        <v>#REF!</v>
      </c>
      <c r="BW9" s="865">
        <v>63.12</v>
      </c>
      <c r="BX9" s="866" t="e">
        <f>BX8+BW9</f>
        <v>#REF!</v>
      </c>
      <c r="BY9" s="288">
        <f t="shared" si="3"/>
        <v>64.87</v>
      </c>
      <c r="BZ9" s="866" t="e">
        <f>BZ8+BY9</f>
        <v>#REF!</v>
      </c>
      <c r="CJ9" s="1148" t="s">
        <v>51</v>
      </c>
      <c r="CK9" s="1802">
        <f t="shared" si="4"/>
        <v>42</v>
      </c>
      <c r="CL9" s="1802">
        <f t="shared" si="5"/>
        <v>36.372059999999998</v>
      </c>
      <c r="CM9" s="1802">
        <f t="shared" si="6"/>
        <v>47.603440000000006</v>
      </c>
    </row>
    <row r="10" spans="3:91" ht="26.25" customHeight="1" x14ac:dyDescent="0.5">
      <c r="C10" s="903"/>
      <c r="D10" s="899"/>
      <c r="E10" s="285"/>
      <c r="F10" s="882"/>
      <c r="G10" s="899"/>
      <c r="H10" s="285"/>
      <c r="I10" s="882"/>
      <c r="J10" s="347"/>
      <c r="K10" s="289"/>
      <c r="L10" s="900"/>
      <c r="M10" s="893"/>
      <c r="N10" s="887"/>
      <c r="O10" s="888"/>
      <c r="P10" s="887"/>
      <c r="Q10" s="887"/>
      <c r="R10" s="894"/>
      <c r="S10" s="883"/>
      <c r="T10" s="883"/>
      <c r="U10" s="883"/>
      <c r="V10" s="883"/>
      <c r="X10" s="1077" t="s">
        <v>134</v>
      </c>
      <c r="Y10" s="857">
        <v>1.96</v>
      </c>
      <c r="Z10" s="857">
        <v>67.94</v>
      </c>
      <c r="AA10" s="1258">
        <f>SUM(Y10:Z10)</f>
        <v>69.899999999999991</v>
      </c>
      <c r="AB10" s="1324">
        <f>'TARGET 23-24'!B95</f>
        <v>1.1499999999999999</v>
      </c>
      <c r="AC10" s="1323">
        <f>'TARGET 23-24'!C95</f>
        <v>92.46</v>
      </c>
      <c r="AD10" s="1324">
        <f t="shared" si="16"/>
        <v>93.61</v>
      </c>
      <c r="AE10" s="1324">
        <f>'ACTUAL- 23-24'!E7/10000000</f>
        <v>1.2690824999999999</v>
      </c>
      <c r="AF10" s="1324">
        <f>'ACTUAL- 23-24'!H7/10000000</f>
        <v>103.5988608</v>
      </c>
      <c r="AG10" s="1510">
        <f t="shared" si="17"/>
        <v>104.86794329999999</v>
      </c>
      <c r="AH10" s="1258">
        <f>'actual fig'!L8/10000000</f>
        <v>0.99882210000000005</v>
      </c>
      <c r="AI10" s="1258">
        <f>('actual fig'!M8+'actual fig'!N8)/10000000</f>
        <v>84.730243299999998</v>
      </c>
      <c r="AJ10" s="1078">
        <f>SUM(AH10:AI10)</f>
        <v>85.729065399999996</v>
      </c>
      <c r="AK10" s="285">
        <v>8.4121825999999997E-2</v>
      </c>
      <c r="AL10" s="285">
        <v>51.614201800000004</v>
      </c>
      <c r="AM10" s="1078">
        <f>SUM(AK10:AL10)</f>
        <v>51.698323626000004</v>
      </c>
      <c r="AN10" s="1889">
        <f>(AE10-AB10)/AB10*100</f>
        <v>10.354999999999999</v>
      </c>
      <c r="AO10" s="1889">
        <f t="shared" ref="AO10" si="40">(AF10-AC10)/AC10*100</f>
        <v>12.047221284879953</v>
      </c>
      <c r="AP10" s="1889">
        <f t="shared" ref="AP10" si="41">(AG10-AD10)/AD10*100</f>
        <v>12.026432325606232</v>
      </c>
      <c r="AQ10" s="1889">
        <v>6.8099999999999996E-4</v>
      </c>
      <c r="AR10" s="1889">
        <v>6.9647135999999996</v>
      </c>
      <c r="AS10" s="1889">
        <f t="shared" si="22"/>
        <v>6.9653945999999998</v>
      </c>
      <c r="AT10" s="1889">
        <f>(AE10-AH10)/AH10*100</f>
        <v>27.057911513972293</v>
      </c>
      <c r="AU10" s="1889">
        <f t="shared" ref="AU10" si="42">(AF10-AI10)/AI10*100</f>
        <v>22.26904675960018</v>
      </c>
      <c r="AV10" s="1889">
        <f t="shared" ref="AV10" si="43">(AG10-AJ10)/AJ10*100</f>
        <v>22.324841418369175</v>
      </c>
      <c r="AW10" s="289">
        <v>1.48</v>
      </c>
      <c r="AX10" s="289">
        <v>69.349999999999994</v>
      </c>
      <c r="AY10" s="857">
        <f t="shared" si="25"/>
        <v>70.83</v>
      </c>
      <c r="AZ10" s="887"/>
      <c r="BA10" s="887"/>
      <c r="BB10" s="887"/>
      <c r="BC10" s="865"/>
      <c r="BD10" s="865"/>
      <c r="BE10" s="865"/>
      <c r="BL10" s="284"/>
      <c r="BM10" s="865"/>
      <c r="BN10" s="866"/>
      <c r="BO10" s="865"/>
      <c r="BP10" s="867"/>
      <c r="BQ10" s="288"/>
      <c r="BR10" s="867"/>
      <c r="BT10" s="284"/>
      <c r="BU10" s="865"/>
      <c r="BV10" s="866"/>
      <c r="BW10" s="865"/>
      <c r="BX10" s="866"/>
      <c r="BY10" s="288"/>
      <c r="BZ10" s="866"/>
      <c r="CJ10" s="1148" t="s">
        <v>134</v>
      </c>
      <c r="CK10" s="1802">
        <f t="shared" si="4"/>
        <v>45</v>
      </c>
      <c r="CL10" s="1802">
        <f t="shared" si="5"/>
        <v>38.737099999999998</v>
      </c>
      <c r="CM10" s="1802">
        <f t="shared" si="6"/>
        <v>49.227000000000004</v>
      </c>
    </row>
    <row r="11" spans="3:91" ht="26.25" customHeight="1" x14ac:dyDescent="0.5">
      <c r="C11" s="903" t="s">
        <v>136</v>
      </c>
      <c r="D11" s="346">
        <v>0.02</v>
      </c>
      <c r="E11" s="285">
        <v>9.98</v>
      </c>
      <c r="F11" s="882">
        <f t="shared" si="7"/>
        <v>10</v>
      </c>
      <c r="G11" s="346">
        <v>1.6473397000000001E-2</v>
      </c>
      <c r="H11" s="285">
        <v>18.9816094</v>
      </c>
      <c r="I11" s="882">
        <f t="shared" si="8"/>
        <v>18.998082796999999</v>
      </c>
      <c r="J11" s="347">
        <v>1.48</v>
      </c>
      <c r="K11" s="289">
        <v>69.349999999999994</v>
      </c>
      <c r="L11" s="900">
        <f t="shared" si="9"/>
        <v>70.83</v>
      </c>
      <c r="M11" s="893">
        <f>(G11-D11)/D11*100</f>
        <v>-17.633015</v>
      </c>
      <c r="N11" s="887">
        <f t="shared" si="10"/>
        <v>90.196486973947884</v>
      </c>
      <c r="O11" s="888">
        <f t="shared" si="11"/>
        <v>89.980827969999993</v>
      </c>
      <c r="P11" s="887">
        <f t="shared" si="12"/>
        <v>-98.886932635135139</v>
      </c>
      <c r="Q11" s="887">
        <f t="shared" si="13"/>
        <v>-72.629258255227114</v>
      </c>
      <c r="R11" s="894">
        <f t="shared" si="14"/>
        <v>-73.177915012000568</v>
      </c>
      <c r="S11" s="883"/>
      <c r="T11" s="883"/>
      <c r="U11" s="883"/>
      <c r="V11" s="883">
        <v>31</v>
      </c>
      <c r="X11" s="1077" t="s">
        <v>135</v>
      </c>
      <c r="Y11" s="857">
        <v>1.93</v>
      </c>
      <c r="Z11" s="857">
        <v>75.34</v>
      </c>
      <c r="AA11" s="1258">
        <f t="shared" si="15"/>
        <v>77.27000000000001</v>
      </c>
      <c r="AB11" s="1324">
        <f>'TARGET 23-24'!B96</f>
        <v>1.17</v>
      </c>
      <c r="AC11" s="1323">
        <f>'TARGET 23-24'!C96</f>
        <v>93.11</v>
      </c>
      <c r="AD11" s="1324">
        <f t="shared" si="16"/>
        <v>94.28</v>
      </c>
      <c r="AE11" s="1324">
        <f>'ACTUAL- 23-24'!E8/10000000</f>
        <v>1.1621068000000001</v>
      </c>
      <c r="AF11" s="1324">
        <f>'ACTUAL- 23-24'!H8/10000000</f>
        <v>94.917621999999994</v>
      </c>
      <c r="AG11" s="1510">
        <f t="shared" si="17"/>
        <v>96.079728799999998</v>
      </c>
      <c r="AH11" s="1258">
        <f>'actual fig'!L9/10000000</f>
        <v>1.0199491999999999</v>
      </c>
      <c r="AI11" s="1258">
        <f>('actual fig'!M9+'actual fig'!N9)/10000000</f>
        <v>84.994498399999998</v>
      </c>
      <c r="AJ11" s="1078">
        <f t="shared" si="32"/>
        <v>86.014447599999997</v>
      </c>
      <c r="AK11" s="285">
        <v>0.102888752</v>
      </c>
      <c r="AL11" s="285">
        <v>58.511461947999997</v>
      </c>
      <c r="AM11" s="1078">
        <f t="shared" si="18"/>
        <v>58.614350699999996</v>
      </c>
      <c r="AN11" s="1889">
        <f t="shared" ref="AN11:AN12" si="44">(AE11-AB11)/AB11*100</f>
        <v>-0.67463247863246356</v>
      </c>
      <c r="AO11" s="1889">
        <f t="shared" ref="AO11:AO12" si="45">(AF11-AC11)/AC11*100</f>
        <v>1.9413833100633604</v>
      </c>
      <c r="AP11" s="1889">
        <f t="shared" ref="AP11:AP12" si="46">(AG11-AD11)/AD11*100</f>
        <v>1.9089189647857414</v>
      </c>
      <c r="AQ11" s="1889">
        <v>1.1904999999999999E-3</v>
      </c>
      <c r="AR11" s="1889">
        <v>8.6655017000000001</v>
      </c>
      <c r="AS11" s="1889">
        <f t="shared" si="22"/>
        <v>8.6666922</v>
      </c>
      <c r="AT11" s="1889">
        <f t="shared" ref="AT11:AT12" si="47">(AE11-AH11)/AH11*100</f>
        <v>13.937713760646142</v>
      </c>
      <c r="AU11" s="1889">
        <f t="shared" ref="AU11:AU12" si="48">(AF11-AI11)/AI11*100</f>
        <v>11.675018720976411</v>
      </c>
      <c r="AV11" s="1889">
        <f t="shared" ref="AV11:AV12" si="49">(AG11-AJ11)/AJ11*100</f>
        <v>11.70184949254967</v>
      </c>
      <c r="AW11" s="289">
        <v>1.7</v>
      </c>
      <c r="AX11" s="289">
        <v>68.95</v>
      </c>
      <c r="AY11" s="857">
        <f t="shared" si="25"/>
        <v>70.650000000000006</v>
      </c>
      <c r="AZ11" s="887"/>
      <c r="BA11" s="887"/>
      <c r="BB11" s="887"/>
      <c r="BC11" s="865"/>
      <c r="BD11" s="865"/>
      <c r="BE11" s="865"/>
      <c r="BL11" s="284" t="s">
        <v>136</v>
      </c>
      <c r="BM11" s="865">
        <v>25.83</v>
      </c>
      <c r="BN11" s="866" t="e">
        <f>#REF!+BM11</f>
        <v>#REF!</v>
      </c>
      <c r="BO11" s="865">
        <v>35.19</v>
      </c>
      <c r="BP11" s="867" t="e">
        <f>#REF!+BO11</f>
        <v>#REF!</v>
      </c>
      <c r="BQ11" s="288">
        <f t="shared" si="2"/>
        <v>61.019999999999996</v>
      </c>
      <c r="BR11" s="867" t="e">
        <f>#REF!+BQ11</f>
        <v>#REF!</v>
      </c>
      <c r="BT11" s="284" t="s">
        <v>136</v>
      </c>
      <c r="BU11" s="865">
        <v>1.48</v>
      </c>
      <c r="BV11" s="866" t="e">
        <f>#REF!+BU11</f>
        <v>#REF!</v>
      </c>
      <c r="BW11" s="865">
        <v>69.349999999999994</v>
      </c>
      <c r="BX11" s="866" t="e">
        <f>#REF!+BW11</f>
        <v>#REF!</v>
      </c>
      <c r="BY11" s="869">
        <f t="shared" si="3"/>
        <v>70.83</v>
      </c>
      <c r="BZ11" s="866" t="e">
        <f>#REF!+BY11</f>
        <v>#REF!</v>
      </c>
      <c r="CJ11" s="1148" t="s">
        <v>135</v>
      </c>
      <c r="CK11" s="1802">
        <f t="shared" si="4"/>
        <v>48.9</v>
      </c>
      <c r="CL11" s="1802">
        <f t="shared" si="5"/>
        <v>42.093180000000004</v>
      </c>
      <c r="CM11" s="1802">
        <f t="shared" si="6"/>
        <v>46.398350000000001</v>
      </c>
    </row>
    <row r="12" spans="3:91" ht="26.25" customHeight="1" x14ac:dyDescent="0.5">
      <c r="C12" s="903" t="s">
        <v>137</v>
      </c>
      <c r="D12" s="346">
        <v>0.02</v>
      </c>
      <c r="E12" s="285">
        <v>17.559999999999999</v>
      </c>
      <c r="F12" s="882">
        <f t="shared" si="7"/>
        <v>17.579999999999998</v>
      </c>
      <c r="G12" s="346">
        <v>1.5498731E-2</v>
      </c>
      <c r="H12" s="285">
        <v>20.284775</v>
      </c>
      <c r="I12" s="882">
        <f t="shared" si="8"/>
        <v>20.300273731000001</v>
      </c>
      <c r="J12" s="347">
        <v>1.68</v>
      </c>
      <c r="K12" s="289">
        <v>75.55</v>
      </c>
      <c r="L12" s="900">
        <f t="shared" si="9"/>
        <v>77.23</v>
      </c>
      <c r="M12" s="893">
        <f>(G12-D12)/D12*100</f>
        <v>-22.506345000000003</v>
      </c>
      <c r="N12" s="887">
        <f t="shared" si="10"/>
        <v>15.516941913439641</v>
      </c>
      <c r="O12" s="888">
        <f t="shared" si="11"/>
        <v>15.473684476678059</v>
      </c>
      <c r="P12" s="887">
        <f t="shared" si="12"/>
        <v>-99.077456488095223</v>
      </c>
      <c r="Q12" s="887">
        <f t="shared" si="13"/>
        <v>-73.150529450694918</v>
      </c>
      <c r="R12" s="894">
        <f t="shared" si="14"/>
        <v>-73.71452320212353</v>
      </c>
      <c r="S12" s="883"/>
      <c r="T12" s="883"/>
      <c r="U12" s="883"/>
      <c r="V12" s="883"/>
      <c r="X12" s="1077" t="s">
        <v>136</v>
      </c>
      <c r="Y12" s="857">
        <v>1.78</v>
      </c>
      <c r="Z12" s="857">
        <v>70.849999999999994</v>
      </c>
      <c r="AA12" s="1258">
        <f t="shared" si="15"/>
        <v>72.63</v>
      </c>
      <c r="AB12" s="1324">
        <f>'TARGET 23-24'!B97</f>
        <v>1.1499999999999999</v>
      </c>
      <c r="AC12" s="1323">
        <f>'TARGET 23-24'!C97</f>
        <v>85.21</v>
      </c>
      <c r="AD12" s="1324">
        <f t="shared" si="16"/>
        <v>86.36</v>
      </c>
      <c r="AE12" s="1324">
        <f>'ACTUAL- 23-24'!E9/10000000</f>
        <v>1.1250362</v>
      </c>
      <c r="AF12" s="1324">
        <f>'ACTUAL- 23-24'!H9/10000000</f>
        <v>98.400023000000004</v>
      </c>
      <c r="AG12" s="1510">
        <f t="shared" si="17"/>
        <v>99.525059200000001</v>
      </c>
      <c r="AH12" s="1258">
        <f>'actual fig'!L10/10000000</f>
        <v>1.0036879000000001</v>
      </c>
      <c r="AI12" s="1258">
        <f>('actual fig'!M10+'actual fig'!N10)/10000000</f>
        <v>78.789452299999994</v>
      </c>
      <c r="AJ12" s="1078">
        <f t="shared" si="32"/>
        <v>79.793140199999996</v>
      </c>
      <c r="AK12" s="285">
        <v>0.12636130000000001</v>
      </c>
      <c r="AL12" s="285">
        <v>65.718717799999993</v>
      </c>
      <c r="AM12" s="1078">
        <f t="shared" si="18"/>
        <v>65.845079099999992</v>
      </c>
      <c r="AN12" s="1889">
        <f t="shared" si="44"/>
        <v>-2.1707652173912928</v>
      </c>
      <c r="AO12" s="1889">
        <f t="shared" si="45"/>
        <v>15.479430817979123</v>
      </c>
      <c r="AP12" s="1889">
        <f t="shared" si="46"/>
        <v>15.244394627142196</v>
      </c>
      <c r="AQ12" s="1889">
        <v>1.6473397000000001E-2</v>
      </c>
      <c r="AR12" s="1889">
        <v>18.9816094</v>
      </c>
      <c r="AS12" s="1889">
        <f t="shared" si="22"/>
        <v>18.998082796999999</v>
      </c>
      <c r="AT12" s="1889">
        <f t="shared" si="47"/>
        <v>12.090242395071213</v>
      </c>
      <c r="AU12" s="1889">
        <f t="shared" si="48"/>
        <v>24.889842647122972</v>
      </c>
      <c r="AV12" s="1889">
        <f t="shared" si="49"/>
        <v>24.728841289542338</v>
      </c>
      <c r="AW12" s="289">
        <v>1.48</v>
      </c>
      <c r="AX12" s="289">
        <v>69.349999999999994</v>
      </c>
      <c r="AY12" s="857">
        <f t="shared" si="25"/>
        <v>70.83</v>
      </c>
      <c r="AZ12" s="887"/>
      <c r="BA12" s="887"/>
      <c r="BB12" s="887"/>
      <c r="BC12" s="865"/>
      <c r="BD12" s="865"/>
      <c r="BE12" s="865"/>
      <c r="BL12" s="284" t="s">
        <v>137</v>
      </c>
      <c r="BM12" s="870">
        <v>29.60632</v>
      </c>
      <c r="BN12" s="871" t="e">
        <f t="shared" si="26"/>
        <v>#REF!</v>
      </c>
      <c r="BO12" s="870">
        <v>36.81071</v>
      </c>
      <c r="BP12" s="872" t="e">
        <f t="shared" si="27"/>
        <v>#REF!</v>
      </c>
      <c r="BQ12" s="873">
        <f t="shared" si="2"/>
        <v>66.417029999999997</v>
      </c>
      <c r="BR12" s="872" t="e">
        <f t="shared" si="28"/>
        <v>#REF!</v>
      </c>
      <c r="BT12" s="284" t="s">
        <v>137</v>
      </c>
      <c r="BU12" s="865">
        <v>1.68</v>
      </c>
      <c r="BV12" s="866" t="e">
        <f t="shared" si="29"/>
        <v>#REF!</v>
      </c>
      <c r="BW12" s="865">
        <v>75.55</v>
      </c>
      <c r="BX12" s="866" t="e">
        <f t="shared" si="30"/>
        <v>#REF!</v>
      </c>
      <c r="BY12" s="869">
        <f t="shared" si="3"/>
        <v>77.23</v>
      </c>
      <c r="BZ12" s="866" t="e">
        <f t="shared" si="31"/>
        <v>#REF!</v>
      </c>
      <c r="CJ12" s="1148" t="s">
        <v>136</v>
      </c>
      <c r="CK12" s="1802">
        <f t="shared" si="4"/>
        <v>48.300000000000004</v>
      </c>
      <c r="CL12" s="1802">
        <f t="shared" si="5"/>
        <v>41.556479999999993</v>
      </c>
      <c r="CM12" s="1802">
        <f t="shared" si="6"/>
        <v>47.090609999999998</v>
      </c>
    </row>
    <row r="13" spans="3:91" ht="26.25" customHeight="1" x14ac:dyDescent="0.5">
      <c r="C13" s="903"/>
      <c r="D13" s="346"/>
      <c r="E13" s="285"/>
      <c r="F13" s="882"/>
      <c r="G13" s="346"/>
      <c r="H13" s="285"/>
      <c r="I13" s="882"/>
      <c r="J13" s="347"/>
      <c r="K13" s="289"/>
      <c r="L13" s="900"/>
      <c r="M13" s="893"/>
      <c r="N13" s="887"/>
      <c r="O13" s="888"/>
      <c r="P13" s="887"/>
      <c r="Q13" s="887"/>
      <c r="R13" s="894"/>
      <c r="S13" s="883"/>
      <c r="T13" s="883"/>
      <c r="U13" s="883"/>
      <c r="V13" s="883"/>
      <c r="X13" s="1077" t="s">
        <v>137</v>
      </c>
      <c r="Y13" s="857">
        <v>1.91</v>
      </c>
      <c r="Z13" s="857">
        <v>82.67</v>
      </c>
      <c r="AA13" s="1258">
        <f t="shared" si="15"/>
        <v>84.58</v>
      </c>
      <c r="AB13" s="1324">
        <f>'TARGET 23-24'!B98</f>
        <v>1.24</v>
      </c>
      <c r="AC13" s="1323">
        <f>'TARGET 23-24'!C98</f>
        <v>98.28</v>
      </c>
      <c r="AD13" s="1324">
        <f t="shared" si="16"/>
        <v>99.52</v>
      </c>
      <c r="AE13" s="1324">
        <f>'ACTUAL- 23-24'!E10/10000000</f>
        <v>1.0810917</v>
      </c>
      <c r="AF13" s="1324">
        <f>'ACTUAL- 23-24'!H10/10000000</f>
        <v>98.678548000000006</v>
      </c>
      <c r="AG13" s="1510">
        <f t="shared" si="17"/>
        <v>99.759639700000008</v>
      </c>
      <c r="AH13" s="1258">
        <f>'actual fig'!L11/10000000</f>
        <v>1.0817189</v>
      </c>
      <c r="AI13" s="1258">
        <f>('actual fig'!M11+'actual fig'!N11)/10000000</f>
        <v>89.722424500000002</v>
      </c>
      <c r="AJ13" s="1078">
        <f t="shared" si="32"/>
        <v>90.804143400000001</v>
      </c>
      <c r="AK13" s="285">
        <v>0.1958308</v>
      </c>
      <c r="AL13" s="285">
        <v>62.062844499999997</v>
      </c>
      <c r="AM13" s="1078">
        <f t="shared" si="18"/>
        <v>62.2586753</v>
      </c>
      <c r="AN13" s="1889">
        <f>(AE13-AB13)/AB13*100</f>
        <v>-12.815185483870966</v>
      </c>
      <c r="AO13" s="1889">
        <f t="shared" ref="AO13" si="50">(AF13-AC13)/AC13*100</f>
        <v>0.40552299552300086</v>
      </c>
      <c r="AP13" s="1889">
        <f t="shared" ref="AP13" si="51">(AG13-AD13)/AD13*100</f>
        <v>0.24079551848875816</v>
      </c>
      <c r="AQ13" s="1889">
        <v>1.5498731E-2</v>
      </c>
      <c r="AR13" s="1889">
        <v>20.284775</v>
      </c>
      <c r="AS13" s="1889">
        <f t="shared" si="22"/>
        <v>20.300273731000001</v>
      </c>
      <c r="AT13" s="1889">
        <f t="shared" ref="AT13" si="52">(AE13-AH13)/AH13*100</f>
        <v>-5.7981791757549014E-2</v>
      </c>
      <c r="AU13" s="1889">
        <f t="shared" ref="AU13" si="53">(AF13-AI13)/AI13*100</f>
        <v>9.9820346473138422</v>
      </c>
      <c r="AV13" s="1889">
        <f t="shared" ref="AV13" si="54">(AG13-AJ13)/AJ13*100</f>
        <v>9.8624313436340465</v>
      </c>
      <c r="AW13" s="289">
        <v>1.68</v>
      </c>
      <c r="AX13" s="289">
        <v>75.55</v>
      </c>
      <c r="AY13" s="857">
        <f t="shared" si="25"/>
        <v>77.23</v>
      </c>
      <c r="AZ13" s="887"/>
      <c r="BA13" s="887"/>
      <c r="BB13" s="887"/>
      <c r="BC13" s="865"/>
      <c r="BD13" s="865"/>
      <c r="BE13" s="865"/>
      <c r="BL13" s="284"/>
      <c r="BM13" s="870"/>
      <c r="BN13" s="871"/>
      <c r="BO13" s="870"/>
      <c r="BP13" s="872"/>
      <c r="BQ13" s="873"/>
      <c r="BR13" s="872"/>
      <c r="BT13" s="284"/>
      <c r="BU13" s="865"/>
      <c r="BV13" s="866"/>
      <c r="BW13" s="865"/>
      <c r="BX13" s="866"/>
      <c r="BY13" s="869"/>
      <c r="BZ13" s="866"/>
      <c r="CJ13" s="1148" t="s">
        <v>1004</v>
      </c>
      <c r="CK13" s="1806">
        <f>SUM(CK6:CK12)</f>
        <v>293.3</v>
      </c>
      <c r="CL13" s="1806">
        <f t="shared" ref="CL13" si="55">SUM(CL6:CL12)</f>
        <v>252.89489</v>
      </c>
      <c r="CM13" s="1806">
        <f>SUM(CM6:CM12)</f>
        <v>325.07973000000004</v>
      </c>
    </row>
    <row r="14" spans="3:91" ht="26.25" customHeight="1" x14ac:dyDescent="0.5">
      <c r="C14" s="903" t="s">
        <v>138</v>
      </c>
      <c r="D14" s="346">
        <v>0.02</v>
      </c>
      <c r="E14" s="285">
        <v>47</v>
      </c>
      <c r="F14" s="882">
        <f t="shared" si="7"/>
        <v>47.02</v>
      </c>
      <c r="G14" s="346">
        <v>2.5583986999999999E-2</v>
      </c>
      <c r="H14" s="285">
        <v>29.123975999999999</v>
      </c>
      <c r="I14" s="882">
        <f t="shared" si="8"/>
        <v>29.149559987</v>
      </c>
      <c r="J14" s="347">
        <v>1.78</v>
      </c>
      <c r="K14" s="289">
        <v>76.5</v>
      </c>
      <c r="L14" s="900">
        <f t="shared" si="9"/>
        <v>78.28</v>
      </c>
      <c r="M14" s="893">
        <f>(G14-D14)/D14*100</f>
        <v>27.919934999999992</v>
      </c>
      <c r="N14" s="887">
        <f t="shared" si="10"/>
        <v>-38.034093617021284</v>
      </c>
      <c r="O14" s="888">
        <f t="shared" si="11"/>
        <v>-38.006040010633782</v>
      </c>
      <c r="P14" s="887">
        <f t="shared" si="12"/>
        <v>-98.562697359550555</v>
      </c>
      <c r="Q14" s="887">
        <f t="shared" si="13"/>
        <v>-61.9294431372549</v>
      </c>
      <c r="R14" s="894">
        <f t="shared" si="14"/>
        <v>-62.762442530659172</v>
      </c>
      <c r="S14" s="883"/>
      <c r="T14" s="883"/>
      <c r="U14" s="883"/>
      <c r="V14" s="883"/>
      <c r="X14" s="1077" t="s">
        <v>138</v>
      </c>
      <c r="Y14" s="857">
        <v>2.0299999999999998</v>
      </c>
      <c r="Z14" s="857">
        <v>83.4</v>
      </c>
      <c r="AA14" s="1258">
        <f t="shared" si="15"/>
        <v>85.43</v>
      </c>
      <c r="AB14" s="1324">
        <f>'TARGET 23-24'!B99</f>
        <v>1.22</v>
      </c>
      <c r="AC14" s="1323">
        <f>'TARGET 23-24'!C99</f>
        <v>98.34</v>
      </c>
      <c r="AD14" s="1324">
        <f t="shared" si="16"/>
        <v>99.56</v>
      </c>
      <c r="AE14" s="1324">
        <f>'ACTUAL- 23-24'!E11/10000000</f>
        <v>1.0960202000000001</v>
      </c>
      <c r="AF14" s="1324">
        <f>'ACTUAL- 23-24'!H11/10000000</f>
        <v>106.9097088</v>
      </c>
      <c r="AG14" s="1510">
        <f t="shared" si="17"/>
        <v>108.005729</v>
      </c>
      <c r="AH14" s="1258">
        <f>'actual fig'!L12/10000000</f>
        <v>1.0631889000000001</v>
      </c>
      <c r="AI14" s="1258">
        <f>('actual fig'!M12+'actual fig'!N12)/10000000</f>
        <v>90.3573351</v>
      </c>
      <c r="AJ14" s="1078">
        <f t="shared" si="32"/>
        <v>91.420524</v>
      </c>
      <c r="AK14" s="285">
        <v>0.27969699999999997</v>
      </c>
      <c r="AL14" s="285">
        <v>60.04</v>
      </c>
      <c r="AM14" s="1078">
        <f>SUM(AK14:AL14)</f>
        <v>60.319696999999998</v>
      </c>
      <c r="AN14" s="1889">
        <f>(AE14-AB14)/AB14*100</f>
        <v>-10.162278688524578</v>
      </c>
      <c r="AO14" s="1889">
        <f t="shared" ref="AO14" si="56">(AF14-AC14)/AC14*100</f>
        <v>8.714367297132398</v>
      </c>
      <c r="AP14" s="1889">
        <f t="shared" ref="AP14" si="57">(AG14-AD14)/AD14*100</f>
        <v>8.4830544395339498</v>
      </c>
      <c r="AQ14" s="1889">
        <v>2.5583986999999999E-2</v>
      </c>
      <c r="AR14" s="1889">
        <v>29.123975999999999</v>
      </c>
      <c r="AS14" s="1889">
        <f t="shared" si="22"/>
        <v>29.149559987</v>
      </c>
      <c r="AT14" s="1889">
        <f t="shared" ref="AT14" si="58">(AE14-AH14)/AH14*100</f>
        <v>3.0880025177087536</v>
      </c>
      <c r="AU14" s="1889">
        <f t="shared" ref="AU14" si="59">(AF14-AI14)/AI14*100</f>
        <v>18.318793578497207</v>
      </c>
      <c r="AV14" s="1889">
        <f t="shared" ref="AV14" si="60">(AG14-AJ14)/AJ14*100</f>
        <v>18.141664775406451</v>
      </c>
      <c r="AW14" s="1801"/>
      <c r="AX14" s="1801"/>
      <c r="AY14" s="1799"/>
      <c r="AZ14" s="887"/>
      <c r="BA14" s="887"/>
      <c r="BB14" s="887"/>
      <c r="BC14" s="865"/>
      <c r="BD14" s="865"/>
      <c r="BE14" s="865"/>
      <c r="BL14" s="284" t="s">
        <v>138</v>
      </c>
      <c r="BM14" s="865">
        <v>31.63</v>
      </c>
      <c r="BN14" s="866" t="e">
        <f>BN12+BM14</f>
        <v>#REF!</v>
      </c>
      <c r="BO14" s="865">
        <v>37.549999999999997</v>
      </c>
      <c r="BP14" s="867" t="e">
        <f>BP12+BO14</f>
        <v>#REF!</v>
      </c>
      <c r="BQ14" s="869">
        <f t="shared" si="2"/>
        <v>69.179999999999993</v>
      </c>
      <c r="BR14" s="867" t="e">
        <f>BR12+BQ14</f>
        <v>#REF!</v>
      </c>
      <c r="BT14" s="284" t="s">
        <v>138</v>
      </c>
      <c r="BU14" s="865">
        <v>1.78</v>
      </c>
      <c r="BV14" s="866" t="e">
        <f>BV12+BU14</f>
        <v>#REF!</v>
      </c>
      <c r="BW14" s="865">
        <v>76.5</v>
      </c>
      <c r="BX14" s="866" t="e">
        <f>BX12+BW14</f>
        <v>#REF!</v>
      </c>
      <c r="BY14" s="869">
        <f t="shared" si="3"/>
        <v>78.28</v>
      </c>
      <c r="BZ14" s="866" t="e">
        <f>BZ12+BY14</f>
        <v>#REF!</v>
      </c>
      <c r="CJ14" s="865" t="s">
        <v>137</v>
      </c>
      <c r="CK14" s="1802">
        <f>AD13</f>
        <v>99.52</v>
      </c>
      <c r="CL14" s="1802">
        <f>AJ13</f>
        <v>90.804143400000001</v>
      </c>
      <c r="CM14" s="865"/>
    </row>
    <row r="15" spans="3:91" ht="26.25" customHeight="1" x14ac:dyDescent="0.5">
      <c r="C15" s="903" t="s">
        <v>140</v>
      </c>
      <c r="D15" s="346">
        <v>0.02</v>
      </c>
      <c r="E15" s="285">
        <v>45</v>
      </c>
      <c r="F15" s="882">
        <f t="shared" si="7"/>
        <v>45.02</v>
      </c>
      <c r="G15" s="346">
        <v>4.1974644999999998E-2</v>
      </c>
      <c r="H15" s="285">
        <v>40.734391600000002</v>
      </c>
      <c r="I15" s="882">
        <f t="shared" si="8"/>
        <v>40.776366245000006</v>
      </c>
      <c r="J15" s="347">
        <v>1.57</v>
      </c>
      <c r="K15" s="289">
        <v>78.14</v>
      </c>
      <c r="L15" s="900">
        <f t="shared" si="9"/>
        <v>79.709999999999994</v>
      </c>
      <c r="M15" s="893">
        <f>(G15-D15)/D15*100</f>
        <v>109.87322499999999</v>
      </c>
      <c r="N15" s="887">
        <f t="shared" si="10"/>
        <v>-9.4791297777777732</v>
      </c>
      <c r="O15" s="888">
        <f t="shared" si="11"/>
        <v>-9.4261078520657424</v>
      </c>
      <c r="P15" s="887">
        <f t="shared" si="12"/>
        <v>-97.326455732484078</v>
      </c>
      <c r="Q15" s="887">
        <f t="shared" si="13"/>
        <v>-47.869987714358842</v>
      </c>
      <c r="R15" s="894">
        <f t="shared" si="14"/>
        <v>-48.844102063731015</v>
      </c>
      <c r="S15" s="883"/>
      <c r="T15" s="883"/>
      <c r="U15" s="883"/>
      <c r="V15" s="883"/>
      <c r="X15" s="1077" t="s">
        <v>139</v>
      </c>
      <c r="Y15" s="857">
        <v>1.94</v>
      </c>
      <c r="Z15" s="857">
        <v>92.37</v>
      </c>
      <c r="AA15" s="1258">
        <f t="shared" si="15"/>
        <v>94.31</v>
      </c>
      <c r="AB15" s="1324">
        <f>'TARGET 23-24'!B100</f>
        <v>1.22</v>
      </c>
      <c r="AC15" s="1323">
        <f>'TARGET 23-24'!C100</f>
        <v>102.2</v>
      </c>
      <c r="AD15" s="1324">
        <f t="shared" si="16"/>
        <v>103.42</v>
      </c>
      <c r="AE15" s="1324">
        <f>'ACTUAL- 23-24'!E12/10000000</f>
        <v>1.1306687</v>
      </c>
      <c r="AF15" s="1324">
        <f>'ACTUAL- 23-24'!H12/10000000</f>
        <v>105.5363444</v>
      </c>
      <c r="AG15" s="1510">
        <f t="shared" si="17"/>
        <v>106.66701310000001</v>
      </c>
      <c r="AH15" s="1258">
        <f>'actual fig'!L13/10000000</f>
        <v>1.0602129</v>
      </c>
      <c r="AI15" s="1258">
        <f>('actual fig'!M13+'actual fig'!N13)/10000000</f>
        <v>93.420366900000005</v>
      </c>
      <c r="AJ15" s="1078">
        <f t="shared" si="32"/>
        <v>94.480579800000001</v>
      </c>
      <c r="AK15" s="285">
        <v>0.26400000000000001</v>
      </c>
      <c r="AL15" s="285">
        <v>51.838999999999999</v>
      </c>
      <c r="AM15" s="1078">
        <f>SUM(AK15:AL15)</f>
        <v>52.103000000000002</v>
      </c>
      <c r="AN15" s="1889">
        <f t="shared" ref="AN15" si="61">(AE15-AB15)/AB15*100</f>
        <v>-7.3222377049180327</v>
      </c>
      <c r="AO15" s="1889">
        <f t="shared" ref="AO15" si="62">(AF15-AC15)/AC15*100</f>
        <v>3.2645248532289646</v>
      </c>
      <c r="AP15" s="1889">
        <f t="shared" ref="AP15" si="63">(AG15-AD15)/AD15*100</f>
        <v>3.1396374975826764</v>
      </c>
      <c r="AQ15" s="1889">
        <v>5.1386088000000003E-2</v>
      </c>
      <c r="AR15" s="1889">
        <v>43.042134799999999</v>
      </c>
      <c r="AS15" s="1889">
        <f t="shared" si="22"/>
        <v>43.093520888</v>
      </c>
      <c r="AT15" s="1889">
        <f t="shared" ref="AT15" si="64">(AE15-AH15)/AH15*100</f>
        <v>6.6454388547809549</v>
      </c>
      <c r="AU15" s="1889">
        <f t="shared" ref="AU15" si="65">(AF15-AI15)/AI15*100</f>
        <v>12.969310549774772</v>
      </c>
      <c r="AV15" s="1889">
        <f t="shared" ref="AV15" si="66">(AG15-AJ15)/AJ15*100</f>
        <v>12.898347285544498</v>
      </c>
      <c r="AW15" s="289">
        <v>1.78</v>
      </c>
      <c r="AX15" s="289">
        <v>76.5</v>
      </c>
      <c r="AY15" s="857">
        <f t="shared" si="25"/>
        <v>78.28</v>
      </c>
      <c r="AZ15" s="887"/>
      <c r="BA15" s="887"/>
      <c r="BB15" s="887"/>
      <c r="BC15" s="865"/>
      <c r="BD15" s="865"/>
      <c r="BE15" s="865"/>
      <c r="BL15" s="284" t="s">
        <v>141</v>
      </c>
      <c r="BM15" s="874">
        <f>3134654/100000</f>
        <v>31.346540000000001</v>
      </c>
      <c r="BN15" s="866" t="e">
        <f>BN14+BM15</f>
        <v>#REF!</v>
      </c>
      <c r="BO15" s="859">
        <v>27.86</v>
      </c>
      <c r="BP15" s="867" t="e">
        <f>#REF!+BO15</f>
        <v>#REF!</v>
      </c>
      <c r="BQ15" s="288">
        <f t="shared" si="2"/>
        <v>59.206540000000004</v>
      </c>
      <c r="BR15" s="867" t="e">
        <f>#REF!+BQ15</f>
        <v>#REF!</v>
      </c>
      <c r="BT15" s="284" t="s">
        <v>141</v>
      </c>
      <c r="BU15" s="865">
        <v>0.93</v>
      </c>
      <c r="BV15" s="866" t="e">
        <f>#REF!+BU15</f>
        <v>#REF!</v>
      </c>
      <c r="BW15" s="865">
        <v>32.74</v>
      </c>
      <c r="BX15" s="866" t="e">
        <f>#REF!+BW15</f>
        <v>#REF!</v>
      </c>
      <c r="BY15" s="288">
        <f t="shared" si="3"/>
        <v>33.67</v>
      </c>
      <c r="BZ15" s="866" t="e">
        <f>#REF!+BY15</f>
        <v>#REF!</v>
      </c>
      <c r="CJ15" s="865" t="s">
        <v>138</v>
      </c>
      <c r="CK15" s="1802">
        <f>AD14</f>
        <v>99.56</v>
      </c>
      <c r="CL15" s="1802">
        <f>AJ14</f>
        <v>91.420524</v>
      </c>
      <c r="CM15" s="865"/>
    </row>
    <row r="16" spans="3:91" ht="26.25" customHeight="1" x14ac:dyDescent="0.5">
      <c r="C16" s="903" t="s">
        <v>141</v>
      </c>
      <c r="D16" s="346">
        <v>0.02</v>
      </c>
      <c r="E16" s="285">
        <v>48.5</v>
      </c>
      <c r="F16" s="882">
        <f t="shared" si="7"/>
        <v>48.52</v>
      </c>
      <c r="G16" s="346">
        <v>6.0005963000000002E-2</v>
      </c>
      <c r="H16" s="285">
        <v>46.108587800000002</v>
      </c>
      <c r="I16" s="882">
        <f t="shared" si="8"/>
        <v>46.168593763000004</v>
      </c>
      <c r="J16" s="347">
        <v>0.93</v>
      </c>
      <c r="K16" s="289">
        <v>32.74</v>
      </c>
      <c r="L16" s="900">
        <f t="shared" si="9"/>
        <v>33.67</v>
      </c>
      <c r="M16" s="893">
        <f>(G16-D16)/D16*100</f>
        <v>200.02981500000004</v>
      </c>
      <c r="N16" s="887">
        <f t="shared" si="10"/>
        <v>-4.9307468041237072</v>
      </c>
      <c r="O16" s="888">
        <f t="shared" si="11"/>
        <v>-4.8462618239901047</v>
      </c>
      <c r="P16" s="887">
        <f t="shared" si="12"/>
        <v>-93.547745913978488</v>
      </c>
      <c r="Q16" s="887">
        <f t="shared" si="13"/>
        <v>40.832583384239463</v>
      </c>
      <c r="R16" s="894">
        <f t="shared" si="14"/>
        <v>37.120860596970601</v>
      </c>
      <c r="S16" s="883"/>
      <c r="T16" s="883"/>
      <c r="U16" s="883"/>
      <c r="V16" s="883"/>
      <c r="X16" s="1308" t="s">
        <v>821</v>
      </c>
      <c r="Y16" s="1078">
        <v>1.78</v>
      </c>
      <c r="Z16" s="1078">
        <v>85.07</v>
      </c>
      <c r="AA16" s="1258">
        <f t="shared" si="15"/>
        <v>86.85</v>
      </c>
      <c r="AB16" s="1324">
        <f>'TARGET 23-24'!B101</f>
        <v>1.1299999999999999</v>
      </c>
      <c r="AC16" s="1323">
        <f>'TARGET 23-24'!C101</f>
        <v>96.15</v>
      </c>
      <c r="AD16" s="1324">
        <f t="shared" ref="AD16:AD18" si="67">SUM(AB16:AC16)</f>
        <v>97.28</v>
      </c>
      <c r="AE16" s="1324">
        <f>'ACTUAL- 23-24'!E13/10000000</f>
        <v>1.0594441999999999</v>
      </c>
      <c r="AF16" s="1324">
        <f>'ACTUAL- 23-24'!H13/10000000</f>
        <v>102.2985912</v>
      </c>
      <c r="AG16" s="1510">
        <f t="shared" si="17"/>
        <v>103.35803540000001</v>
      </c>
      <c r="AH16" s="1258">
        <f>'actual fig'!L14/10000000</f>
        <v>0.97473710000000002</v>
      </c>
      <c r="AI16" s="1258">
        <f>('actual fig'!M14+'actual fig'!N14)/10000000</f>
        <v>87.886619800000005</v>
      </c>
      <c r="AJ16" s="1078">
        <f t="shared" si="32"/>
        <v>88.861356900000004</v>
      </c>
      <c r="AK16" s="285">
        <f>'FEB -23'!F15</f>
        <v>0.33638357899999999</v>
      </c>
      <c r="AL16" s="285">
        <f>('FEB -23'!F16+'FEB -23'!F17)</f>
        <v>62.8196437</v>
      </c>
      <c r="AM16" s="1078">
        <f>SUM(AK16:AL16)</f>
        <v>63.156027279</v>
      </c>
      <c r="AN16" s="1889">
        <f t="shared" ref="AN16" si="68">(AE16-AB16)/AB16*100</f>
        <v>-6.2438761061946861</v>
      </c>
      <c r="AO16" s="1889">
        <f t="shared" ref="AO16" si="69">(AF16-AC16)/AC16*100</f>
        <v>6.3947906396255831</v>
      </c>
      <c r="AP16" s="1889">
        <f t="shared" ref="AP16" si="70">(AG16-AD16)/AD16*100</f>
        <v>6.2479804687500042</v>
      </c>
      <c r="AQ16" s="1889">
        <v>5.1386088000000003E-2</v>
      </c>
      <c r="AR16" s="1889">
        <v>43.042134799999999</v>
      </c>
      <c r="AS16" s="1889">
        <f t="shared" ref="AS16" si="71">SUM(AQ16:AR16)</f>
        <v>43.093520888</v>
      </c>
      <c r="AT16" s="1889">
        <f t="shared" ref="AT16" si="72">(AE16-AH16)/AH16*100</f>
        <v>8.6902509404843542</v>
      </c>
      <c r="AU16" s="1889">
        <f t="shared" ref="AU16" si="73">(AF16-AI16)/AI16*100</f>
        <v>16.398368071040544</v>
      </c>
      <c r="AV16" s="1889">
        <f t="shared" ref="AV16" si="74">(AG16-AJ16)/AJ16*100</f>
        <v>16.313816270343267</v>
      </c>
      <c r="AW16" s="289">
        <v>1.78</v>
      </c>
      <c r="AX16" s="289">
        <v>76.5</v>
      </c>
      <c r="AY16" s="857">
        <f>SUM(AW16:AX16)</f>
        <v>78.28</v>
      </c>
      <c r="AZ16" s="887"/>
      <c r="BA16" s="887"/>
      <c r="BB16" s="887"/>
      <c r="BC16" s="865"/>
      <c r="BD16" s="865"/>
      <c r="BE16" s="865"/>
      <c r="BL16" s="1170"/>
      <c r="BM16" s="1171"/>
      <c r="BN16" s="1172"/>
      <c r="BP16" s="1173"/>
      <c r="BQ16" s="1174"/>
      <c r="BR16" s="1173"/>
      <c r="BT16" s="1170"/>
      <c r="BV16" s="1172"/>
      <c r="BX16" s="1172"/>
      <c r="BY16" s="1174"/>
      <c r="BZ16" s="1172"/>
      <c r="CJ16" s="865" t="s">
        <v>872</v>
      </c>
      <c r="CK16" s="1802">
        <f>AD15</f>
        <v>103.42</v>
      </c>
      <c r="CL16" s="1802">
        <f>AJ15</f>
        <v>94.480579800000001</v>
      </c>
      <c r="CM16" s="865"/>
    </row>
    <row r="17" spans="3:125" ht="26.25" customHeight="1" x14ac:dyDescent="0.4">
      <c r="C17" s="1165"/>
      <c r="D17" s="1166"/>
      <c r="E17" s="1166"/>
      <c r="F17" s="885"/>
      <c r="G17" s="1166"/>
      <c r="H17" s="1166"/>
      <c r="I17" s="885"/>
      <c r="J17" s="1167"/>
      <c r="K17" s="1167"/>
      <c r="L17" s="883"/>
      <c r="M17" s="1168"/>
      <c r="N17" s="1168"/>
      <c r="O17" s="1169"/>
      <c r="P17" s="1168"/>
      <c r="Q17" s="1168"/>
      <c r="R17" s="1169"/>
      <c r="S17" s="883"/>
      <c r="T17" s="883"/>
      <c r="U17" s="883"/>
      <c r="V17" s="883"/>
      <c r="X17" s="1798" t="s">
        <v>215</v>
      </c>
      <c r="Y17" s="1816">
        <f>SUM(Y6:Y16)</f>
        <v>21.060000000000002</v>
      </c>
      <c r="Z17" s="1816">
        <f t="shared" ref="Z17:AM17" si="75">SUM(Z6:Z16)</f>
        <v>892.29</v>
      </c>
      <c r="AA17" s="1816">
        <f t="shared" si="75"/>
        <v>913.35</v>
      </c>
      <c r="AB17" s="1816">
        <f t="shared" si="75"/>
        <v>12.060000000000002</v>
      </c>
      <c r="AC17" s="1816">
        <f t="shared" si="75"/>
        <v>1005.63</v>
      </c>
      <c r="AD17" s="1816">
        <f>SUM(AD6:AD16)</f>
        <v>1017.6899999999999</v>
      </c>
      <c r="AE17" s="1816">
        <f t="shared" si="75"/>
        <v>12.625363299999998</v>
      </c>
      <c r="AF17" s="1816">
        <f>SUM(AF6:AF16)</f>
        <v>1096.3898721999999</v>
      </c>
      <c r="AG17" s="1816">
        <f>SUM(AG6:AG16)</f>
        <v>1109.0152354999998</v>
      </c>
      <c r="AH17" s="1816">
        <f t="shared" si="75"/>
        <v>10.4965879</v>
      </c>
      <c r="AI17" s="1816">
        <f t="shared" si="75"/>
        <v>921.44694779999986</v>
      </c>
      <c r="AJ17" s="1816">
        <f t="shared" si="75"/>
        <v>931.94353569999998</v>
      </c>
      <c r="AK17" s="1816">
        <f t="shared" si="75"/>
        <v>1.5876733139999999</v>
      </c>
      <c r="AL17" s="1816">
        <f t="shared" si="75"/>
        <v>536.38963384800002</v>
      </c>
      <c r="AM17" s="1816">
        <f t="shared" si="75"/>
        <v>537.97730716199999</v>
      </c>
      <c r="AN17" s="1923">
        <f>(AE17-AB17)/AB17*100</f>
        <v>4.6879212271973127</v>
      </c>
      <c r="AO17" s="1923">
        <f>(AF17-AC17)/AC17*100</f>
        <v>9.0251754820361274</v>
      </c>
      <c r="AP17" s="1923">
        <f>(AG17-AD17)/AD17*100</f>
        <v>8.973777427310857</v>
      </c>
      <c r="AQ17" s="1923"/>
      <c r="AR17" s="1923"/>
      <c r="AS17" s="1923"/>
      <c r="AT17" s="1923">
        <f>(AE17-AH17)/AH17*100</f>
        <v>20.280641864581522</v>
      </c>
      <c r="AU17" s="1923">
        <f>(AF17-AI17)/AI17*100</f>
        <v>18.985675172909836</v>
      </c>
      <c r="AV17" s="1923">
        <f>(AG17-AJ17)/AJ17*100</f>
        <v>19.000260532629586</v>
      </c>
      <c r="AW17" s="289">
        <v>1.78</v>
      </c>
      <c r="AX17" s="289">
        <v>76.5</v>
      </c>
      <c r="AY17" s="857">
        <f>SUM(AW17:AX17)</f>
        <v>78.28</v>
      </c>
      <c r="AZ17" s="887"/>
      <c r="BA17" s="887"/>
      <c r="BB17" s="887"/>
      <c r="BC17" s="865"/>
      <c r="BD17" s="865"/>
      <c r="BE17" s="865"/>
      <c r="BG17" s="859">
        <f>306+28</f>
        <v>334</v>
      </c>
      <c r="CJ17" s="865" t="s">
        <v>140</v>
      </c>
      <c r="CK17" s="1802">
        <f>AD16</f>
        <v>97.28</v>
      </c>
      <c r="CL17" s="1802">
        <f>AJ16</f>
        <v>88.861356900000004</v>
      </c>
      <c r="CM17" s="865"/>
    </row>
    <row r="18" spans="3:125" ht="27.75" customHeight="1" thickBot="1" x14ac:dyDescent="0.6">
      <c r="C18" s="2595" t="s">
        <v>596</v>
      </c>
      <c r="D18" s="2595"/>
      <c r="E18" s="2595"/>
      <c r="F18" s="2595"/>
      <c r="G18" s="2595"/>
      <c r="H18" s="2595"/>
      <c r="I18" s="2595"/>
      <c r="J18" s="2595"/>
      <c r="K18" s="2595"/>
      <c r="M18" s="858"/>
      <c r="N18" s="858"/>
      <c r="O18" s="858"/>
      <c r="P18" s="858"/>
      <c r="Q18" s="858" t="s">
        <v>590</v>
      </c>
      <c r="R18" s="858"/>
      <c r="S18" s="858"/>
      <c r="T18" s="858"/>
      <c r="U18" s="858"/>
      <c r="V18" s="858"/>
      <c r="X18" s="1077" t="s">
        <v>141</v>
      </c>
      <c r="Y18" s="857">
        <v>1.1000000000000001</v>
      </c>
      <c r="Z18" s="857">
        <v>36.14</v>
      </c>
      <c r="AA18" s="1258">
        <f t="shared" si="15"/>
        <v>37.24</v>
      </c>
      <c r="AB18" s="1324">
        <f>'TARGET 23-24'!B102</f>
        <v>1.2</v>
      </c>
      <c r="AC18" s="1323">
        <f>'TARGET 23-24'!C102</f>
        <v>100.83</v>
      </c>
      <c r="AD18" s="1324">
        <f t="shared" si="67"/>
        <v>102.03</v>
      </c>
      <c r="AE18" s="1465">
        <f>'ACTUAL- 23-24'!E14/10000000</f>
        <v>0</v>
      </c>
      <c r="AF18" s="1465">
        <f>'ACTUAL- 23-24'!H14/10000000</f>
        <v>0</v>
      </c>
      <c r="AG18" s="1465">
        <f t="shared" si="17"/>
        <v>0</v>
      </c>
      <c r="AH18" s="1258">
        <f>'actual fig'!L15/10000000</f>
        <v>1.0327909</v>
      </c>
      <c r="AI18" s="1258">
        <f>('actual fig'!M15+'actual fig'!N15)/10000000</f>
        <v>92.270268299999998</v>
      </c>
      <c r="AJ18" s="1078">
        <f t="shared" si="32"/>
        <v>93.303059199999993</v>
      </c>
      <c r="AK18" s="285">
        <f>'actual fig'!L55/10000000</f>
        <v>0.50202440000000004</v>
      </c>
      <c r="AL18" s="285">
        <v>76.61</v>
      </c>
      <c r="AM18" s="1078">
        <f>SUM(AK18:AL18)</f>
        <v>77.112024399999996</v>
      </c>
      <c r="AN18" s="1466">
        <f t="shared" ref="AN18" si="76">(AE18-AB18)/AB18*100</f>
        <v>-100</v>
      </c>
      <c r="AO18" s="1466">
        <f t="shared" ref="AO18" si="77">(AF18-AC18)/AC18*100</f>
        <v>-100</v>
      </c>
      <c r="AP18" s="1466">
        <f t="shared" ref="AP18" si="78">(AG18-AD18)/AD18*100</f>
        <v>-100</v>
      </c>
      <c r="AQ18" s="1078">
        <v>6.0005963000000002E-2</v>
      </c>
      <c r="AR18" s="1078">
        <v>46.108587800000002</v>
      </c>
      <c r="AS18" s="1078">
        <f t="shared" si="22"/>
        <v>46.168593763000004</v>
      </c>
      <c r="AT18" s="285"/>
      <c r="AU18" s="285"/>
      <c r="AV18" s="285"/>
      <c r="AW18" s="289">
        <v>0.93</v>
      </c>
      <c r="AX18" s="289">
        <v>32.74</v>
      </c>
      <c r="AY18" s="857">
        <f t="shared" si="25"/>
        <v>33.67</v>
      </c>
      <c r="AZ18" s="887"/>
      <c r="BA18" s="887"/>
      <c r="BB18" s="887"/>
      <c r="BC18" s="865"/>
      <c r="BD18" s="865"/>
      <c r="BE18" s="865"/>
      <c r="BL18" s="2125" t="s">
        <v>416</v>
      </c>
      <c r="BM18" s="2125"/>
      <c r="BN18" s="2125"/>
      <c r="BO18" s="2125"/>
      <c r="BP18" s="2125"/>
      <c r="BQ18" s="2125"/>
      <c r="BR18" s="2125"/>
      <c r="CJ18" s="865" t="s">
        <v>141</v>
      </c>
      <c r="CK18" s="1802">
        <f>AD18</f>
        <v>102.03</v>
      </c>
      <c r="CL18" s="1802">
        <f>AJ18</f>
        <v>93.303059199999993</v>
      </c>
      <c r="CM18" s="865"/>
      <c r="DE18" s="1245">
        <v>2023</v>
      </c>
      <c r="DF18" s="1245">
        <v>1094003</v>
      </c>
      <c r="DG18" s="1245">
        <v>6499146</v>
      </c>
      <c r="DH18" s="1245">
        <v>7593149</v>
      </c>
      <c r="DI18" s="1245">
        <v>14.4</v>
      </c>
      <c r="DJ18" s="1245">
        <v>85.59</v>
      </c>
      <c r="DK18" s="1245">
        <v>2284918</v>
      </c>
      <c r="DL18" s="1245">
        <v>11145720</v>
      </c>
      <c r="DM18" s="1245">
        <v>13430638</v>
      </c>
      <c r="DN18" s="1245">
        <v>17.010000000000002</v>
      </c>
      <c r="DO18" s="1245">
        <v>82.98</v>
      </c>
      <c r="DP18" s="1245">
        <v>1385268959</v>
      </c>
      <c r="DQ18" s="1245">
        <v>8703285367</v>
      </c>
      <c r="DR18" s="1245">
        <v>10088554326</v>
      </c>
      <c r="DS18" s="1245">
        <v>13.73</v>
      </c>
      <c r="DT18" s="1893">
        <v>86.26</v>
      </c>
      <c r="DU18" s="1892"/>
    </row>
    <row r="19" spans="3:125" ht="27.75" customHeight="1" thickBot="1" x14ac:dyDescent="0.45">
      <c r="C19" s="901"/>
      <c r="D19" s="2599" t="s">
        <v>591</v>
      </c>
      <c r="E19" s="2600"/>
      <c r="F19" s="2601"/>
      <c r="G19" s="2599" t="s">
        <v>585</v>
      </c>
      <c r="H19" s="2600"/>
      <c r="I19" s="2601"/>
      <c r="J19" s="2599" t="s">
        <v>586</v>
      </c>
      <c r="K19" s="2600"/>
      <c r="L19" s="2601"/>
      <c r="M19" s="2596" t="s">
        <v>592</v>
      </c>
      <c r="N19" s="2597"/>
      <c r="O19" s="2597"/>
      <c r="P19" s="2597" t="s">
        <v>593</v>
      </c>
      <c r="Q19" s="2597"/>
      <c r="R19" s="2598"/>
      <c r="S19" s="883"/>
      <c r="T19" s="883"/>
      <c r="U19" s="883"/>
      <c r="V19" s="883"/>
      <c r="X19" s="1265" t="s">
        <v>240</v>
      </c>
      <c r="Y19" s="1275">
        <f t="shared" ref="Y19:AD19" si="79">Y6+Y7+Y8+Y9+Y10+Y11+Y12+Y13+Y14+Y15+Y16+Y18</f>
        <v>22.160000000000004</v>
      </c>
      <c r="Z19" s="1275">
        <f t="shared" si="79"/>
        <v>928.43</v>
      </c>
      <c r="AA19" s="1275">
        <f t="shared" si="79"/>
        <v>950.59</v>
      </c>
      <c r="AB19" s="1275">
        <f t="shared" si="79"/>
        <v>13.260000000000002</v>
      </c>
      <c r="AC19" s="1275">
        <f t="shared" si="79"/>
        <v>1106.46</v>
      </c>
      <c r="AD19" s="1275">
        <f t="shared" si="79"/>
        <v>1119.72</v>
      </c>
      <c r="AE19" s="1275"/>
      <c r="AF19" s="1275"/>
      <c r="AG19" s="1275"/>
      <c r="AH19" s="1275">
        <f t="shared" ref="AH19:AM19" si="80">AH6+AH7+AH8+AH9+AH10+AH11+AH12+AH13+AH14+AH15+AH16+AH18</f>
        <v>11.5293788</v>
      </c>
      <c r="AI19" s="1275">
        <f t="shared" si="80"/>
        <v>1013.7172160999999</v>
      </c>
      <c r="AJ19" s="1275">
        <f t="shared" si="80"/>
        <v>1025.2465949</v>
      </c>
      <c r="AK19" s="1275">
        <f t="shared" si="80"/>
        <v>2.0896977139999997</v>
      </c>
      <c r="AL19" s="1275">
        <f t="shared" si="80"/>
        <v>612.99963384800003</v>
      </c>
      <c r="AM19" s="1275">
        <f t="shared" si="80"/>
        <v>615.08933156199998</v>
      </c>
      <c r="AN19" s="1078"/>
      <c r="AO19" s="1078"/>
      <c r="AP19" s="1078"/>
      <c r="AQ19" s="1078"/>
      <c r="AR19" s="1078"/>
      <c r="AS19" s="1078"/>
      <c r="AT19" s="1078"/>
      <c r="AU19" s="1078"/>
      <c r="AV19" s="1078"/>
      <c r="AW19" s="1275">
        <f>SUM(AW6:AW18)</f>
        <v>19.41</v>
      </c>
      <c r="AX19" s="1275">
        <f>SUM(AX6:AX18)</f>
        <v>850.63999999999987</v>
      </c>
      <c r="AY19" s="1275">
        <f>SUM(AY6:AY18)</f>
        <v>870.05</v>
      </c>
      <c r="AZ19" s="887">
        <f>(AE19-AH19)/AH19*100</f>
        <v>-100</v>
      </c>
      <c r="BA19" s="887">
        <f>(AF19-AI19)/AI19*100</f>
        <v>-100</v>
      </c>
      <c r="BB19" s="887">
        <f>(AG19-AJ19)/AJ19*100</f>
        <v>-100</v>
      </c>
      <c r="BC19" s="865"/>
      <c r="BD19" s="865"/>
      <c r="BE19" s="865"/>
      <c r="BL19" s="1351"/>
      <c r="BM19" s="1269" t="s">
        <v>370</v>
      </c>
      <c r="BN19" s="1271" t="s">
        <v>371</v>
      </c>
      <c r="BO19" s="1269" t="s">
        <v>63</v>
      </c>
      <c r="CJ19" s="865" t="s">
        <v>63</v>
      </c>
      <c r="CK19" s="1802">
        <f>SUM(CK6:CK18)</f>
        <v>1088.4100000000001</v>
      </c>
      <c r="CL19" s="1802">
        <f>SUM(CL6:CL18)</f>
        <v>964.65944330000002</v>
      </c>
      <c r="CM19" s="1802">
        <f>SUM(CM6:CM18)</f>
        <v>650.15946000000008</v>
      </c>
      <c r="DE19" s="1894">
        <v>2</v>
      </c>
      <c r="DF19" s="1895">
        <v>2024</v>
      </c>
      <c r="DG19" s="1895">
        <v>122095</v>
      </c>
      <c r="DH19" s="1895">
        <v>759465</v>
      </c>
      <c r="DI19" s="1895">
        <v>881560</v>
      </c>
      <c r="DJ19" s="1895">
        <v>13.84</v>
      </c>
      <c r="DK19" s="1895">
        <v>86.15</v>
      </c>
      <c r="DL19" s="1895">
        <v>261371</v>
      </c>
      <c r="DM19" s="1895">
        <v>1304027</v>
      </c>
      <c r="DN19" s="1895">
        <v>1565398</v>
      </c>
      <c r="DO19" s="1895">
        <v>16.690000000000001</v>
      </c>
      <c r="DP19" s="1895">
        <v>83.3</v>
      </c>
      <c r="DQ19" s="1895">
        <v>158296256</v>
      </c>
      <c r="DR19" s="1895">
        <v>1032024722</v>
      </c>
      <c r="DS19" s="1895">
        <v>1190320978</v>
      </c>
      <c r="DT19" s="1895">
        <v>13.29</v>
      </c>
      <c r="DU19" s="1896">
        <v>86.7</v>
      </c>
    </row>
    <row r="20" spans="3:125" ht="27.75" customHeight="1" thickBot="1" x14ac:dyDescent="0.45">
      <c r="C20" s="902" t="s">
        <v>127</v>
      </c>
      <c r="D20" s="877" t="s">
        <v>432</v>
      </c>
      <c r="E20" s="856" t="s">
        <v>588</v>
      </c>
      <c r="F20" s="878" t="s">
        <v>63</v>
      </c>
      <c r="G20" s="877" t="s">
        <v>432</v>
      </c>
      <c r="H20" s="856" t="s">
        <v>588</v>
      </c>
      <c r="I20" s="878" t="s">
        <v>63</v>
      </c>
      <c r="J20" s="877" t="s">
        <v>432</v>
      </c>
      <c r="K20" s="856" t="s">
        <v>588</v>
      </c>
      <c r="L20" s="878" t="s">
        <v>63</v>
      </c>
      <c r="M20" s="891" t="s">
        <v>432</v>
      </c>
      <c r="N20" s="889" t="s">
        <v>588</v>
      </c>
      <c r="O20" s="890" t="s">
        <v>63</v>
      </c>
      <c r="P20" s="889" t="s">
        <v>432</v>
      </c>
      <c r="Q20" s="889" t="s">
        <v>588</v>
      </c>
      <c r="R20" s="892" t="s">
        <v>63</v>
      </c>
      <c r="S20" s="884"/>
      <c r="T20" s="884"/>
      <c r="U20" s="884"/>
      <c r="V20" s="884"/>
      <c r="X20" s="1148" t="s">
        <v>607</v>
      </c>
      <c r="Y20" s="1078"/>
      <c r="Z20" s="1078"/>
      <c r="AA20" s="1078"/>
      <c r="AB20" s="1078">
        <f>AB17/335</f>
        <v>3.6000000000000004E-2</v>
      </c>
      <c r="AC20" s="1078">
        <f t="shared" ref="AC20:AI20" si="81">AC17/335</f>
        <v>3.0018805970149254</v>
      </c>
      <c r="AD20" s="1078">
        <f t="shared" si="81"/>
        <v>3.0378805970149254</v>
      </c>
      <c r="AE20" s="1078">
        <f t="shared" si="81"/>
        <v>3.768765164179104E-2</v>
      </c>
      <c r="AF20" s="1078">
        <f t="shared" si="81"/>
        <v>3.2728055886567162</v>
      </c>
      <c r="AG20" s="1078">
        <f t="shared" si="81"/>
        <v>3.310493240298507</v>
      </c>
      <c r="AH20" s="1078">
        <f t="shared" si="81"/>
        <v>3.1333098208955225E-2</v>
      </c>
      <c r="AI20" s="1078">
        <f t="shared" si="81"/>
        <v>2.7505879038805965</v>
      </c>
      <c r="AJ20" s="1078">
        <f>AJ17/335</f>
        <v>2.7819210020895522</v>
      </c>
      <c r="AK20" s="1078"/>
      <c r="AL20" s="1078"/>
      <c r="AM20" s="1078"/>
      <c r="AN20" s="1889">
        <f t="shared" ref="AN20" si="82">(AE20-AB20)/AB20*100</f>
        <v>4.6879212271973199</v>
      </c>
      <c r="AO20" s="1889">
        <f t="shared" ref="AO20" si="83">(AF20-AC20)/AC20*100</f>
        <v>9.0251754820361292</v>
      </c>
      <c r="AP20" s="1889">
        <f t="shared" ref="AP20" si="84">(AG20-AD20)/AD20*100</f>
        <v>8.9737774273108535</v>
      </c>
      <c r="AQ20" s="1889"/>
      <c r="AR20" s="1889"/>
      <c r="AS20" s="1889"/>
      <c r="AT20" s="1889">
        <f t="shared" ref="AT20" si="85">(AE20-AH20)/AH20*100</f>
        <v>20.280641864581519</v>
      </c>
      <c r="AU20" s="1889">
        <f t="shared" ref="AU20" si="86">(AF20-AI20)/AI20*100</f>
        <v>18.985675172909847</v>
      </c>
      <c r="AV20" s="1889">
        <f>(AG20-AJ20)/AJ20*100</f>
        <v>19.000260532629593</v>
      </c>
      <c r="AW20" s="1078"/>
      <c r="AX20" s="1078"/>
      <c r="AY20" s="1078"/>
      <c r="AZ20" s="1503"/>
      <c r="BA20" s="1503"/>
      <c r="BB20" s="1503"/>
      <c r="BI20" s="1267" t="s">
        <v>127</v>
      </c>
      <c r="BJ20" s="1349" t="s">
        <v>237</v>
      </c>
      <c r="BK20" s="1350"/>
      <c r="BL20" s="1268"/>
      <c r="BM20" s="575" t="s">
        <v>94</v>
      </c>
      <c r="BN20" s="576" t="s">
        <v>97</v>
      </c>
      <c r="BO20" s="577" t="s">
        <v>63</v>
      </c>
      <c r="BP20" s="1270"/>
      <c r="BQ20" s="1272"/>
      <c r="BR20" s="1270"/>
      <c r="DE20" s="1897">
        <v>3</v>
      </c>
      <c r="DF20" s="1898"/>
      <c r="DG20" s="1898">
        <v>1216098</v>
      </c>
      <c r="DH20" s="1898">
        <v>7258611</v>
      </c>
      <c r="DI20" s="1898">
        <v>8474709</v>
      </c>
      <c r="DJ20" s="1898">
        <v>14.34</v>
      </c>
      <c r="DK20" s="1898">
        <v>85.65</v>
      </c>
      <c r="DL20" s="1898">
        <v>2546289</v>
      </c>
      <c r="DM20" s="1898">
        <v>12449747</v>
      </c>
      <c r="DN20" s="1898">
        <v>14996036</v>
      </c>
      <c r="DO20" s="1898">
        <v>16.97</v>
      </c>
      <c r="DP20" s="1898">
        <v>83.02</v>
      </c>
      <c r="DQ20" s="1898">
        <v>1543565215</v>
      </c>
      <c r="DR20" s="1898">
        <v>9735310089</v>
      </c>
      <c r="DS20" s="1898">
        <v>11278875304</v>
      </c>
      <c r="DT20" s="1898">
        <v>13.68</v>
      </c>
      <c r="DU20" s="1899">
        <v>86.31</v>
      </c>
    </row>
    <row r="21" spans="3:125" ht="27.75" customHeight="1" thickBot="1" x14ac:dyDescent="0.6">
      <c r="C21" s="903" t="s">
        <v>131</v>
      </c>
      <c r="D21" s="893" t="s">
        <v>221</v>
      </c>
      <c r="E21" s="887" t="s">
        <v>221</v>
      </c>
      <c r="F21" s="905" t="s">
        <v>221</v>
      </c>
      <c r="G21" s="899">
        <f>'actual fig'!L97/100000</f>
        <v>0</v>
      </c>
      <c r="H21" s="285">
        <f>'actual fig'!P97/100000</f>
        <v>-2.1001599999999998</v>
      </c>
      <c r="I21" s="882">
        <f>SUM(G21:H21)</f>
        <v>-2.1001599999999998</v>
      </c>
      <c r="J21" s="346">
        <v>25.07</v>
      </c>
      <c r="K21" s="285">
        <v>38.020000000000003</v>
      </c>
      <c r="L21" s="882">
        <f>SUM(J21:K21)</f>
        <v>63.09</v>
      </c>
      <c r="M21" s="893" t="s">
        <v>221</v>
      </c>
      <c r="N21" s="887" t="s">
        <v>221</v>
      </c>
      <c r="O21" s="887" t="s">
        <v>221</v>
      </c>
      <c r="P21" s="887">
        <f>(G21-J21)/J21*100</f>
        <v>-100</v>
      </c>
      <c r="Q21" s="887">
        <f t="shared" ref="Q21:Q32" si="87">(H21-K21)/K21*100</f>
        <v>-105.52382956338771</v>
      </c>
      <c r="R21" s="894">
        <f t="shared" ref="R21:R32" si="88">(I21-L21)/L21*100</f>
        <v>-103.32883182754796</v>
      </c>
      <c r="S21" s="885"/>
      <c r="T21" s="885"/>
      <c r="U21" s="885"/>
      <c r="V21" s="885"/>
      <c r="X21" s="2585" t="s">
        <v>760</v>
      </c>
      <c r="Y21" s="2585"/>
      <c r="Z21" s="2585"/>
      <c r="AA21" s="2585"/>
      <c r="AB21" s="2585"/>
      <c r="AC21" s="2585"/>
      <c r="AD21" s="2585"/>
      <c r="AE21" s="2585"/>
      <c r="AF21" s="2585"/>
      <c r="AG21" s="2585"/>
      <c r="AH21" s="2585"/>
      <c r="AI21" s="2585"/>
      <c r="AJ21" s="2585"/>
      <c r="AK21" s="2585"/>
      <c r="AL21" s="2585"/>
      <c r="AM21" s="2585"/>
      <c r="AN21" s="2585"/>
      <c r="AO21" s="2585"/>
      <c r="AP21" s="2585"/>
      <c r="AQ21" s="2585"/>
      <c r="AR21" s="2585"/>
      <c r="AS21" s="2585"/>
      <c r="AT21" s="2585"/>
      <c r="AU21" s="2585"/>
      <c r="AV21" s="1095" t="s">
        <v>709</v>
      </c>
      <c r="AW21" s="1085"/>
      <c r="AX21" s="1086" t="s">
        <v>590</v>
      </c>
      <c r="AY21" s="1085"/>
      <c r="BL21" s="571" t="s">
        <v>131</v>
      </c>
      <c r="BM21" s="578">
        <v>0</v>
      </c>
      <c r="BN21" s="570">
        <v>0</v>
      </c>
      <c r="BO21" s="579">
        <f>SUM(BM21:BN21)</f>
        <v>0</v>
      </c>
      <c r="BP21" s="589">
        <v>9.42</v>
      </c>
      <c r="BQ21" s="589">
        <v>2.25</v>
      </c>
      <c r="BR21" s="589">
        <f>SUM(BO21:BQ21)</f>
        <v>11.67</v>
      </c>
      <c r="DG21" s="1900">
        <f>DG20/100000</f>
        <v>12.16098</v>
      </c>
      <c r="DH21" s="1511">
        <f>DH20/100000</f>
        <v>72.586110000000005</v>
      </c>
      <c r="DI21" s="1511">
        <f>DI20/100000</f>
        <v>84.74709</v>
      </c>
      <c r="DJ21" s="859">
        <f>DJ20</f>
        <v>14.34</v>
      </c>
      <c r="DK21" s="859">
        <f>DK20</f>
        <v>85.65</v>
      </c>
      <c r="DL21" s="1900">
        <f>DL20/100000</f>
        <v>25.462890000000002</v>
      </c>
      <c r="DM21" s="1511">
        <f>DM20/100000</f>
        <v>124.49747000000001</v>
      </c>
      <c r="DN21" s="1511">
        <f>DN20/100000</f>
        <v>149.96036000000001</v>
      </c>
      <c r="DO21" s="859">
        <f>DO20</f>
        <v>16.97</v>
      </c>
      <c r="DP21" s="859">
        <f>DP20</f>
        <v>83.02</v>
      </c>
      <c r="DQ21" s="1511">
        <f>DQ20/10000000</f>
        <v>154.35652150000001</v>
      </c>
      <c r="DR21" s="1511">
        <f t="shared" ref="DR21:DS21" si="89">DR20/10000000</f>
        <v>973.53100889999996</v>
      </c>
      <c r="DS21" s="1511">
        <f t="shared" si="89"/>
        <v>1127.8875304000001</v>
      </c>
      <c r="DT21" s="859">
        <f>DT20</f>
        <v>13.68</v>
      </c>
      <c r="DU21" s="859">
        <f>DU20</f>
        <v>86.31</v>
      </c>
    </row>
    <row r="22" spans="3:125" ht="27.75" customHeight="1" x14ac:dyDescent="0.45">
      <c r="C22" s="903" t="s">
        <v>132</v>
      </c>
      <c r="D22" s="893" t="s">
        <v>221</v>
      </c>
      <c r="E22" s="887" t="s">
        <v>221</v>
      </c>
      <c r="F22" s="905" t="s">
        <v>221</v>
      </c>
      <c r="G22" s="899">
        <f>'actual fig'!L98/100000</f>
        <v>0</v>
      </c>
      <c r="H22" s="285">
        <f>'actual fig'!P98/100000</f>
        <v>-0.18717</v>
      </c>
      <c r="I22" s="882">
        <f t="shared" ref="I22:I30" si="90">SUM(G22:H22)</f>
        <v>-0.18717</v>
      </c>
      <c r="J22" s="346">
        <v>26.98</v>
      </c>
      <c r="K22" s="285">
        <v>38.520000000000003</v>
      </c>
      <c r="L22" s="882">
        <f t="shared" ref="L22:L32" si="91">SUM(J22:K22)</f>
        <v>65.5</v>
      </c>
      <c r="M22" s="893" t="s">
        <v>221</v>
      </c>
      <c r="N22" s="887" t="s">
        <v>221</v>
      </c>
      <c r="O22" s="887" t="s">
        <v>221</v>
      </c>
      <c r="P22" s="887">
        <f t="shared" ref="P22:P32" si="92">(G22-J22)/J22*100</f>
        <v>-100</v>
      </c>
      <c r="Q22" s="887">
        <f t="shared" si="87"/>
        <v>-100.4859034267913</v>
      </c>
      <c r="R22" s="894">
        <f t="shared" si="88"/>
        <v>-100.28575572519082</v>
      </c>
      <c r="S22" s="885"/>
      <c r="T22" s="885"/>
      <c r="U22" s="885"/>
      <c r="V22" s="885"/>
      <c r="X22" s="1265"/>
      <c r="Y22" s="2584" t="s">
        <v>788</v>
      </c>
      <c r="Z22" s="2584"/>
      <c r="AA22" s="2584"/>
      <c r="AB22" s="2584" t="s">
        <v>881</v>
      </c>
      <c r="AC22" s="2584"/>
      <c r="AD22" s="2584"/>
      <c r="AE22" s="2584" t="s">
        <v>880</v>
      </c>
      <c r="AF22" s="2584"/>
      <c r="AG22" s="2584"/>
      <c r="AH22" s="2584" t="s">
        <v>687</v>
      </c>
      <c r="AI22" s="2584"/>
      <c r="AJ22" s="2584"/>
      <c r="AK22" s="2584" t="s">
        <v>584</v>
      </c>
      <c r="AL22" s="2584"/>
      <c r="AM22" s="2584"/>
      <c r="AN22" s="2584" t="s">
        <v>758</v>
      </c>
      <c r="AO22" s="2584"/>
      <c r="AP22" s="2584"/>
      <c r="AQ22" s="2584" t="s">
        <v>585</v>
      </c>
      <c r="AR22" s="2584"/>
      <c r="AS22" s="2584"/>
      <c r="AT22" s="2594" t="s">
        <v>515</v>
      </c>
      <c r="AU22" s="2594"/>
      <c r="AV22" s="2594"/>
      <c r="AW22" s="2584" t="s">
        <v>586</v>
      </c>
      <c r="AX22" s="2584"/>
      <c r="AY22" s="2584"/>
      <c r="AZ22" s="2586" t="s">
        <v>884</v>
      </c>
      <c r="BA22" s="2586"/>
      <c r="BB22" s="2587"/>
      <c r="BC22" s="2583" t="s">
        <v>592</v>
      </c>
      <c r="BD22" s="2583"/>
      <c r="BE22" s="2583"/>
      <c r="BL22" s="572" t="s">
        <v>132</v>
      </c>
      <c r="BM22" s="580">
        <v>0</v>
      </c>
      <c r="BN22" s="543">
        <v>0.5</v>
      </c>
      <c r="BO22" s="581">
        <f t="shared" ref="BO22:BO30" si="93">SUM(BM22:BN22)</f>
        <v>0.5</v>
      </c>
      <c r="BP22" s="572">
        <v>21.14</v>
      </c>
      <c r="BQ22" s="572">
        <v>2.34</v>
      </c>
      <c r="BR22" s="572">
        <f t="shared" ref="BR22:BR30" si="94">SUM(BO22:BQ22)</f>
        <v>23.98</v>
      </c>
      <c r="CJ22" s="1148" t="s">
        <v>127</v>
      </c>
      <c r="CK22" s="1355" t="s">
        <v>432</v>
      </c>
      <c r="CL22" s="1355" t="s">
        <v>588</v>
      </c>
      <c r="CM22" s="1356" t="s">
        <v>63</v>
      </c>
      <c r="CP22" s="1148" t="s">
        <v>127</v>
      </c>
      <c r="CQ22" s="1355" t="s">
        <v>432</v>
      </c>
      <c r="CR22" s="1355" t="s">
        <v>588</v>
      </c>
    </row>
    <row r="23" spans="3:125" ht="27.75" customHeight="1" thickBot="1" x14ac:dyDescent="0.5">
      <c r="C23" s="903" t="s">
        <v>133</v>
      </c>
      <c r="D23" s="893" t="s">
        <v>221</v>
      </c>
      <c r="E23" s="887" t="s">
        <v>221</v>
      </c>
      <c r="F23" s="905" t="s">
        <v>221</v>
      </c>
      <c r="G23" s="899">
        <f>'actual fig'!L99/100000</f>
        <v>0</v>
      </c>
      <c r="H23" s="285">
        <f>'actual fig'!P99/100000</f>
        <v>-0.77810000000000001</v>
      </c>
      <c r="I23" s="882">
        <f t="shared" si="90"/>
        <v>-0.77810000000000001</v>
      </c>
      <c r="J23" s="346">
        <v>29.33</v>
      </c>
      <c r="K23" s="285">
        <v>37.43</v>
      </c>
      <c r="L23" s="882">
        <f t="shared" si="91"/>
        <v>66.759999999999991</v>
      </c>
      <c r="M23" s="893" t="s">
        <v>221</v>
      </c>
      <c r="N23" s="887" t="s">
        <v>221</v>
      </c>
      <c r="O23" s="887" t="s">
        <v>221</v>
      </c>
      <c r="P23" s="887">
        <f t="shared" si="92"/>
        <v>-100</v>
      </c>
      <c r="Q23" s="887">
        <f t="shared" si="87"/>
        <v>-102.07881378573337</v>
      </c>
      <c r="R23" s="894">
        <f t="shared" si="88"/>
        <v>-101.1655182744158</v>
      </c>
      <c r="S23" s="885"/>
      <c r="T23" s="885"/>
      <c r="U23" s="885"/>
      <c r="V23" s="885"/>
      <c r="X23" s="1354" t="s">
        <v>127</v>
      </c>
      <c r="Y23" s="1355" t="s">
        <v>432</v>
      </c>
      <c r="Z23" s="1355" t="s">
        <v>588</v>
      </c>
      <c r="AA23" s="1356" t="s">
        <v>63</v>
      </c>
      <c r="AB23" s="1355" t="s">
        <v>432</v>
      </c>
      <c r="AC23" s="1355" t="s">
        <v>588</v>
      </c>
      <c r="AD23" s="1356" t="s">
        <v>63</v>
      </c>
      <c r="AE23" s="1355" t="s">
        <v>432</v>
      </c>
      <c r="AF23" s="1355" t="s">
        <v>588</v>
      </c>
      <c r="AG23" s="1356" t="s">
        <v>63</v>
      </c>
      <c r="AH23" s="1355" t="s">
        <v>432</v>
      </c>
      <c r="AI23" s="1355" t="s">
        <v>588</v>
      </c>
      <c r="AJ23" s="1356" t="s">
        <v>63</v>
      </c>
      <c r="AK23" s="1355" t="s">
        <v>432</v>
      </c>
      <c r="AL23" s="1355" t="s">
        <v>588</v>
      </c>
      <c r="AM23" s="1356" t="s">
        <v>63</v>
      </c>
      <c r="AN23" s="1355" t="s">
        <v>432</v>
      </c>
      <c r="AO23" s="1355" t="s">
        <v>588</v>
      </c>
      <c r="AP23" s="1356" t="s">
        <v>63</v>
      </c>
      <c r="AQ23" s="1355" t="s">
        <v>432</v>
      </c>
      <c r="AR23" s="1355" t="s">
        <v>588</v>
      </c>
      <c r="AS23" s="1356" t="s">
        <v>63</v>
      </c>
      <c r="AT23" s="1359" t="s">
        <v>432</v>
      </c>
      <c r="AU23" s="1359" t="s">
        <v>588</v>
      </c>
      <c r="AV23" s="1360" t="s">
        <v>63</v>
      </c>
      <c r="AW23" s="1355" t="s">
        <v>432</v>
      </c>
      <c r="AX23" s="1355" t="s">
        <v>588</v>
      </c>
      <c r="AY23" s="1356" t="s">
        <v>63</v>
      </c>
      <c r="AZ23" s="1256" t="s">
        <v>432</v>
      </c>
      <c r="BA23" s="1256" t="s">
        <v>588</v>
      </c>
      <c r="BB23" s="1469" t="s">
        <v>63</v>
      </c>
      <c r="BC23" s="1470" t="s">
        <v>432</v>
      </c>
      <c r="BD23" s="1470" t="s">
        <v>588</v>
      </c>
      <c r="BE23" s="1471" t="s">
        <v>63</v>
      </c>
      <c r="BL23" s="572" t="s">
        <v>133</v>
      </c>
      <c r="BM23" s="580">
        <v>0</v>
      </c>
      <c r="BN23" s="543">
        <v>1</v>
      </c>
      <c r="BO23" s="581">
        <f t="shared" si="93"/>
        <v>1</v>
      </c>
      <c r="BP23" s="572">
        <v>14.53</v>
      </c>
      <c r="BQ23" s="572">
        <v>1.94</v>
      </c>
      <c r="BR23" s="572">
        <f t="shared" si="94"/>
        <v>17.47</v>
      </c>
      <c r="CJ23" s="1148" t="s">
        <v>131</v>
      </c>
      <c r="CK23" s="1324">
        <v>1.0765871</v>
      </c>
      <c r="CL23" s="1324">
        <v>87.003617399999996</v>
      </c>
      <c r="CM23" s="1324">
        <v>88.080204499999994</v>
      </c>
      <c r="CP23" s="1148" t="s">
        <v>1004</v>
      </c>
      <c r="CQ23" s="1800">
        <v>8.2581384999999994</v>
      </c>
      <c r="CR23" s="1800">
        <v>682.96667980000007</v>
      </c>
    </row>
    <row r="24" spans="3:125" ht="27.75" customHeight="1" thickBot="1" x14ac:dyDescent="0.5">
      <c r="C24" s="903" t="s">
        <v>51</v>
      </c>
      <c r="D24" s="893" t="s">
        <v>221</v>
      </c>
      <c r="E24" s="887" t="s">
        <v>221</v>
      </c>
      <c r="F24" s="905" t="s">
        <v>221</v>
      </c>
      <c r="G24" s="899">
        <f>'actual fig'!L100/100000</f>
        <v>0</v>
      </c>
      <c r="H24" s="285">
        <f>'actual fig'!P100/100000</f>
        <v>0.51163000000000003</v>
      </c>
      <c r="I24" s="882">
        <f t="shared" si="90"/>
        <v>0.51163000000000003</v>
      </c>
      <c r="J24" s="346">
        <v>33.75</v>
      </c>
      <c r="K24" s="285">
        <v>34.85</v>
      </c>
      <c r="L24" s="882">
        <f t="shared" si="91"/>
        <v>68.599999999999994</v>
      </c>
      <c r="M24" s="893" t="s">
        <v>221</v>
      </c>
      <c r="N24" s="887" t="s">
        <v>221</v>
      </c>
      <c r="O24" s="887" t="s">
        <v>221</v>
      </c>
      <c r="P24" s="887">
        <f t="shared" si="92"/>
        <v>-100</v>
      </c>
      <c r="Q24" s="887">
        <f t="shared" si="87"/>
        <v>-98.531908177905308</v>
      </c>
      <c r="R24" s="894">
        <f t="shared" si="88"/>
        <v>-99.254183673469385</v>
      </c>
      <c r="S24" s="885"/>
      <c r="T24" s="885"/>
      <c r="U24" s="885"/>
      <c r="V24" s="885"/>
      <c r="X24" s="1077" t="s">
        <v>131</v>
      </c>
      <c r="Y24" s="1257">
        <v>21.9</v>
      </c>
      <c r="Z24" s="1257">
        <v>30.3</v>
      </c>
      <c r="AA24" s="1258">
        <f>SUM(Y24:Z24)</f>
        <v>52.2</v>
      </c>
      <c r="AB24" s="1257">
        <f>'TARGET 23-24'!B31*10</f>
        <v>13.200000000000001</v>
      </c>
      <c r="AC24" s="1257">
        <f>'TARGET 23-24'!C31*10</f>
        <v>20.5</v>
      </c>
      <c r="AD24" s="1257">
        <f>AB24+AC24</f>
        <v>33.700000000000003</v>
      </c>
      <c r="AE24" s="1258">
        <f>'ACTUAL- 23-24'!E20/100000</f>
        <v>16.992989999999999</v>
      </c>
      <c r="AF24" s="1258">
        <f>'ACTUAL- 23-24'!H20/100000</f>
        <v>27.0366</v>
      </c>
      <c r="AG24" s="1257">
        <f>AE24+AF24</f>
        <v>44.029589999999999</v>
      </c>
      <c r="AH24" s="1258">
        <f>'actual fig'!L20/100000</f>
        <v>11.39293</v>
      </c>
      <c r="AI24" s="1258">
        <f>('actual fig'!M20+'actual fig'!N20)/100000</f>
        <v>17.73818</v>
      </c>
      <c r="AJ24" s="857">
        <f t="shared" ref="AJ24:AJ36" si="95">SUM(AH24:AI24)</f>
        <v>29.13111</v>
      </c>
      <c r="AK24" s="285">
        <v>0.96052000000000004</v>
      </c>
      <c r="AL24" s="285">
        <v>4.63652</v>
      </c>
      <c r="AM24" s="1078">
        <f>SUM(AK24:AL24)</f>
        <v>5.5970399999999998</v>
      </c>
      <c r="AN24" s="1889">
        <f>(AE24-AB24)/AB24*100</f>
        <v>28.734772727272706</v>
      </c>
      <c r="AO24" s="1889">
        <f>(AF24-AC24)/AC24*100</f>
        <v>31.885853658536583</v>
      </c>
      <c r="AP24" s="1889">
        <f>(AG24-AD24)/AD24*100</f>
        <v>30.651602373887226</v>
      </c>
      <c r="AQ24" s="1889">
        <v>0</v>
      </c>
      <c r="AR24" s="1889">
        <v>-14.077521600000001</v>
      </c>
      <c r="AS24" s="1889" t="s">
        <v>323</v>
      </c>
      <c r="AT24" s="1889">
        <f>(AE24-AH24)/AH24*100</f>
        <v>49.153817323550655</v>
      </c>
      <c r="AU24" s="1889">
        <f>(AF24-AI24)/AI24*100</f>
        <v>52.420372326811439</v>
      </c>
      <c r="AV24" s="1889">
        <f>(AG24-AJ24)/AJ24*100</f>
        <v>51.142850375423386</v>
      </c>
      <c r="AW24" s="285">
        <v>25.07</v>
      </c>
      <c r="AX24" s="285">
        <v>38.020000000000003</v>
      </c>
      <c r="AY24" s="1078">
        <f>SUM(AW24:AX24)</f>
        <v>63.09</v>
      </c>
      <c r="AZ24" s="1079">
        <f t="shared" ref="AZ24:BB25" si="96">(AE24-AH24)/AH24*100</f>
        <v>49.153817323550655</v>
      </c>
      <c r="BA24" s="1079">
        <f t="shared" si="96"/>
        <v>52.420372326811439</v>
      </c>
      <c r="BB24" s="1079">
        <f t="shared" si="96"/>
        <v>51.142850375423386</v>
      </c>
      <c r="BC24" s="1501">
        <f t="shared" ref="BC24:BE25" si="97">(AE24-AB24)/AB24*100</f>
        <v>28.734772727272706</v>
      </c>
      <c r="BD24" s="1501">
        <f t="shared" si="97"/>
        <v>31.885853658536583</v>
      </c>
      <c r="BE24" s="1501">
        <f t="shared" si="97"/>
        <v>30.651602373887226</v>
      </c>
      <c r="BL24" s="572" t="s">
        <v>51</v>
      </c>
      <c r="BM24" s="580">
        <v>0</v>
      </c>
      <c r="BN24" s="543">
        <v>5.26</v>
      </c>
      <c r="BO24" s="581">
        <f>SUM(BM24:BN24)</f>
        <v>5.26</v>
      </c>
      <c r="BP24" s="572">
        <v>9.33</v>
      </c>
      <c r="BQ24" s="572">
        <v>1.69</v>
      </c>
      <c r="BR24" s="572">
        <f t="shared" si="94"/>
        <v>16.28</v>
      </c>
      <c r="CJ24" s="1148" t="s">
        <v>132</v>
      </c>
      <c r="CK24" s="1324">
        <v>1.1882771999999999</v>
      </c>
      <c r="CL24" s="1324">
        <v>92.928104500000003</v>
      </c>
      <c r="CM24" s="1324">
        <v>94.116381700000005</v>
      </c>
    </row>
    <row r="25" spans="3:125" ht="27.75" customHeight="1" x14ac:dyDescent="0.45">
      <c r="C25" s="903" t="s">
        <v>134</v>
      </c>
      <c r="D25" s="893" t="s">
        <v>221</v>
      </c>
      <c r="E25" s="887" t="s">
        <v>221</v>
      </c>
      <c r="F25" s="905" t="s">
        <v>221</v>
      </c>
      <c r="G25" s="346">
        <f>'actual fig'!L101/100000</f>
        <v>8.5000000000000006E-3</v>
      </c>
      <c r="H25" s="285">
        <f>'actual fig'!P101/100000</f>
        <v>0.85773999999999995</v>
      </c>
      <c r="I25" s="882">
        <f t="shared" si="90"/>
        <v>0.8662399999999999</v>
      </c>
      <c r="J25" s="346">
        <v>31.46</v>
      </c>
      <c r="K25" s="285">
        <v>27.97</v>
      </c>
      <c r="L25" s="882">
        <f t="shared" si="91"/>
        <v>59.43</v>
      </c>
      <c r="M25" s="893" t="s">
        <v>221</v>
      </c>
      <c r="N25" s="887" t="s">
        <v>221</v>
      </c>
      <c r="O25" s="887" t="s">
        <v>221</v>
      </c>
      <c r="P25" s="887">
        <f t="shared" si="92"/>
        <v>-99.972981563890656</v>
      </c>
      <c r="Q25" s="887">
        <f t="shared" si="87"/>
        <v>-96.933357168394707</v>
      </c>
      <c r="R25" s="894">
        <f t="shared" si="88"/>
        <v>-98.542419653373727</v>
      </c>
      <c r="S25" s="885"/>
      <c r="T25" s="885"/>
      <c r="U25" s="885"/>
      <c r="V25" s="885"/>
      <c r="X25" s="1077" t="s">
        <v>132</v>
      </c>
      <c r="Y25" s="1257">
        <v>22.9</v>
      </c>
      <c r="Z25" s="1257">
        <v>32.1</v>
      </c>
      <c r="AA25" s="1258">
        <f t="shared" ref="AA25:AA36" si="98">SUM(Y25:Z25)</f>
        <v>55</v>
      </c>
      <c r="AB25" s="1257">
        <f>'TARGET 23-24'!B32*10</f>
        <v>15.700000000000001</v>
      </c>
      <c r="AC25" s="1257">
        <f>'TARGET 23-24'!C32*10</f>
        <v>21.200000000000003</v>
      </c>
      <c r="AD25" s="1257">
        <f>AB25+AC25</f>
        <v>36.900000000000006</v>
      </c>
      <c r="AE25" s="1258">
        <f>'ACTUAL- 23-24'!E21/100000</f>
        <v>17.783159999999999</v>
      </c>
      <c r="AF25" s="1258">
        <f>'ACTUAL- 23-24'!H21/100000</f>
        <v>29.01624</v>
      </c>
      <c r="AG25" s="1258">
        <f>AE25+AF25</f>
        <v>46.799399999999999</v>
      </c>
      <c r="AH25" s="1258">
        <f>'actual fig'!L21/100000</f>
        <v>13.59308</v>
      </c>
      <c r="AI25" s="1258">
        <f>('actual fig'!M21+'actual fig'!N21)/100000</f>
        <v>18.320779999999999</v>
      </c>
      <c r="AJ25" s="857">
        <f t="shared" si="95"/>
        <v>31.91386</v>
      </c>
      <c r="AK25" s="285">
        <v>0.88846000000000003</v>
      </c>
      <c r="AL25" s="285">
        <v>2.9574600000000002</v>
      </c>
      <c r="AM25" s="1078">
        <f t="shared" ref="AM25:AM36" si="99">SUM(AK25:AL25)</f>
        <v>3.8459200000000004</v>
      </c>
      <c r="AN25" s="1889">
        <f t="shared" ref="AN25:AN26" si="100">(AE25-AB25)/AB25*100</f>
        <v>13.268535031847117</v>
      </c>
      <c r="AO25" s="1889">
        <f t="shared" ref="AO25:AO26" si="101">(AF25-AC25)/AC25*100</f>
        <v>36.869056603773565</v>
      </c>
      <c r="AP25" s="1889">
        <f t="shared" ref="AP25" si="102">(AG25-AD25)/AD25*100</f>
        <v>26.827642276422743</v>
      </c>
      <c r="AQ25" s="1889">
        <v>0</v>
      </c>
      <c r="AR25" s="1889">
        <v>-0.1126067</v>
      </c>
      <c r="AS25" s="1889">
        <v>-0.1126067</v>
      </c>
      <c r="AT25" s="1889">
        <f t="shared" ref="AT25" si="103">(AE25-AH25)/AH25*100</f>
        <v>30.825096298999181</v>
      </c>
      <c r="AU25" s="1889">
        <f t="shared" ref="AU25:AU26" si="104">(AF25-AI25)/AI25*100</f>
        <v>58.378846315495302</v>
      </c>
      <c r="AV25" s="1889">
        <f t="shared" ref="AV25:AV26" si="105">(AG25-AJ25)/AJ25*100</f>
        <v>46.642869273726205</v>
      </c>
      <c r="AW25" s="285">
        <v>26.98</v>
      </c>
      <c r="AX25" s="285">
        <v>38.520000000000003</v>
      </c>
      <c r="AY25" s="1078">
        <f t="shared" ref="AY25:AY32" si="106">SUM(AW25:AX25)</f>
        <v>65.5</v>
      </c>
      <c r="AZ25" s="1079">
        <f t="shared" si="96"/>
        <v>30.825096298999181</v>
      </c>
      <c r="BA25" s="1079">
        <f t="shared" si="96"/>
        <v>58.378846315495302</v>
      </c>
      <c r="BB25" s="1079">
        <f t="shared" si="96"/>
        <v>46.642869273726205</v>
      </c>
      <c r="BC25" s="1501">
        <f t="shared" si="97"/>
        <v>13.268535031847117</v>
      </c>
      <c r="BD25" s="1501">
        <f t="shared" si="97"/>
        <v>36.869056603773565</v>
      </c>
      <c r="BE25" s="1501">
        <f t="shared" si="97"/>
        <v>26.827642276422743</v>
      </c>
      <c r="BL25" s="572" t="s">
        <v>134</v>
      </c>
      <c r="BM25" s="580">
        <v>0</v>
      </c>
      <c r="BN25" s="543">
        <v>4.97</v>
      </c>
      <c r="BO25" s="581">
        <f t="shared" si="93"/>
        <v>4.97</v>
      </c>
      <c r="BP25" s="572">
        <v>18.79</v>
      </c>
      <c r="BQ25" s="572">
        <v>1.84</v>
      </c>
      <c r="BR25" s="572">
        <f t="shared" si="94"/>
        <v>25.599999999999998</v>
      </c>
      <c r="CJ25" s="1148" t="s">
        <v>133</v>
      </c>
      <c r="CK25" s="1510">
        <v>1.1307984</v>
      </c>
      <c r="CL25" s="1510">
        <v>88.844433899999999</v>
      </c>
      <c r="CM25" s="1510">
        <v>89.975232300000002</v>
      </c>
    </row>
    <row r="26" spans="3:125" ht="27.75" customHeight="1" x14ac:dyDescent="0.45">
      <c r="C26" s="903" t="s">
        <v>136</v>
      </c>
      <c r="D26" s="893" t="s">
        <v>221</v>
      </c>
      <c r="E26" s="887" t="s">
        <v>221</v>
      </c>
      <c r="F26" s="905" t="s">
        <v>221</v>
      </c>
      <c r="G26" s="346">
        <f>'actual fig'!L103/100000</f>
        <v>0.39476</v>
      </c>
      <c r="H26" s="285">
        <f>'actual fig'!P103/100000</f>
        <v>2.8818899999999998</v>
      </c>
      <c r="I26" s="882">
        <f t="shared" si="90"/>
        <v>3.2766500000000001</v>
      </c>
      <c r="J26" s="346">
        <v>25.83</v>
      </c>
      <c r="K26" s="285">
        <v>35.19</v>
      </c>
      <c r="L26" s="882">
        <f t="shared" si="91"/>
        <v>61.019999999999996</v>
      </c>
      <c r="M26" s="893" t="s">
        <v>221</v>
      </c>
      <c r="N26" s="887" t="s">
        <v>221</v>
      </c>
      <c r="O26" s="887" t="s">
        <v>221</v>
      </c>
      <c r="P26" s="887">
        <f t="shared" si="92"/>
        <v>-98.471699574138597</v>
      </c>
      <c r="Q26" s="887">
        <f t="shared" si="87"/>
        <v>-91.810485933503841</v>
      </c>
      <c r="R26" s="894">
        <f t="shared" si="88"/>
        <v>-94.630203212061616</v>
      </c>
      <c r="S26" s="885"/>
      <c r="T26" s="885"/>
      <c r="U26" s="885"/>
      <c r="V26" s="885"/>
      <c r="X26" s="1077" t="s">
        <v>133</v>
      </c>
      <c r="Y26" s="1257">
        <v>24.8</v>
      </c>
      <c r="Z26" s="1257">
        <v>31.2</v>
      </c>
      <c r="AA26" s="1258">
        <f t="shared" si="98"/>
        <v>56</v>
      </c>
      <c r="AB26" s="1257">
        <f>'TARGET 23-24'!B34*10</f>
        <v>16.399999999999999</v>
      </c>
      <c r="AC26" s="1257">
        <f>'TARGET 23-24'!C34*10</f>
        <v>22.1</v>
      </c>
      <c r="AD26" s="1257">
        <f t="shared" ref="AD26:AD36" si="107">AB26+AC26</f>
        <v>38.5</v>
      </c>
      <c r="AE26" s="1258">
        <f>'ACTUAL- 23-24'!E22/100000</f>
        <v>17.409320000000001</v>
      </c>
      <c r="AF26" s="1258">
        <f>'ACTUAL- 23-24'!H22/100000</f>
        <v>26.522020000000001</v>
      </c>
      <c r="AG26" s="1258">
        <f>AE26+AF26</f>
        <v>43.931340000000006</v>
      </c>
      <c r="AH26" s="1258">
        <f>'actual fig'!L22/100000</f>
        <v>14.015969999999999</v>
      </c>
      <c r="AI26" s="1258">
        <f>('actual fig'!M22+'actual fig'!N22)/100000</f>
        <v>19.075130000000001</v>
      </c>
      <c r="AJ26" s="1078">
        <f t="shared" si="95"/>
        <v>33.091099999999997</v>
      </c>
      <c r="AK26" s="285">
        <v>1.35772</v>
      </c>
      <c r="AL26" s="285">
        <v>5.5451699999999997</v>
      </c>
      <c r="AM26" s="1078">
        <f t="shared" si="99"/>
        <v>6.9028899999999993</v>
      </c>
      <c r="AN26" s="1889">
        <f t="shared" si="100"/>
        <v>6.154390243902454</v>
      </c>
      <c r="AO26" s="1889">
        <f t="shared" si="101"/>
        <v>20.009140271493212</v>
      </c>
      <c r="AP26" s="1889">
        <f>(AG26-AD26)/AD26*100</f>
        <v>14.107376623376638</v>
      </c>
      <c r="AQ26" s="1889">
        <v>0</v>
      </c>
      <c r="AR26" s="1889">
        <v>-3.1032923000000001</v>
      </c>
      <c r="AS26" s="1889">
        <v>-3.1032923000000001</v>
      </c>
      <c r="AT26" s="1889">
        <f>(AE26-AH26)/AH26*100</f>
        <v>24.210596911951164</v>
      </c>
      <c r="AU26" s="1889">
        <f t="shared" si="104"/>
        <v>39.039786360564769</v>
      </c>
      <c r="AV26" s="1889">
        <f t="shared" si="105"/>
        <v>32.758778040016828</v>
      </c>
      <c r="AW26" s="285">
        <v>29.33</v>
      </c>
      <c r="AX26" s="285">
        <v>37.43</v>
      </c>
      <c r="AY26" s="1504">
        <f t="shared" si="106"/>
        <v>66.759999999999991</v>
      </c>
      <c r="AZ26" s="887"/>
      <c r="BA26" s="887"/>
      <c r="BB26" s="887"/>
      <c r="BC26" s="865"/>
      <c r="BD26" s="865"/>
      <c r="BE26" s="865"/>
      <c r="BL26" s="572" t="s">
        <v>136</v>
      </c>
      <c r="BM26" s="580">
        <v>0.02</v>
      </c>
      <c r="BN26" s="543">
        <v>9.98</v>
      </c>
      <c r="BO26" s="581">
        <f t="shared" si="93"/>
        <v>10</v>
      </c>
      <c r="BP26" s="572">
        <v>12.46</v>
      </c>
      <c r="BQ26" s="572">
        <v>2.23</v>
      </c>
      <c r="BR26" s="572">
        <f t="shared" si="94"/>
        <v>24.69</v>
      </c>
      <c r="CJ26" s="1148" t="s">
        <v>51</v>
      </c>
      <c r="CK26" s="1510">
        <v>1.3062503000000001</v>
      </c>
      <c r="CL26" s="1510">
        <v>117.2740182</v>
      </c>
      <c r="CM26" s="1510">
        <v>118.5802685</v>
      </c>
    </row>
    <row r="27" spans="3:125" ht="27.75" customHeight="1" x14ac:dyDescent="0.45">
      <c r="C27" s="903" t="s">
        <v>137</v>
      </c>
      <c r="D27" s="893" t="s">
        <v>221</v>
      </c>
      <c r="E27" s="887" t="s">
        <v>221</v>
      </c>
      <c r="F27" s="905" t="s">
        <v>221</v>
      </c>
      <c r="G27" s="346">
        <f>'actual fig'!L104/100000</f>
        <v>0.31079000000000001</v>
      </c>
      <c r="H27" s="285">
        <f>'actual fig'!P104/100000</f>
        <v>3.6680199999999998</v>
      </c>
      <c r="I27" s="882">
        <f t="shared" si="90"/>
        <v>3.9788099999999997</v>
      </c>
      <c r="J27" s="346">
        <v>29.60632</v>
      </c>
      <c r="K27" s="285">
        <v>36.81071</v>
      </c>
      <c r="L27" s="882">
        <f t="shared" si="91"/>
        <v>66.417029999999997</v>
      </c>
      <c r="M27" s="893" t="s">
        <v>221</v>
      </c>
      <c r="N27" s="887" t="s">
        <v>221</v>
      </c>
      <c r="O27" s="887" t="s">
        <v>221</v>
      </c>
      <c r="P27" s="887">
        <f t="shared" si="92"/>
        <v>-98.950257917904011</v>
      </c>
      <c r="Q27" s="887">
        <f t="shared" si="87"/>
        <v>-90.035454355539471</v>
      </c>
      <c r="R27" s="894">
        <f t="shared" si="88"/>
        <v>-94.00935272173416</v>
      </c>
      <c r="S27" s="885"/>
      <c r="T27" s="885"/>
      <c r="U27" s="885"/>
      <c r="V27" s="885"/>
      <c r="X27" s="1077" t="s">
        <v>51</v>
      </c>
      <c r="Y27" s="1257">
        <v>28.5</v>
      </c>
      <c r="Z27" s="1257">
        <v>29.1</v>
      </c>
      <c r="AA27" s="1258">
        <f t="shared" si="98"/>
        <v>57.6</v>
      </c>
      <c r="AB27" s="1257">
        <f>'TARGET 23-24'!B36*10</f>
        <v>16.399999999999999</v>
      </c>
      <c r="AC27" s="1257">
        <f>'TARGET 23-24'!C36*10</f>
        <v>25.6</v>
      </c>
      <c r="AD27" s="1257">
        <f t="shared" si="107"/>
        <v>42</v>
      </c>
      <c r="AE27" s="1258">
        <f>'ACTUAL- 23-24'!E23/100000</f>
        <v>18.936720000000001</v>
      </c>
      <c r="AF27" s="1258">
        <f>'ACTUAL- 23-24'!H23/100000</f>
        <v>28.666720000000002</v>
      </c>
      <c r="AG27" s="1258">
        <f>AE27+AF27</f>
        <v>47.603440000000006</v>
      </c>
      <c r="AH27" s="1258">
        <f>'actual fig'!L23/100000</f>
        <v>14.243969999999999</v>
      </c>
      <c r="AI27" s="1258">
        <f>('actual fig'!M23+'actual fig'!N23)/100000</f>
        <v>22.12809</v>
      </c>
      <c r="AJ27" s="1078">
        <f t="shared" si="95"/>
        <v>36.372059999999998</v>
      </c>
      <c r="AK27" s="285">
        <v>1.60717</v>
      </c>
      <c r="AL27" s="285">
        <v>8.2753300000000003</v>
      </c>
      <c r="AM27" s="1078">
        <f t="shared" si="99"/>
        <v>9.8825000000000003</v>
      </c>
      <c r="AN27" s="1889">
        <f t="shared" ref="AN27" si="108">(AE27-AB27)/AB27*100</f>
        <v>15.467804878048796</v>
      </c>
      <c r="AO27" s="1889">
        <f t="shared" ref="AO27" si="109">(AF27-AC27)/AC27*100</f>
        <v>11.979375000000001</v>
      </c>
      <c r="AP27" s="1889">
        <f t="shared" ref="AP27" si="110">(AG27-AD27)/AD27*100</f>
        <v>13.341523809523824</v>
      </c>
      <c r="AQ27" s="1889">
        <v>0</v>
      </c>
      <c r="AR27" s="1889">
        <v>-3.1032923000000001</v>
      </c>
      <c r="AS27" s="1889">
        <v>-3.1032923000000001</v>
      </c>
      <c r="AT27" s="1889">
        <f t="shared" ref="AT27" si="111">(AE27-AH27)/AH27*100</f>
        <v>32.945520104296783</v>
      </c>
      <c r="AU27" s="1889">
        <f t="shared" ref="AU27" si="112">(AF27-AI27)/AI27*100</f>
        <v>29.549003099680093</v>
      </c>
      <c r="AV27" s="1889">
        <f t="shared" ref="AV27" si="113">(AG27-AJ27)/AJ27*100</f>
        <v>30.879141846791214</v>
      </c>
      <c r="AW27" s="285">
        <v>33.75</v>
      </c>
      <c r="AX27" s="285">
        <v>34.85</v>
      </c>
      <c r="AY27" s="1504">
        <f t="shared" si="106"/>
        <v>68.599999999999994</v>
      </c>
      <c r="AZ27" s="887"/>
      <c r="BA27" s="887"/>
      <c r="BB27" s="887"/>
      <c r="BC27" s="865"/>
      <c r="BD27" s="865"/>
      <c r="BE27" s="865"/>
      <c r="BL27" s="572" t="s">
        <v>137</v>
      </c>
      <c r="BM27" s="580">
        <v>0.02</v>
      </c>
      <c r="BN27" s="543">
        <v>17.559999999999999</v>
      </c>
      <c r="BO27" s="581">
        <f t="shared" si="93"/>
        <v>17.579999999999998</v>
      </c>
      <c r="BP27" s="572">
        <v>20.079999999999998</v>
      </c>
      <c r="BQ27" s="572">
        <v>2.02</v>
      </c>
      <c r="BR27" s="572">
        <f t="shared" si="94"/>
        <v>39.68</v>
      </c>
      <c r="CJ27" s="1148" t="s">
        <v>134</v>
      </c>
      <c r="CK27" s="1510">
        <v>1.2690824999999999</v>
      </c>
      <c r="CL27" s="1510">
        <v>103.5988608</v>
      </c>
      <c r="CM27" s="1510">
        <v>104.86794329999999</v>
      </c>
    </row>
    <row r="28" spans="3:125" ht="27.75" customHeight="1" x14ac:dyDescent="0.45">
      <c r="C28" s="903"/>
      <c r="D28" s="893"/>
      <c r="E28" s="887"/>
      <c r="F28" s="905"/>
      <c r="G28" s="346"/>
      <c r="H28" s="285"/>
      <c r="I28" s="882"/>
      <c r="J28" s="346"/>
      <c r="K28" s="285"/>
      <c r="L28" s="882"/>
      <c r="M28" s="893"/>
      <c r="N28" s="887"/>
      <c r="O28" s="887"/>
      <c r="P28" s="887"/>
      <c r="Q28" s="887"/>
      <c r="R28" s="894"/>
      <c r="S28" s="885"/>
      <c r="T28" s="885"/>
      <c r="U28" s="885"/>
      <c r="V28" s="885"/>
      <c r="X28" s="1077" t="s">
        <v>134</v>
      </c>
      <c r="Y28" s="1257">
        <v>26.3</v>
      </c>
      <c r="Z28" s="1257">
        <v>23.4</v>
      </c>
      <c r="AA28" s="1258">
        <f>SUM(Y28:Z28)</f>
        <v>49.7</v>
      </c>
      <c r="AB28" s="1257">
        <f>'TARGET 23-24'!B38*10</f>
        <v>18.2</v>
      </c>
      <c r="AC28" s="1257">
        <f>'TARGET 23-24'!C38*10</f>
        <v>26.8</v>
      </c>
      <c r="AD28" s="1257">
        <f>AB28+AC28</f>
        <v>45</v>
      </c>
      <c r="AE28" s="1258">
        <f>'ACTUAL- 23-24'!E24/100000</f>
        <v>20.026479999999999</v>
      </c>
      <c r="AF28" s="1258">
        <f>'ACTUAL- 23-24'!H24/100000</f>
        <v>29.200520000000001</v>
      </c>
      <c r="AG28" s="1258">
        <f>AE28+AF28</f>
        <v>49.227000000000004</v>
      </c>
      <c r="AH28" s="1258">
        <f>'actual fig'!L24/100000</f>
        <v>15.66841</v>
      </c>
      <c r="AI28" s="1258">
        <f>('actual fig'!M24+'actual fig'!N24)/100000</f>
        <v>23.06869</v>
      </c>
      <c r="AJ28" s="1078">
        <f>SUM(AH28:AI28)</f>
        <v>38.737099999999998</v>
      </c>
      <c r="AK28" s="285">
        <v>2.0281799999999999</v>
      </c>
      <c r="AL28" s="285">
        <v>9.8764500000000002</v>
      </c>
      <c r="AM28" s="1078">
        <f>SUM(AK28:AL28)</f>
        <v>11.904630000000001</v>
      </c>
      <c r="AN28" s="1889">
        <f t="shared" ref="AN28" si="114">(AE28-AB28)/AB28*100</f>
        <v>10.035604395604397</v>
      </c>
      <c r="AO28" s="1889">
        <f t="shared" ref="AO28" si="115">(AF28-AC28)/AC28*100</f>
        <v>8.9571641791044776</v>
      </c>
      <c r="AP28" s="1889">
        <f t="shared" ref="AP28" si="116">(AG28-AD28)/AD28*100</f>
        <v>9.3933333333333415</v>
      </c>
      <c r="AQ28" s="1889"/>
      <c r="AR28" s="1889"/>
      <c r="AS28" s="1889"/>
      <c r="AT28" s="1889">
        <f t="shared" ref="AT28" si="117">(AE28-AH28)/AH28*100</f>
        <v>27.814372996366572</v>
      </c>
      <c r="AU28" s="1889">
        <f t="shared" ref="AU28" si="118">(AF28-AI28)/AI28*100</f>
        <v>26.580746457644544</v>
      </c>
      <c r="AV28" s="1889">
        <f t="shared" ref="AV28" si="119">(AG28-AJ28)/AJ28*100</f>
        <v>27.079724605094356</v>
      </c>
      <c r="AW28" s="285"/>
      <c r="AX28" s="285"/>
      <c r="AY28" s="1504"/>
      <c r="AZ28" s="887"/>
      <c r="BA28" s="887"/>
      <c r="BB28" s="887"/>
      <c r="BC28" s="865"/>
      <c r="BD28" s="865"/>
      <c r="BE28" s="865"/>
      <c r="BL28" s="572"/>
      <c r="BM28" s="580"/>
      <c r="BN28" s="543"/>
      <c r="BO28" s="581"/>
      <c r="BP28" s="572"/>
      <c r="BQ28" s="572"/>
      <c r="BR28" s="572"/>
      <c r="CJ28" s="1148" t="s">
        <v>135</v>
      </c>
      <c r="CK28" s="1510">
        <v>1.1621068000000001</v>
      </c>
      <c r="CL28" s="1510">
        <v>94.917621999999994</v>
      </c>
      <c r="CM28" s="1510">
        <v>96.079728799999998</v>
      </c>
    </row>
    <row r="29" spans="3:125" ht="27.75" customHeight="1" x14ac:dyDescent="0.45">
      <c r="C29" s="903" t="s">
        <v>139</v>
      </c>
      <c r="D29" s="893" t="s">
        <v>221</v>
      </c>
      <c r="E29" s="887" t="s">
        <v>221</v>
      </c>
      <c r="F29" s="905" t="s">
        <v>221</v>
      </c>
      <c r="G29" s="346">
        <f>'actual fig'!L106/100000</f>
        <v>1.16926</v>
      </c>
      <c r="H29" s="285">
        <f>'actual fig'!P106/100000</f>
        <v>7.61625</v>
      </c>
      <c r="I29" s="882">
        <f t="shared" si="90"/>
        <v>8.7855100000000004</v>
      </c>
      <c r="J29" s="346">
        <v>31.41</v>
      </c>
      <c r="K29" s="285">
        <v>36.229999999999997</v>
      </c>
      <c r="L29" s="882">
        <f t="shared" si="91"/>
        <v>67.64</v>
      </c>
      <c r="M29" s="893" t="s">
        <v>221</v>
      </c>
      <c r="N29" s="887" t="s">
        <v>221</v>
      </c>
      <c r="O29" s="887" t="s">
        <v>221</v>
      </c>
      <c r="P29" s="887">
        <f t="shared" si="92"/>
        <v>-96.277427570837304</v>
      </c>
      <c r="Q29" s="887">
        <f t="shared" si="87"/>
        <v>-78.978056858956663</v>
      </c>
      <c r="R29" s="894">
        <f t="shared" si="88"/>
        <v>-87.011369012418683</v>
      </c>
      <c r="S29" s="885"/>
      <c r="T29" s="885"/>
      <c r="U29" s="885">
        <v>2.7</v>
      </c>
      <c r="V29" s="885"/>
      <c r="X29" s="1077" t="s">
        <v>135</v>
      </c>
      <c r="Y29" s="1257">
        <v>26.2</v>
      </c>
      <c r="Z29" s="1257">
        <v>27.7</v>
      </c>
      <c r="AA29" s="1258">
        <f t="shared" si="98"/>
        <v>53.9</v>
      </c>
      <c r="AB29" s="1257">
        <f>'TARGET 23-24'!B40*10</f>
        <v>20.399999999999999</v>
      </c>
      <c r="AC29" s="1257">
        <f>'TARGET 23-24'!C40*10</f>
        <v>28.5</v>
      </c>
      <c r="AD29" s="1257">
        <f t="shared" si="107"/>
        <v>48.9</v>
      </c>
      <c r="AE29" s="1258">
        <f>'ACTUAL- 23-24'!E25/100000</f>
        <v>18.964020000000001</v>
      </c>
      <c r="AF29" s="1258">
        <f>'ACTUAL- 23-24'!H25/100000</f>
        <v>27.434329999999999</v>
      </c>
      <c r="AG29" s="1258">
        <f t="shared" ref="AG29:AG32" si="120">AE29+AF29</f>
        <v>46.398350000000001</v>
      </c>
      <c r="AH29" s="1258">
        <f>'actual fig'!L25/100000</f>
        <v>17.565010000000001</v>
      </c>
      <c r="AI29" s="1258">
        <f>('actual fig'!M25+'actual fig'!N25)/100000</f>
        <v>24.528169999999999</v>
      </c>
      <c r="AJ29" s="1078">
        <f t="shared" si="95"/>
        <v>42.093180000000004</v>
      </c>
      <c r="AK29" s="285">
        <v>2.5074100000000001</v>
      </c>
      <c r="AL29" s="285">
        <v>10.61919</v>
      </c>
      <c r="AM29" s="1078">
        <f t="shared" si="99"/>
        <v>13.1266</v>
      </c>
      <c r="AN29" s="1889">
        <f t="shared" ref="AN29:AN30" si="121">(AE29-AB29)/AB29*100</f>
        <v>-7.0391176470588093</v>
      </c>
      <c r="AO29" s="1889">
        <f t="shared" ref="AO29:AO30" si="122">(AF29-AC29)/AC29*100</f>
        <v>-3.7391929824561432</v>
      </c>
      <c r="AP29" s="1889">
        <f t="shared" ref="AP29:AP30" si="123">(AG29-AD29)/AD29*100</f>
        <v>-5.115848670756642</v>
      </c>
      <c r="AQ29" s="1889"/>
      <c r="AR29" s="1889"/>
      <c r="AS29" s="1889"/>
      <c r="AT29" s="1889">
        <f t="shared" ref="AT29:AT30" si="124">(AE29-AH29)/AH29*100</f>
        <v>7.9647549303985627</v>
      </c>
      <c r="AU29" s="1889">
        <f t="shared" ref="AU29:AU30" si="125">(AF29-AI29)/AI29*100</f>
        <v>11.848254476383683</v>
      </c>
      <c r="AV29" s="1889">
        <f t="shared" ref="AV29:AV30" si="126">(AG29-AJ29)/AJ29*100</f>
        <v>10.227713848181573</v>
      </c>
      <c r="AW29" s="285">
        <v>31.15</v>
      </c>
      <c r="AX29" s="285">
        <v>33.39</v>
      </c>
      <c r="AY29" s="1504">
        <f t="shared" si="106"/>
        <v>64.539999999999992</v>
      </c>
      <c r="AZ29" s="887"/>
      <c r="BA29" s="887"/>
      <c r="BB29" s="887"/>
      <c r="BC29" s="865"/>
      <c r="BD29" s="865"/>
      <c r="BE29" s="865"/>
      <c r="BL29" s="572" t="s">
        <v>139</v>
      </c>
      <c r="BM29" s="580">
        <v>0.02</v>
      </c>
      <c r="BN29" s="544">
        <v>48</v>
      </c>
      <c r="BO29" s="581">
        <f t="shared" si="93"/>
        <v>48.02</v>
      </c>
      <c r="BP29" s="572">
        <v>17.14</v>
      </c>
      <c r="BQ29" s="572">
        <v>1.86</v>
      </c>
      <c r="BR29" s="572">
        <f t="shared" si="94"/>
        <v>67.02</v>
      </c>
      <c r="CJ29" s="1148" t="s">
        <v>136</v>
      </c>
      <c r="CK29" s="1510">
        <v>1.1250362</v>
      </c>
      <c r="CL29" s="1510">
        <v>98.400023000000004</v>
      </c>
      <c r="CM29" s="1510">
        <v>99.525059200000001</v>
      </c>
    </row>
    <row r="30" spans="3:125" ht="27.75" customHeight="1" x14ac:dyDescent="0.45">
      <c r="C30" s="903" t="s">
        <v>140</v>
      </c>
      <c r="D30" s="893" t="s">
        <v>221</v>
      </c>
      <c r="E30" s="887" t="s">
        <v>221</v>
      </c>
      <c r="F30" s="905" t="s">
        <v>221</v>
      </c>
      <c r="G30" s="346">
        <f>'actual fig'!L107/100000</f>
        <v>0.93120999999999998</v>
      </c>
      <c r="H30" s="285">
        <f>'actual fig'!P107/100000</f>
        <v>7.2160900000000003</v>
      </c>
      <c r="I30" s="882">
        <f t="shared" si="90"/>
        <v>8.1472999999999995</v>
      </c>
      <c r="J30" s="346">
        <v>27.59</v>
      </c>
      <c r="K30" s="285">
        <v>33.68</v>
      </c>
      <c r="L30" s="882">
        <f t="shared" si="91"/>
        <v>61.269999999999996</v>
      </c>
      <c r="M30" s="893" t="s">
        <v>221</v>
      </c>
      <c r="N30" s="887" t="s">
        <v>221</v>
      </c>
      <c r="O30" s="887" t="s">
        <v>221</v>
      </c>
      <c r="P30" s="887">
        <f t="shared" si="92"/>
        <v>-96.624827836172528</v>
      </c>
      <c r="Q30" s="887">
        <f t="shared" si="87"/>
        <v>-78.574554631828974</v>
      </c>
      <c r="R30" s="894">
        <f t="shared" si="88"/>
        <v>-86.702627713399707</v>
      </c>
      <c r="S30" s="885"/>
      <c r="T30" s="885"/>
      <c r="U30" s="885">
        <f>SUM(U29:U29)</f>
        <v>2.7</v>
      </c>
      <c r="V30" s="885"/>
      <c r="X30" s="1077" t="s">
        <v>136</v>
      </c>
      <c r="Y30" s="1257">
        <v>22.6</v>
      </c>
      <c r="Z30" s="1257">
        <v>27</v>
      </c>
      <c r="AA30" s="1258">
        <f>SUM(Y30:Z30)</f>
        <v>49.6</v>
      </c>
      <c r="AB30" s="1257">
        <f>'TARGET 23-24'!B42*10</f>
        <v>18.600000000000001</v>
      </c>
      <c r="AC30" s="1257">
        <f>'TARGET 23-24'!C42*10</f>
        <v>29.700000000000003</v>
      </c>
      <c r="AD30" s="1257">
        <f t="shared" si="107"/>
        <v>48.300000000000004</v>
      </c>
      <c r="AE30" s="1258">
        <f>'ACTUAL- 23-24'!E26/100000</f>
        <v>18.920290000000001</v>
      </c>
      <c r="AF30" s="1258">
        <f>'ACTUAL- 23-24'!H26/100000</f>
        <v>28.17032</v>
      </c>
      <c r="AG30" s="1258">
        <f t="shared" si="120"/>
        <v>47.090609999999998</v>
      </c>
      <c r="AH30" s="1258">
        <f>'actual fig'!L26/100000</f>
        <v>16.107679999999998</v>
      </c>
      <c r="AI30" s="1258">
        <f>('actual fig'!M26+'actual fig'!N26)/100000</f>
        <v>25.448799999999999</v>
      </c>
      <c r="AJ30" s="1078">
        <f t="shared" si="95"/>
        <v>41.556479999999993</v>
      </c>
      <c r="AK30" s="285">
        <v>3.1974999999999998</v>
      </c>
      <c r="AL30" s="285">
        <v>11.916969999999999</v>
      </c>
      <c r="AM30" s="1078">
        <f t="shared" si="99"/>
        <v>15.114469999999999</v>
      </c>
      <c r="AN30" s="1889">
        <f t="shared" si="121"/>
        <v>1.7219892473118277</v>
      </c>
      <c r="AO30" s="1889">
        <f t="shared" si="122"/>
        <v>-5.1504377104377186</v>
      </c>
      <c r="AP30" s="1889">
        <f t="shared" si="123"/>
        <v>-2.5039130434782733</v>
      </c>
      <c r="AQ30" s="1889"/>
      <c r="AR30" s="1889"/>
      <c r="AS30" s="1889"/>
      <c r="AT30" s="1889">
        <f t="shared" si="124"/>
        <v>17.461297964697607</v>
      </c>
      <c r="AU30" s="1889">
        <f t="shared" si="125"/>
        <v>10.694099525321437</v>
      </c>
      <c r="AV30" s="1889">
        <f t="shared" si="126"/>
        <v>13.317128880983194</v>
      </c>
      <c r="AW30" s="285">
        <v>25.83</v>
      </c>
      <c r="AX30" s="285">
        <v>35.19</v>
      </c>
      <c r="AY30" s="1504">
        <f t="shared" si="106"/>
        <v>61.019999999999996</v>
      </c>
      <c r="AZ30" s="887"/>
      <c r="BA30" s="887"/>
      <c r="BB30" s="887"/>
      <c r="BC30" s="865"/>
      <c r="BD30" s="865"/>
      <c r="BE30" s="865"/>
      <c r="BL30" s="572" t="s">
        <v>140</v>
      </c>
      <c r="BM30" s="580">
        <v>0.02</v>
      </c>
      <c r="BN30" s="544">
        <v>45</v>
      </c>
      <c r="BO30" s="581">
        <f t="shared" si="93"/>
        <v>45.02</v>
      </c>
      <c r="BP30" s="572">
        <v>9.0399999999999991</v>
      </c>
      <c r="BQ30" s="572">
        <v>1.6</v>
      </c>
      <c r="BR30" s="572">
        <f t="shared" si="94"/>
        <v>55.660000000000004</v>
      </c>
      <c r="CJ30" s="1148" t="s">
        <v>1004</v>
      </c>
      <c r="CK30" s="1800">
        <f t="shared" ref="CK30" si="127">SUM(CK23:CK29)</f>
        <v>8.2581384999999994</v>
      </c>
      <c r="CL30" s="1800">
        <f t="shared" ref="CL30" si="128">SUM(CL23:CL29)</f>
        <v>682.96667980000007</v>
      </c>
      <c r="CM30" s="1800">
        <f t="shared" ref="CM30" si="129">SUM(CM23:CM29)</f>
        <v>691.22481829999992</v>
      </c>
    </row>
    <row r="31" spans="3:125" ht="27.75" customHeight="1" x14ac:dyDescent="0.45">
      <c r="C31" s="903"/>
      <c r="D31" s="893"/>
      <c r="E31" s="887"/>
      <c r="F31" s="905"/>
      <c r="G31" s="346"/>
      <c r="H31" s="285"/>
      <c r="I31" s="882"/>
      <c r="J31" s="346"/>
      <c r="K31" s="285"/>
      <c r="L31" s="882"/>
      <c r="M31" s="893"/>
      <c r="N31" s="887"/>
      <c r="O31" s="887"/>
      <c r="P31" s="887"/>
      <c r="Q31" s="887"/>
      <c r="R31" s="894"/>
      <c r="S31" s="885"/>
      <c r="T31" s="885"/>
      <c r="U31" s="885"/>
      <c r="V31" s="885"/>
      <c r="X31" s="1077" t="s">
        <v>137</v>
      </c>
      <c r="Y31" s="1257">
        <v>25</v>
      </c>
      <c r="Z31" s="1257">
        <v>31</v>
      </c>
      <c r="AA31" s="1258">
        <f t="shared" si="98"/>
        <v>56</v>
      </c>
      <c r="AB31" s="1257">
        <f>'TARGET 23-24'!B44*10</f>
        <v>21.5</v>
      </c>
      <c r="AC31" s="1257">
        <f>'TARGET 23-24'!C44*10</f>
        <v>32</v>
      </c>
      <c r="AD31" s="1257">
        <f t="shared" si="107"/>
        <v>53.5</v>
      </c>
      <c r="AE31" s="1258">
        <f>'ACTUAL- 23-24'!E27/100000</f>
        <v>17.067309999999999</v>
      </c>
      <c r="AF31" s="1258">
        <f>'ACTUAL- 23-24'!H27/100000</f>
        <v>29.925409999999999</v>
      </c>
      <c r="AG31" s="1258">
        <f t="shared" si="120"/>
        <v>46.992719999999998</v>
      </c>
      <c r="AH31" s="1258">
        <f>'actual fig'!L27/100000</f>
        <v>18.494299999999999</v>
      </c>
      <c r="AI31" s="1258">
        <f>('actual fig'!M27+'actual fig'!N27)/100000</f>
        <v>27.505700000000001</v>
      </c>
      <c r="AJ31" s="1078">
        <f t="shared" si="95"/>
        <v>46</v>
      </c>
      <c r="AK31" s="285">
        <v>4.5688700000000004</v>
      </c>
      <c r="AL31" s="285">
        <v>12.969010000000001</v>
      </c>
      <c r="AM31" s="1078">
        <f t="shared" si="99"/>
        <v>17.537880000000001</v>
      </c>
      <c r="AN31" s="1889">
        <f t="shared" ref="AN31:AN32" si="130">(AE31-AB31)/AB31*100</f>
        <v>-20.61716279069768</v>
      </c>
      <c r="AO31" s="1889">
        <f t="shared" ref="AO31:AO32" si="131">(AF31-AC31)/AC31*100</f>
        <v>-6.4830937500000019</v>
      </c>
      <c r="AP31" s="1889">
        <f t="shared" ref="AP31:AP32" si="132">(AG31-AD31)/AD31*100</f>
        <v>-12.163140186915891</v>
      </c>
      <c r="AQ31" s="1889"/>
      <c r="AR31" s="1889"/>
      <c r="AS31" s="1889"/>
      <c r="AT31" s="1889">
        <f t="shared" ref="AT31:AT32" si="133">(AE31-AH31)/AH31*100</f>
        <v>-7.7158367713295455</v>
      </c>
      <c r="AU31" s="1889">
        <f t="shared" ref="AU31:AU32" si="134">(AF31-AI31)/AI31*100</f>
        <v>8.7971220510657719</v>
      </c>
      <c r="AV31" s="1889">
        <f t="shared" ref="AV31:AV32" si="135">(AG31-AJ31)/AJ31*100</f>
        <v>2.158086956521736</v>
      </c>
      <c r="AW31" s="1801"/>
      <c r="AX31" s="1801"/>
      <c r="AY31" s="1799"/>
      <c r="AZ31" s="887"/>
      <c r="BA31" s="887"/>
      <c r="BB31" s="887"/>
      <c r="BC31" s="865"/>
      <c r="BD31" s="865"/>
      <c r="BE31" s="865"/>
      <c r="BL31" s="1175"/>
      <c r="BM31" s="1176"/>
      <c r="BN31" s="1177"/>
      <c r="BO31" s="1178"/>
      <c r="BP31" s="1175"/>
      <c r="BQ31" s="1175"/>
      <c r="BR31" s="1175"/>
    </row>
    <row r="32" spans="3:125" ht="27.75" customHeight="1" x14ac:dyDescent="0.45">
      <c r="C32" s="903" t="s">
        <v>141</v>
      </c>
      <c r="D32" s="893" t="s">
        <v>221</v>
      </c>
      <c r="E32" s="887" t="s">
        <v>221</v>
      </c>
      <c r="F32" s="905" t="s">
        <v>221</v>
      </c>
      <c r="G32" s="346">
        <f>'actual fig'!L108/100000</f>
        <v>1.43418</v>
      </c>
      <c r="H32" s="285">
        <f>'actual fig'!P108/100000</f>
        <v>7.64907</v>
      </c>
      <c r="I32" s="882">
        <f>SUM(G32:H32)</f>
        <v>9.0832499999999996</v>
      </c>
      <c r="J32" s="346">
        <v>31.346540000000001</v>
      </c>
      <c r="K32" s="285">
        <v>27.86</v>
      </c>
      <c r="L32" s="882">
        <f t="shared" si="91"/>
        <v>59.206540000000004</v>
      </c>
      <c r="M32" s="893" t="s">
        <v>221</v>
      </c>
      <c r="N32" s="887" t="s">
        <v>221</v>
      </c>
      <c r="O32" s="887" t="s">
        <v>221</v>
      </c>
      <c r="P32" s="887">
        <f t="shared" si="92"/>
        <v>-95.424758202978694</v>
      </c>
      <c r="Q32" s="887">
        <f t="shared" si="87"/>
        <v>-72.544615936826986</v>
      </c>
      <c r="R32" s="894">
        <f t="shared" si="88"/>
        <v>-84.658367133090366</v>
      </c>
      <c r="S32" s="885"/>
      <c r="T32" s="885"/>
      <c r="U32" s="885"/>
      <c r="V32" s="885"/>
      <c r="X32" s="1077" t="s">
        <v>138</v>
      </c>
      <c r="Y32" s="1257">
        <v>26.7</v>
      </c>
      <c r="Z32" s="1257">
        <v>31.2</v>
      </c>
      <c r="AA32" s="1258">
        <f t="shared" si="98"/>
        <v>57.9</v>
      </c>
      <c r="AB32" s="1257">
        <f>'TARGET 23-24'!B46*10</f>
        <v>20.8</v>
      </c>
      <c r="AC32" s="1257">
        <f>'TARGET 23-24'!C46*10</f>
        <v>31.400000000000002</v>
      </c>
      <c r="AD32" s="1257">
        <f t="shared" si="107"/>
        <v>52.2</v>
      </c>
      <c r="AE32" s="1258">
        <f>'ACTUAL- 23-24'!E28/100000</f>
        <v>17.164670000000001</v>
      </c>
      <c r="AF32" s="1258">
        <f>'ACTUAL- 23-24'!H28/100000</f>
        <v>29.596409999999999</v>
      </c>
      <c r="AG32" s="1258">
        <f t="shared" si="120"/>
        <v>46.76108</v>
      </c>
      <c r="AH32" s="1258">
        <f>'actual fig'!L28/100000</f>
        <v>17.716100000000001</v>
      </c>
      <c r="AI32" s="1258">
        <f>('actual fig'!M28+'actual fig'!N28)/100000</f>
        <v>27.00497</v>
      </c>
      <c r="AJ32" s="1078">
        <f t="shared" si="95"/>
        <v>44.721069999999997</v>
      </c>
      <c r="AK32" s="285">
        <v>5.8939700000000004</v>
      </c>
      <c r="AL32" s="285">
        <v>13.41417</v>
      </c>
      <c r="AM32" s="1078">
        <f t="shared" si="99"/>
        <v>19.308140000000002</v>
      </c>
      <c r="AN32" s="1889">
        <f t="shared" si="130"/>
        <v>-17.477548076923075</v>
      </c>
      <c r="AO32" s="1889">
        <f t="shared" si="131"/>
        <v>-5.7439171974522401</v>
      </c>
      <c r="AP32" s="1889">
        <f t="shared" si="132"/>
        <v>-10.419386973180082</v>
      </c>
      <c r="AQ32" s="1889"/>
      <c r="AR32" s="1889"/>
      <c r="AS32" s="1889"/>
      <c r="AT32" s="1889">
        <f t="shared" si="133"/>
        <v>-3.1125925006067918</v>
      </c>
      <c r="AU32" s="1889">
        <f t="shared" si="134"/>
        <v>9.596159521747289</v>
      </c>
      <c r="AV32" s="1889">
        <f t="shared" si="135"/>
        <v>4.5616305692149188</v>
      </c>
      <c r="AW32" s="285">
        <v>29.60632</v>
      </c>
      <c r="AX32" s="285">
        <v>36.81071</v>
      </c>
      <c r="AY32" s="1504">
        <f t="shared" si="106"/>
        <v>66.417029999999997</v>
      </c>
      <c r="AZ32" s="887"/>
      <c r="BA32" s="887"/>
      <c r="BB32" s="887"/>
      <c r="BC32" s="865"/>
      <c r="BD32" s="865"/>
      <c r="BE32" s="865"/>
      <c r="BL32" s="1175"/>
      <c r="BM32" s="1176"/>
      <c r="BN32" s="1177"/>
      <c r="BO32" s="1178"/>
      <c r="BP32" s="1175"/>
      <c r="BQ32" s="1175"/>
      <c r="BR32" s="1175"/>
    </row>
    <row r="33" spans="3:70" ht="27.75" customHeight="1" thickBot="1" x14ac:dyDescent="0.5">
      <c r="C33" s="1165"/>
      <c r="D33" s="1169"/>
      <c r="E33" s="1169"/>
      <c r="F33" s="1169"/>
      <c r="G33" s="885"/>
      <c r="H33" s="885"/>
      <c r="I33" s="885"/>
      <c r="J33" s="883"/>
      <c r="K33" s="885"/>
      <c r="L33" s="885"/>
      <c r="M33" s="1169"/>
      <c r="N33" s="1169"/>
      <c r="O33" s="1169"/>
      <c r="P33" s="1168"/>
      <c r="Q33" s="1168"/>
      <c r="R33" s="1169"/>
      <c r="S33" s="885"/>
      <c r="T33" s="885"/>
      <c r="U33" s="885"/>
      <c r="V33" s="885"/>
      <c r="X33" s="1077" t="s">
        <v>139</v>
      </c>
      <c r="Y33" s="1258">
        <v>26.5</v>
      </c>
      <c r="Z33" s="1258">
        <v>29.9</v>
      </c>
      <c r="AA33" s="1258">
        <f t="shared" si="98"/>
        <v>56.4</v>
      </c>
      <c r="AB33" s="1258">
        <f>'TARGET 23-24'!B48*10</f>
        <v>20.6</v>
      </c>
      <c r="AC33" s="1258">
        <f>'TARGET 23-24'!C48*10</f>
        <v>32.1</v>
      </c>
      <c r="AD33" s="1257">
        <f t="shared" si="107"/>
        <v>52.7</v>
      </c>
      <c r="AE33" s="1258">
        <f>'ACTUAL- 23-24'!E29/100000</f>
        <v>18.55519</v>
      </c>
      <c r="AF33" s="1258">
        <f>'ACTUAL- 23-24'!H29/100000</f>
        <v>28.94267</v>
      </c>
      <c r="AG33" s="1258">
        <f>AE33+AF33</f>
        <v>47.497860000000003</v>
      </c>
      <c r="AH33" s="1258">
        <f>'actual fig'!L29/100000</f>
        <v>17.631509999999999</v>
      </c>
      <c r="AI33" s="1258">
        <f>('actual fig'!M29+'actual fig'!N29)/100000</f>
        <v>27.583829999999999</v>
      </c>
      <c r="AJ33" s="1258">
        <f t="shared" si="95"/>
        <v>45.215339999999998</v>
      </c>
      <c r="AK33" s="1303">
        <f>'JAN-23'!J65</f>
        <v>5.4072899999999997</v>
      </c>
      <c r="AL33" s="1303">
        <f>'JAN-23'!J66+'JAN-23'!J67</f>
        <v>8.3747199999999999</v>
      </c>
      <c r="AM33" s="1258">
        <f t="shared" si="99"/>
        <v>13.78201</v>
      </c>
      <c r="AN33" s="1889">
        <f t="shared" ref="AN33" si="136">(AE33-AB33)/AB33*100</f>
        <v>-9.9262621359223377</v>
      </c>
      <c r="AO33" s="1889">
        <f t="shared" ref="AO33" si="137">(AF33-AC33)/AC33*100</f>
        <v>-9.8359190031152703</v>
      </c>
      <c r="AP33" s="1889">
        <f t="shared" ref="AP33" si="138">(AG33-AD33)/AD33*100</f>
        <v>-9.8712333965844383</v>
      </c>
      <c r="AQ33" s="1889"/>
      <c r="AR33" s="1889"/>
      <c r="AS33" s="1889"/>
      <c r="AT33" s="1889">
        <f t="shared" ref="AT33" si="139">(AE33-AH33)/AH33*100</f>
        <v>5.2388025756160479</v>
      </c>
      <c r="AU33" s="1889">
        <f t="shared" ref="AU33" si="140">(AF33-AI33)/AI33*100</f>
        <v>4.9262194553838272</v>
      </c>
      <c r="AV33" s="1889">
        <f t="shared" ref="AV33" si="141">(AG33-AJ33)/AJ33*100</f>
        <v>5.0481097786724707</v>
      </c>
      <c r="AW33" s="285">
        <v>31.63</v>
      </c>
      <c r="AX33" s="285">
        <v>37.549999999999997</v>
      </c>
      <c r="AY33" s="1504">
        <f>SUM(AW33:AX33)</f>
        <v>69.179999999999993</v>
      </c>
      <c r="AZ33" s="887"/>
      <c r="BA33" s="887"/>
      <c r="BB33" s="887"/>
      <c r="BC33" s="865"/>
      <c r="BD33" s="865"/>
      <c r="BE33" s="865"/>
      <c r="BL33" s="574" t="s">
        <v>240</v>
      </c>
      <c r="BM33" s="586">
        <f>SUM(BM21:BM30)</f>
        <v>0.08</v>
      </c>
      <c r="BN33" s="586">
        <f>SUM(BN21:BN30)</f>
        <v>132.26999999999998</v>
      </c>
      <c r="BO33" s="586">
        <f>SUM(BO21:BO30)</f>
        <v>132.35000000000002</v>
      </c>
      <c r="BP33" s="574" t="e">
        <f>SUM(#REF!)</f>
        <v>#REF!</v>
      </c>
      <c r="BQ33" s="574" t="e">
        <f>SUM(#REF!)</f>
        <v>#REF!</v>
      </c>
      <c r="BR33" s="574" t="e">
        <f>SUM(#REF!)</f>
        <v>#REF!</v>
      </c>
    </row>
    <row r="34" spans="3:70" ht="24" customHeight="1" thickBot="1" x14ac:dyDescent="0.45">
      <c r="X34" s="1353" t="s">
        <v>821</v>
      </c>
      <c r="Y34" s="1258">
        <v>23.2</v>
      </c>
      <c r="Z34" s="1258">
        <v>28.4</v>
      </c>
      <c r="AA34" s="1258">
        <f t="shared" si="98"/>
        <v>51.599999999999994</v>
      </c>
      <c r="AB34" s="1258">
        <f>'TARGET 23-24'!B50*10</f>
        <v>19.099999999999998</v>
      </c>
      <c r="AC34" s="1258">
        <f>'TARGET 23-24'!C50*10</f>
        <v>28.5</v>
      </c>
      <c r="AD34" s="1257">
        <f t="shared" si="107"/>
        <v>47.599999999999994</v>
      </c>
      <c r="AE34" s="1258">
        <f>'ACTUAL- 23-24'!E30/100000</f>
        <v>17.515560000000001</v>
      </c>
      <c r="AF34" s="1258">
        <f>'ACTUAL- 23-24'!H30/100000</f>
        <v>28.199059999999999</v>
      </c>
      <c r="AG34" s="1258">
        <f>AE34+AF34</f>
        <v>45.714619999999996</v>
      </c>
      <c r="AH34" s="1258">
        <f>'actual fig'!L30/100000</f>
        <v>16.413129999999999</v>
      </c>
      <c r="AI34" s="1258">
        <f>('actual fig'!M30+'actual fig'!N30)/100000</f>
        <v>24.540099999999999</v>
      </c>
      <c r="AJ34" s="1078">
        <f t="shared" si="95"/>
        <v>40.953229999999998</v>
      </c>
      <c r="AK34" s="285">
        <f>'FEB -23'!F46*10</f>
        <v>6.6512499999999992</v>
      </c>
      <c r="AL34" s="285">
        <f>('FEB -23'!F47+'FEB -23'!F48)*10</f>
        <v>13.162970000000001</v>
      </c>
      <c r="AM34" s="1078">
        <f>SUM(AK34:AL34)</f>
        <v>19.814219999999999</v>
      </c>
      <c r="AN34" s="1889">
        <f t="shared" ref="AN34" si="142">(AE34-AB34)/AB34*100</f>
        <v>-8.2954973821989402</v>
      </c>
      <c r="AO34" s="1889">
        <f t="shared" ref="AO34" si="143">(AF34-AC34)/AC34*100</f>
        <v>-1.0559298245614059</v>
      </c>
      <c r="AP34" s="1889">
        <f t="shared" ref="AP34" si="144">(AG34-AD34)/AD34*100</f>
        <v>-3.9608823529411725</v>
      </c>
      <c r="AQ34" s="1889"/>
      <c r="AR34" s="1889"/>
      <c r="AS34" s="1889"/>
      <c r="AT34" s="1889">
        <f t="shared" ref="AT34" si="145">(AE34-AH34)/AH34*100</f>
        <v>6.7167566454418015</v>
      </c>
      <c r="AU34" s="1889">
        <f t="shared" ref="AU34" si="146">(AF34-AI34)/AI34*100</f>
        <v>14.910126690600286</v>
      </c>
      <c r="AV34" s="1889">
        <f>(AG34-AJ34)/AJ34*100</f>
        <v>11.626408954800388</v>
      </c>
      <c r="AW34" s="346">
        <v>27.59</v>
      </c>
      <c r="AX34" s="285">
        <v>33.68</v>
      </c>
      <c r="AY34" s="1504">
        <f>SUM(AW34:AX34)</f>
        <v>61.269999999999996</v>
      </c>
      <c r="AZ34" s="887"/>
      <c r="BA34" s="887"/>
      <c r="BB34" s="887"/>
      <c r="BC34" s="865"/>
      <c r="BD34" s="865"/>
      <c r="BE34" s="865"/>
    </row>
    <row r="35" spans="3:70" ht="27.75" customHeight="1" x14ac:dyDescent="0.4">
      <c r="C35" s="901"/>
      <c r="D35" s="2599" t="s">
        <v>594</v>
      </c>
      <c r="E35" s="2600"/>
      <c r="F35" s="2601"/>
      <c r="G35" s="2599" t="s">
        <v>584</v>
      </c>
      <c r="H35" s="2600"/>
      <c r="I35" s="2601"/>
      <c r="J35" s="2599" t="s">
        <v>585</v>
      </c>
      <c r="K35" s="2600"/>
      <c r="L35" s="2601"/>
      <c r="M35" s="2596" t="s">
        <v>592</v>
      </c>
      <c r="N35" s="2597"/>
      <c r="O35" s="2597"/>
      <c r="P35" s="2597" t="s">
        <v>593</v>
      </c>
      <c r="Q35" s="2597"/>
      <c r="R35" s="2598"/>
      <c r="X35" s="1798" t="str">
        <f>X17</f>
        <v>UPTO FEB</v>
      </c>
      <c r="Y35" s="1800">
        <f>SUM(Y24:Y34)</f>
        <v>274.59999999999997</v>
      </c>
      <c r="Z35" s="1800">
        <f t="shared" ref="Z35:AL35" si="147">SUM(Z24:Z34)</f>
        <v>321.29999999999995</v>
      </c>
      <c r="AA35" s="1800">
        <f t="shared" si="147"/>
        <v>595.9</v>
      </c>
      <c r="AB35" s="1800">
        <f t="shared" si="147"/>
        <v>200.89999999999998</v>
      </c>
      <c r="AC35" s="1800">
        <f t="shared" si="147"/>
        <v>298.39999999999998</v>
      </c>
      <c r="AD35" s="1800">
        <f t="shared" si="147"/>
        <v>499.29999999999995</v>
      </c>
      <c r="AE35" s="1800">
        <f t="shared" si="147"/>
        <v>199.33571000000001</v>
      </c>
      <c r="AF35" s="1800">
        <f t="shared" si="147"/>
        <v>312.71029999999996</v>
      </c>
      <c r="AG35" s="1800">
        <f t="shared" si="147"/>
        <v>512.04601000000002</v>
      </c>
      <c r="AH35" s="1800">
        <f t="shared" si="147"/>
        <v>172.84208999999998</v>
      </c>
      <c r="AI35" s="1800">
        <f t="shared" si="147"/>
        <v>256.94244000000003</v>
      </c>
      <c r="AJ35" s="1800">
        <f t="shared" si="147"/>
        <v>429.78453000000007</v>
      </c>
      <c r="AK35" s="1800">
        <f t="shared" si="147"/>
        <v>35.068339999999999</v>
      </c>
      <c r="AL35" s="1800">
        <f t="shared" si="147"/>
        <v>101.74796000000001</v>
      </c>
      <c r="AM35" s="1800">
        <f>SUM(AM24:AM34)</f>
        <v>136.81629999999998</v>
      </c>
      <c r="AN35" s="1923">
        <f>(AE35-AB35)/AB35*100</f>
        <v>-0.77864111498256428</v>
      </c>
      <c r="AO35" s="1923">
        <f>(AF35-AC35)/AC35*100</f>
        <v>4.7956769436997266</v>
      </c>
      <c r="AP35" s="1923">
        <f>(AG35-AD35)/AD35*100</f>
        <v>2.552775886240751</v>
      </c>
      <c r="AQ35" s="1923"/>
      <c r="AR35" s="1923"/>
      <c r="AS35" s="1923"/>
      <c r="AT35" s="1923">
        <f>(AE35-AH35)/AH35*100</f>
        <v>15.328222425452054</v>
      </c>
      <c r="AU35" s="1923">
        <f>(AF35-AI35)/AI35*100</f>
        <v>21.704417534137189</v>
      </c>
      <c r="AV35" s="1923">
        <f>(AG35-AJ35)/AJ35*100</f>
        <v>19.140167748708855</v>
      </c>
      <c r="AW35" s="1303">
        <v>31.41</v>
      </c>
      <c r="AX35" s="1303">
        <v>36.229999999999997</v>
      </c>
      <c r="AY35" s="1504">
        <f>SUM(AW35:AX35)</f>
        <v>67.64</v>
      </c>
      <c r="AZ35" s="887"/>
      <c r="BA35" s="887"/>
      <c r="BB35" s="887"/>
      <c r="BC35" s="865"/>
      <c r="BD35" s="865"/>
      <c r="BE35" s="865"/>
    </row>
    <row r="36" spans="3:70" ht="27.75" customHeight="1" x14ac:dyDescent="0.4">
      <c r="C36" s="902" t="s">
        <v>127</v>
      </c>
      <c r="D36" s="877" t="s">
        <v>432</v>
      </c>
      <c r="E36" s="856" t="s">
        <v>588</v>
      </c>
      <c r="F36" s="878" t="s">
        <v>63</v>
      </c>
      <c r="G36" s="877" t="s">
        <v>432</v>
      </c>
      <c r="H36" s="856" t="s">
        <v>588</v>
      </c>
      <c r="I36" s="878" t="s">
        <v>63</v>
      </c>
      <c r="J36" s="877" t="s">
        <v>432</v>
      </c>
      <c r="K36" s="856" t="s">
        <v>588</v>
      </c>
      <c r="L36" s="878" t="s">
        <v>63</v>
      </c>
      <c r="M36" s="891" t="s">
        <v>432</v>
      </c>
      <c r="N36" s="889" t="s">
        <v>588</v>
      </c>
      <c r="O36" s="890" t="s">
        <v>63</v>
      </c>
      <c r="P36" s="889" t="s">
        <v>432</v>
      </c>
      <c r="Q36" s="889" t="s">
        <v>588</v>
      </c>
      <c r="R36" s="892" t="s">
        <v>63</v>
      </c>
      <c r="X36" s="1077" t="s">
        <v>141</v>
      </c>
      <c r="Y36" s="1257">
        <v>14.1</v>
      </c>
      <c r="Z36" s="1257">
        <v>15.3</v>
      </c>
      <c r="AA36" s="1257">
        <f t="shared" si="98"/>
        <v>29.4</v>
      </c>
      <c r="AB36" s="1258">
        <f>'TARGET 23-24'!B52*10</f>
        <v>20</v>
      </c>
      <c r="AC36" s="1258">
        <f>'TARGET 23-24'!C52*10</f>
        <v>31.299999999999997</v>
      </c>
      <c r="AD36" s="1257">
        <f t="shared" si="107"/>
        <v>51.3</v>
      </c>
      <c r="AE36" s="1258"/>
      <c r="AF36" s="1258"/>
      <c r="AG36" s="1258"/>
      <c r="AH36" s="1258">
        <f>'actual fig'!L31/100000</f>
        <v>17.326370000000001</v>
      </c>
      <c r="AI36" s="1258">
        <f>('actual fig'!M31+'actual fig'!N31)/100000</f>
        <v>26.920860000000001</v>
      </c>
      <c r="AJ36" s="1258">
        <f t="shared" si="95"/>
        <v>44.247230000000002</v>
      </c>
      <c r="AK36" s="285">
        <v>9.4987100000000009</v>
      </c>
      <c r="AL36" s="285">
        <v>16.643999999999998</v>
      </c>
      <c r="AM36" s="1078">
        <f t="shared" si="99"/>
        <v>26.142710000000001</v>
      </c>
      <c r="AN36" s="1889"/>
      <c r="AO36" s="1889"/>
      <c r="AP36" s="1889"/>
      <c r="AQ36" s="1889"/>
      <c r="AR36" s="1889"/>
      <c r="AS36" s="1889"/>
      <c r="AT36" s="1890"/>
      <c r="AU36" s="1890"/>
      <c r="AV36" s="1890"/>
      <c r="AW36" s="346">
        <v>31.346540000000001</v>
      </c>
      <c r="AX36" s="285">
        <v>27.86</v>
      </c>
      <c r="AY36" s="1504">
        <f>SUM(AW36:AX36)</f>
        <v>59.206540000000004</v>
      </c>
      <c r="AZ36" s="887"/>
      <c r="BA36" s="887"/>
      <c r="BB36" s="887"/>
      <c r="BC36" s="865"/>
      <c r="BD36" s="865"/>
      <c r="BE36" s="865"/>
    </row>
    <row r="37" spans="3:70" ht="27.75" customHeight="1" x14ac:dyDescent="0.4">
      <c r="C37" s="903" t="s">
        <v>131</v>
      </c>
      <c r="D37" s="899">
        <v>0.16</v>
      </c>
      <c r="E37" s="886">
        <v>68.09</v>
      </c>
      <c r="F37" s="882">
        <f>SUM(D37:E37)</f>
        <v>68.25</v>
      </c>
      <c r="G37" s="899">
        <v>3.9327188999999999E-2</v>
      </c>
      <c r="H37" s="285">
        <v>32.692743999999998</v>
      </c>
      <c r="I37" s="882">
        <f>SUM(G37:H37)</f>
        <v>32.732071188999996</v>
      </c>
      <c r="J37" s="346">
        <v>0</v>
      </c>
      <c r="K37" s="285">
        <v>-14.077521600000001</v>
      </c>
      <c r="L37" s="882">
        <f>SUM(J37:K37)</f>
        <v>-14.077521600000001</v>
      </c>
      <c r="M37" s="893">
        <f>(G37-D37)/D37*100</f>
        <v>-75.420506875000001</v>
      </c>
      <c r="N37" s="893">
        <f>(H37-E37)/E37*100</f>
        <v>-51.98598325745337</v>
      </c>
      <c r="O37" s="906">
        <f>(I37-F37)/F37*100</f>
        <v>-52.04092133479854</v>
      </c>
      <c r="P37" s="887" t="s">
        <v>221</v>
      </c>
      <c r="Q37" s="887">
        <f>(H37-K37)/K37*100</f>
        <v>-332.23366249354575</v>
      </c>
      <c r="R37" s="888">
        <f>(I37-L37)/L37*100</f>
        <v>-332.51302408941064</v>
      </c>
      <c r="X37" s="1265" t="s">
        <v>240</v>
      </c>
      <c r="Y37" s="1275">
        <f t="shared" ref="Y37:AD37" si="148">Y24+Y25+Y26+Y27+Y28+Y29+Y30+Y31+Y32+Y33+Y34+Y36</f>
        <v>288.7</v>
      </c>
      <c r="Z37" s="1275">
        <f t="shared" si="148"/>
        <v>336.59999999999997</v>
      </c>
      <c r="AA37" s="1275">
        <f t="shared" si="148"/>
        <v>625.29999999999995</v>
      </c>
      <c r="AB37" s="1275">
        <f t="shared" si="148"/>
        <v>220.89999999999998</v>
      </c>
      <c r="AC37" s="1275">
        <f t="shared" si="148"/>
        <v>329.7</v>
      </c>
      <c r="AD37" s="1275">
        <f t="shared" si="148"/>
        <v>550.59999999999991</v>
      </c>
      <c r="AE37" s="1275"/>
      <c r="AF37" s="1275"/>
      <c r="AG37" s="1275"/>
      <c r="AH37" s="1275">
        <f t="shared" ref="AH37:AV37" si="149">AH24+AH25+AH26+AH27+AH28+AH29+AH30+AH31+AH32+AH33+AH34+AH36</f>
        <v>190.16845999999998</v>
      </c>
      <c r="AI37" s="1275">
        <f t="shared" si="149"/>
        <v>283.86330000000004</v>
      </c>
      <c r="AJ37" s="1275">
        <f t="shared" si="149"/>
        <v>474.03176000000008</v>
      </c>
      <c r="AK37" s="1275">
        <f t="shared" si="149"/>
        <v>44.567050000000002</v>
      </c>
      <c r="AL37" s="1275">
        <f t="shared" si="149"/>
        <v>118.39196000000001</v>
      </c>
      <c r="AM37" s="1275">
        <f t="shared" si="149"/>
        <v>162.95900999999998</v>
      </c>
      <c r="AN37" s="1891">
        <f t="shared" si="149"/>
        <v>12.027508491186444</v>
      </c>
      <c r="AO37" s="1891">
        <f t="shared" si="149"/>
        <v>77.692099244885071</v>
      </c>
      <c r="AP37" s="1891">
        <f t="shared" si="149"/>
        <v>50.287073792687259</v>
      </c>
      <c r="AQ37" s="1891">
        <f t="shared" si="149"/>
        <v>0</v>
      </c>
      <c r="AR37" s="1891">
        <f t="shared" si="149"/>
        <v>-20.396712900000001</v>
      </c>
      <c r="AS37" s="1891" t="e">
        <f t="shared" si="149"/>
        <v>#VALUE!</v>
      </c>
      <c r="AT37" s="1891">
        <f t="shared" si="149"/>
        <v>191.50258647938202</v>
      </c>
      <c r="AU37" s="1891">
        <f t="shared" si="149"/>
        <v>266.74073628069846</v>
      </c>
      <c r="AV37" s="1891">
        <f t="shared" si="149"/>
        <v>235.44244312942629</v>
      </c>
      <c r="AW37" s="1275" t="e">
        <f>AW24+AW25+AW26+AW27+#REF!+AW29+AW30+AW32+AW33+AW35+AW34+AW36</f>
        <v>#REF!</v>
      </c>
      <c r="AX37" s="1275" t="e">
        <f>AX24+AX25+AX26+AX27+#REF!+AX29+AX30+AX32+AX33+AX35+AX34+AX36</f>
        <v>#REF!</v>
      </c>
      <c r="AY37" s="1275" t="e">
        <f>AY24+AY25+AY26+AY27+#REF!+AY29+AY30+AY32+AY33+AY35+AY34+AY36</f>
        <v>#REF!</v>
      </c>
      <c r="AZ37" s="887"/>
      <c r="BA37" s="887"/>
      <c r="BB37" s="887"/>
      <c r="BC37" s="865"/>
      <c r="BD37" s="865"/>
      <c r="BE37" s="865"/>
    </row>
    <row r="38" spans="3:70" ht="27.75" customHeight="1" x14ac:dyDescent="0.4">
      <c r="C38" s="903" t="s">
        <v>132</v>
      </c>
      <c r="D38" s="899">
        <v>0.18</v>
      </c>
      <c r="E38" s="285">
        <v>75.430000000000007</v>
      </c>
      <c r="F38" s="882">
        <f t="shared" ref="F38:F48" si="150">SUM(D38:E38)</f>
        <v>75.610000000000014</v>
      </c>
      <c r="G38" s="899">
        <v>3.6307567999999998E-2</v>
      </c>
      <c r="H38" s="285">
        <v>15.4711026</v>
      </c>
      <c r="I38" s="882">
        <f t="shared" ref="I38:I44" si="151">SUM(G38:H38)</f>
        <v>15.507410168</v>
      </c>
      <c r="J38" s="346">
        <v>0</v>
      </c>
      <c r="K38" s="285">
        <v>-0.11260669999999884</v>
      </c>
      <c r="L38" s="882">
        <f t="shared" ref="L38:L48" si="152">SUM(J38:K38)</f>
        <v>-0.11260669999999884</v>
      </c>
      <c r="M38" s="893">
        <f t="shared" ref="M38:M44" si="153">(G38-D38)/D38*100</f>
        <v>-79.829128888888874</v>
      </c>
      <c r="N38" s="893">
        <f t="shared" ref="N38:N44" si="154">(H38-E38)/E38*100</f>
        <v>-79.489456979981441</v>
      </c>
      <c r="O38" s="906">
        <f t="shared" ref="O38:O44" si="155">(I38-F38)/F38*100</f>
        <v>-79.490265615659311</v>
      </c>
      <c r="P38" s="887" t="s">
        <v>221</v>
      </c>
      <c r="Q38" s="887">
        <f t="shared" ref="Q38:Q44" si="156">(H38-K38)/K38*100</f>
        <v>-13839.060464430768</v>
      </c>
      <c r="R38" s="888">
        <f t="shared" ref="R38:R44" si="157">(I38-L38)/L38*100</f>
        <v>-13871.303277691433</v>
      </c>
      <c r="X38" s="1148" t="s">
        <v>607</v>
      </c>
      <c r="Y38" s="1078"/>
      <c r="Z38" s="1078"/>
      <c r="AA38" s="1078"/>
      <c r="AB38" s="1078">
        <f>AB35/335</f>
        <v>0.59970149253731342</v>
      </c>
      <c r="AC38" s="1078">
        <f t="shared" ref="AC38:AM38" si="158">AC35/335</f>
        <v>0.89074626865671636</v>
      </c>
      <c r="AD38" s="1078">
        <f t="shared" si="158"/>
        <v>1.4904477611940297</v>
      </c>
      <c r="AE38" s="1078">
        <f t="shared" si="158"/>
        <v>0.5950319701492538</v>
      </c>
      <c r="AF38" s="1078">
        <f t="shared" si="158"/>
        <v>0.93346358208955216</v>
      </c>
      <c r="AG38" s="1078">
        <f t="shared" si="158"/>
        <v>1.528495552238806</v>
      </c>
      <c r="AH38" s="1078">
        <f t="shared" si="158"/>
        <v>0.51594653731343276</v>
      </c>
      <c r="AI38" s="1078">
        <f t="shared" si="158"/>
        <v>0.76699235820895528</v>
      </c>
      <c r="AJ38" s="1078">
        <f t="shared" si="158"/>
        <v>1.2829388955223884</v>
      </c>
      <c r="AK38" s="1078">
        <f t="shared" si="158"/>
        <v>0.1046816119402985</v>
      </c>
      <c r="AL38" s="1078">
        <f t="shared" si="158"/>
        <v>0.30372525373134329</v>
      </c>
      <c r="AM38" s="1078">
        <f t="shared" si="158"/>
        <v>0.40840686567164175</v>
      </c>
      <c r="AN38" s="1889">
        <f t="shared" ref="AN38" si="159">(AE38-AB38)/AB38*100</f>
        <v>-0.77864111498256505</v>
      </c>
      <c r="AO38" s="1889">
        <f t="shared" ref="AO38" si="160">(AF38-AC38)/AC38*100</f>
        <v>4.7956769436997302</v>
      </c>
      <c r="AP38" s="1889">
        <f t="shared" ref="AP38" si="161">(AG38-AD38)/AD38*100</f>
        <v>2.5527758862407488</v>
      </c>
      <c r="AQ38" s="1889"/>
      <c r="AR38" s="1889"/>
      <c r="AS38" s="1889"/>
      <c r="AT38" s="1889">
        <f t="shared" ref="AT38" si="162">(AE38-AH38)/AH38*100</f>
        <v>15.32822242545207</v>
      </c>
      <c r="AU38" s="1889">
        <f t="shared" ref="AU38" si="163">(AF38-AI38)/AI38*100</f>
        <v>21.704417534137196</v>
      </c>
      <c r="AV38" s="1889">
        <f>(AG38-AJ38)/AJ38*100</f>
        <v>19.140167748708841</v>
      </c>
      <c r="AW38" s="1078"/>
      <c r="AX38" s="1078"/>
      <c r="AY38" s="1504"/>
      <c r="AZ38" s="887"/>
      <c r="BA38" s="887"/>
      <c r="BB38" s="887"/>
      <c r="BC38" s="865"/>
      <c r="BD38" s="865"/>
      <c r="BE38" s="865"/>
    </row>
    <row r="39" spans="3:70" ht="27.75" customHeight="1" x14ac:dyDescent="0.4">
      <c r="C39" s="903" t="s">
        <v>133</v>
      </c>
      <c r="D39" s="899">
        <v>0.17</v>
      </c>
      <c r="E39" s="285">
        <v>71.95</v>
      </c>
      <c r="F39" s="882">
        <f t="shared" si="150"/>
        <v>72.12</v>
      </c>
      <c r="G39" s="899">
        <v>5.7094699999999998E-2</v>
      </c>
      <c r="H39" s="285">
        <v>30.461698500000001</v>
      </c>
      <c r="I39" s="882">
        <f t="shared" si="151"/>
        <v>30.518793200000001</v>
      </c>
      <c r="J39" s="346">
        <v>0</v>
      </c>
      <c r="K39" s="285">
        <v>-3.1032922999999997</v>
      </c>
      <c r="L39" s="882">
        <f t="shared" si="152"/>
        <v>-3.1032922999999997</v>
      </c>
      <c r="M39" s="893">
        <f t="shared" si="153"/>
        <v>-66.414882352941191</v>
      </c>
      <c r="N39" s="893">
        <f t="shared" si="154"/>
        <v>-57.662684503127181</v>
      </c>
      <c r="O39" s="906">
        <f t="shared" si="155"/>
        <v>-57.683315030504708</v>
      </c>
      <c r="P39" s="887" t="s">
        <v>221</v>
      </c>
      <c r="Q39" s="887">
        <f t="shared" si="156"/>
        <v>-1081.5929521044475</v>
      </c>
      <c r="R39" s="888">
        <f t="shared" si="157"/>
        <v>-1083.4327626823938</v>
      </c>
      <c r="AH39" s="859">
        <f>306+26</f>
        <v>332</v>
      </c>
      <c r="AT39" s="285"/>
      <c r="AU39" s="285"/>
      <c r="AV39" s="285"/>
    </row>
    <row r="40" spans="3:70" ht="27.75" customHeight="1" x14ac:dyDescent="0.4">
      <c r="C40" s="903" t="s">
        <v>51</v>
      </c>
      <c r="D40" s="899">
        <v>0.17</v>
      </c>
      <c r="E40" s="285">
        <v>71.290000000000006</v>
      </c>
      <c r="F40" s="882">
        <f t="shared" si="150"/>
        <v>71.460000000000008</v>
      </c>
      <c r="G40" s="899">
        <v>6.56606E-2</v>
      </c>
      <c r="H40" s="285">
        <v>45.158219000000003</v>
      </c>
      <c r="I40" s="882">
        <f t="shared" si="151"/>
        <v>45.223879600000004</v>
      </c>
      <c r="J40" s="346">
        <v>0</v>
      </c>
      <c r="K40" s="285">
        <v>5.7114256000000001</v>
      </c>
      <c r="L40" s="882">
        <f t="shared" si="152"/>
        <v>5.7114256000000001</v>
      </c>
      <c r="M40" s="893">
        <f t="shared" si="153"/>
        <v>-61.376117647058827</v>
      </c>
      <c r="N40" s="893">
        <f t="shared" si="154"/>
        <v>-36.655605274232009</v>
      </c>
      <c r="O40" s="906">
        <f t="shared" si="155"/>
        <v>-36.714414217744192</v>
      </c>
      <c r="P40" s="887" t="s">
        <v>221</v>
      </c>
      <c r="Q40" s="887">
        <f t="shared" si="156"/>
        <v>690.6645759335463</v>
      </c>
      <c r="R40" s="888">
        <f t="shared" si="157"/>
        <v>691.81421184931492</v>
      </c>
      <c r="Y40" s="859">
        <f>2.82</f>
        <v>2.82</v>
      </c>
      <c r="Z40" s="859">
        <f>Y40*1000000</f>
        <v>2820000</v>
      </c>
      <c r="AH40" s="859">
        <v>44</v>
      </c>
      <c r="AI40" s="859">
        <v>97000</v>
      </c>
      <c r="AJ40" s="859">
        <f>AI40/AH40</f>
        <v>2204.5454545454545</v>
      </c>
      <c r="AT40" s="285" t="e">
        <f>(AH40-AK40)/AK40*100</f>
        <v>#DIV/0!</v>
      </c>
      <c r="AU40" s="285" t="e">
        <f>(AI40-AL40)/AL40*100</f>
        <v>#DIV/0!</v>
      </c>
      <c r="AV40" s="285" t="e">
        <f>(AJ40-AM40)/AM40*100</f>
        <v>#DIV/0!</v>
      </c>
    </row>
    <row r="41" spans="3:70" ht="27.75" customHeight="1" x14ac:dyDescent="0.4">
      <c r="C41" s="903" t="s">
        <v>134</v>
      </c>
      <c r="D41" s="899">
        <v>0.14000000000000001</v>
      </c>
      <c r="E41" s="285">
        <v>62.13</v>
      </c>
      <c r="F41" s="882">
        <f t="shared" si="150"/>
        <v>62.27</v>
      </c>
      <c r="G41" s="899">
        <v>8.4121825999999997E-2</v>
      </c>
      <c r="H41" s="285">
        <v>51.614201800000004</v>
      </c>
      <c r="I41" s="882">
        <f t="shared" si="151"/>
        <v>51.698323626000004</v>
      </c>
      <c r="J41" s="346">
        <v>6.8099999999999996E-4</v>
      </c>
      <c r="K41" s="285">
        <v>6.9647136000000005</v>
      </c>
      <c r="L41" s="882">
        <f t="shared" si="152"/>
        <v>6.9653946000000007</v>
      </c>
      <c r="M41" s="893">
        <f t="shared" si="153"/>
        <v>-39.912981428571435</v>
      </c>
      <c r="N41" s="893">
        <f t="shared" si="154"/>
        <v>-16.925475937550296</v>
      </c>
      <c r="O41" s="906">
        <f t="shared" si="155"/>
        <v>-16.977158140356511</v>
      </c>
      <c r="P41" s="887">
        <f>(G41-J41)/J41*100</f>
        <v>12252.691042584434</v>
      </c>
      <c r="Q41" s="887">
        <f t="shared" si="156"/>
        <v>641.08146815972441</v>
      </c>
      <c r="R41" s="888">
        <f t="shared" si="157"/>
        <v>642.21672417525349</v>
      </c>
      <c r="Z41" s="859">
        <f>Z40/100000</f>
        <v>28.2</v>
      </c>
      <c r="AI41" s="1306"/>
      <c r="AM41" s="865"/>
      <c r="AN41" s="865" t="s">
        <v>192</v>
      </c>
      <c r="AO41" s="865" t="s">
        <v>900</v>
      </c>
    </row>
    <row r="42" spans="3:70" ht="27.75" customHeight="1" x14ac:dyDescent="0.4">
      <c r="C42" s="903" t="s">
        <v>135</v>
      </c>
      <c r="D42" s="899">
        <v>0.16</v>
      </c>
      <c r="E42" s="285">
        <v>66.77</v>
      </c>
      <c r="F42" s="882">
        <f t="shared" si="150"/>
        <v>66.929999999999993</v>
      </c>
      <c r="G42" s="346">
        <v>0.102888752</v>
      </c>
      <c r="H42" s="285">
        <v>58.511461947999997</v>
      </c>
      <c r="I42" s="882">
        <f t="shared" si="151"/>
        <v>58.614350699999996</v>
      </c>
      <c r="J42" s="346">
        <v>1.1904999999999999E-3</v>
      </c>
      <c r="K42" s="285">
        <v>8.6655017000000001</v>
      </c>
      <c r="L42" s="882">
        <f t="shared" si="152"/>
        <v>8.6666922</v>
      </c>
      <c r="M42" s="893">
        <f t="shared" si="153"/>
        <v>-35.69453</v>
      </c>
      <c r="N42" s="893">
        <f t="shared" si="154"/>
        <v>-12.368635692676351</v>
      </c>
      <c r="O42" s="906">
        <f t="shared" si="155"/>
        <v>-12.424397579560733</v>
      </c>
      <c r="P42" s="887">
        <f>(G42-J42)/J42*100</f>
        <v>8542.4823183536337</v>
      </c>
      <c r="Q42" s="887">
        <f t="shared" si="156"/>
        <v>575.22301620458961</v>
      </c>
      <c r="R42" s="888">
        <f t="shared" si="157"/>
        <v>576.3174386186231</v>
      </c>
      <c r="AH42" s="859">
        <v>26</v>
      </c>
      <c r="AI42" s="1306">
        <v>48255.903225806454</v>
      </c>
      <c r="AJ42" s="859">
        <f>AI42/AH42</f>
        <v>1855.9962779156328</v>
      </c>
      <c r="AM42" s="865" t="s">
        <v>901</v>
      </c>
      <c r="AN42" s="1506" t="s">
        <v>897</v>
      </c>
      <c r="AO42" s="1506" t="s">
        <v>899</v>
      </c>
    </row>
    <row r="43" spans="3:70" ht="27.75" customHeight="1" x14ac:dyDescent="0.4">
      <c r="C43" s="903" t="s">
        <v>136</v>
      </c>
      <c r="D43" s="346">
        <v>0.12</v>
      </c>
      <c r="E43" s="285">
        <v>52.5</v>
      </c>
      <c r="F43" s="882">
        <f t="shared" si="150"/>
        <v>52.62</v>
      </c>
      <c r="G43" s="346">
        <v>0.12636130000000001</v>
      </c>
      <c r="H43" s="285">
        <v>65.718717799999993</v>
      </c>
      <c r="I43" s="882">
        <f t="shared" si="151"/>
        <v>65.845079099999992</v>
      </c>
      <c r="J43" s="346">
        <v>1.6473397000000001E-2</v>
      </c>
      <c r="K43" s="285">
        <v>18.9816094</v>
      </c>
      <c r="L43" s="882">
        <f t="shared" si="152"/>
        <v>18.998082796999999</v>
      </c>
      <c r="M43" s="893">
        <f t="shared" si="153"/>
        <v>5.3010833333333451</v>
      </c>
      <c r="N43" s="893">
        <f t="shared" si="154"/>
        <v>25.178510095238082</v>
      </c>
      <c r="O43" s="906">
        <f t="shared" si="155"/>
        <v>25.133179589509684</v>
      </c>
      <c r="P43" s="887">
        <f>(G43-J43)/J43*100</f>
        <v>667.06279828016045</v>
      </c>
      <c r="Q43" s="887">
        <f t="shared" si="156"/>
        <v>246.22310687733361</v>
      </c>
      <c r="R43" s="888">
        <f t="shared" si="157"/>
        <v>246.5880205048777</v>
      </c>
      <c r="AH43" s="859">
        <v>40</v>
      </c>
      <c r="AI43" s="476">
        <v>57148.709677419356</v>
      </c>
      <c r="AJ43" s="859">
        <f>AI43/AH43</f>
        <v>1428.7177419354839</v>
      </c>
      <c r="AM43" s="865" t="s">
        <v>77</v>
      </c>
      <c r="AN43" s="1501" t="e">
        <f>AW37</f>
        <v>#REF!</v>
      </c>
      <c r="AO43" s="865">
        <v>24.93</v>
      </c>
    </row>
    <row r="44" spans="3:70" ht="27.75" customHeight="1" x14ac:dyDescent="0.4">
      <c r="C44" s="903" t="s">
        <v>137</v>
      </c>
      <c r="D44" s="346">
        <v>0.14000000000000001</v>
      </c>
      <c r="E44" s="285">
        <v>58.73</v>
      </c>
      <c r="F44" s="882">
        <f t="shared" si="150"/>
        <v>58.87</v>
      </c>
      <c r="G44" s="346">
        <v>0.1958308</v>
      </c>
      <c r="H44" s="285">
        <v>62.062844499999997</v>
      </c>
      <c r="I44" s="882">
        <f t="shared" si="151"/>
        <v>62.2586753</v>
      </c>
      <c r="J44" s="346">
        <v>1.5498731E-2</v>
      </c>
      <c r="K44" s="285">
        <v>20.284775</v>
      </c>
      <c r="L44" s="882">
        <f t="shared" si="152"/>
        <v>20.300273731000001</v>
      </c>
      <c r="M44" s="893">
        <f t="shared" si="153"/>
        <v>39.879142857142838</v>
      </c>
      <c r="N44" s="893">
        <f t="shared" si="154"/>
        <v>5.6748586752937173</v>
      </c>
      <c r="O44" s="906">
        <f t="shared" si="155"/>
        <v>5.7562006115169071</v>
      </c>
      <c r="P44" s="887">
        <f>(G44-J44)/J44*100</f>
        <v>1163.527962386082</v>
      </c>
      <c r="Q44" s="887">
        <f t="shared" si="156"/>
        <v>205.95776635432239</v>
      </c>
      <c r="R44" s="888">
        <f t="shared" si="157"/>
        <v>206.6888462933702</v>
      </c>
      <c r="AM44" s="865" t="s">
        <v>249</v>
      </c>
      <c r="AN44" s="1507">
        <f>AQ37</f>
        <v>0</v>
      </c>
      <c r="AO44" s="865">
        <v>11.98</v>
      </c>
    </row>
    <row r="45" spans="3:70" ht="27.75" customHeight="1" x14ac:dyDescent="0.4">
      <c r="C45" s="903" t="s">
        <v>138</v>
      </c>
      <c r="D45" s="346">
        <v>0.14000000000000001</v>
      </c>
      <c r="E45" s="285">
        <v>58.26</v>
      </c>
      <c r="F45" s="882">
        <f t="shared" si="150"/>
        <v>58.4</v>
      </c>
      <c r="G45" s="346"/>
      <c r="H45" s="285"/>
      <c r="I45" s="882"/>
      <c r="J45" s="346">
        <v>2.5583986999999999E-2</v>
      </c>
      <c r="K45" s="285">
        <v>29.123975999999999</v>
      </c>
      <c r="L45" s="882">
        <f t="shared" si="152"/>
        <v>29.149559987</v>
      </c>
      <c r="M45" s="893"/>
      <c r="N45" s="893"/>
      <c r="O45" s="893"/>
      <c r="P45" s="887"/>
      <c r="Q45" s="887"/>
      <c r="R45" s="888"/>
      <c r="AM45" s="865" t="s">
        <v>438</v>
      </c>
      <c r="AN45" s="1501">
        <f>AK37</f>
        <v>44.567050000000002</v>
      </c>
      <c r="AO45" s="865">
        <v>26.76</v>
      </c>
    </row>
    <row r="46" spans="3:70" ht="27.75" customHeight="1" x14ac:dyDescent="0.4">
      <c r="C46" s="903" t="s">
        <v>139</v>
      </c>
      <c r="D46" s="346">
        <v>0.23</v>
      </c>
      <c r="E46" s="285">
        <v>96.82</v>
      </c>
      <c r="F46" s="882">
        <f t="shared" si="150"/>
        <v>97.05</v>
      </c>
      <c r="G46" s="346"/>
      <c r="H46" s="285"/>
      <c r="I46" s="882"/>
      <c r="J46" s="346">
        <v>5.1386088000000003E-2</v>
      </c>
      <c r="K46" s="285">
        <v>43.042134799999999</v>
      </c>
      <c r="L46" s="882">
        <f t="shared" si="152"/>
        <v>43.093520888</v>
      </c>
      <c r="M46" s="893"/>
      <c r="N46" s="893"/>
      <c r="O46" s="893"/>
      <c r="P46" s="887"/>
      <c r="Q46" s="887"/>
      <c r="R46" s="888"/>
      <c r="AM46" s="865" t="s">
        <v>701</v>
      </c>
      <c r="AN46" s="1501">
        <f>AH37</f>
        <v>190.16845999999998</v>
      </c>
      <c r="AO46" s="865">
        <v>28.74</v>
      </c>
    </row>
    <row r="47" spans="3:70" ht="27.75" customHeight="1" x14ac:dyDescent="0.4">
      <c r="C47" s="903" t="s">
        <v>140</v>
      </c>
      <c r="D47" s="346">
        <v>0.23</v>
      </c>
      <c r="E47" s="285">
        <v>90.74</v>
      </c>
      <c r="F47" s="882">
        <f t="shared" si="150"/>
        <v>90.97</v>
      </c>
      <c r="G47" s="346"/>
      <c r="H47" s="285"/>
      <c r="I47" s="882"/>
      <c r="J47" s="346">
        <v>4.1974644999999998E-2</v>
      </c>
      <c r="K47" s="285">
        <v>40.734391600000002</v>
      </c>
      <c r="L47" s="882">
        <f t="shared" si="152"/>
        <v>40.776366245000006</v>
      </c>
      <c r="M47" s="893"/>
      <c r="N47" s="893"/>
      <c r="O47" s="893"/>
      <c r="P47" s="887"/>
      <c r="Q47" s="887"/>
      <c r="R47" s="887"/>
      <c r="AM47" s="1506" t="s">
        <v>898</v>
      </c>
      <c r="AN47" s="1501">
        <f>AE37</f>
        <v>0</v>
      </c>
      <c r="AO47" s="865">
        <v>4.3899999999999997</v>
      </c>
    </row>
    <row r="48" spans="3:70" ht="27.75" customHeight="1" x14ac:dyDescent="0.4">
      <c r="C48" s="903" t="s">
        <v>141</v>
      </c>
      <c r="D48" s="346">
        <v>0.08</v>
      </c>
      <c r="E48" s="285">
        <v>36.07</v>
      </c>
      <c r="F48" s="882">
        <f t="shared" si="150"/>
        <v>36.15</v>
      </c>
      <c r="G48" s="346"/>
      <c r="H48" s="285"/>
      <c r="I48" s="882"/>
      <c r="J48" s="346">
        <v>6.0005963000000002E-2</v>
      </c>
      <c r="K48" s="285">
        <v>46.108587800000002</v>
      </c>
      <c r="L48" s="882">
        <f t="shared" si="152"/>
        <v>46.168593763000004</v>
      </c>
      <c r="M48" s="893"/>
      <c r="N48" s="893"/>
      <c r="O48" s="893"/>
      <c r="P48" s="887"/>
      <c r="Q48" s="887"/>
      <c r="R48" s="887"/>
    </row>
    <row r="49" spans="3:44" ht="27.75" customHeight="1" thickBot="1" x14ac:dyDescent="0.45">
      <c r="C49" s="904" t="s">
        <v>63</v>
      </c>
      <c r="D49" s="879">
        <f t="shared" ref="D49:L49" si="164">SUM(D37:D48)</f>
        <v>1.9200000000000004</v>
      </c>
      <c r="E49" s="880">
        <f t="shared" si="164"/>
        <v>808.78000000000009</v>
      </c>
      <c r="F49" s="881">
        <f t="shared" si="164"/>
        <v>810.69999999999993</v>
      </c>
      <c r="G49" s="879">
        <f t="shared" si="164"/>
        <v>0.70759273499999997</v>
      </c>
      <c r="H49" s="880">
        <f t="shared" si="164"/>
        <v>361.69099014799997</v>
      </c>
      <c r="I49" s="881">
        <f t="shared" si="164"/>
        <v>362.39858288299996</v>
      </c>
      <c r="J49" s="879">
        <f t="shared" si="164"/>
        <v>0.21279431100000001</v>
      </c>
      <c r="K49" s="880">
        <f t="shared" si="164"/>
        <v>202.32369490000002</v>
      </c>
      <c r="L49" s="881">
        <f t="shared" si="164"/>
        <v>202.536489211</v>
      </c>
      <c r="M49" s="895">
        <f>(G49-D49)/D49*100</f>
        <v>-63.14621171875001</v>
      </c>
      <c r="N49" s="896">
        <f>(H49-E49)/E49*100</f>
        <v>-55.279434438537066</v>
      </c>
      <c r="O49" s="896">
        <f>(I49-F49)/F49*100</f>
        <v>-55.298065513383499</v>
      </c>
      <c r="P49" s="897">
        <f>(G49-J49)/J49*100</f>
        <v>232.52427270012871</v>
      </c>
      <c r="Q49" s="897">
        <f>(H49-K49)/K49*100</f>
        <v>78.768478070138258</v>
      </c>
      <c r="R49" s="898">
        <f>(I49-L49)/L49*100</f>
        <v>78.930021101263193</v>
      </c>
      <c r="AK49" s="2582" t="s">
        <v>911</v>
      </c>
      <c r="AL49" s="2582"/>
      <c r="AM49" s="2582"/>
      <c r="AN49" s="2582"/>
      <c r="AO49" s="2582"/>
    </row>
    <row r="50" spans="3:44" ht="31.5" customHeight="1" x14ac:dyDescent="0.4">
      <c r="AK50" s="857" t="s">
        <v>910</v>
      </c>
      <c r="AL50" s="857" t="s">
        <v>85</v>
      </c>
      <c r="AM50" s="857" t="s">
        <v>908</v>
      </c>
      <c r="AN50" s="857" t="s">
        <v>909</v>
      </c>
      <c r="AO50" s="857" t="s">
        <v>548</v>
      </c>
    </row>
    <row r="51" spans="3:44" ht="32.25" customHeight="1" thickBot="1" x14ac:dyDescent="0.6">
      <c r="C51" s="2595" t="s">
        <v>597</v>
      </c>
      <c r="D51" s="2595"/>
      <c r="E51" s="2595"/>
      <c r="F51" s="2595"/>
      <c r="G51" s="2595"/>
      <c r="H51" s="2595"/>
      <c r="I51" s="2595"/>
      <c r="J51" s="2595"/>
      <c r="K51" s="2595"/>
      <c r="M51" s="858"/>
      <c r="N51" s="858"/>
      <c r="O51" s="858"/>
      <c r="P51" s="858"/>
      <c r="Q51" s="858" t="s">
        <v>590</v>
      </c>
      <c r="R51" s="858"/>
      <c r="AK51" s="857" t="s">
        <v>77</v>
      </c>
      <c r="AL51" s="289">
        <v>19.41</v>
      </c>
      <c r="AM51" s="289">
        <v>189.96</v>
      </c>
      <c r="AN51" s="289">
        <v>663.77</v>
      </c>
      <c r="AO51" s="857">
        <f>AL51+AM51+AN51</f>
        <v>873.14</v>
      </c>
    </row>
    <row r="52" spans="3:44" ht="27.75" customHeight="1" x14ac:dyDescent="0.4">
      <c r="C52" s="901"/>
      <c r="D52" s="2599" t="s">
        <v>594</v>
      </c>
      <c r="E52" s="2600"/>
      <c r="F52" s="2601"/>
      <c r="G52" s="2599" t="s">
        <v>584</v>
      </c>
      <c r="H52" s="2600"/>
      <c r="I52" s="2601"/>
      <c r="J52" s="2599" t="s">
        <v>585</v>
      </c>
      <c r="K52" s="2600"/>
      <c r="L52" s="2601"/>
      <c r="M52" s="2596" t="s">
        <v>592</v>
      </c>
      <c r="N52" s="2597"/>
      <c r="O52" s="2597"/>
      <c r="P52" s="2597" t="s">
        <v>593</v>
      </c>
      <c r="Q52" s="2597"/>
      <c r="R52" s="2598"/>
      <c r="AK52" s="857" t="s">
        <v>249</v>
      </c>
      <c r="AL52" s="285">
        <v>0.21279431100000001</v>
      </c>
      <c r="AM52" s="285">
        <v>14.023786200000002</v>
      </c>
      <c r="AN52" s="285">
        <v>188.03</v>
      </c>
      <c r="AO52" s="1078">
        <f t="shared" ref="AO52:AO55" si="165">AL52+AM52+AN52</f>
        <v>202.266580511</v>
      </c>
      <c r="AR52" s="859">
        <v>11.460276500000001</v>
      </c>
    </row>
    <row r="53" spans="3:44" ht="27.75" customHeight="1" x14ac:dyDescent="0.4">
      <c r="C53" s="902" t="s">
        <v>127</v>
      </c>
      <c r="D53" s="877" t="s">
        <v>432</v>
      </c>
      <c r="E53" s="856" t="s">
        <v>588</v>
      </c>
      <c r="F53" s="878" t="s">
        <v>63</v>
      </c>
      <c r="G53" s="877" t="s">
        <v>432</v>
      </c>
      <c r="H53" s="856" t="s">
        <v>588</v>
      </c>
      <c r="I53" s="878" t="s">
        <v>63</v>
      </c>
      <c r="J53" s="877" t="s">
        <v>432</v>
      </c>
      <c r="K53" s="856" t="s">
        <v>588</v>
      </c>
      <c r="L53" s="878" t="s">
        <v>63</v>
      </c>
      <c r="M53" s="891" t="s">
        <v>432</v>
      </c>
      <c r="N53" s="889" t="s">
        <v>588</v>
      </c>
      <c r="O53" s="890" t="s">
        <v>63</v>
      </c>
      <c r="P53" s="889" t="s">
        <v>432</v>
      </c>
      <c r="Q53" s="889" t="s">
        <v>588</v>
      </c>
      <c r="R53" s="892" t="s">
        <v>63</v>
      </c>
      <c r="AK53" s="857" t="s">
        <v>438</v>
      </c>
      <c r="AL53" s="285">
        <v>2.0896889139999999</v>
      </c>
      <c r="AM53" s="285">
        <v>2.1157408480000002</v>
      </c>
      <c r="AN53" s="285">
        <v>610.89346720000003</v>
      </c>
      <c r="AO53" s="1078">
        <f t="shared" si="165"/>
        <v>615.09889696200003</v>
      </c>
      <c r="AR53" s="859">
        <v>126.72018780000001</v>
      </c>
    </row>
    <row r="54" spans="3:44" ht="27.75" customHeight="1" x14ac:dyDescent="0.4">
      <c r="C54" s="903" t="s">
        <v>131</v>
      </c>
      <c r="D54" s="893" t="s">
        <v>221</v>
      </c>
      <c r="E54" s="887" t="s">
        <v>221</v>
      </c>
      <c r="F54" s="905" t="s">
        <v>221</v>
      </c>
      <c r="G54" s="899">
        <v>0.96052000000000004</v>
      </c>
      <c r="H54" s="285">
        <v>4.63652</v>
      </c>
      <c r="I54" s="882">
        <f>SUM(G54:H54)</f>
        <v>5.5970399999999998</v>
      </c>
      <c r="J54" s="346">
        <v>0</v>
      </c>
      <c r="K54" s="285">
        <v>-2.1001599999999998</v>
      </c>
      <c r="L54" s="882">
        <f>SUM(J54:K54)</f>
        <v>-2.1001599999999998</v>
      </c>
      <c r="M54" s="893" t="s">
        <v>221</v>
      </c>
      <c r="N54" s="887" t="s">
        <v>221</v>
      </c>
      <c r="O54" s="887" t="s">
        <v>221</v>
      </c>
      <c r="P54" s="887" t="s">
        <v>221</v>
      </c>
      <c r="Q54" s="887">
        <f t="shared" ref="Q54:Q61" si="166">(H54-K54)/K54*100</f>
        <v>-320.76984610696331</v>
      </c>
      <c r="R54" s="894">
        <f t="shared" ref="R54:R61" si="167">(I54-L54)/L54*100</f>
        <v>-366.50540911168673</v>
      </c>
      <c r="AK54" s="857" t="s">
        <v>701</v>
      </c>
      <c r="AL54" s="1166">
        <v>11.460276500000001</v>
      </c>
      <c r="AM54" s="285">
        <v>126.72018780000001</v>
      </c>
      <c r="AN54" s="1166">
        <v>886.03548510000007</v>
      </c>
      <c r="AO54" s="1078">
        <f t="shared" si="165"/>
        <v>1024.2159494</v>
      </c>
      <c r="AR54" s="859">
        <v>886.03548510000007</v>
      </c>
    </row>
    <row r="55" spans="3:44" ht="27.75" customHeight="1" x14ac:dyDescent="0.4">
      <c r="C55" s="903" t="s">
        <v>132</v>
      </c>
      <c r="D55" s="893" t="s">
        <v>221</v>
      </c>
      <c r="E55" s="887" t="s">
        <v>221</v>
      </c>
      <c r="F55" s="905" t="s">
        <v>221</v>
      </c>
      <c r="G55" s="899">
        <v>0.88846000000000003</v>
      </c>
      <c r="H55" s="285">
        <v>2.9574600000000002</v>
      </c>
      <c r="I55" s="882">
        <f t="shared" ref="I55:I64" si="168">SUM(G55:H55)</f>
        <v>3.8459200000000004</v>
      </c>
      <c r="J55" s="346">
        <v>0</v>
      </c>
      <c r="K55" s="285">
        <v>-0.18717</v>
      </c>
      <c r="L55" s="882">
        <f t="shared" ref="L55:L65" si="169">SUM(J55:K55)</f>
        <v>-0.18717</v>
      </c>
      <c r="M55" s="893" t="s">
        <v>221</v>
      </c>
      <c r="N55" s="887" t="s">
        <v>221</v>
      </c>
      <c r="O55" s="887" t="s">
        <v>221</v>
      </c>
      <c r="P55" s="887" t="s">
        <v>221</v>
      </c>
      <c r="Q55" s="887">
        <f t="shared" si="166"/>
        <v>-1680.092963615964</v>
      </c>
      <c r="R55" s="894">
        <f t="shared" si="167"/>
        <v>-2154.7737351071219</v>
      </c>
      <c r="AK55" s="857" t="s">
        <v>907</v>
      </c>
      <c r="AL55" s="285">
        <v>3.3956626999999999</v>
      </c>
      <c r="AM55" s="285">
        <v>52.987757500000001</v>
      </c>
      <c r="AN55" s="285">
        <v>215.78839829999998</v>
      </c>
      <c r="AO55" s="1078">
        <f t="shared" si="165"/>
        <v>272.17181849999997</v>
      </c>
    </row>
    <row r="56" spans="3:44" ht="27.75" customHeight="1" x14ac:dyDescent="0.4">
      <c r="C56" s="903" t="s">
        <v>133</v>
      </c>
      <c r="D56" s="893" t="s">
        <v>221</v>
      </c>
      <c r="E56" s="887" t="s">
        <v>221</v>
      </c>
      <c r="F56" s="905" t="s">
        <v>221</v>
      </c>
      <c r="G56" s="899">
        <v>1.35772</v>
      </c>
      <c r="H56" s="285">
        <v>5.5451699999999997</v>
      </c>
      <c r="I56" s="882">
        <f t="shared" si="168"/>
        <v>6.9028899999999993</v>
      </c>
      <c r="J56" s="346">
        <v>0</v>
      </c>
      <c r="K56" s="285">
        <v>-0.77810000000000001</v>
      </c>
      <c r="L56" s="882">
        <f t="shared" si="169"/>
        <v>-0.77810000000000001</v>
      </c>
      <c r="M56" s="893" t="s">
        <v>221</v>
      </c>
      <c r="N56" s="887" t="s">
        <v>221</v>
      </c>
      <c r="O56" s="887" t="s">
        <v>221</v>
      </c>
      <c r="P56" s="887" t="s">
        <v>221</v>
      </c>
      <c r="Q56" s="887">
        <f t="shared" si="166"/>
        <v>-812.65518570877782</v>
      </c>
      <c r="R56" s="894">
        <f t="shared" si="167"/>
        <v>-987.14689628582425</v>
      </c>
    </row>
    <row r="57" spans="3:44" ht="27.75" customHeight="1" x14ac:dyDescent="0.4">
      <c r="C57" s="903" t="s">
        <v>51</v>
      </c>
      <c r="D57" s="893" t="s">
        <v>221</v>
      </c>
      <c r="E57" s="887" t="s">
        <v>221</v>
      </c>
      <c r="F57" s="905" t="s">
        <v>221</v>
      </c>
      <c r="G57" s="899">
        <v>1.60717</v>
      </c>
      <c r="H57" s="285">
        <v>8.2753300000000003</v>
      </c>
      <c r="I57" s="882">
        <f t="shared" si="168"/>
        <v>9.8825000000000003</v>
      </c>
      <c r="J57" s="346">
        <v>0</v>
      </c>
      <c r="K57" s="285">
        <v>0.51163000000000003</v>
      </c>
      <c r="L57" s="882">
        <f t="shared" si="169"/>
        <v>0.51163000000000003</v>
      </c>
      <c r="M57" s="893" t="s">
        <v>221</v>
      </c>
      <c r="N57" s="887" t="s">
        <v>221</v>
      </c>
      <c r="O57" s="887" t="s">
        <v>221</v>
      </c>
      <c r="P57" s="887" t="s">
        <v>221</v>
      </c>
      <c r="Q57" s="887">
        <f t="shared" si="166"/>
        <v>1517.4442468189902</v>
      </c>
      <c r="R57" s="894">
        <f t="shared" si="167"/>
        <v>1831.571643570549</v>
      </c>
    </row>
    <row r="58" spans="3:44" ht="27.75" customHeight="1" x14ac:dyDescent="0.4">
      <c r="C58" s="903" t="s">
        <v>134</v>
      </c>
      <c r="D58" s="893" t="s">
        <v>221</v>
      </c>
      <c r="E58" s="887" t="s">
        <v>221</v>
      </c>
      <c r="F58" s="905" t="s">
        <v>221</v>
      </c>
      <c r="G58" s="346">
        <v>2.0281799999999999</v>
      </c>
      <c r="H58" s="285">
        <v>9.8764500000000002</v>
      </c>
      <c r="I58" s="882">
        <f t="shared" si="168"/>
        <v>11.904630000000001</v>
      </c>
      <c r="J58" s="346">
        <v>8.5000000000000006E-3</v>
      </c>
      <c r="K58" s="285">
        <v>0.85773999999999995</v>
      </c>
      <c r="L58" s="882">
        <f t="shared" si="169"/>
        <v>0.8662399999999999</v>
      </c>
      <c r="M58" s="893" t="s">
        <v>221</v>
      </c>
      <c r="N58" s="887" t="s">
        <v>221</v>
      </c>
      <c r="O58" s="887" t="s">
        <v>221</v>
      </c>
      <c r="P58" s="887">
        <f>(G58-J58)/J58*100</f>
        <v>23760.941176470584</v>
      </c>
      <c r="Q58" s="887">
        <f t="shared" si="166"/>
        <v>1051.4503229416841</v>
      </c>
      <c r="R58" s="894">
        <f t="shared" si="167"/>
        <v>1274.2877262652385</v>
      </c>
      <c r="AK58" s="857" t="s">
        <v>910</v>
      </c>
      <c r="AL58" s="857" t="s">
        <v>912</v>
      </c>
      <c r="AM58" s="857" t="s">
        <v>913</v>
      </c>
      <c r="AN58" s="857" t="s">
        <v>909</v>
      </c>
      <c r="AO58" s="857" t="s">
        <v>548</v>
      </c>
    </row>
    <row r="59" spans="3:44" ht="27.75" customHeight="1" x14ac:dyDescent="0.4">
      <c r="C59" s="903" t="s">
        <v>135</v>
      </c>
      <c r="D59" s="893" t="s">
        <v>221</v>
      </c>
      <c r="E59" s="887" t="s">
        <v>221</v>
      </c>
      <c r="F59" s="905" t="s">
        <v>221</v>
      </c>
      <c r="G59" s="346">
        <v>2.5074100000000001</v>
      </c>
      <c r="H59" s="285">
        <v>10.61919</v>
      </c>
      <c r="I59" s="882">
        <f t="shared" si="168"/>
        <v>13.1266</v>
      </c>
      <c r="J59" s="346">
        <v>2.35E-2</v>
      </c>
      <c r="K59" s="285">
        <v>1.2947599999999999</v>
      </c>
      <c r="L59" s="882">
        <f t="shared" si="169"/>
        <v>1.31826</v>
      </c>
      <c r="M59" s="893" t="s">
        <v>221</v>
      </c>
      <c r="N59" s="887" t="s">
        <v>221</v>
      </c>
      <c r="O59" s="887" t="s">
        <v>221</v>
      </c>
      <c r="P59" s="887">
        <f>(G59-J59)/J59*100</f>
        <v>10569.829787234043</v>
      </c>
      <c r="Q59" s="887">
        <f t="shared" si="166"/>
        <v>720.16667181562616</v>
      </c>
      <c r="R59" s="894">
        <f t="shared" si="167"/>
        <v>895.75197608969393</v>
      </c>
      <c r="AK59" s="857" t="s">
        <v>249</v>
      </c>
      <c r="AL59" s="285">
        <v>0.21279431100000001</v>
      </c>
      <c r="AM59" s="886">
        <v>14.023786200000002</v>
      </c>
      <c r="AN59" s="886">
        <v>188.03</v>
      </c>
      <c r="AO59" s="1094">
        <f t="shared" ref="AO59:AO61" si="170">AL59+AM59+AN59</f>
        <v>202.266580511</v>
      </c>
    </row>
    <row r="60" spans="3:44" ht="27.75" customHeight="1" x14ac:dyDescent="0.4">
      <c r="C60" s="903" t="s">
        <v>136</v>
      </c>
      <c r="D60" s="893" t="s">
        <v>221</v>
      </c>
      <c r="E60" s="887" t="s">
        <v>221</v>
      </c>
      <c r="F60" s="905" t="s">
        <v>221</v>
      </c>
      <c r="G60" s="346">
        <v>3.1974999999999998</v>
      </c>
      <c r="H60" s="285">
        <v>11.916969999999999</v>
      </c>
      <c r="I60" s="882">
        <f t="shared" si="168"/>
        <v>15.114469999999999</v>
      </c>
      <c r="J60" s="346">
        <v>0.39476</v>
      </c>
      <c r="K60" s="285">
        <v>2.8818899999999998</v>
      </c>
      <c r="L60" s="882">
        <f t="shared" si="169"/>
        <v>3.2766500000000001</v>
      </c>
      <c r="M60" s="893" t="s">
        <v>221</v>
      </c>
      <c r="N60" s="887" t="s">
        <v>221</v>
      </c>
      <c r="O60" s="887" t="s">
        <v>221</v>
      </c>
      <c r="P60" s="887">
        <f>(G60-J60)/J60*100</f>
        <v>709.98581416556897</v>
      </c>
      <c r="Q60" s="887">
        <f t="shared" si="166"/>
        <v>313.51231310008359</v>
      </c>
      <c r="R60" s="894">
        <f t="shared" si="167"/>
        <v>361.27813468023737</v>
      </c>
      <c r="AK60" s="857" t="s">
        <v>438</v>
      </c>
      <c r="AL60" s="886">
        <v>2.0896889139999999</v>
      </c>
      <c r="AM60" s="886">
        <v>2.1157408480000002</v>
      </c>
      <c r="AN60" s="886">
        <v>610.89346720000003</v>
      </c>
      <c r="AO60" s="1094">
        <f t="shared" si="170"/>
        <v>615.09889696200003</v>
      </c>
    </row>
    <row r="61" spans="3:44" ht="27.75" customHeight="1" x14ac:dyDescent="0.4">
      <c r="C61" s="903" t="s">
        <v>137</v>
      </c>
      <c r="D61" s="893" t="s">
        <v>221</v>
      </c>
      <c r="E61" s="887" t="s">
        <v>221</v>
      </c>
      <c r="F61" s="905" t="s">
        <v>221</v>
      </c>
      <c r="G61" s="346">
        <v>4.5688700000000004</v>
      </c>
      <c r="H61" s="285">
        <v>12.969010000000001</v>
      </c>
      <c r="I61" s="882">
        <f t="shared" si="168"/>
        <v>17.537880000000001</v>
      </c>
      <c r="J61" s="346">
        <v>0.31079000000000001</v>
      </c>
      <c r="K61" s="285">
        <v>3.6680199999999998</v>
      </c>
      <c r="L61" s="882">
        <f t="shared" si="169"/>
        <v>3.9788099999999997</v>
      </c>
      <c r="M61" s="893" t="s">
        <v>221</v>
      </c>
      <c r="N61" s="887" t="s">
        <v>221</v>
      </c>
      <c r="O61" s="887" t="s">
        <v>221</v>
      </c>
      <c r="P61" s="887">
        <f>(G61-J61)/J61*100</f>
        <v>1370.0826924933235</v>
      </c>
      <c r="Q61" s="887">
        <f t="shared" si="166"/>
        <v>253.5697733382043</v>
      </c>
      <c r="R61" s="894">
        <f t="shared" si="167"/>
        <v>340.78204287211508</v>
      </c>
      <c r="AK61" s="857" t="s">
        <v>701</v>
      </c>
      <c r="AL61" s="886">
        <v>11.460276500000001</v>
      </c>
      <c r="AM61" s="886">
        <v>126.72018780000001</v>
      </c>
      <c r="AN61" s="886">
        <v>886.03548510000007</v>
      </c>
      <c r="AO61" s="1094">
        <f t="shared" si="170"/>
        <v>1024.2159494</v>
      </c>
    </row>
    <row r="62" spans="3:44" ht="27.75" customHeight="1" x14ac:dyDescent="0.4">
      <c r="C62" s="903" t="s">
        <v>138</v>
      </c>
      <c r="D62" s="893" t="s">
        <v>221</v>
      </c>
      <c r="E62" s="887" t="s">
        <v>221</v>
      </c>
      <c r="F62" s="905" t="s">
        <v>221</v>
      </c>
      <c r="G62" s="346"/>
      <c r="H62" s="285"/>
      <c r="I62" s="882">
        <f t="shared" si="168"/>
        <v>0</v>
      </c>
      <c r="J62" s="346">
        <v>0.42096</v>
      </c>
      <c r="K62" s="285">
        <v>5.4597600000000002</v>
      </c>
      <c r="L62" s="882">
        <f t="shared" si="169"/>
        <v>5.8807200000000002</v>
      </c>
      <c r="M62" s="893" t="s">
        <v>221</v>
      </c>
      <c r="N62" s="887" t="s">
        <v>221</v>
      </c>
      <c r="O62" s="887" t="s">
        <v>221</v>
      </c>
      <c r="P62" s="887"/>
      <c r="Q62" s="887"/>
      <c r="R62" s="894"/>
      <c r="AO62" s="1511"/>
    </row>
    <row r="63" spans="3:44" ht="27.75" customHeight="1" x14ac:dyDescent="0.4">
      <c r="C63" s="903" t="s">
        <v>139</v>
      </c>
      <c r="D63" s="893" t="s">
        <v>221</v>
      </c>
      <c r="E63" s="887" t="s">
        <v>221</v>
      </c>
      <c r="F63" s="905" t="s">
        <v>221</v>
      </c>
      <c r="G63" s="346"/>
      <c r="H63" s="285"/>
      <c r="I63" s="882">
        <f t="shared" si="168"/>
        <v>0</v>
      </c>
      <c r="J63" s="346">
        <v>1.16926</v>
      </c>
      <c r="K63" s="285">
        <v>7.61625</v>
      </c>
      <c r="L63" s="882">
        <f t="shared" si="169"/>
        <v>8.7855100000000004</v>
      </c>
      <c r="M63" s="893" t="s">
        <v>221</v>
      </c>
      <c r="N63" s="887" t="s">
        <v>221</v>
      </c>
      <c r="O63" s="887" t="s">
        <v>221</v>
      </c>
      <c r="P63" s="887"/>
      <c r="Q63" s="887"/>
      <c r="R63" s="894"/>
    </row>
    <row r="64" spans="3:44" ht="27.75" customHeight="1" x14ac:dyDescent="0.4">
      <c r="C64" s="903" t="s">
        <v>140</v>
      </c>
      <c r="D64" s="893" t="s">
        <v>221</v>
      </c>
      <c r="E64" s="887" t="s">
        <v>221</v>
      </c>
      <c r="F64" s="905" t="s">
        <v>221</v>
      </c>
      <c r="G64" s="346"/>
      <c r="H64" s="285"/>
      <c r="I64" s="882">
        <f t="shared" si="168"/>
        <v>0</v>
      </c>
      <c r="J64" s="346">
        <v>0.93120999999999998</v>
      </c>
      <c r="K64" s="285">
        <v>7.2160900000000003</v>
      </c>
      <c r="L64" s="882">
        <f t="shared" si="169"/>
        <v>8.1472999999999995</v>
      </c>
      <c r="M64" s="893" t="s">
        <v>221</v>
      </c>
      <c r="N64" s="887" t="s">
        <v>221</v>
      </c>
      <c r="O64" s="887" t="s">
        <v>221</v>
      </c>
      <c r="P64" s="887"/>
      <c r="Q64" s="887"/>
      <c r="R64" s="894"/>
    </row>
    <row r="65" spans="3:18" ht="27.75" customHeight="1" x14ac:dyDescent="0.4">
      <c r="C65" s="903" t="s">
        <v>141</v>
      </c>
      <c r="D65" s="893" t="s">
        <v>221</v>
      </c>
      <c r="E65" s="887" t="s">
        <v>221</v>
      </c>
      <c r="F65" s="905" t="s">
        <v>221</v>
      </c>
      <c r="G65" s="346"/>
      <c r="H65" s="285"/>
      <c r="I65" s="882">
        <f>SUM(G65:H65)</f>
        <v>0</v>
      </c>
      <c r="J65" s="346">
        <v>1.43418</v>
      </c>
      <c r="K65" s="285">
        <v>7.64907</v>
      </c>
      <c r="L65" s="882">
        <f t="shared" si="169"/>
        <v>9.0832499999999996</v>
      </c>
      <c r="M65" s="893" t="s">
        <v>221</v>
      </c>
      <c r="N65" s="887" t="s">
        <v>221</v>
      </c>
      <c r="O65" s="887" t="s">
        <v>221</v>
      </c>
      <c r="P65" s="887"/>
      <c r="Q65" s="887"/>
      <c r="R65" s="894"/>
    </row>
    <row r="66" spans="3:18" ht="27.75" customHeight="1" thickBot="1" x14ac:dyDescent="0.45">
      <c r="C66" s="904" t="s">
        <v>63</v>
      </c>
      <c r="D66" s="895" t="s">
        <v>221</v>
      </c>
      <c r="E66" s="896" t="s">
        <v>221</v>
      </c>
      <c r="F66" s="898" t="s">
        <v>221</v>
      </c>
      <c r="G66" s="879">
        <f>SUM(G54:G65)</f>
        <v>17.115830000000003</v>
      </c>
      <c r="H66" s="880">
        <f>SUM(H54:H65)</f>
        <v>66.79610000000001</v>
      </c>
      <c r="I66" s="881">
        <f>SUM(G66:H66)</f>
        <v>83.911930000000012</v>
      </c>
      <c r="J66" s="879">
        <f>SUM(J54:J65)</f>
        <v>4.6931600000000007</v>
      </c>
      <c r="K66" s="880">
        <f>SUM(K54:K65)</f>
        <v>34.089780000000005</v>
      </c>
      <c r="L66" s="881">
        <f>SUM(L54:L65)</f>
        <v>38.782940000000004</v>
      </c>
      <c r="M66" s="895" t="s">
        <v>221</v>
      </c>
      <c r="N66" s="896" t="s">
        <v>221</v>
      </c>
      <c r="O66" s="896" t="s">
        <v>221</v>
      </c>
      <c r="P66" s="897">
        <f>(G66-J66)/J66*100</f>
        <v>264.69734677701166</v>
      </c>
      <c r="Q66" s="897">
        <f>(H66-K66)/K66*100</f>
        <v>95.941716256309078</v>
      </c>
      <c r="R66" s="898">
        <f>(I66-L66)/L66*100</f>
        <v>116.36299362554774</v>
      </c>
    </row>
    <row r="71" spans="3:18" x14ac:dyDescent="0.4">
      <c r="E71" s="671">
        <v>0.16</v>
      </c>
      <c r="F71" s="852">
        <v>68.09</v>
      </c>
    </row>
    <row r="72" spans="3:18" x14ac:dyDescent="0.4">
      <c r="E72" s="676">
        <v>0.18</v>
      </c>
      <c r="F72" s="704">
        <v>75.430000000000007</v>
      </c>
    </row>
    <row r="73" spans="3:18" x14ac:dyDescent="0.4">
      <c r="E73" s="676">
        <v>0.17</v>
      </c>
      <c r="F73" s="704">
        <v>71.95</v>
      </c>
    </row>
    <row r="74" spans="3:18" x14ac:dyDescent="0.4">
      <c r="E74" s="676">
        <v>0.17</v>
      </c>
      <c r="F74" s="704">
        <v>71.290000000000006</v>
      </c>
    </row>
    <row r="75" spans="3:18" x14ac:dyDescent="0.4">
      <c r="E75" s="676">
        <v>0.14000000000000001</v>
      </c>
      <c r="F75" s="704">
        <v>62.13</v>
      </c>
    </row>
    <row r="76" spans="3:18" x14ac:dyDescent="0.4">
      <c r="E76" s="676">
        <v>0.16</v>
      </c>
      <c r="F76" s="704">
        <v>66.77</v>
      </c>
    </row>
    <row r="77" spans="3:18" x14ac:dyDescent="0.4">
      <c r="E77" s="676">
        <v>0.12</v>
      </c>
      <c r="F77" s="704">
        <v>52.5</v>
      </c>
    </row>
    <row r="78" spans="3:18" x14ac:dyDescent="0.4">
      <c r="E78" s="676">
        <v>0.14000000000000001</v>
      </c>
      <c r="F78" s="704">
        <v>58.73</v>
      </c>
    </row>
    <row r="79" spans="3:18" x14ac:dyDescent="0.4">
      <c r="E79" s="676">
        <v>0.14000000000000001</v>
      </c>
      <c r="F79" s="704">
        <v>58.26</v>
      </c>
    </row>
    <row r="80" spans="3:18" x14ac:dyDescent="0.4">
      <c r="E80" s="676">
        <v>0.23</v>
      </c>
      <c r="F80" s="704">
        <v>96.82</v>
      </c>
    </row>
    <row r="81" spans="5:6" x14ac:dyDescent="0.4">
      <c r="E81" s="676">
        <v>0.23</v>
      </c>
      <c r="F81" s="704">
        <v>90.74</v>
      </c>
    </row>
    <row r="82" spans="5:6" x14ac:dyDescent="0.4">
      <c r="E82" s="676">
        <v>0.08</v>
      </c>
      <c r="F82" s="704">
        <v>36.07</v>
      </c>
    </row>
    <row r="83" spans="5:6" x14ac:dyDescent="0.4">
      <c r="E83" s="876">
        <f>SUM(E71:E82)</f>
        <v>1.9200000000000004</v>
      </c>
      <c r="F83" s="876">
        <f>SUM(F71:F82)</f>
        <v>808.78000000000009</v>
      </c>
    </row>
  </sheetData>
  <mergeCells count="54">
    <mergeCell ref="P35:R35"/>
    <mergeCell ref="C51:K51"/>
    <mergeCell ref="D52:F52"/>
    <mergeCell ref="G52:I52"/>
    <mergeCell ref="J52:L52"/>
    <mergeCell ref="P52:R52"/>
    <mergeCell ref="M52:O52"/>
    <mergeCell ref="D35:F35"/>
    <mergeCell ref="G35:I35"/>
    <mergeCell ref="J35:L35"/>
    <mergeCell ref="M35:O35"/>
    <mergeCell ref="BU4:BZ4"/>
    <mergeCell ref="BL18:BR18"/>
    <mergeCell ref="BM4:BR4"/>
    <mergeCell ref="BT4:BT5"/>
    <mergeCell ref="AQ4:AS4"/>
    <mergeCell ref="BC4:BE4"/>
    <mergeCell ref="BL4:BL5"/>
    <mergeCell ref="C3:P3"/>
    <mergeCell ref="M19:O19"/>
    <mergeCell ref="P19:R19"/>
    <mergeCell ref="M4:O4"/>
    <mergeCell ref="P4:R4"/>
    <mergeCell ref="C18:K18"/>
    <mergeCell ref="D19:F19"/>
    <mergeCell ref="G19:I19"/>
    <mergeCell ref="J19:L19"/>
    <mergeCell ref="D4:F4"/>
    <mergeCell ref="G4:I4"/>
    <mergeCell ref="J4:L4"/>
    <mergeCell ref="Y22:AA22"/>
    <mergeCell ref="AN22:AP22"/>
    <mergeCell ref="AT4:AV4"/>
    <mergeCell ref="AW4:AY4"/>
    <mergeCell ref="AZ4:BB4"/>
    <mergeCell ref="AN4:AP4"/>
    <mergeCell ref="AW22:AY22"/>
    <mergeCell ref="AT22:AV22"/>
    <mergeCell ref="X2:AV2"/>
    <mergeCell ref="AK49:AO49"/>
    <mergeCell ref="BC22:BE22"/>
    <mergeCell ref="AQ22:AS22"/>
    <mergeCell ref="AK22:AM22"/>
    <mergeCell ref="X21:AU21"/>
    <mergeCell ref="AH4:AJ4"/>
    <mergeCell ref="AB4:AD4"/>
    <mergeCell ref="AE4:AG4"/>
    <mergeCell ref="AE22:AG22"/>
    <mergeCell ref="AZ22:BB22"/>
    <mergeCell ref="X3:AU3"/>
    <mergeCell ref="AK4:AM4"/>
    <mergeCell ref="Y4:AA4"/>
    <mergeCell ref="AB22:AD22"/>
    <mergeCell ref="AH22:AJ22"/>
  </mergeCells>
  <phoneticPr fontId="166" type="noConversion"/>
  <printOptions horizontalCentered="1"/>
  <pageMargins left="0.2" right="0.2" top="0.17" bottom="0.2" header="0.18" footer="0.22"/>
  <pageSetup paperSize="9" scale="10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4DD7-46C2-4739-B075-7E691EBEDF5E}">
  <sheetPr>
    <pageSetUpPr fitToPage="1"/>
  </sheetPr>
  <dimension ref="F7:S22"/>
  <sheetViews>
    <sheetView topLeftCell="A5" workbookViewId="0">
      <selection activeCell="L21" sqref="L21"/>
    </sheetView>
  </sheetViews>
  <sheetFormatPr defaultRowHeight="14.25" x14ac:dyDescent="0.45"/>
  <cols>
    <col min="6" max="6" width="13.3984375" customWidth="1"/>
    <col min="7" max="7" width="12.265625" customWidth="1"/>
    <col min="8" max="8" width="11.59765625" customWidth="1"/>
    <col min="10" max="10" width="11.73046875" customWidth="1"/>
    <col min="11" max="11" width="12.3984375" customWidth="1"/>
    <col min="12" max="12" width="11.73046875" customWidth="1"/>
    <col min="13" max="13" width="14.73046875" customWidth="1"/>
    <col min="14" max="14" width="13.3984375" customWidth="1"/>
    <col min="17" max="17" width="11.59765625" customWidth="1"/>
  </cols>
  <sheetData>
    <row r="7" spans="6:19" ht="21" x14ac:dyDescent="0.65">
      <c r="F7" s="2606" t="s">
        <v>977</v>
      </c>
      <c r="G7" s="2606"/>
      <c r="H7" s="2606"/>
      <c r="I7" s="2606"/>
      <c r="J7" s="2606"/>
      <c r="K7" s="2606"/>
      <c r="L7" s="2606"/>
      <c r="M7" s="2606"/>
      <c r="N7" s="2606"/>
      <c r="O7" s="2606"/>
      <c r="P7" s="2606"/>
      <c r="Q7" s="2606"/>
      <c r="R7" s="2606"/>
      <c r="S7" s="2606"/>
    </row>
    <row r="9" spans="6:19" ht="99.75" x14ac:dyDescent="0.45">
      <c r="F9" s="1820" t="s">
        <v>127</v>
      </c>
      <c r="G9" s="1817" t="s">
        <v>965</v>
      </c>
      <c r="H9" s="1817" t="s">
        <v>1044</v>
      </c>
      <c r="I9" s="1817" t="s">
        <v>1088</v>
      </c>
      <c r="J9" s="1817" t="s">
        <v>966</v>
      </c>
      <c r="K9" s="1817" t="s">
        <v>967</v>
      </c>
      <c r="L9" s="1817" t="s">
        <v>968</v>
      </c>
      <c r="M9" s="1817" t="s">
        <v>969</v>
      </c>
      <c r="N9" s="1817" t="s">
        <v>970</v>
      </c>
      <c r="O9" s="1817" t="s">
        <v>976</v>
      </c>
      <c r="P9" s="1817" t="s">
        <v>971</v>
      </c>
      <c r="Q9" s="1817" t="s">
        <v>972</v>
      </c>
      <c r="R9" s="1817" t="s">
        <v>973</v>
      </c>
      <c r="S9" s="1817" t="s">
        <v>974</v>
      </c>
    </row>
    <row r="10" spans="6:19" ht="25.5" customHeight="1" x14ac:dyDescent="0.45">
      <c r="F10" s="1706">
        <v>45017</v>
      </c>
      <c r="G10" s="400">
        <v>121.21583333333335</v>
      </c>
      <c r="H10" s="400">
        <v>4.4029590000000001</v>
      </c>
      <c r="I10" s="400">
        <v>1.67</v>
      </c>
      <c r="J10" s="401">
        <v>129.87</v>
      </c>
      <c r="K10" s="401">
        <v>4.4000000000000004</v>
      </c>
      <c r="L10" s="401">
        <v>1.23</v>
      </c>
      <c r="M10" s="2604" t="s">
        <v>975</v>
      </c>
      <c r="N10" s="1707">
        <v>1</v>
      </c>
      <c r="O10" s="401">
        <v>14</v>
      </c>
      <c r="P10" s="401">
        <v>14</v>
      </c>
      <c r="Q10" s="1707">
        <v>1</v>
      </c>
      <c r="R10" s="401">
        <v>0</v>
      </c>
      <c r="S10" s="401">
        <v>0</v>
      </c>
    </row>
    <row r="11" spans="6:19" ht="25.5" customHeight="1" x14ac:dyDescent="0.45">
      <c r="F11" s="1706">
        <v>45047</v>
      </c>
      <c r="G11" s="400">
        <v>125.30583333333334</v>
      </c>
      <c r="H11" s="400">
        <v>4.6799400000000002</v>
      </c>
      <c r="I11" s="400">
        <v>1.67</v>
      </c>
      <c r="J11" s="401">
        <v>133.41999999999999</v>
      </c>
      <c r="K11" s="401">
        <v>4.68</v>
      </c>
      <c r="L11" s="401">
        <v>1.31</v>
      </c>
      <c r="M11" s="2605"/>
      <c r="N11" s="1707">
        <v>1</v>
      </c>
      <c r="O11" s="401">
        <v>4</v>
      </c>
      <c r="P11" s="401">
        <v>4</v>
      </c>
      <c r="Q11" s="1707">
        <v>1</v>
      </c>
      <c r="R11" s="401">
        <v>0</v>
      </c>
      <c r="S11" s="401">
        <v>0</v>
      </c>
    </row>
    <row r="12" spans="6:19" ht="25.5" customHeight="1" x14ac:dyDescent="0.45">
      <c r="F12" s="1706">
        <v>45078</v>
      </c>
      <c r="G12" s="400">
        <v>138.90583333333331</v>
      </c>
      <c r="H12" s="400">
        <v>4.3931339999999999</v>
      </c>
      <c r="I12" s="400">
        <v>1.67</v>
      </c>
      <c r="J12" s="401">
        <v>137.99</v>
      </c>
      <c r="K12" s="401">
        <v>4.3899999999999997</v>
      </c>
      <c r="L12" s="401">
        <v>1.78</v>
      </c>
      <c r="M12" s="2605"/>
      <c r="N12" s="1707">
        <v>1</v>
      </c>
      <c r="O12" s="401">
        <v>9</v>
      </c>
      <c r="P12" s="401">
        <v>9</v>
      </c>
      <c r="Q12" s="1707">
        <v>1</v>
      </c>
      <c r="R12" s="401">
        <v>0</v>
      </c>
      <c r="S12" s="401">
        <v>0</v>
      </c>
    </row>
    <row r="13" spans="6:19" ht="25.5" customHeight="1" x14ac:dyDescent="0.45">
      <c r="F13" s="1706">
        <v>45108</v>
      </c>
      <c r="G13" s="400">
        <v>153.62583333333333</v>
      </c>
      <c r="H13" s="400">
        <v>4.7603439999999999</v>
      </c>
      <c r="I13" s="400">
        <v>1.67</v>
      </c>
      <c r="J13" s="401">
        <v>164.67</v>
      </c>
      <c r="K13" s="401">
        <v>4.76</v>
      </c>
      <c r="L13" s="401">
        <v>1.86</v>
      </c>
      <c r="M13" s="2605"/>
      <c r="N13" s="1707">
        <v>1</v>
      </c>
      <c r="O13" s="401">
        <v>11</v>
      </c>
      <c r="P13" s="401">
        <v>11</v>
      </c>
      <c r="Q13" s="1707">
        <v>1</v>
      </c>
      <c r="R13" s="401">
        <v>0</v>
      </c>
      <c r="S13" s="401">
        <v>0</v>
      </c>
    </row>
    <row r="14" spans="6:19" ht="25.5" customHeight="1" x14ac:dyDescent="0.45">
      <c r="F14" s="1706">
        <v>45139</v>
      </c>
      <c r="G14" s="400">
        <v>142.26583333333335</v>
      </c>
      <c r="H14" s="400">
        <v>4.9226999999999999</v>
      </c>
      <c r="I14" s="400">
        <v>1.67</v>
      </c>
      <c r="J14" s="401">
        <v>160.25</v>
      </c>
      <c r="K14" s="401">
        <v>4.92</v>
      </c>
      <c r="L14" s="401">
        <v>1.86</v>
      </c>
      <c r="M14" s="2605"/>
      <c r="N14" s="1707">
        <v>1</v>
      </c>
      <c r="O14" s="401">
        <v>20</v>
      </c>
      <c r="P14" s="401">
        <v>20</v>
      </c>
      <c r="Q14" s="1707">
        <v>1</v>
      </c>
      <c r="R14" s="401">
        <v>0</v>
      </c>
      <c r="S14" s="401">
        <v>0</v>
      </c>
    </row>
    <row r="15" spans="6:19" ht="25.5" customHeight="1" x14ac:dyDescent="0.45">
      <c r="F15" s="1706">
        <v>45170</v>
      </c>
      <c r="G15" s="400">
        <v>150.50583333333333</v>
      </c>
      <c r="H15" s="400">
        <v>4.6398349999999997</v>
      </c>
      <c r="I15" s="400">
        <v>1.67</v>
      </c>
      <c r="J15" s="400">
        <f>'SEP-23'!G10</f>
        <v>149.17725280000002</v>
      </c>
      <c r="K15" s="400">
        <f>'SEP-23'!G12</f>
        <v>4.6398349999999997</v>
      </c>
      <c r="L15" s="400">
        <f>'SEP-23'!G9</f>
        <v>1.576794</v>
      </c>
      <c r="M15" s="2605"/>
      <c r="N15" s="1707">
        <v>1</v>
      </c>
      <c r="O15" s="401">
        <v>8</v>
      </c>
      <c r="P15" s="401">
        <v>8</v>
      </c>
      <c r="Q15" s="1707">
        <v>1</v>
      </c>
      <c r="R15" s="401">
        <v>0</v>
      </c>
      <c r="S15" s="401">
        <v>0</v>
      </c>
    </row>
    <row r="16" spans="6:19" ht="25.5" customHeight="1" x14ac:dyDescent="0.45">
      <c r="F16" s="1706">
        <v>45200</v>
      </c>
      <c r="G16" s="400">
        <v>132.56583333333333</v>
      </c>
      <c r="H16" s="400">
        <v>4.7090610000000002</v>
      </c>
      <c r="I16" s="400">
        <v>1.67</v>
      </c>
      <c r="J16" s="400">
        <f>'OCT-23'!G10</f>
        <v>152.86028870000001</v>
      </c>
      <c r="K16" s="400">
        <f>'OCT-23'!G12</f>
        <v>4.7090610000000002</v>
      </c>
      <c r="L16" s="400">
        <f>'OCT-23'!G9</f>
        <v>1.0717797999999998</v>
      </c>
      <c r="M16" s="2605"/>
      <c r="N16" s="1707">
        <v>1</v>
      </c>
      <c r="O16" s="401">
        <v>2</v>
      </c>
      <c r="P16" s="401">
        <v>2</v>
      </c>
      <c r="Q16" s="1707">
        <v>1</v>
      </c>
      <c r="R16" s="401">
        <v>0</v>
      </c>
      <c r="S16" s="401">
        <v>0</v>
      </c>
    </row>
    <row r="17" spans="6:19" ht="25.5" customHeight="1" x14ac:dyDescent="0.45">
      <c r="F17" s="1706">
        <v>45231</v>
      </c>
      <c r="G17" s="400">
        <v>158.19583333333333</v>
      </c>
      <c r="H17" s="400">
        <v>4.6992719999999997</v>
      </c>
      <c r="I17" s="400">
        <v>1.67</v>
      </c>
      <c r="J17" s="400">
        <f>'NOV-2023'!G10</f>
        <v>144.04488620000001</v>
      </c>
      <c r="K17" s="400">
        <f>'NOV-2023'!G12</f>
        <v>4.6992720000000006</v>
      </c>
      <c r="L17" s="400">
        <f>'NOV-2023'!G9</f>
        <v>1.6523919999999999</v>
      </c>
      <c r="M17" s="2605"/>
      <c r="N17" s="1707">
        <v>1</v>
      </c>
      <c r="O17" s="401">
        <v>1</v>
      </c>
      <c r="P17" s="401">
        <v>1</v>
      </c>
      <c r="Q17" s="1707">
        <v>1</v>
      </c>
      <c r="R17" s="401">
        <v>0</v>
      </c>
      <c r="S17" s="401">
        <v>0</v>
      </c>
    </row>
    <row r="18" spans="6:19" ht="25.5" customHeight="1" x14ac:dyDescent="0.45">
      <c r="F18" s="1706">
        <v>45261</v>
      </c>
      <c r="G18" s="400">
        <v>151.6258333333333</v>
      </c>
      <c r="H18" s="400">
        <v>4.6761080000000002</v>
      </c>
      <c r="I18" s="400">
        <f>'DEC-2023'!E9</f>
        <v>1.67</v>
      </c>
      <c r="J18" s="400">
        <f>'DEC-2023'!G10</f>
        <v>159.9923824</v>
      </c>
      <c r="K18" s="400">
        <f>'DEC-2023'!G12</f>
        <v>4.6761079999999993</v>
      </c>
      <c r="L18" s="400">
        <f>'DEC-2023'!G9</f>
        <v>1.9896362000000001</v>
      </c>
      <c r="M18" s="2605"/>
      <c r="N18" s="1707">
        <v>1</v>
      </c>
      <c r="O18" s="401">
        <v>11</v>
      </c>
      <c r="P18" s="401">
        <v>11</v>
      </c>
      <c r="Q18" s="1707">
        <v>1</v>
      </c>
      <c r="R18" s="401">
        <v>0</v>
      </c>
      <c r="S18" s="401">
        <v>0</v>
      </c>
    </row>
    <row r="19" spans="6:19" ht="25.5" customHeight="1" x14ac:dyDescent="0.45">
      <c r="F19" s="1706">
        <v>45292</v>
      </c>
      <c r="G19" s="400">
        <v>145.93583333333333</v>
      </c>
      <c r="H19" s="400">
        <f>'JAN-2024'!E12</f>
        <v>5.27</v>
      </c>
      <c r="I19" s="400">
        <v>1.67</v>
      </c>
      <c r="J19" s="400">
        <f>'JAN-2024'!G10</f>
        <v>145.8251339</v>
      </c>
      <c r="K19" s="400">
        <f>'JAN-2024'!G12</f>
        <v>4.7497860000000003</v>
      </c>
      <c r="L19" s="400">
        <v>1.33</v>
      </c>
      <c r="M19" s="2605"/>
      <c r="N19" s="1707">
        <v>1</v>
      </c>
      <c r="O19" s="401">
        <v>2</v>
      </c>
      <c r="P19" s="401">
        <v>2</v>
      </c>
      <c r="Q19" s="1707">
        <v>1</v>
      </c>
      <c r="R19" s="401">
        <v>0</v>
      </c>
      <c r="S19" s="401">
        <v>0</v>
      </c>
    </row>
    <row r="20" spans="6:19" ht="25.5" customHeight="1" x14ac:dyDescent="0.45">
      <c r="F20" s="1706">
        <v>45323</v>
      </c>
      <c r="G20" s="400">
        <f>'TARGET 23-24'!I85</f>
        <v>138.59583333333333</v>
      </c>
      <c r="H20" s="400">
        <f>'TARGET 23-24'!D50</f>
        <v>4.76</v>
      </c>
      <c r="I20" s="400">
        <v>1.67</v>
      </c>
      <c r="J20" s="400">
        <f>'FEB-2024'!G10</f>
        <v>147.12055169999999</v>
      </c>
      <c r="K20" s="400">
        <f>'FEB-2024'!G12</f>
        <v>4.5714620000000004</v>
      </c>
      <c r="L20" s="400">
        <f>'FEB-2024'!G9</f>
        <v>2.2734546</v>
      </c>
      <c r="M20" s="2605"/>
      <c r="N20" s="1707">
        <v>1</v>
      </c>
      <c r="O20" s="401">
        <v>4</v>
      </c>
      <c r="P20" s="401">
        <v>4</v>
      </c>
      <c r="Q20" s="1707">
        <v>1</v>
      </c>
      <c r="R20" s="401">
        <v>0</v>
      </c>
      <c r="S20" s="401">
        <v>0</v>
      </c>
    </row>
    <row r="21" spans="6:19" s="89" customFormat="1" ht="25.5" customHeight="1" x14ac:dyDescent="0.45">
      <c r="F21" s="1817" t="s">
        <v>1089</v>
      </c>
      <c r="G21" s="1818">
        <f>SUM(G10:G20)</f>
        <v>1558.7441666666664</v>
      </c>
      <c r="H21" s="1818">
        <f t="shared" ref="H21:L21" si="0">SUM(H10:H20)</f>
        <v>51.913352999999994</v>
      </c>
      <c r="I21" s="1818">
        <f>SUM(I10:I20)</f>
        <v>18.369999999999997</v>
      </c>
      <c r="J21" s="1818">
        <f t="shared" si="0"/>
        <v>1625.2204957000001</v>
      </c>
      <c r="K21" s="1818">
        <f t="shared" si="0"/>
        <v>51.195523999999992</v>
      </c>
      <c r="L21" s="1818">
        <f t="shared" si="0"/>
        <v>17.934056599999998</v>
      </c>
      <c r="M21" s="2605"/>
      <c r="N21" s="1819">
        <v>1</v>
      </c>
      <c r="O21" s="1820">
        <f>SUM(O10:O20)</f>
        <v>86</v>
      </c>
      <c r="P21" s="1820">
        <f>SUM(P10:P20)</f>
        <v>86</v>
      </c>
      <c r="Q21" s="1819">
        <v>1</v>
      </c>
      <c r="R21" s="1820">
        <v>0</v>
      </c>
      <c r="S21" s="1820">
        <v>0</v>
      </c>
    </row>
    <row r="22" spans="6:19" x14ac:dyDescent="0.45">
      <c r="J22" s="229"/>
    </row>
  </sheetData>
  <mergeCells count="2">
    <mergeCell ref="M10:M21"/>
    <mergeCell ref="F7:S7"/>
  </mergeCells>
  <pageMargins left="0.24" right="0.2" top="0.75" bottom="0.75" header="0.3" footer="0.3"/>
  <pageSetup paperSize="9" scale="70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7370E-5893-493A-97A2-C2DA5206B190}">
  <sheetPr>
    <pageSetUpPr fitToPage="1"/>
  </sheetPr>
  <dimension ref="C5:V87"/>
  <sheetViews>
    <sheetView topLeftCell="A3" workbookViewId="0">
      <selection activeCell="Q19" sqref="Q18:Q19"/>
    </sheetView>
  </sheetViews>
  <sheetFormatPr defaultRowHeight="14.25" x14ac:dyDescent="0.45"/>
  <cols>
    <col min="3" max="3" width="16" style="89" customWidth="1"/>
    <col min="4" max="4" width="12.73046875" hidden="1" customWidth="1"/>
    <col min="5" max="5" width="14.59765625" customWidth="1"/>
    <col min="6" max="6" width="14.265625" bestFit="1" customWidth="1"/>
    <col min="7" max="7" width="13.86328125" hidden="1" customWidth="1"/>
    <col min="8" max="8" width="12.86328125" customWidth="1"/>
    <col min="9" max="9" width="15.73046875" customWidth="1"/>
    <col min="10" max="10" width="14.3984375" hidden="1" customWidth="1"/>
    <col min="11" max="11" width="14.265625" customWidth="1"/>
    <col min="12" max="12" width="13.3984375" customWidth="1"/>
    <col min="13" max="13" width="9.1328125" customWidth="1"/>
    <col min="17" max="17" width="35.1328125" style="1301" customWidth="1"/>
    <col min="18" max="18" width="15" style="1301" customWidth="1"/>
    <col min="19" max="19" width="15.1328125" style="1301" customWidth="1"/>
    <col min="20" max="20" width="16.73046875" style="1301" customWidth="1"/>
    <col min="21" max="21" width="12.3984375" style="1301" customWidth="1"/>
    <col min="22" max="22" width="12.73046875" style="89" bestFit="1" customWidth="1"/>
  </cols>
  <sheetData>
    <row r="5" spans="3:22" ht="18" x14ac:dyDescent="0.55000000000000004">
      <c r="C5" s="2608" t="s">
        <v>127</v>
      </c>
      <c r="D5" s="2609" t="s">
        <v>687</v>
      </c>
      <c r="E5" s="2609"/>
      <c r="F5" s="2609"/>
      <c r="G5" s="2609" t="s">
        <v>880</v>
      </c>
      <c r="H5" s="2609"/>
      <c r="I5" s="2609"/>
      <c r="J5" s="2609" t="s">
        <v>951</v>
      </c>
      <c r="K5" s="2609"/>
      <c r="L5" s="2609"/>
    </row>
    <row r="6" spans="3:22" ht="18" x14ac:dyDescent="0.55000000000000004">
      <c r="C6" s="2608"/>
      <c r="D6" s="1690" t="s">
        <v>163</v>
      </c>
      <c r="E6" s="1690" t="s">
        <v>164</v>
      </c>
      <c r="F6" s="1690" t="s">
        <v>165</v>
      </c>
      <c r="G6" s="1690" t="s">
        <v>163</v>
      </c>
      <c r="H6" s="1690" t="s">
        <v>164</v>
      </c>
      <c r="I6" s="1690" t="s">
        <v>165</v>
      </c>
      <c r="J6" s="1690" t="s">
        <v>163</v>
      </c>
      <c r="K6" s="1690" t="s">
        <v>164</v>
      </c>
      <c r="L6" s="1690" t="s">
        <v>165</v>
      </c>
    </row>
    <row r="7" spans="3:22" s="625" customFormat="1" ht="36.75" customHeight="1" x14ac:dyDescent="0.45">
      <c r="C7" s="1689" t="s">
        <v>131</v>
      </c>
      <c r="D7" s="1691">
        <v>546535</v>
      </c>
      <c r="E7" s="1692">
        <f>'actual fig'!L20+'actual fig'!M20</f>
        <v>1728875</v>
      </c>
      <c r="F7" s="1692">
        <f>'actual fig'!L4+'actual fig'!M4</f>
        <v>24453947</v>
      </c>
      <c r="G7" s="1691">
        <v>1599967</v>
      </c>
      <c r="H7" s="1692">
        <f>'ACTUAL- 23-24'!E20+'ACTUAL- 23-24'!F20</f>
        <v>3418240</v>
      </c>
      <c r="I7" s="1692">
        <f>'ACTUAL- 23-24'!E3+'ACTUAL- 23-24'!F3</f>
        <v>186000924</v>
      </c>
      <c r="J7" s="400">
        <f>(G7-D7)/D7*100</f>
        <v>192.74739952610537</v>
      </c>
      <c r="K7" s="400">
        <f t="shared" ref="K7:L7" si="0">(H7-E7)/E7*100</f>
        <v>97.71469886486878</v>
      </c>
      <c r="L7" s="400">
        <f t="shared" si="0"/>
        <v>660.61718789199961</v>
      </c>
      <c r="Q7" s="1763"/>
      <c r="R7" s="1763"/>
      <c r="S7" s="1763"/>
      <c r="T7" s="1763"/>
      <c r="U7" s="1763"/>
      <c r="V7" s="1784"/>
    </row>
    <row r="8" spans="3:22" s="625" customFormat="1" ht="36.75" customHeight="1" x14ac:dyDescent="0.45">
      <c r="C8" s="1689" t="s">
        <v>132</v>
      </c>
      <c r="D8" s="1691">
        <v>702786</v>
      </c>
      <c r="E8" s="1692">
        <f>'actual fig'!L21+'actual fig'!M21</f>
        <v>2056001</v>
      </c>
      <c r="F8" s="1692">
        <f>'actual fig'!L5+'actual fig'!M5</f>
        <v>34427955</v>
      </c>
      <c r="G8" s="1691">
        <v>1750750</v>
      </c>
      <c r="H8" s="1692">
        <f>'ACTUAL- 23-24'!E21+'ACTUAL- 23-24'!F21</f>
        <v>3700440</v>
      </c>
      <c r="I8" s="1692">
        <f>'ACTUAL- 23-24'!E4+'ACTUAL- 23-24'!F4</f>
        <v>203899594</v>
      </c>
      <c r="J8" s="400">
        <f t="shared" ref="J8:J19" si="1">(G8-D8)/D8*100</f>
        <v>149.11566252031201</v>
      </c>
      <c r="K8" s="400">
        <f t="shared" ref="K8:K19" si="2">(H8-E8)/E8*100</f>
        <v>79.982402732294389</v>
      </c>
      <c r="L8" s="400">
        <f t="shared" ref="L8:L19" si="3">(I8-F8)/F8*100</f>
        <v>492.25008862710553</v>
      </c>
      <c r="Q8" s="1763"/>
      <c r="R8" s="1763"/>
      <c r="S8" s="1763"/>
      <c r="T8" s="1763"/>
      <c r="U8" s="1763"/>
      <c r="V8" s="1784"/>
    </row>
    <row r="9" spans="3:22" s="625" customFormat="1" ht="36.75" customHeight="1" x14ac:dyDescent="0.45">
      <c r="C9" s="1689" t="s">
        <v>133</v>
      </c>
      <c r="D9" s="1691">
        <v>749732</v>
      </c>
      <c r="E9" s="1692">
        <f>'actual fig'!L22+'actual fig'!M22</f>
        <v>2203004</v>
      </c>
      <c r="F9" s="1692">
        <f>'actual fig'!L6+'actual fig'!M6</f>
        <v>39991896</v>
      </c>
      <c r="G9" s="1691">
        <v>1569871</v>
      </c>
      <c r="H9" s="1692">
        <f>'ACTUAL- 23-24'!E22+'ACTUAL- 23-24'!F22</f>
        <v>3427263</v>
      </c>
      <c r="I9" s="1692">
        <f>'ACTUAL- 23-24'!E5+'ACTUAL- 23-24'!F5</f>
        <v>173933684</v>
      </c>
      <c r="J9" s="400">
        <f t="shared" si="1"/>
        <v>109.39095570150401</v>
      </c>
      <c r="K9" s="400">
        <f t="shared" si="2"/>
        <v>55.572254975478941</v>
      </c>
      <c r="L9" s="400">
        <f t="shared" si="3"/>
        <v>334.92232526309829</v>
      </c>
      <c r="Q9" s="1763"/>
      <c r="R9" s="1763"/>
      <c r="S9" s="1763"/>
      <c r="T9" s="1763"/>
      <c r="U9" s="1763"/>
      <c r="V9" s="1784"/>
    </row>
    <row r="10" spans="3:22" s="625" customFormat="1" ht="36.75" customHeight="1" x14ac:dyDescent="0.45">
      <c r="C10" s="1689" t="s">
        <v>51</v>
      </c>
      <c r="D10" s="1691">
        <v>971333</v>
      </c>
      <c r="E10" s="1692">
        <f>'actual fig'!L23+'actual fig'!M23</f>
        <v>2539301</v>
      </c>
      <c r="F10" s="1692">
        <f>'actual fig'!L7+'actual fig'!M7</f>
        <v>98022080</v>
      </c>
      <c r="G10" s="1691">
        <v>971333</v>
      </c>
      <c r="H10" s="1692">
        <f>'ACTUAL- 23-24'!E23+'ACTUAL- 23-24'!F23</f>
        <v>3441060</v>
      </c>
      <c r="I10" s="1692">
        <f>'ACTUAL- 23-24'!E6+'ACTUAL- 23-24'!F6</f>
        <v>157829399</v>
      </c>
      <c r="J10" s="400">
        <f t="shared" si="1"/>
        <v>0</v>
      </c>
      <c r="K10" s="400">
        <f t="shared" si="2"/>
        <v>35.51209565151985</v>
      </c>
      <c r="L10" s="400">
        <f t="shared" si="3"/>
        <v>61.01412967364088</v>
      </c>
      <c r="Q10" s="1763"/>
      <c r="R10" s="1763"/>
      <c r="S10" s="1763"/>
      <c r="T10" s="1763"/>
      <c r="U10" s="1763"/>
      <c r="V10" s="1784"/>
    </row>
    <row r="11" spans="3:22" s="625" customFormat="1" ht="36.75" customHeight="1" x14ac:dyDescent="0.45">
      <c r="C11" s="1689" t="s">
        <v>134</v>
      </c>
      <c r="D11" s="1691">
        <v>1185192</v>
      </c>
      <c r="E11" s="1692">
        <f>'actual fig'!L24+'actual fig'!M24</f>
        <v>2849612</v>
      </c>
      <c r="F11" s="1692">
        <f>'actual fig'!L8+'actual fig'!M8</f>
        <v>116573732</v>
      </c>
      <c r="G11" s="1691">
        <v>1632946</v>
      </c>
      <c r="H11" s="1692">
        <f>'ACTUAL- 23-24'!E24+'ACTUAL- 23-24'!F24</f>
        <v>3712136</v>
      </c>
      <c r="I11" s="1692">
        <f>'ACTUAL- 23-24'!E7+'ACTUAL- 23-24'!F7</f>
        <v>168985182</v>
      </c>
      <c r="J11" s="400">
        <f t="shared" si="1"/>
        <v>37.779026520597512</v>
      </c>
      <c r="K11" s="400">
        <f t="shared" si="2"/>
        <v>30.268120712574202</v>
      </c>
      <c r="L11" s="400">
        <f t="shared" si="3"/>
        <v>44.959914296987591</v>
      </c>
      <c r="Q11" s="1763"/>
      <c r="R11" s="1763"/>
      <c r="S11" s="1763"/>
      <c r="T11" s="1763"/>
      <c r="U11" s="1763"/>
      <c r="V11" s="1784"/>
    </row>
    <row r="12" spans="3:22" s="625" customFormat="1" ht="36.75" customHeight="1" x14ac:dyDescent="0.45">
      <c r="C12" s="1689" t="s">
        <v>135</v>
      </c>
      <c r="D12" s="1691">
        <v>1265845</v>
      </c>
      <c r="E12" s="1692">
        <f>'actual fig'!L25+'actual fig'!M25</f>
        <v>3137002</v>
      </c>
      <c r="F12" s="1692">
        <f>'actual fig'!L9+'actual fig'!M9</f>
        <v>127387796</v>
      </c>
      <c r="G12" s="1691"/>
      <c r="H12" s="1692"/>
      <c r="I12" s="1692"/>
      <c r="J12" s="650"/>
      <c r="K12" s="650"/>
      <c r="L12" s="650"/>
      <c r="Q12" s="1763"/>
      <c r="R12" s="1763"/>
      <c r="S12" s="1763"/>
      <c r="T12" s="1763"/>
      <c r="U12" s="1763"/>
      <c r="V12" s="1784"/>
    </row>
    <row r="13" spans="3:22" s="625" customFormat="1" ht="36.75" customHeight="1" x14ac:dyDescent="0.45">
      <c r="C13" s="1689" t="s">
        <v>136</v>
      </c>
      <c r="D13" s="1691">
        <v>1461767</v>
      </c>
      <c r="E13" s="1692">
        <f>'actual fig'!L26+'actual fig'!M26</f>
        <v>3215527</v>
      </c>
      <c r="F13" s="1692">
        <f>'actual fig'!L10+'actual fig'!M10</f>
        <v>163637524</v>
      </c>
      <c r="G13" s="1691"/>
      <c r="H13" s="1692"/>
      <c r="I13" s="1692"/>
      <c r="J13" s="650"/>
      <c r="K13" s="650"/>
      <c r="L13" s="650"/>
      <c r="Q13" s="1763"/>
      <c r="R13" s="1763"/>
      <c r="S13" s="1763"/>
      <c r="T13" s="1763"/>
      <c r="U13" s="1763"/>
      <c r="V13" s="1784"/>
    </row>
    <row r="14" spans="3:22" s="625" customFormat="1" ht="36.75" customHeight="1" x14ac:dyDescent="0.45">
      <c r="C14" s="1689" t="s">
        <v>137</v>
      </c>
      <c r="D14" s="1691">
        <v>1483069</v>
      </c>
      <c r="E14" s="1692">
        <f>'actual fig'!L27+'actual fig'!M27</f>
        <v>3505807</v>
      </c>
      <c r="F14" s="1692">
        <f>'actual fig'!L11+'actual fig'!M11</f>
        <v>154847504</v>
      </c>
      <c r="G14" s="1691"/>
      <c r="H14" s="1692"/>
      <c r="I14" s="1692"/>
      <c r="J14" s="650"/>
      <c r="K14" s="650"/>
      <c r="L14" s="650"/>
      <c r="Q14" s="1763"/>
      <c r="R14" s="1763"/>
      <c r="S14" s="1763"/>
      <c r="T14" s="1763"/>
      <c r="U14" s="1763"/>
      <c r="V14" s="1784"/>
    </row>
    <row r="15" spans="3:22" s="625" customFormat="1" ht="36.75" customHeight="1" x14ac:dyDescent="0.45">
      <c r="C15" s="1689" t="s">
        <v>138</v>
      </c>
      <c r="D15" s="1691">
        <v>1519500</v>
      </c>
      <c r="E15" s="1692">
        <f>'actual fig'!L28+'actual fig'!M28</f>
        <v>3445741</v>
      </c>
      <c r="F15" s="1692">
        <f>'actual fig'!L12+'actual fig'!M12</f>
        <v>162531641</v>
      </c>
      <c r="G15" s="1691"/>
      <c r="H15" s="1692"/>
      <c r="I15" s="1692"/>
      <c r="J15" s="650"/>
      <c r="K15" s="650"/>
      <c r="L15" s="650"/>
      <c r="Q15" s="1763"/>
      <c r="R15" s="1763"/>
      <c r="S15" s="1763"/>
      <c r="T15" s="1763"/>
      <c r="U15" s="1763"/>
      <c r="V15" s="1784"/>
    </row>
    <row r="16" spans="3:22" s="625" customFormat="1" ht="36.75" customHeight="1" x14ac:dyDescent="0.45">
      <c r="C16" s="1689" t="s">
        <v>872</v>
      </c>
      <c r="D16" s="1691">
        <v>1516396</v>
      </c>
      <c r="E16" s="1692">
        <f>'actual fig'!L29+'actual fig'!M29</f>
        <v>3427315</v>
      </c>
      <c r="F16" s="1692">
        <f>'actual fig'!L13+'actual fig'!M13</f>
        <v>159788977</v>
      </c>
      <c r="G16" s="1691"/>
      <c r="H16" s="1692"/>
      <c r="I16" s="1692"/>
      <c r="J16" s="650"/>
      <c r="K16" s="650"/>
      <c r="L16" s="650"/>
      <c r="Q16" s="1763"/>
      <c r="R16" s="1763"/>
      <c r="S16" s="1763"/>
      <c r="T16" s="1763"/>
      <c r="U16" s="1763"/>
      <c r="V16" s="1784"/>
    </row>
    <row r="17" spans="3:22" s="625" customFormat="1" ht="36.75" customHeight="1" x14ac:dyDescent="0.45">
      <c r="C17" s="1689" t="s">
        <v>140</v>
      </c>
      <c r="D17" s="1691">
        <v>541929</v>
      </c>
      <c r="E17" s="1692">
        <f>'actual fig'!L30+'actual fig'!M30</f>
        <v>3101616</v>
      </c>
      <c r="F17" s="1692">
        <f>'actual fig'!L14+'actual fig'!M14</f>
        <v>153919974</v>
      </c>
      <c r="G17" s="1691"/>
      <c r="H17" s="1692"/>
      <c r="I17" s="1692"/>
      <c r="J17" s="650"/>
      <c r="K17" s="650"/>
      <c r="L17" s="650"/>
      <c r="Q17" s="1763"/>
      <c r="R17" s="1763"/>
      <c r="S17" s="1763"/>
      <c r="T17" s="1763"/>
      <c r="U17" s="1763"/>
      <c r="V17" s="1784"/>
    </row>
    <row r="18" spans="3:22" s="625" customFormat="1" ht="36.75" customHeight="1" x14ac:dyDescent="0.45">
      <c r="C18" s="1689" t="s">
        <v>141</v>
      </c>
      <c r="D18" s="1691">
        <v>575090</v>
      </c>
      <c r="E18" s="1692">
        <f>'actual fig'!L31+'actual fig'!M31</f>
        <v>3335399</v>
      </c>
      <c r="F18" s="1692">
        <f>'actual fig'!L15+'actual fig'!M15</f>
        <v>156528072</v>
      </c>
      <c r="G18" s="1691"/>
      <c r="H18" s="1692"/>
      <c r="I18" s="1692"/>
      <c r="J18" s="650"/>
      <c r="K18" s="650"/>
      <c r="L18" s="650"/>
      <c r="Q18" s="1763"/>
      <c r="R18" s="1763"/>
      <c r="S18" s="1763"/>
      <c r="T18" s="1763"/>
      <c r="U18" s="1763"/>
      <c r="V18" s="1784"/>
    </row>
    <row r="19" spans="3:22" s="625" customFormat="1" ht="36.75" customHeight="1" x14ac:dyDescent="0.45">
      <c r="C19" s="1689" t="s">
        <v>63</v>
      </c>
      <c r="D19" s="1689">
        <f>SUM(D7:D18)</f>
        <v>12519174</v>
      </c>
      <c r="E19" s="1689">
        <f t="shared" ref="E19:I19" si="4">SUM(E7:E11)</f>
        <v>11376793</v>
      </c>
      <c r="F19" s="1689">
        <f t="shared" si="4"/>
        <v>313469610</v>
      </c>
      <c r="G19" s="1689">
        <f t="shared" si="4"/>
        <v>7524867</v>
      </c>
      <c r="H19" s="1689">
        <f t="shared" si="4"/>
        <v>17699139</v>
      </c>
      <c r="I19" s="1689">
        <f t="shared" si="4"/>
        <v>890648783</v>
      </c>
      <c r="J19" s="835">
        <f t="shared" si="1"/>
        <v>-39.893262926132344</v>
      </c>
      <c r="K19" s="835">
        <f t="shared" si="2"/>
        <v>55.572304075498259</v>
      </c>
      <c r="L19" s="835">
        <f t="shared" si="3"/>
        <v>184.12603792756818</v>
      </c>
      <c r="Q19" s="1763"/>
      <c r="R19" s="1763"/>
      <c r="S19" s="1763"/>
      <c r="T19" s="1763"/>
      <c r="U19" s="1763"/>
      <c r="V19" s="1784"/>
    </row>
    <row r="22" spans="3:22" ht="21" x14ac:dyDescent="0.65">
      <c r="C22" s="2607" t="s">
        <v>954</v>
      </c>
      <c r="D22" s="2607"/>
      <c r="E22" s="2607"/>
      <c r="F22" s="2607"/>
      <c r="G22" s="2607"/>
      <c r="H22" s="2607"/>
      <c r="I22" s="2607"/>
      <c r="J22" s="2607"/>
      <c r="K22" s="2607"/>
      <c r="L22" s="2607"/>
    </row>
    <row r="23" spans="3:22" ht="18" x14ac:dyDescent="0.55000000000000004">
      <c r="C23" s="2608" t="s">
        <v>127</v>
      </c>
      <c r="D23" s="2609" t="s">
        <v>687</v>
      </c>
      <c r="E23" s="2609"/>
      <c r="F23" s="2609"/>
      <c r="G23" s="2609" t="s">
        <v>880</v>
      </c>
      <c r="H23" s="2609"/>
      <c r="I23" s="2609"/>
      <c r="J23" s="2609" t="s">
        <v>951</v>
      </c>
      <c r="K23" s="2609"/>
      <c r="L23" s="2609"/>
    </row>
    <row r="24" spans="3:22" ht="36" x14ac:dyDescent="0.55000000000000004">
      <c r="C24" s="2608"/>
      <c r="D24" s="1690" t="s">
        <v>163</v>
      </c>
      <c r="E24" s="1695" t="s">
        <v>953</v>
      </c>
      <c r="F24" s="1695" t="s">
        <v>952</v>
      </c>
      <c r="G24" s="1690" t="s">
        <v>163</v>
      </c>
      <c r="H24" s="1695" t="s">
        <v>953</v>
      </c>
      <c r="I24" s="1690" t="s">
        <v>952</v>
      </c>
      <c r="J24" s="1690" t="s">
        <v>163</v>
      </c>
      <c r="K24" s="1690" t="s">
        <v>164</v>
      </c>
      <c r="L24" s="1690" t="s">
        <v>165</v>
      </c>
    </row>
    <row r="25" spans="3:22" ht="18" x14ac:dyDescent="0.45">
      <c r="C25" s="1689" t="s">
        <v>131</v>
      </c>
      <c r="D25" s="1691"/>
      <c r="E25" s="1694">
        <f>('actual fig'!L20+'actual fig'!M20)/100000</f>
        <v>17.28875</v>
      </c>
      <c r="F25" s="1694">
        <f>('actual fig'!L4+'actual fig'!M4)/10000000</f>
        <v>2.4453947</v>
      </c>
      <c r="G25" s="1691"/>
      <c r="H25" s="1693">
        <f>('ACTUAL- 23-24'!E20+'ACTUAL- 23-24'!F20)/100000</f>
        <v>34.182400000000001</v>
      </c>
      <c r="I25" s="1692">
        <f>('ACTUAL- 23-24'!E3+'ACTUAL- 23-24'!F3)/10000000</f>
        <v>18.600092400000001</v>
      </c>
      <c r="J25" s="400" t="e">
        <f>(G25-D25)/D25*100</f>
        <v>#DIV/0!</v>
      </c>
      <c r="K25" s="1692">
        <f t="shared" ref="K25:K29" si="5">(H25-E25)/E25*100</f>
        <v>97.71469886486878</v>
      </c>
      <c r="L25" s="1692">
        <f t="shared" ref="L25:L29" si="6">(I25-F25)/F25*100</f>
        <v>660.61718789199961</v>
      </c>
    </row>
    <row r="26" spans="3:22" ht="18" x14ac:dyDescent="0.45">
      <c r="C26" s="1689" t="s">
        <v>132</v>
      </c>
      <c r="D26" s="1691"/>
      <c r="E26" s="1694">
        <f>('actual fig'!L21+'actual fig'!M21)/100000</f>
        <v>20.560009999999998</v>
      </c>
      <c r="F26" s="1694">
        <f>('actual fig'!L5+'actual fig'!M5)/10000000</f>
        <v>3.4427954999999999</v>
      </c>
      <c r="G26" s="1691"/>
      <c r="H26" s="1693">
        <f>('ACTUAL- 23-24'!E21+'ACTUAL- 23-24'!F21)/100000</f>
        <v>37.004399999999997</v>
      </c>
      <c r="I26" s="1692">
        <f>('ACTUAL- 23-24'!E4+'ACTUAL- 23-24'!F4)/10000000</f>
        <v>20.389959399999999</v>
      </c>
      <c r="J26" s="400" t="e">
        <f t="shared" ref="J26:J29" si="7">(G26-D26)/D26*100</f>
        <v>#DIV/0!</v>
      </c>
      <c r="K26" s="1692">
        <f t="shared" si="5"/>
        <v>79.982402732294389</v>
      </c>
      <c r="L26" s="1692">
        <f t="shared" si="6"/>
        <v>492.25008862710553</v>
      </c>
    </row>
    <row r="27" spans="3:22" ht="18" x14ac:dyDescent="0.45">
      <c r="C27" s="1689" t="s">
        <v>133</v>
      </c>
      <c r="D27" s="1691"/>
      <c r="E27" s="1694">
        <f>('actual fig'!L22+'actual fig'!M22)/100000</f>
        <v>22.03004</v>
      </c>
      <c r="F27" s="1694">
        <f>('actual fig'!L6+'actual fig'!M6)/10000000</f>
        <v>3.9991895999999998</v>
      </c>
      <c r="G27" s="1691"/>
      <c r="H27" s="1693">
        <f>('ACTUAL- 23-24'!E22+'ACTUAL- 23-24'!F22)/100000</f>
        <v>34.272629999999999</v>
      </c>
      <c r="I27" s="1692">
        <f>('ACTUAL- 23-24'!E5+'ACTUAL- 23-24'!F5)/10000000</f>
        <v>17.3933684</v>
      </c>
      <c r="J27" s="400" t="e">
        <f t="shared" si="7"/>
        <v>#DIV/0!</v>
      </c>
      <c r="K27" s="1692">
        <f t="shared" si="5"/>
        <v>55.572254975478941</v>
      </c>
      <c r="L27" s="1692">
        <f t="shared" si="6"/>
        <v>334.92232526309834</v>
      </c>
    </row>
    <row r="28" spans="3:22" ht="18" x14ac:dyDescent="0.45">
      <c r="C28" s="1689" t="s">
        <v>51</v>
      </c>
      <c r="D28" s="1691"/>
      <c r="E28" s="1694">
        <f>('actual fig'!L23+'actual fig'!M23)/100000</f>
        <v>25.39301</v>
      </c>
      <c r="F28" s="1694">
        <f>('actual fig'!L7+'actual fig'!M7)/10000000</f>
        <v>9.8022080000000003</v>
      </c>
      <c r="G28" s="1691"/>
      <c r="H28" s="1693">
        <f>('ACTUAL- 23-24'!E23+'ACTUAL- 23-24'!F23)/100000</f>
        <v>34.410600000000002</v>
      </c>
      <c r="I28" s="1692">
        <f>('ACTUAL- 23-24'!E6+'ACTUAL- 23-24'!F6)/10000000</f>
        <v>15.782939900000001</v>
      </c>
      <c r="J28" s="400" t="e">
        <f t="shared" si="7"/>
        <v>#DIV/0!</v>
      </c>
      <c r="K28" s="1692">
        <f t="shared" si="5"/>
        <v>35.512095651519857</v>
      </c>
      <c r="L28" s="1692">
        <f t="shared" si="6"/>
        <v>61.01412967364088</v>
      </c>
    </row>
    <row r="29" spans="3:22" ht="18" x14ac:dyDescent="0.45">
      <c r="C29" s="1689" t="s">
        <v>134</v>
      </c>
      <c r="D29" s="1691"/>
      <c r="E29" s="1694">
        <f>('actual fig'!L24+'actual fig'!M24)/100000</f>
        <v>28.496120000000001</v>
      </c>
      <c r="F29" s="1694">
        <f>('actual fig'!L8+'actual fig'!M8)/10000000</f>
        <v>11.6573732</v>
      </c>
      <c r="G29" s="1691"/>
      <c r="H29" s="1693">
        <f>('ACTUAL- 23-24'!E24+'ACTUAL- 23-24'!F24)/100000</f>
        <v>37.121360000000003</v>
      </c>
      <c r="I29" s="1692">
        <f>('ACTUAL- 23-24'!E7+'ACTUAL- 23-24'!F7)/10000000</f>
        <v>16.898518200000002</v>
      </c>
      <c r="J29" s="400" t="e">
        <f t="shared" si="7"/>
        <v>#DIV/0!</v>
      </c>
      <c r="K29" s="1692">
        <f t="shared" si="5"/>
        <v>30.268120712574209</v>
      </c>
      <c r="L29" s="1692">
        <f t="shared" si="6"/>
        <v>44.959914296987606</v>
      </c>
    </row>
    <row r="30" spans="3:22" ht="18" x14ac:dyDescent="0.45">
      <c r="C30" s="398" t="s">
        <v>959</v>
      </c>
      <c r="D30" s="1691"/>
      <c r="E30" s="1694">
        <f>('SEP-23'!D130+'SEP-23'!F130)/100000</f>
        <v>10.532500000000001</v>
      </c>
      <c r="F30" s="1694">
        <f>('SEP-23'!E130+'SEP-23'!G130) /10000000</f>
        <v>4.1332221999999996</v>
      </c>
      <c r="G30" s="1691"/>
      <c r="H30" s="1693">
        <f>('SEP-23'!D93+'SEP-23'!F93)/100000</f>
        <v>12.239420000000001</v>
      </c>
      <c r="I30" s="1694">
        <f>('SEP-23'!E93+'SEP-23'!G93)/10000000</f>
        <v>5.3533382999999999</v>
      </c>
      <c r="J30" s="400"/>
      <c r="K30" s="1692">
        <f t="shared" ref="K30" si="8">(H30-E30)/E30*100</f>
        <v>16.206218846427724</v>
      </c>
      <c r="L30" s="1692">
        <f t="shared" ref="L30" si="9">(I30-F30)/F30*100</f>
        <v>29.519731603106177</v>
      </c>
    </row>
    <row r="31" spans="3:22" ht="18" x14ac:dyDescent="0.45">
      <c r="C31" s="398" t="s">
        <v>960</v>
      </c>
      <c r="D31" s="1691"/>
      <c r="E31" s="1694">
        <f>('SEP-23'!D140+'SEP-23'!F140)/100000</f>
        <v>11.04135</v>
      </c>
      <c r="F31" s="1694">
        <f>('SEP-23'!E140+'SEP-23'!G140)/10000000</f>
        <v>4.4501575000000004</v>
      </c>
      <c r="G31" s="1691"/>
      <c r="H31" s="1693">
        <f>('SEP-23'!D140+'SEP-23'!F140)/100000</f>
        <v>11.04135</v>
      </c>
      <c r="I31" s="1694">
        <f>('SEP-23'!E103+'SEP-23'!G103)/10000000</f>
        <v>5.7106120999999996</v>
      </c>
      <c r="J31" s="400"/>
      <c r="K31" s="1692">
        <f t="shared" ref="K31:K32" si="10">(H31-E31)/E31*100</f>
        <v>0</v>
      </c>
      <c r="L31" s="1692">
        <f t="shared" ref="L31:L32" si="11">(I31-F31)/F31*100</f>
        <v>28.323819999629208</v>
      </c>
    </row>
    <row r="32" spans="3:22" ht="18" x14ac:dyDescent="0.45">
      <c r="C32" s="398" t="s">
        <v>958</v>
      </c>
      <c r="D32" s="1691"/>
      <c r="E32" s="1694">
        <f>('SEP-23'!D153+'SEP-23'!F153)/100000</f>
        <v>4.2776699999999996</v>
      </c>
      <c r="F32" s="1694">
        <f>('SEP-23'!E153+'SEP-23'!G153)/10000000</f>
        <v>1.8921110000000001</v>
      </c>
      <c r="G32" s="1691"/>
      <c r="H32" s="1693">
        <f>('SEP-23'!D116+'SEP-23'!F116)/100000</f>
        <v>4.2289500000000002</v>
      </c>
      <c r="I32" s="1694">
        <f>('SEP-23'!E116+'SEP-23'!G116)/10000000</f>
        <v>2.1539272</v>
      </c>
      <c r="J32" s="400"/>
      <c r="K32" s="1693">
        <f t="shared" si="10"/>
        <v>-1.1389377862247305</v>
      </c>
      <c r="L32" s="1693">
        <f t="shared" si="11"/>
        <v>13.837253734056826</v>
      </c>
    </row>
    <row r="33" spans="3:22" ht="18" x14ac:dyDescent="0.45">
      <c r="C33" s="1698" t="s">
        <v>957</v>
      </c>
      <c r="D33" s="1698"/>
      <c r="E33" s="1699">
        <f>SUM(E25:E32)</f>
        <v>139.61945</v>
      </c>
      <c r="F33" s="1699">
        <f t="shared" ref="F33:I33" si="12">SUM(F25:F32)</f>
        <v>41.822451700000002</v>
      </c>
      <c r="G33" s="1699">
        <f t="shared" si="12"/>
        <v>0</v>
      </c>
      <c r="H33" s="1699">
        <f t="shared" si="12"/>
        <v>204.50110999999998</v>
      </c>
      <c r="I33" s="1699">
        <f t="shared" si="12"/>
        <v>102.28275590000001</v>
      </c>
      <c r="J33" s="1700"/>
      <c r="K33" s="1701">
        <f t="shared" ref="K33" si="13">(H33-E33)/E33*100</f>
        <v>46.470359251522609</v>
      </c>
      <c r="L33" s="1701">
        <f t="shared" ref="L33" si="14">(I33-F33)/F33*100</f>
        <v>144.56422744819622</v>
      </c>
    </row>
    <row r="34" spans="3:22" ht="18" hidden="1" x14ac:dyDescent="0.45">
      <c r="C34" s="1689" t="s">
        <v>135</v>
      </c>
      <c r="D34" s="1691"/>
      <c r="E34" s="1694">
        <f>('actual fig'!L25+'actual fig'!M25)/100000</f>
        <v>31.37002</v>
      </c>
      <c r="F34" s="1694">
        <f>('actual fig'!L9+'actual fig'!M9)/10000000</f>
        <v>12.738779600000001</v>
      </c>
      <c r="G34" s="1691"/>
      <c r="H34" s="1693">
        <f>('ACTUAL- 23-24'!E25+'ACTUAL- 23-24'!F25)/100000</f>
        <v>35.582859999999997</v>
      </c>
      <c r="I34" s="1692">
        <f>('ACTUAL- 23-24'!E8+'ACTUAL- 23-24'!F8)/10000000</f>
        <v>16.4657591</v>
      </c>
      <c r="J34" s="650"/>
      <c r="K34" s="1692"/>
      <c r="L34" s="1692"/>
    </row>
    <row r="35" spans="3:22" ht="18" hidden="1" x14ac:dyDescent="0.45">
      <c r="C35" s="1689" t="s">
        <v>136</v>
      </c>
      <c r="D35" s="1691"/>
      <c r="E35" s="1694">
        <f>('actual fig'!L26+'actual fig'!M26)/100000</f>
        <v>32.155270000000002</v>
      </c>
      <c r="F35" s="1694">
        <f>('actual fig'!L10+'actual fig'!M10)/10000000</f>
        <v>16.363752399999999</v>
      </c>
      <c r="G35" s="1691"/>
      <c r="H35" s="1693">
        <f>('ACTUAL- 23-24'!E26+'ACTUAL- 23-24'!F26)/100000</f>
        <v>35.225639999999999</v>
      </c>
      <c r="I35" s="1692">
        <f>('ACTUAL- 23-24'!E9+'ACTUAL- 23-24'!F9)/10000000</f>
        <v>16.733188999999999</v>
      </c>
      <c r="J35" s="650"/>
      <c r="K35" s="1692"/>
      <c r="L35" s="1692"/>
    </row>
    <row r="36" spans="3:22" ht="18" hidden="1" x14ac:dyDescent="0.45">
      <c r="C36" s="1689" t="s">
        <v>137</v>
      </c>
      <c r="D36" s="1691"/>
      <c r="E36" s="1694">
        <f>('actual fig'!L27+'actual fig'!M27)/100000</f>
        <v>35.058070000000001</v>
      </c>
      <c r="F36" s="1694">
        <f>('actual fig'!L11+'actual fig'!M11)/10000000</f>
        <v>15.484750399999999</v>
      </c>
      <c r="G36" s="1691"/>
      <c r="H36" s="1693">
        <f>('ACTUAL- 23-24'!E27+'ACTUAL- 23-24'!F27)/100000</f>
        <v>36.647539999999999</v>
      </c>
      <c r="I36" s="1692">
        <f>('ACTUAL- 23-24'!E10+'ACTUAL- 23-24'!F10)/10000000</f>
        <v>21.603323899999999</v>
      </c>
      <c r="J36" s="650"/>
      <c r="K36" s="1692"/>
      <c r="L36" s="1692"/>
    </row>
    <row r="37" spans="3:22" ht="18" hidden="1" x14ac:dyDescent="0.45">
      <c r="C37" s="1689" t="s">
        <v>138</v>
      </c>
      <c r="D37" s="1691"/>
      <c r="E37" s="1694">
        <f>('actual fig'!L28+'actual fig'!M28)/100000</f>
        <v>34.457410000000003</v>
      </c>
      <c r="F37" s="1694">
        <f>('actual fig'!L12+'actual fig'!M12)/10000000</f>
        <v>16.253164099999999</v>
      </c>
      <c r="G37" s="1691"/>
      <c r="H37" s="1693">
        <f>('ACTUAL- 23-24'!E28+'ACTUAL- 23-24'!F28)/100000</f>
        <v>34.766719999999999</v>
      </c>
      <c r="I37" s="1692">
        <f>('ACTUAL- 23-24'!E11+'ACTUAL- 23-24'!F11)/10000000</f>
        <v>17.447111899999999</v>
      </c>
      <c r="J37" s="650"/>
      <c r="K37" s="1692"/>
      <c r="L37" s="1692"/>
    </row>
    <row r="38" spans="3:22" ht="18" hidden="1" x14ac:dyDescent="0.45">
      <c r="C38" s="1689" t="s">
        <v>872</v>
      </c>
      <c r="D38" s="1691"/>
      <c r="E38" s="1694">
        <f>('actual fig'!L29+'actual fig'!M29)/100000</f>
        <v>34.273150000000001</v>
      </c>
      <c r="F38" s="1694">
        <f>('actual fig'!L13+'actual fig'!M13)/10000000</f>
        <v>15.978897699999999</v>
      </c>
      <c r="G38" s="1691"/>
      <c r="H38" s="1693">
        <f>('ACTUAL- 23-24'!E29+'ACTUAL- 23-24'!F29)/100000</f>
        <v>35.80641</v>
      </c>
      <c r="I38" s="1692">
        <f>('ACTUAL- 23-24'!E12+'ACTUAL- 23-24'!F12)/10000000</f>
        <v>17.625382900000002</v>
      </c>
      <c r="J38" s="650"/>
      <c r="K38" s="1692"/>
      <c r="L38" s="1692"/>
    </row>
    <row r="39" spans="3:22" ht="18" hidden="1" x14ac:dyDescent="0.45">
      <c r="C39" s="1689" t="s">
        <v>140</v>
      </c>
      <c r="D39" s="1691"/>
      <c r="E39" s="1694">
        <f>('actual fig'!L30+'actual fig'!M30)/100000</f>
        <v>31.016159999999999</v>
      </c>
      <c r="F39" s="1694">
        <f>('actual fig'!L14+'actual fig'!M14)/10000000</f>
        <v>15.391997399999999</v>
      </c>
      <c r="G39" s="1691"/>
      <c r="H39" s="1693">
        <f>('ACTUAL- 23-24'!E30+'ACTUAL- 23-24'!F30)/100000</f>
        <v>34.56476</v>
      </c>
      <c r="I39" s="1692">
        <f>('ACTUAL- 23-24'!E13+'ACTUAL- 23-24'!F13)/10000000</f>
        <v>18.3960577</v>
      </c>
      <c r="J39" s="650"/>
      <c r="K39" s="1692"/>
      <c r="L39" s="1692"/>
    </row>
    <row r="40" spans="3:22" ht="18" hidden="1" x14ac:dyDescent="0.45">
      <c r="C40" s="1689" t="s">
        <v>141</v>
      </c>
      <c r="D40" s="1691"/>
      <c r="E40" s="1694">
        <f>('actual fig'!L31+'actual fig'!M31)/100000</f>
        <v>33.353990000000003</v>
      </c>
      <c r="F40" s="1694">
        <f>('actual fig'!L15+'actual fig'!M15)/10000000</f>
        <v>15.6528072</v>
      </c>
      <c r="G40" s="1691"/>
      <c r="H40" s="1693">
        <f>('ACTUAL- 23-24'!E31+'ACTUAL- 23-24'!F31)/100000</f>
        <v>0</v>
      </c>
      <c r="I40" s="1692">
        <f>('ACTUAL- 23-24'!E14+'ACTUAL- 23-24'!F14)/10000000</f>
        <v>0</v>
      </c>
      <c r="J40" s="650"/>
      <c r="K40" s="1692"/>
      <c r="L40" s="1692"/>
    </row>
    <row r="41" spans="3:22" ht="18" hidden="1" x14ac:dyDescent="0.45">
      <c r="C41" s="1698" t="s">
        <v>208</v>
      </c>
      <c r="D41" s="1698"/>
      <c r="E41" s="1699">
        <f t="shared" ref="E41:J41" si="15">E25+E26+E27+E28+E29</f>
        <v>113.76793000000001</v>
      </c>
      <c r="F41" s="1699">
        <f t="shared" si="15"/>
        <v>31.346961</v>
      </c>
      <c r="G41" s="1699">
        <f t="shared" si="15"/>
        <v>0</v>
      </c>
      <c r="H41" s="1699">
        <f t="shared" si="15"/>
        <v>176.99139</v>
      </c>
      <c r="I41" s="1699">
        <f t="shared" si="15"/>
        <v>89.064878300000004</v>
      </c>
      <c r="J41" s="1699" t="e">
        <f t="shared" si="15"/>
        <v>#DIV/0!</v>
      </c>
      <c r="K41" s="1702">
        <f t="shared" ref="K41" si="16">(H41-E41)/E41*100</f>
        <v>55.572304075498238</v>
      </c>
      <c r="L41" s="1702">
        <f t="shared" ref="L41" si="17">(I41-F41)/F41*100</f>
        <v>184.12603792756818</v>
      </c>
    </row>
    <row r="42" spans="3:22" ht="18" hidden="1" x14ac:dyDescent="0.45">
      <c r="C42" s="1689" t="s">
        <v>63</v>
      </c>
      <c r="D42" s="1689">
        <f>SUM(D25:D40)</f>
        <v>0</v>
      </c>
      <c r="E42" s="1696">
        <f>E25+E26+E27+E28+E29+E34+E35+E36+E37+E38+E39+E40</f>
        <v>345.45200000000006</v>
      </c>
      <c r="F42" s="1696">
        <f t="shared" ref="F42:G42" si="18">F25+F26+F27+F28+F29+F34+F35+F36+F37+F38+F39+F40</f>
        <v>139.2111098</v>
      </c>
      <c r="G42" s="1696">
        <f t="shared" si="18"/>
        <v>0</v>
      </c>
      <c r="H42" s="1696">
        <f>SUM(H25:H29)</f>
        <v>176.99139</v>
      </c>
      <c r="I42" s="1696">
        <f>SUM(I25:I29)</f>
        <v>89.064878300000004</v>
      </c>
      <c r="J42" s="835" t="e">
        <f t="shared" ref="J42" si="19">(G42-D42)/D42*100</f>
        <v>#DIV/0!</v>
      </c>
      <c r="K42" s="1692">
        <f t="shared" ref="K42" si="20">(H42-E42)/E42*100</f>
        <v>-48.765272744114966</v>
      </c>
      <c r="L42" s="1692">
        <f t="shared" ref="L42" si="21">(I42-F42)/F42*100</f>
        <v>-36.021716637446126</v>
      </c>
    </row>
    <row r="45" spans="3:22" ht="21" x14ac:dyDescent="0.65">
      <c r="C45" s="2607" t="s">
        <v>955</v>
      </c>
      <c r="D45" s="2607"/>
      <c r="E45" s="2607"/>
      <c r="F45" s="2607"/>
      <c r="G45" s="2607"/>
      <c r="H45" s="2607"/>
      <c r="I45" s="2607"/>
      <c r="J45" s="2607"/>
      <c r="K45" s="2607"/>
      <c r="L45" s="2607"/>
    </row>
    <row r="46" spans="3:22" ht="18" x14ac:dyDescent="0.55000000000000004">
      <c r="C46" s="2608" t="s">
        <v>127</v>
      </c>
      <c r="D46" s="2609" t="s">
        <v>687</v>
      </c>
      <c r="E46" s="2609"/>
      <c r="F46" s="2609"/>
      <c r="G46" s="2609" t="s">
        <v>880</v>
      </c>
      <c r="H46" s="2609"/>
      <c r="I46" s="2609"/>
      <c r="J46" s="2609" t="s">
        <v>951</v>
      </c>
      <c r="K46" s="2609"/>
      <c r="L46" s="2609"/>
    </row>
    <row r="47" spans="3:22" ht="81" x14ac:dyDescent="0.55000000000000004">
      <c r="C47" s="2608"/>
      <c r="D47" s="1690" t="s">
        <v>163</v>
      </c>
      <c r="E47" s="1695" t="s">
        <v>953</v>
      </c>
      <c r="F47" s="1695" t="s">
        <v>952</v>
      </c>
      <c r="G47" s="1690" t="s">
        <v>163</v>
      </c>
      <c r="H47" s="1695" t="s">
        <v>953</v>
      </c>
      <c r="I47" s="1690" t="s">
        <v>952</v>
      </c>
      <c r="J47" s="1690" t="s">
        <v>163</v>
      </c>
      <c r="K47" s="1690" t="s">
        <v>164</v>
      </c>
      <c r="L47" s="1690" t="s">
        <v>165</v>
      </c>
      <c r="Q47" s="1770" t="s">
        <v>353</v>
      </c>
      <c r="R47" s="1777" t="s">
        <v>1001</v>
      </c>
      <c r="S47" s="1771">
        <v>44855</v>
      </c>
      <c r="T47" s="1778">
        <v>45200</v>
      </c>
      <c r="U47" s="1776" t="s">
        <v>1002</v>
      </c>
      <c r="V47" s="1785" t="s">
        <v>1003</v>
      </c>
    </row>
    <row r="48" spans="3:22" ht="18.75" customHeight="1" x14ac:dyDescent="0.45">
      <c r="C48" s="1689" t="s">
        <v>131</v>
      </c>
      <c r="D48" s="1691"/>
      <c r="E48" s="1694">
        <f>'actual fig'!N20/100000</f>
        <v>11.842359999999999</v>
      </c>
      <c r="F48" s="1694">
        <f>'actual fig'!N4/10000000</f>
        <v>70.6071879</v>
      </c>
      <c r="G48" s="1691"/>
      <c r="H48" s="1693">
        <f>'ACTUAL- 23-24'!G20/100000</f>
        <v>9.8471899999999994</v>
      </c>
      <c r="I48" s="1692">
        <f>'ACTUAL- 23-24'!G3/10000000</f>
        <v>69.480112099999999</v>
      </c>
      <c r="J48" s="400" t="e">
        <f>(G48-D48)/D48*100</f>
        <v>#DIV/0!</v>
      </c>
      <c r="K48" s="1692">
        <f>(H48-E48)/E48*100</f>
        <v>-16.847739808619227</v>
      </c>
      <c r="L48" s="1692">
        <f t="shared" ref="L48:L52" si="22">(I48-F48)/F48*100</f>
        <v>-1.5962621278675795</v>
      </c>
      <c r="Q48" s="1759" t="s">
        <v>290</v>
      </c>
      <c r="R48" s="1772">
        <v>82.04</v>
      </c>
      <c r="S48" s="1754">
        <v>79.793140199999996</v>
      </c>
      <c r="T48" s="1779">
        <v>99.525059200000001</v>
      </c>
      <c r="U48" s="1757">
        <f>(T48-S48)/S48*100</f>
        <v>24.728841289542338</v>
      </c>
      <c r="V48" s="1786">
        <f>(T48-R48)/R48*100</f>
        <v>21.312846416382243</v>
      </c>
    </row>
    <row r="49" spans="3:22" ht="18.75" customHeight="1" x14ac:dyDescent="0.45">
      <c r="C49" s="1689" t="s">
        <v>132</v>
      </c>
      <c r="D49" s="1691"/>
      <c r="E49" s="1694">
        <f>'actual fig'!N21/100000</f>
        <v>11.35385</v>
      </c>
      <c r="F49" s="1694">
        <f>'actual fig'!N5/10000000</f>
        <v>72.298277900000002</v>
      </c>
      <c r="G49" s="1691"/>
      <c r="H49" s="1693">
        <f>'ACTUAL- 23-24'!G21/100000</f>
        <v>9.7949999999999999</v>
      </c>
      <c r="I49" s="1692">
        <f>'ACTUAL- 23-24'!G4/10000000</f>
        <v>73.726422299999996</v>
      </c>
      <c r="J49" s="400" t="e">
        <f t="shared" ref="J49:J52" si="23">(G49-D49)/D49*100</f>
        <v>#DIV/0!</v>
      </c>
      <c r="K49" s="1692">
        <f t="shared" ref="K49:K52" si="24">(H49-E49)/E49*100</f>
        <v>-13.72970402110297</v>
      </c>
      <c r="L49" s="1692">
        <f t="shared" si="22"/>
        <v>1.9753505083141041</v>
      </c>
      <c r="Q49" s="1760" t="s">
        <v>291</v>
      </c>
      <c r="R49" s="1773">
        <v>35.86</v>
      </c>
      <c r="S49" s="1755">
        <v>30.022400000000001</v>
      </c>
      <c r="T49" s="1780">
        <v>42.377000000000002</v>
      </c>
      <c r="U49" s="1757">
        <f t="shared" ref="U49:U56" si="25">(T49-S49)/S49*100</f>
        <v>41.15127371562567</v>
      </c>
      <c r="V49" s="1786">
        <f t="shared" ref="V49:V56" si="26">(T49-R49)/R49*100</f>
        <v>18.173452314556616</v>
      </c>
    </row>
    <row r="50" spans="3:22" ht="22.5" x14ac:dyDescent="0.45">
      <c r="C50" s="1689" t="s">
        <v>133</v>
      </c>
      <c r="D50" s="1691"/>
      <c r="E50" s="1694">
        <f>'actual fig'!N22/100000</f>
        <v>11.061059999999999</v>
      </c>
      <c r="F50" s="1694">
        <f>'actual fig'!N6/10000000</f>
        <v>73.744693400000003</v>
      </c>
      <c r="G50" s="1691"/>
      <c r="H50" s="1693">
        <f>'ACTUAL- 23-24'!G22/100000</f>
        <v>9.6587099999999992</v>
      </c>
      <c r="I50" s="1692">
        <f>'ACTUAL- 23-24'!G5/10000000</f>
        <v>72.581863900000002</v>
      </c>
      <c r="J50" s="400" t="e">
        <f t="shared" si="23"/>
        <v>#DIV/0!</v>
      </c>
      <c r="K50" s="1692">
        <f t="shared" si="24"/>
        <v>-12.678260492213225</v>
      </c>
      <c r="L50" s="1692">
        <f t="shared" si="22"/>
        <v>-1.576831425269714</v>
      </c>
      <c r="Q50" s="1761" t="s">
        <v>292</v>
      </c>
      <c r="R50" s="1774">
        <v>14.23</v>
      </c>
      <c r="S50" s="1755">
        <v>9.5666883000000009</v>
      </c>
      <c r="T50" s="1780">
        <v>9.8864497</v>
      </c>
      <c r="U50" s="1757">
        <f t="shared" si="25"/>
        <v>3.3424461001828507</v>
      </c>
      <c r="V50" s="1786">
        <f t="shared" si="26"/>
        <v>-30.523895291637388</v>
      </c>
    </row>
    <row r="51" spans="3:22" ht="22.5" x14ac:dyDescent="0.45">
      <c r="C51" s="1689" t="s">
        <v>51</v>
      </c>
      <c r="D51" s="1691"/>
      <c r="E51" s="1694">
        <f>'actual fig'!N23/100000</f>
        <v>10.979050000000001</v>
      </c>
      <c r="F51" s="1694">
        <f>'actual fig'!N7/10000000</f>
        <v>78.5005314</v>
      </c>
      <c r="G51" s="1691"/>
      <c r="H51" s="1693">
        <f>'ACTUAL- 23-24'!G23/100000</f>
        <v>13.19284</v>
      </c>
      <c r="I51" s="1692">
        <f>'ACTUAL- 23-24'!G6/10000000</f>
        <v>102.7973286</v>
      </c>
      <c r="J51" s="400" t="e">
        <f t="shared" si="23"/>
        <v>#DIV/0!</v>
      </c>
      <c r="K51" s="1692">
        <f t="shared" si="24"/>
        <v>20.163766446095057</v>
      </c>
      <c r="L51" s="1692">
        <f t="shared" si="22"/>
        <v>30.951124491368731</v>
      </c>
      <c r="Q51" s="1760" t="s">
        <v>293</v>
      </c>
      <c r="R51" s="1773">
        <v>1.595</v>
      </c>
      <c r="S51" s="1756">
        <v>0.99142969999999997</v>
      </c>
      <c r="T51" s="1780">
        <v>1.0717797999999998</v>
      </c>
      <c r="U51" s="1757">
        <f t="shared" si="25"/>
        <v>8.1044677196981159</v>
      </c>
      <c r="V51" s="1786">
        <f t="shared" si="26"/>
        <v>-32.803774294670859</v>
      </c>
    </row>
    <row r="52" spans="3:22" ht="22.5" x14ac:dyDescent="0.45">
      <c r="C52" s="1689" t="s">
        <v>134</v>
      </c>
      <c r="D52" s="1691"/>
      <c r="E52" s="1694">
        <f>'actual fig'!N24/100000</f>
        <v>10.24098</v>
      </c>
      <c r="F52" s="1694">
        <f>'actual fig'!N8/10000000</f>
        <v>74.071692200000001</v>
      </c>
      <c r="G52" s="1691"/>
      <c r="H52" s="1693">
        <f>'ACTUAL- 23-24'!G24/100000</f>
        <v>12.105639999999999</v>
      </c>
      <c r="I52" s="1692">
        <f>'ACTUAL- 23-24'!G7/10000000</f>
        <v>87.969425099999995</v>
      </c>
      <c r="J52" s="400" t="e">
        <f t="shared" si="23"/>
        <v>#DIV/0!</v>
      </c>
      <c r="K52" s="1692">
        <f t="shared" si="24"/>
        <v>18.207827766483273</v>
      </c>
      <c r="L52" s="1692">
        <f t="shared" si="22"/>
        <v>18.762542730190244</v>
      </c>
      <c r="Q52" s="1767" t="s">
        <v>294</v>
      </c>
      <c r="R52" s="1767">
        <f>SUM(R48:R51)</f>
        <v>133.72499999999999</v>
      </c>
      <c r="S52" s="1768">
        <f>SUM(S48:S51)</f>
        <v>120.37365819999999</v>
      </c>
      <c r="T52" s="1780">
        <f>SUM(T48:T51)</f>
        <v>152.86028870000001</v>
      </c>
      <c r="U52" s="1769">
        <f t="shared" si="25"/>
        <v>26.988155868806203</v>
      </c>
      <c r="V52" s="1786">
        <f>(T52-R52)/R52*100</f>
        <v>14.309432566834937</v>
      </c>
    </row>
    <row r="53" spans="3:22" ht="27" x14ac:dyDescent="0.45">
      <c r="C53" s="398" t="s">
        <v>959</v>
      </c>
      <c r="D53" s="1691"/>
      <c r="E53" s="1694">
        <f>'SEP-23'!H130/100000</f>
        <v>3.4976699999999998</v>
      </c>
      <c r="F53" s="1694">
        <f>'SEP-23'!I130/10000000</f>
        <v>25.654798799999998</v>
      </c>
      <c r="G53" s="1691"/>
      <c r="H53" s="1693">
        <f>'SEP-23'!H93/100000</f>
        <v>3.9410699999999999</v>
      </c>
      <c r="I53" s="1693">
        <f>'SEP-23'!I93/10000000</f>
        <v>28.168467</v>
      </c>
      <c r="J53" s="400"/>
      <c r="K53" s="1692">
        <f t="shared" ref="K53:K56" si="27">(H53-E53)/E53*100</f>
        <v>12.677010695691704</v>
      </c>
      <c r="L53" s="1692">
        <f t="shared" ref="L53:L56" si="28">(I53-F53)/F53*100</f>
        <v>9.7980429298864795</v>
      </c>
      <c r="Q53" s="1762" t="s">
        <v>999</v>
      </c>
      <c r="R53" s="1762">
        <v>4.83</v>
      </c>
      <c r="S53" s="1766">
        <v>4.1556479999999993</v>
      </c>
      <c r="T53" s="1781">
        <v>4.7090610000000002</v>
      </c>
      <c r="U53" s="1758">
        <f>(T53-S53)/S53*100</f>
        <v>13.317128880983203</v>
      </c>
      <c r="V53" s="1786">
        <f t="shared" si="26"/>
        <v>-2.5039130434782586</v>
      </c>
    </row>
    <row r="54" spans="3:22" ht="22.5" x14ac:dyDescent="0.6">
      <c r="C54" s="398" t="s">
        <v>960</v>
      </c>
      <c r="D54" s="1691"/>
      <c r="E54" s="1694">
        <f>'SEP-23'!H140/100000</f>
        <v>3.8397899999999998</v>
      </c>
      <c r="F54" s="1694">
        <f>'SEP-23'!I140/10000000</f>
        <v>26.5135586</v>
      </c>
      <c r="G54" s="1691"/>
      <c r="H54" s="1693">
        <f>'SEP-23'!H103/100000</f>
        <v>3.4791599999999998</v>
      </c>
      <c r="I54" s="1693">
        <f>'SEP-23'!I103/10000000</f>
        <v>25.830011599999999</v>
      </c>
      <c r="J54" s="400"/>
      <c r="K54" s="1692">
        <f t="shared" si="27"/>
        <v>-9.3919198706179241</v>
      </c>
      <c r="L54" s="1692">
        <f t="shared" si="28"/>
        <v>-2.5781035669802574</v>
      </c>
      <c r="T54" s="1782"/>
      <c r="U54" s="1764"/>
      <c r="V54" s="1786"/>
    </row>
    <row r="55" spans="3:22" ht="22.5" x14ac:dyDescent="0.6">
      <c r="C55" s="398" t="s">
        <v>958</v>
      </c>
      <c r="D55" s="1691"/>
      <c r="E55" s="1694">
        <f>'SEP-23'!H153/100000</f>
        <v>1.40334</v>
      </c>
      <c r="F55" s="1694">
        <f>'SEP-23'!I153/10000000</f>
        <v>8.9493495000000003</v>
      </c>
      <c r="G55" s="1691"/>
      <c r="H55" s="1693">
        <f>'SEP-23'!H116/100000</f>
        <v>1.28346</v>
      </c>
      <c r="I55" s="1693">
        <f>'SEP-23'!I116/10000000</f>
        <v>9.4910713999999992</v>
      </c>
      <c r="J55" s="400"/>
      <c r="K55" s="1692">
        <f t="shared" si="27"/>
        <v>-8.5424772328872542</v>
      </c>
      <c r="L55" s="1692">
        <f t="shared" si="28"/>
        <v>6.0531986151619046</v>
      </c>
      <c r="Q55" s="1348" t="s">
        <v>525</v>
      </c>
      <c r="R55" s="1775">
        <v>2.2000000000000002</v>
      </c>
      <c r="S55" s="1765">
        <v>2.63</v>
      </c>
      <c r="T55" s="1783">
        <v>2.6593659999999999</v>
      </c>
      <c r="U55" s="1757">
        <f t="shared" si="25"/>
        <v>1.116577946768061</v>
      </c>
      <c r="V55" s="1786">
        <f t="shared" si="26"/>
        <v>20.880272727272715</v>
      </c>
    </row>
    <row r="56" spans="3:22" ht="22.5" x14ac:dyDescent="0.6">
      <c r="C56" s="1698" t="s">
        <v>957</v>
      </c>
      <c r="D56" s="1691"/>
      <c r="E56" s="1699">
        <f>SUM(E48:E55)</f>
        <v>64.218099999999993</v>
      </c>
      <c r="F56" s="1699">
        <f t="shared" ref="F56" si="29">SUM(F48:F55)</f>
        <v>430.34008969999996</v>
      </c>
      <c r="G56" s="1699">
        <f t="shared" ref="G56" si="30">SUM(G48:G55)</f>
        <v>0</v>
      </c>
      <c r="H56" s="1699">
        <f t="shared" ref="H56" si="31">SUM(H48:H55)</f>
        <v>63.303070000000005</v>
      </c>
      <c r="I56" s="1699">
        <f t="shared" ref="I56" si="32">SUM(I48:I55)</f>
        <v>470.04470200000003</v>
      </c>
      <c r="J56" s="1700"/>
      <c r="K56" s="1701">
        <f t="shared" si="27"/>
        <v>-1.424878655706082</v>
      </c>
      <c r="L56" s="1701">
        <f t="shared" si="28"/>
        <v>9.226333602263054</v>
      </c>
      <c r="Q56" s="1348" t="s">
        <v>1000</v>
      </c>
      <c r="R56" s="1775">
        <v>3.14</v>
      </c>
      <c r="S56" s="1765">
        <v>2.3469666999999999</v>
      </c>
      <c r="T56" s="1783">
        <v>2.52</v>
      </c>
      <c r="U56" s="1757">
        <f t="shared" si="25"/>
        <v>7.3726354958508864</v>
      </c>
      <c r="V56" s="1786">
        <f t="shared" si="26"/>
        <v>-19.745222929936311</v>
      </c>
    </row>
    <row r="57" spans="3:22" ht="18" hidden="1" x14ac:dyDescent="0.45">
      <c r="C57" s="1689" t="s">
        <v>135</v>
      </c>
      <c r="D57" s="1691"/>
      <c r="E57" s="1694">
        <f>'actual fig'!N25/100000</f>
        <v>10.72316</v>
      </c>
      <c r="F57" s="1694">
        <f>'actual fig'!N9/10000000</f>
        <v>73.275667999999996</v>
      </c>
      <c r="G57" s="1691"/>
      <c r="H57" s="1692">
        <f>'ACTUAL- 23-24'!G25/100000</f>
        <v>10.81549</v>
      </c>
      <c r="I57" s="1692">
        <f>'ACTUAL- 23-24'!G8/10000000</f>
        <v>79.613969699999998</v>
      </c>
      <c r="J57" s="650"/>
      <c r="K57" s="1692" t="s">
        <v>221</v>
      </c>
      <c r="L57" s="1692"/>
    </row>
    <row r="58" spans="3:22" ht="18" hidden="1" x14ac:dyDescent="0.45">
      <c r="C58" s="1689" t="s">
        <v>136</v>
      </c>
      <c r="D58" s="1691"/>
      <c r="E58" s="1694">
        <f>'actual fig'!N26/100000</f>
        <v>9.4012100000000007</v>
      </c>
      <c r="F58" s="1694">
        <f>'actual fig'!N10/10000000</f>
        <v>63.429387800000001</v>
      </c>
      <c r="G58" s="1691"/>
      <c r="H58" s="1692">
        <f>'ACTUAL- 23-24'!G26/100000</f>
        <v>11.86497</v>
      </c>
      <c r="I58" s="1692">
        <f>'ACTUAL- 23-24'!G9/10000000</f>
        <v>82.791870200000005</v>
      </c>
      <c r="J58" s="650"/>
      <c r="K58" s="1692"/>
      <c r="L58" s="1692"/>
    </row>
    <row r="59" spans="3:22" ht="18" hidden="1" x14ac:dyDescent="0.45">
      <c r="C59" s="1689" t="s">
        <v>137</v>
      </c>
      <c r="D59" s="1691"/>
      <c r="E59" s="1694">
        <f>'actual fig'!N27/100000</f>
        <v>10.941929999999999</v>
      </c>
      <c r="F59" s="1694">
        <f>'actual fig'!N11/10000000</f>
        <v>75.319393000000005</v>
      </c>
      <c r="G59" s="1691"/>
      <c r="H59" s="1692">
        <f>'ACTUAL- 23-24'!G27/100000</f>
        <v>10.345179999999999</v>
      </c>
      <c r="I59" s="1692">
        <f>'ACTUAL- 23-24'!G10/10000000</f>
        <v>78.156315800000002</v>
      </c>
      <c r="J59" s="650"/>
      <c r="K59" s="1692"/>
      <c r="L59" s="1692"/>
    </row>
    <row r="60" spans="3:22" ht="18" hidden="1" x14ac:dyDescent="0.45">
      <c r="C60" s="1689" t="s">
        <v>138</v>
      </c>
      <c r="D60" s="1691"/>
      <c r="E60" s="1694">
        <f>'actual fig'!N28/100000</f>
        <v>10.26366</v>
      </c>
      <c r="F60" s="1694">
        <f>'actual fig'!N12/10000000</f>
        <v>75.167359899999994</v>
      </c>
      <c r="G60" s="1691"/>
      <c r="H60" s="1692">
        <f>'ACTUAL- 23-24'!G28/100000</f>
        <v>11.99436</v>
      </c>
      <c r="I60" s="1692">
        <f>'ACTUAL- 23-24'!G11/10000000</f>
        <v>90.558617100000006</v>
      </c>
      <c r="J60" s="650"/>
      <c r="K60" s="1692"/>
      <c r="L60" s="1692"/>
    </row>
    <row r="61" spans="3:22" ht="18" hidden="1" x14ac:dyDescent="0.45">
      <c r="C61" s="1689" t="s">
        <v>872</v>
      </c>
      <c r="D61" s="1691"/>
      <c r="E61" s="1694">
        <f>'actual fig'!N29/100000</f>
        <v>10.94219</v>
      </c>
      <c r="F61" s="1694">
        <f>'actual fig'!N13/10000000</f>
        <v>78.501682099999996</v>
      </c>
      <c r="G61" s="1691"/>
      <c r="H61" s="1692">
        <f>'ACTUAL- 23-24'!G29/100000</f>
        <v>11.69145</v>
      </c>
      <c r="I61" s="1692">
        <f>'ACTUAL- 23-24'!G12/10000000</f>
        <v>89.0416302</v>
      </c>
      <c r="J61" s="650"/>
      <c r="K61" s="1692"/>
      <c r="L61" s="1692"/>
    </row>
    <row r="62" spans="3:22" ht="18" hidden="1" x14ac:dyDescent="0.45">
      <c r="C62" s="1689" t="s">
        <v>140</v>
      </c>
      <c r="D62" s="1691"/>
      <c r="E62" s="1694">
        <f>'actual fig'!N30/100000</f>
        <v>9.9370700000000003</v>
      </c>
      <c r="F62" s="1694">
        <f>'actual fig'!N14/10000000</f>
        <v>73.469359499999996</v>
      </c>
      <c r="G62" s="1691"/>
      <c r="H62" s="1692">
        <f>'ACTUAL- 23-24'!G30/100000</f>
        <v>11.14986</v>
      </c>
      <c r="I62" s="1692">
        <f>'ACTUAL- 23-24'!G13/10000000</f>
        <v>84.961977700000006</v>
      </c>
      <c r="J62" s="650"/>
      <c r="K62" s="1692"/>
      <c r="L62" s="1692"/>
    </row>
    <row r="63" spans="3:22" ht="18" hidden="1" x14ac:dyDescent="0.45">
      <c r="C63" s="1689" t="s">
        <v>141</v>
      </c>
      <c r="D63" s="1691"/>
      <c r="E63" s="1694">
        <f>'actual fig'!N31/100000</f>
        <v>10.89324</v>
      </c>
      <c r="F63" s="1694">
        <f>'actual fig'!N15/10000000</f>
        <v>77.650251999999995</v>
      </c>
      <c r="G63" s="1691"/>
      <c r="H63" s="1692">
        <f>'ACTUAL- 23-24'!G31/100000</f>
        <v>0</v>
      </c>
      <c r="I63" s="1692">
        <f>'ACTUAL- 23-24'!G14/10000000</f>
        <v>0</v>
      </c>
      <c r="J63" s="650"/>
      <c r="K63" s="1692"/>
      <c r="L63" s="1692"/>
    </row>
    <row r="64" spans="3:22" ht="18" hidden="1" x14ac:dyDescent="0.45">
      <c r="C64" s="1689" t="s">
        <v>208</v>
      </c>
      <c r="D64" s="1691"/>
      <c r="E64" s="1694">
        <f t="shared" ref="E64:J64" si="33">E48+E49+E50+E51+E52</f>
        <v>55.4773</v>
      </c>
      <c r="F64" s="1694">
        <f t="shared" si="33"/>
        <v>369.22238279999999</v>
      </c>
      <c r="G64" s="1694">
        <f t="shared" si="33"/>
        <v>0</v>
      </c>
      <c r="H64" s="1694">
        <f t="shared" si="33"/>
        <v>54.599380000000004</v>
      </c>
      <c r="I64" s="1694">
        <f t="shared" si="33"/>
        <v>406.55515200000002</v>
      </c>
      <c r="J64" s="1694" t="e">
        <f t="shared" si="33"/>
        <v>#DIV/0!</v>
      </c>
      <c r="K64" s="1692">
        <f t="shared" ref="K64" si="34">(H64-E64)/E64*100</f>
        <v>-1.5824850884956478</v>
      </c>
      <c r="L64" s="1692">
        <f t="shared" ref="L64" si="35">(I64-F64)/F64*100</f>
        <v>10.111187982940461</v>
      </c>
    </row>
    <row r="65" spans="3:12" ht="18" hidden="1" x14ac:dyDescent="0.45">
      <c r="C65" s="1689" t="s">
        <v>63</v>
      </c>
      <c r="D65" s="1689">
        <f>SUM(D48:D63)</f>
        <v>0</v>
      </c>
      <c r="E65" s="1696">
        <f>E48+E49+E50+E51+E52+E57+E58+E59+E60+E61+E62+E63</f>
        <v>128.57975999999999</v>
      </c>
      <c r="F65" s="1696">
        <f t="shared" ref="F65:G65" si="36">F48+F49+F50+F51+F52+F57+F58+F59+F60+F61+F62+F63</f>
        <v>886.03548509999996</v>
      </c>
      <c r="G65" s="1696">
        <f t="shared" si="36"/>
        <v>0</v>
      </c>
      <c r="H65" s="1696"/>
      <c r="I65" s="1696"/>
      <c r="J65" s="835" t="e">
        <f t="shared" ref="J65" si="37">(G65-D65)/D65*100</f>
        <v>#DIV/0!</v>
      </c>
      <c r="K65" s="1692"/>
      <c r="L65" s="1692"/>
    </row>
    <row r="67" spans="3:12" ht="21" x14ac:dyDescent="0.65">
      <c r="C67" s="2607" t="s">
        <v>956</v>
      </c>
      <c r="D67" s="2607"/>
      <c r="E67" s="2607"/>
      <c r="F67" s="2607"/>
      <c r="G67" s="2607"/>
      <c r="H67" s="2607"/>
      <c r="I67" s="2607"/>
      <c r="J67" s="2607"/>
      <c r="K67" s="2607"/>
      <c r="L67" s="2607"/>
    </row>
    <row r="68" spans="3:12" ht="18" x14ac:dyDescent="0.55000000000000004">
      <c r="C68" s="2608" t="s">
        <v>127</v>
      </c>
      <c r="D68" s="2609" t="s">
        <v>687</v>
      </c>
      <c r="E68" s="2609"/>
      <c r="F68" s="2609"/>
      <c r="G68" s="2609" t="s">
        <v>880</v>
      </c>
      <c r="H68" s="2609"/>
      <c r="I68" s="2609"/>
      <c r="J68" s="2609" t="s">
        <v>951</v>
      </c>
      <c r="K68" s="2609"/>
      <c r="L68" s="2609"/>
    </row>
    <row r="69" spans="3:12" ht="36" x14ac:dyDescent="0.55000000000000004">
      <c r="C69" s="2608"/>
      <c r="D69" s="1690" t="s">
        <v>163</v>
      </c>
      <c r="E69" s="1695" t="s">
        <v>953</v>
      </c>
      <c r="F69" s="1695" t="s">
        <v>952</v>
      </c>
      <c r="G69" s="1690" t="s">
        <v>163</v>
      </c>
      <c r="H69" s="1695" t="s">
        <v>953</v>
      </c>
      <c r="I69" s="1690" t="s">
        <v>952</v>
      </c>
      <c r="J69" s="1690" t="s">
        <v>163</v>
      </c>
      <c r="K69" s="1690" t="s">
        <v>164</v>
      </c>
      <c r="L69" s="1690" t="s">
        <v>165</v>
      </c>
    </row>
    <row r="70" spans="3:12" ht="18" x14ac:dyDescent="0.45">
      <c r="C70" s="1689" t="s">
        <v>131</v>
      </c>
      <c r="D70" s="1691"/>
      <c r="E70" s="1694">
        <f t="shared" ref="E70:I74" si="38">E25+E48</f>
        <v>29.13111</v>
      </c>
      <c r="F70" s="1694">
        <f t="shared" si="38"/>
        <v>73.052582599999994</v>
      </c>
      <c r="G70" s="1694">
        <f t="shared" si="38"/>
        <v>0</v>
      </c>
      <c r="H70" s="1694">
        <f t="shared" si="38"/>
        <v>44.029589999999999</v>
      </c>
      <c r="I70" s="1694">
        <f t="shared" si="38"/>
        <v>88.080204500000008</v>
      </c>
      <c r="J70" s="400" t="e">
        <f>(G70-D70)/D70*100</f>
        <v>#DIV/0!</v>
      </c>
      <c r="K70" s="1692">
        <f t="shared" ref="K70:K74" si="39">(H70-E70)/E70*100</f>
        <v>51.142850375423386</v>
      </c>
      <c r="L70" s="1692">
        <f t="shared" ref="L70:L74" si="40">(I70-F70)/F70*100</f>
        <v>20.570965960620281</v>
      </c>
    </row>
    <row r="71" spans="3:12" ht="18" x14ac:dyDescent="0.45">
      <c r="C71" s="1689" t="s">
        <v>132</v>
      </c>
      <c r="D71" s="1691"/>
      <c r="E71" s="1694">
        <f t="shared" si="38"/>
        <v>31.91386</v>
      </c>
      <c r="F71" s="1694">
        <f t="shared" si="38"/>
        <v>75.741073400000005</v>
      </c>
      <c r="G71" s="1694">
        <f t="shared" si="38"/>
        <v>0</v>
      </c>
      <c r="H71" s="1694">
        <f t="shared" si="38"/>
        <v>46.799399999999999</v>
      </c>
      <c r="I71" s="1694">
        <f t="shared" si="38"/>
        <v>94.116381699999991</v>
      </c>
      <c r="J71" s="400" t="e">
        <f t="shared" ref="J71:J74" si="41">(G71-D71)/D71*100</f>
        <v>#DIV/0!</v>
      </c>
      <c r="K71" s="1692">
        <f t="shared" si="39"/>
        <v>46.642869273726205</v>
      </c>
      <c r="L71" s="1692">
        <f t="shared" si="40"/>
        <v>24.260691689642712</v>
      </c>
    </row>
    <row r="72" spans="3:12" ht="18" x14ac:dyDescent="0.45">
      <c r="C72" s="1689" t="s">
        <v>133</v>
      </c>
      <c r="D72" s="1691"/>
      <c r="E72" s="1694">
        <f t="shared" si="38"/>
        <v>33.091099999999997</v>
      </c>
      <c r="F72" s="1694">
        <f t="shared" si="38"/>
        <v>77.743882999999997</v>
      </c>
      <c r="G72" s="1694">
        <f t="shared" si="38"/>
        <v>0</v>
      </c>
      <c r="H72" s="1694">
        <f t="shared" si="38"/>
        <v>43.931339999999999</v>
      </c>
      <c r="I72" s="1694">
        <f t="shared" si="38"/>
        <v>89.975232300000002</v>
      </c>
      <c r="J72" s="400" t="e">
        <f t="shared" si="41"/>
        <v>#DIV/0!</v>
      </c>
      <c r="K72" s="1692">
        <f t="shared" si="39"/>
        <v>32.758778040016814</v>
      </c>
      <c r="L72" s="1692">
        <f t="shared" si="40"/>
        <v>15.732876758934211</v>
      </c>
    </row>
    <row r="73" spans="3:12" ht="18" x14ac:dyDescent="0.45">
      <c r="C73" s="1689" t="s">
        <v>51</v>
      </c>
      <c r="D73" s="1691"/>
      <c r="E73" s="1694">
        <f t="shared" si="38"/>
        <v>36.372060000000005</v>
      </c>
      <c r="F73" s="1694">
        <f t="shared" si="38"/>
        <v>88.302739400000007</v>
      </c>
      <c r="G73" s="1694">
        <f t="shared" si="38"/>
        <v>0</v>
      </c>
      <c r="H73" s="1694">
        <f t="shared" si="38"/>
        <v>47.603440000000006</v>
      </c>
      <c r="I73" s="1694">
        <f t="shared" si="38"/>
        <v>118.5802685</v>
      </c>
      <c r="J73" s="400" t="e">
        <f t="shared" si="41"/>
        <v>#DIV/0!</v>
      </c>
      <c r="K73" s="1692">
        <f t="shared" si="39"/>
        <v>30.879141846791192</v>
      </c>
      <c r="L73" s="1692">
        <f t="shared" si="40"/>
        <v>34.28832367572052</v>
      </c>
    </row>
    <row r="74" spans="3:12" ht="18" x14ac:dyDescent="0.45">
      <c r="C74" s="1689" t="s">
        <v>134</v>
      </c>
      <c r="D74" s="1691"/>
      <c r="E74" s="1694">
        <f t="shared" si="38"/>
        <v>38.737099999999998</v>
      </c>
      <c r="F74" s="1694">
        <f t="shared" si="38"/>
        <v>85.729065399999996</v>
      </c>
      <c r="G74" s="1694">
        <f t="shared" si="38"/>
        <v>0</v>
      </c>
      <c r="H74" s="1694">
        <f t="shared" si="38"/>
        <v>49.227000000000004</v>
      </c>
      <c r="I74" s="1694">
        <f t="shared" si="38"/>
        <v>104.86794329999999</v>
      </c>
      <c r="J74" s="400" t="e">
        <f t="shared" si="41"/>
        <v>#DIV/0!</v>
      </c>
      <c r="K74" s="1692">
        <f t="shared" si="39"/>
        <v>27.079724605094356</v>
      </c>
      <c r="L74" s="1692">
        <f t="shared" si="40"/>
        <v>22.324841418369175</v>
      </c>
    </row>
    <row r="75" spans="3:12" ht="18" x14ac:dyDescent="0.45">
      <c r="C75" s="398" t="s">
        <v>959</v>
      </c>
      <c r="D75" s="1691"/>
      <c r="E75" s="1694">
        <f t="shared" ref="E75:I75" si="42">E30+E53</f>
        <v>14.03017</v>
      </c>
      <c r="F75" s="1694">
        <f t="shared" si="42"/>
        <v>29.788020999999997</v>
      </c>
      <c r="G75" s="1694">
        <f t="shared" si="42"/>
        <v>0</v>
      </c>
      <c r="H75" s="1694">
        <f t="shared" si="42"/>
        <v>16.180489999999999</v>
      </c>
      <c r="I75" s="1694">
        <f t="shared" si="42"/>
        <v>33.521805299999997</v>
      </c>
      <c r="J75" s="400"/>
      <c r="K75" s="1692">
        <f t="shared" ref="K75:K78" si="43">(H75-E75)/E75*100</f>
        <v>15.326400179042727</v>
      </c>
      <c r="L75" s="1692">
        <f t="shared" ref="L75:L78" si="44">(I75-F75)/F75*100</f>
        <v>12.534516139893952</v>
      </c>
    </row>
    <row r="76" spans="3:12" ht="18" x14ac:dyDescent="0.45">
      <c r="C76" s="398" t="s">
        <v>960</v>
      </c>
      <c r="D76" s="1691"/>
      <c r="E76" s="1694">
        <f t="shared" ref="E76:I76" si="45">E31+E54</f>
        <v>14.881139999999998</v>
      </c>
      <c r="F76" s="1694">
        <f t="shared" si="45"/>
        <v>30.963716099999999</v>
      </c>
      <c r="G76" s="1694">
        <f t="shared" si="45"/>
        <v>0</v>
      </c>
      <c r="H76" s="1694">
        <f t="shared" si="45"/>
        <v>14.52051</v>
      </c>
      <c r="I76" s="1694">
        <f t="shared" si="45"/>
        <v>31.540623699999998</v>
      </c>
      <c r="J76" s="400"/>
      <c r="K76" s="1692">
        <f t="shared" si="43"/>
        <v>-2.4234030457343905</v>
      </c>
      <c r="L76" s="1692">
        <f t="shared" si="44"/>
        <v>1.8631730059041538</v>
      </c>
    </row>
    <row r="77" spans="3:12" ht="18" x14ac:dyDescent="0.45">
      <c r="C77" s="398" t="s">
        <v>958</v>
      </c>
      <c r="D77" s="1691"/>
      <c r="E77" s="1694">
        <f t="shared" ref="E77:I77" si="46">E32+E55</f>
        <v>5.6810099999999997</v>
      </c>
      <c r="F77" s="1694">
        <f t="shared" si="46"/>
        <v>10.8414605</v>
      </c>
      <c r="G77" s="1694">
        <f t="shared" si="46"/>
        <v>0</v>
      </c>
      <c r="H77" s="1694">
        <f t="shared" si="46"/>
        <v>5.51241</v>
      </c>
      <c r="I77" s="1694">
        <f t="shared" si="46"/>
        <v>11.644998599999999</v>
      </c>
      <c r="J77" s="400"/>
      <c r="K77" s="1692">
        <f t="shared" si="43"/>
        <v>-2.9677821373312079</v>
      </c>
      <c r="L77" s="1692">
        <f t="shared" si="44"/>
        <v>7.4117145010121011</v>
      </c>
    </row>
    <row r="78" spans="3:12" ht="18" x14ac:dyDescent="0.45">
      <c r="C78" s="1698" t="s">
        <v>957</v>
      </c>
      <c r="D78" s="1698"/>
      <c r="E78" s="1699">
        <f>SUM(E70:E77)</f>
        <v>203.83754999999996</v>
      </c>
      <c r="F78" s="1699">
        <f t="shared" ref="F78:H78" si="47">SUM(F70:F77)</f>
        <v>472.16254139999995</v>
      </c>
      <c r="G78" s="1699">
        <f t="shared" si="47"/>
        <v>0</v>
      </c>
      <c r="H78" s="1699">
        <f t="shared" si="47"/>
        <v>267.80417999999997</v>
      </c>
      <c r="I78" s="1699">
        <f>SUM(I70:I77)</f>
        <v>572.32745790000001</v>
      </c>
      <c r="J78" s="1700"/>
      <c r="K78" s="1702">
        <f t="shared" si="43"/>
        <v>31.381180749081818</v>
      </c>
      <c r="L78" s="1702">
        <f t="shared" si="44"/>
        <v>21.214075179069273</v>
      </c>
    </row>
    <row r="79" spans="3:12" ht="18" hidden="1" x14ac:dyDescent="0.45">
      <c r="C79" s="1689" t="s">
        <v>135</v>
      </c>
      <c r="D79" s="1691"/>
      <c r="E79" s="1694">
        <f t="shared" ref="E79:I85" si="48">E34+E57</f>
        <v>42.093180000000004</v>
      </c>
      <c r="F79" s="1694">
        <f t="shared" si="48"/>
        <v>86.014447599999997</v>
      </c>
      <c r="G79" s="1694">
        <f t="shared" si="48"/>
        <v>0</v>
      </c>
      <c r="H79" s="1692">
        <f t="shared" si="48"/>
        <v>46.398349999999994</v>
      </c>
      <c r="I79" s="1692">
        <f t="shared" si="48"/>
        <v>96.079728799999998</v>
      </c>
      <c r="J79" s="650"/>
      <c r="K79" s="1692"/>
      <c r="L79" s="1692"/>
    </row>
    <row r="80" spans="3:12" ht="18" hidden="1" x14ac:dyDescent="0.45">
      <c r="C80" s="1689" t="s">
        <v>136</v>
      </c>
      <c r="D80" s="1691"/>
      <c r="E80" s="1694">
        <f t="shared" si="48"/>
        <v>41.556480000000001</v>
      </c>
      <c r="F80" s="1694">
        <f t="shared" si="48"/>
        <v>79.793140199999996</v>
      </c>
      <c r="G80" s="1694">
        <f t="shared" si="48"/>
        <v>0</v>
      </c>
      <c r="H80" s="1692">
        <f t="shared" si="48"/>
        <v>47.090609999999998</v>
      </c>
      <c r="I80" s="1692">
        <f t="shared" si="48"/>
        <v>99.525059200000001</v>
      </c>
      <c r="J80" s="650"/>
      <c r="K80" s="1692"/>
      <c r="L80" s="1692"/>
    </row>
    <row r="81" spans="3:12" ht="18" hidden="1" x14ac:dyDescent="0.45">
      <c r="C81" s="1689" t="s">
        <v>137</v>
      </c>
      <c r="D81" s="1691"/>
      <c r="E81" s="1694">
        <f t="shared" si="48"/>
        <v>46</v>
      </c>
      <c r="F81" s="1694">
        <f t="shared" si="48"/>
        <v>90.804143400000001</v>
      </c>
      <c r="G81" s="1694">
        <f t="shared" si="48"/>
        <v>0</v>
      </c>
      <c r="H81" s="1692">
        <f t="shared" si="48"/>
        <v>46.992719999999998</v>
      </c>
      <c r="I81" s="1692">
        <f t="shared" si="48"/>
        <v>99.759639700000008</v>
      </c>
      <c r="J81" s="650"/>
      <c r="K81" s="1692"/>
      <c r="L81" s="1692"/>
    </row>
    <row r="82" spans="3:12" ht="18" hidden="1" x14ac:dyDescent="0.45">
      <c r="C82" s="1689" t="s">
        <v>138</v>
      </c>
      <c r="D82" s="1691"/>
      <c r="E82" s="1694">
        <f t="shared" si="48"/>
        <v>44.721070000000005</v>
      </c>
      <c r="F82" s="1694">
        <f t="shared" si="48"/>
        <v>91.420524</v>
      </c>
      <c r="G82" s="1694">
        <f t="shared" si="48"/>
        <v>0</v>
      </c>
      <c r="H82" s="1692">
        <f t="shared" si="48"/>
        <v>46.76108</v>
      </c>
      <c r="I82" s="1692">
        <f t="shared" si="48"/>
        <v>108.005729</v>
      </c>
      <c r="J82" s="650"/>
      <c r="K82" s="1692"/>
      <c r="L82" s="1692"/>
    </row>
    <row r="83" spans="3:12" ht="18" hidden="1" x14ac:dyDescent="0.45">
      <c r="C83" s="1689" t="s">
        <v>872</v>
      </c>
      <c r="D83" s="1691"/>
      <c r="E83" s="1694">
        <f t="shared" si="48"/>
        <v>45.215339999999998</v>
      </c>
      <c r="F83" s="1694">
        <f t="shared" si="48"/>
        <v>94.480579800000001</v>
      </c>
      <c r="G83" s="1694">
        <f t="shared" si="48"/>
        <v>0</v>
      </c>
      <c r="H83" s="1692">
        <f t="shared" si="48"/>
        <v>47.497860000000003</v>
      </c>
      <c r="I83" s="1692">
        <f t="shared" si="48"/>
        <v>106.66701310000001</v>
      </c>
      <c r="J83" s="650"/>
      <c r="K83" s="1692"/>
      <c r="L83" s="1692"/>
    </row>
    <row r="84" spans="3:12" ht="18" hidden="1" x14ac:dyDescent="0.45">
      <c r="C84" s="1689" t="s">
        <v>140</v>
      </c>
      <c r="D84" s="1691"/>
      <c r="E84" s="1694">
        <f t="shared" si="48"/>
        <v>40.953229999999998</v>
      </c>
      <c r="F84" s="1694">
        <f t="shared" si="48"/>
        <v>88.86135689999999</v>
      </c>
      <c r="G84" s="1694">
        <f t="shared" si="48"/>
        <v>0</v>
      </c>
      <c r="H84" s="1692">
        <f t="shared" si="48"/>
        <v>45.714619999999996</v>
      </c>
      <c r="I84" s="1692">
        <f t="shared" si="48"/>
        <v>103.35803540000001</v>
      </c>
      <c r="J84" s="650"/>
      <c r="K84" s="1692"/>
      <c r="L84" s="1692"/>
    </row>
    <row r="85" spans="3:12" ht="18" hidden="1" x14ac:dyDescent="0.45">
      <c r="C85" s="1689" t="s">
        <v>141</v>
      </c>
      <c r="D85" s="1691"/>
      <c r="E85" s="1694">
        <f t="shared" si="48"/>
        <v>44.247230000000002</v>
      </c>
      <c r="F85" s="1694">
        <f t="shared" si="48"/>
        <v>93.303059199999993</v>
      </c>
      <c r="G85" s="1694">
        <f t="shared" si="48"/>
        <v>0</v>
      </c>
      <c r="H85" s="1692">
        <f t="shared" si="48"/>
        <v>0</v>
      </c>
      <c r="I85" s="1692">
        <f t="shared" si="48"/>
        <v>0</v>
      </c>
      <c r="J85" s="650"/>
      <c r="K85" s="1692"/>
      <c r="L85" s="1692"/>
    </row>
    <row r="86" spans="3:12" ht="18" hidden="1" x14ac:dyDescent="0.45">
      <c r="C86" s="1689" t="s">
        <v>208</v>
      </c>
      <c r="D86" s="1691"/>
      <c r="E86" s="1696">
        <f t="shared" ref="E86:J86" si="49">E70+E71+E72+E73+E74</f>
        <v>169.24522999999999</v>
      </c>
      <c r="F86" s="1696">
        <f t="shared" si="49"/>
        <v>400.56934379999996</v>
      </c>
      <c r="G86" s="1696">
        <f t="shared" si="49"/>
        <v>0</v>
      </c>
      <c r="H86" s="1696">
        <f t="shared" si="49"/>
        <v>231.59077000000002</v>
      </c>
      <c r="I86" s="1696">
        <f t="shared" si="49"/>
        <v>495.6200303</v>
      </c>
      <c r="J86" s="1696" t="e">
        <f t="shared" si="49"/>
        <v>#DIV/0!</v>
      </c>
      <c r="K86" s="1697">
        <f t="shared" ref="K86" si="50">(H86-E86)/E86*100</f>
        <v>36.837398607925337</v>
      </c>
      <c r="L86" s="1697">
        <f t="shared" ref="L86" si="51">(I86-F86)/F86*100</f>
        <v>23.728896874209589</v>
      </c>
    </row>
    <row r="87" spans="3:12" ht="18" hidden="1" x14ac:dyDescent="0.45">
      <c r="C87" s="1689" t="s">
        <v>63</v>
      </c>
      <c r="D87" s="1689">
        <f>SUM(D70:D85)</f>
        <v>0</v>
      </c>
      <c r="E87" s="1696">
        <f>E70+E71+E72+E73+E74+E79+E80+E81+E82+E83+E84+E85</f>
        <v>474.03176000000008</v>
      </c>
      <c r="F87" s="1696">
        <f t="shared" ref="F87:G87" si="52">F70+F71+F72+F73+F74+F79+F80+F81+F82+F83+F84+F85</f>
        <v>1025.2465949</v>
      </c>
      <c r="G87" s="1696">
        <f t="shared" si="52"/>
        <v>0</v>
      </c>
      <c r="H87" s="1696"/>
      <c r="I87" s="1696"/>
      <c r="J87" s="835" t="e">
        <f t="shared" ref="J87" si="53">(G87-D87)/D87*100</f>
        <v>#DIV/0!</v>
      </c>
      <c r="K87" s="1692"/>
      <c r="L87" s="1692"/>
    </row>
  </sheetData>
  <mergeCells count="19">
    <mergeCell ref="D5:F5"/>
    <mergeCell ref="G5:I5"/>
    <mergeCell ref="C5:C6"/>
    <mergeCell ref="J5:L5"/>
    <mergeCell ref="C23:C24"/>
    <mergeCell ref="D23:F23"/>
    <mergeCell ref="G23:I23"/>
    <mergeCell ref="J23:L23"/>
    <mergeCell ref="C22:L22"/>
    <mergeCell ref="C45:L45"/>
    <mergeCell ref="C46:C47"/>
    <mergeCell ref="D46:F46"/>
    <mergeCell ref="G46:I46"/>
    <mergeCell ref="J46:L46"/>
    <mergeCell ref="C67:L67"/>
    <mergeCell ref="C68:C69"/>
    <mergeCell ref="D68:F68"/>
    <mergeCell ref="G68:I68"/>
    <mergeCell ref="J68:L68"/>
  </mergeCells>
  <phoneticPr fontId="166" type="noConversion"/>
  <printOptions horizontalCentered="1"/>
  <pageMargins left="0.36" right="0.2" top="0.25" bottom="0.24" header="0.3" footer="0.3"/>
  <pageSetup paperSize="9" scale="37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B08A-4B9B-421B-B549-AFC80E09E8FA}">
  <dimension ref="A1:AI151"/>
  <sheetViews>
    <sheetView workbookViewId="0">
      <selection activeCell="K24" sqref="K24"/>
    </sheetView>
  </sheetViews>
  <sheetFormatPr defaultColWidth="9.1328125" defaultRowHeight="13.9" x14ac:dyDescent="0.35"/>
  <cols>
    <col min="1" max="1" width="3" style="1235" customWidth="1"/>
    <col min="2" max="2" width="39.3984375" style="300" customWidth="1"/>
    <col min="3" max="3" width="10.73046875" style="5" customWidth="1"/>
    <col min="4" max="4" width="10.86328125" style="1417" customWidth="1"/>
    <col min="5" max="5" width="10.59765625" style="35" customWidth="1"/>
    <col min="6" max="6" width="12.73046875" style="5" customWidth="1"/>
    <col min="7" max="7" width="12.59765625" style="5" customWidth="1"/>
    <col min="8" max="8" width="10.73046875" style="11" customWidth="1"/>
    <col min="9" max="9" width="13.3984375" style="82" bestFit="1" customWidth="1"/>
    <col min="10" max="10" width="14.59765625" style="84" bestFit="1" customWidth="1"/>
    <col min="11" max="13" width="14.59765625" style="84" customWidth="1"/>
    <col min="14" max="14" width="34" style="84" customWidth="1"/>
    <col min="15" max="24" width="14.59765625" style="84" customWidth="1"/>
    <col min="25" max="25" width="13.59765625" style="84" bestFit="1" customWidth="1"/>
    <col min="26" max="26" width="11.265625" style="5" bestFit="1" customWidth="1"/>
    <col min="27" max="27" width="10.265625" style="5" bestFit="1" customWidth="1"/>
    <col min="28" max="28" width="10.59765625" style="5" bestFit="1" customWidth="1"/>
    <col min="29" max="29" width="9.1328125" style="5"/>
    <col min="30" max="30" width="37.3984375" style="5" customWidth="1"/>
    <col min="31" max="31" width="16.59765625" style="5" customWidth="1"/>
    <col min="32" max="32" width="16.86328125" style="5" customWidth="1"/>
    <col min="33" max="33" width="17.59765625" style="5" customWidth="1"/>
    <col min="34" max="34" width="16.3984375" style="5" bestFit="1" customWidth="1"/>
    <col min="35" max="35" width="15.1328125" style="5" customWidth="1"/>
    <col min="36" max="16384" width="9.1328125" style="5"/>
  </cols>
  <sheetData>
    <row r="1" spans="1:35" ht="21.75" customHeight="1" x14ac:dyDescent="0.35">
      <c r="A1" s="2156" t="s">
        <v>915</v>
      </c>
      <c r="B1" s="2156"/>
      <c r="C1" s="2156"/>
      <c r="D1" s="2156"/>
      <c r="E1" s="2156"/>
      <c r="F1" s="2156"/>
      <c r="G1" s="2156"/>
      <c r="H1" s="2156"/>
      <c r="I1" s="2156"/>
    </row>
    <row r="2" spans="1:35" s="301" customFormat="1" ht="18" thickBot="1" x14ac:dyDescent="0.4">
      <c r="A2" s="2346" t="s">
        <v>905</v>
      </c>
      <c r="B2" s="2347"/>
      <c r="C2" s="2347"/>
      <c r="D2" s="2347"/>
      <c r="E2" s="2347"/>
      <c r="F2" s="2347"/>
      <c r="G2" s="2347"/>
      <c r="H2" s="2347"/>
      <c r="I2" s="2348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AD2" s="2326" t="s">
        <v>781</v>
      </c>
      <c r="AE2" s="2326"/>
      <c r="AF2" s="2326"/>
      <c r="AG2" s="2326"/>
      <c r="AH2" s="2326"/>
      <c r="AI2" s="2326"/>
    </row>
    <row r="3" spans="1:35" ht="17.25" customHeight="1" thickTop="1" x14ac:dyDescent="0.5">
      <c r="A3" s="2360" t="s">
        <v>144</v>
      </c>
      <c r="B3" s="2342" t="s">
        <v>353</v>
      </c>
      <c r="C3" s="1515" t="s">
        <v>10</v>
      </c>
      <c r="D3" s="2339" t="s">
        <v>8</v>
      </c>
      <c r="E3" s="2340"/>
      <c r="F3" s="2107" t="s">
        <v>10</v>
      </c>
      <c r="G3" s="2108"/>
      <c r="H3" s="2109" t="s">
        <v>813</v>
      </c>
      <c r="I3" s="2110"/>
      <c r="R3" s="2437" t="s">
        <v>10</v>
      </c>
      <c r="S3" s="2437"/>
      <c r="AD3" s="2341" t="s">
        <v>854</v>
      </c>
      <c r="AE3" s="2341"/>
      <c r="AF3" s="2341"/>
      <c r="AG3" s="2341"/>
      <c r="AH3" s="2341"/>
      <c r="AI3" s="2341"/>
    </row>
    <row r="4" spans="1:35" s="35" customFormat="1" ht="33" customHeight="1" x14ac:dyDescent="0.35">
      <c r="A4" s="2360"/>
      <c r="B4" s="2343"/>
      <c r="C4" s="1516" t="s">
        <v>666</v>
      </c>
      <c r="D4" s="1424" t="s">
        <v>879</v>
      </c>
      <c r="E4" s="1445">
        <f>G4</f>
        <v>45108</v>
      </c>
      <c r="F4" s="422">
        <v>44763</v>
      </c>
      <c r="G4" s="422">
        <v>45108</v>
      </c>
      <c r="H4" s="2335" t="s">
        <v>12</v>
      </c>
      <c r="I4" s="2335" t="s">
        <v>13</v>
      </c>
      <c r="J4" s="84"/>
      <c r="K4" s="84"/>
      <c r="L4" s="84"/>
      <c r="M4" s="84"/>
      <c r="N4" s="272" t="s">
        <v>353</v>
      </c>
      <c r="O4" s="272" t="s">
        <v>918</v>
      </c>
      <c r="P4" s="272" t="s">
        <v>919</v>
      </c>
      <c r="Q4" s="1545" t="s">
        <v>13</v>
      </c>
      <c r="R4" s="272" t="s">
        <v>916</v>
      </c>
      <c r="S4" s="272" t="s">
        <v>917</v>
      </c>
      <c r="T4" s="1546" t="s">
        <v>13</v>
      </c>
      <c r="U4" s="84"/>
      <c r="V4" s="84"/>
      <c r="W4" s="84"/>
      <c r="X4" s="84"/>
      <c r="Y4" s="84"/>
      <c r="AD4" s="1294" t="s">
        <v>353</v>
      </c>
      <c r="AE4" s="1294" t="s">
        <v>77</v>
      </c>
      <c r="AF4" s="1294" t="s">
        <v>249</v>
      </c>
      <c r="AG4" s="1365" t="s">
        <v>853</v>
      </c>
      <c r="AH4" s="1294" t="s">
        <v>438</v>
      </c>
      <c r="AI4" s="1294" t="s">
        <v>701</v>
      </c>
    </row>
    <row r="5" spans="1:35" ht="18.75" hidden="1" customHeight="1" x14ac:dyDescent="0.5">
      <c r="A5" s="2361"/>
      <c r="B5" s="2344"/>
      <c r="C5" s="1517"/>
      <c r="D5" s="2362" t="s">
        <v>249</v>
      </c>
      <c r="E5" s="2363"/>
      <c r="F5" s="1134" t="s">
        <v>249</v>
      </c>
      <c r="G5" s="1134" t="s">
        <v>438</v>
      </c>
      <c r="H5" s="2336"/>
      <c r="I5" s="2336"/>
      <c r="N5" s="272"/>
      <c r="O5" s="272"/>
      <c r="P5" s="272"/>
      <c r="Q5" s="1545"/>
      <c r="R5" s="272" t="s">
        <v>249</v>
      </c>
      <c r="S5" s="272" t="s">
        <v>438</v>
      </c>
      <c r="T5" s="272"/>
      <c r="AD5" s="6"/>
      <c r="AE5" s="6"/>
      <c r="AF5" s="1363"/>
      <c r="AG5" s="1366"/>
      <c r="AH5" s="602" t="s">
        <v>249</v>
      </c>
      <c r="AI5" s="602" t="s">
        <v>438</v>
      </c>
    </row>
    <row r="6" spans="1:35" ht="30" customHeight="1" x14ac:dyDescent="0.35">
      <c r="A6" s="1229">
        <v>1</v>
      </c>
      <c r="B6" s="1191" t="s">
        <v>290</v>
      </c>
      <c r="C6" s="1518">
        <v>1024.2159494</v>
      </c>
      <c r="D6" s="1425">
        <v>1063.73</v>
      </c>
      <c r="E6" s="1446">
        <f>E15+E16</f>
        <v>9.8738709677419347</v>
      </c>
      <c r="F6" s="434">
        <f>F15+F16+F17</f>
        <v>72.091742799999992</v>
      </c>
      <c r="G6" s="434">
        <f>G15+G16+G17</f>
        <v>97.491932399999996</v>
      </c>
      <c r="H6" s="1313">
        <f>(G6-E6)/E6*100</f>
        <v>887.37296363814573</v>
      </c>
      <c r="I6" s="517">
        <f>(G6-F6)/F6*100</f>
        <v>35.233146839668308</v>
      </c>
      <c r="N6" s="1191" t="s">
        <v>290</v>
      </c>
      <c r="O6" s="264">
        <v>226.5349564</v>
      </c>
      <c r="P6" s="264">
        <v>272.17181849999997</v>
      </c>
      <c r="Q6" s="1546">
        <v>20.145615857809386</v>
      </c>
      <c r="R6" s="264">
        <v>72.091742799999992</v>
      </c>
      <c r="S6" s="264">
        <v>97.491932399999996</v>
      </c>
      <c r="T6" s="1546">
        <v>35.233146839668301</v>
      </c>
      <c r="Z6" s="491">
        <f>'APRIL-22'!G6+'MAY-22'!G6+'JUNE-22'!G6+'JULY 22'!G6+'AUG-22'!G6+'SEP-2022'!G6</f>
        <v>486.57014339999995</v>
      </c>
      <c r="AD6" s="1191" t="s">
        <v>855</v>
      </c>
      <c r="AE6" s="434">
        <v>873.14</v>
      </c>
      <c r="AF6" s="434">
        <v>615.09889696200003</v>
      </c>
      <c r="AG6" s="1315">
        <v>950.59</v>
      </c>
      <c r="AH6" s="434">
        <v>950.59</v>
      </c>
      <c r="AI6" s="434">
        <v>1024.2159494</v>
      </c>
    </row>
    <row r="7" spans="1:35" ht="26.25" customHeight="1" x14ac:dyDescent="0.35">
      <c r="A7" s="1230">
        <v>2</v>
      </c>
      <c r="B7" s="1154" t="s">
        <v>291</v>
      </c>
      <c r="C7" s="1518">
        <v>403.10200000000003</v>
      </c>
      <c r="D7" s="1425">
        <v>485.81999999999994</v>
      </c>
      <c r="E7" s="1446">
        <f>'TARGET 23-24'!T5</f>
        <v>3.5119354838709675</v>
      </c>
      <c r="F7" s="434">
        <v>34.269999999999996</v>
      </c>
      <c r="G7" s="434">
        <v>25.92</v>
      </c>
      <c r="H7" s="1313">
        <f>(G7-E7)/E7*100</f>
        <v>638.05456048498218</v>
      </c>
      <c r="I7" s="517">
        <f>(G7-F7)/F7*100</f>
        <v>-24.365334111467742</v>
      </c>
      <c r="J7" s="323"/>
      <c r="K7" s="323"/>
      <c r="L7" s="323"/>
      <c r="M7" s="323"/>
      <c r="N7" s="606" t="s">
        <v>291</v>
      </c>
      <c r="O7" s="264">
        <v>89.275546200000008</v>
      </c>
      <c r="P7" s="264">
        <v>92.14</v>
      </c>
      <c r="Q7" s="1546">
        <v>3.2085536543040409</v>
      </c>
      <c r="R7" s="264">
        <v>34.269999999999996</v>
      </c>
      <c r="S7" s="264">
        <v>25.92</v>
      </c>
      <c r="T7" s="1547">
        <v>-24.365334111467742</v>
      </c>
      <c r="U7" s="323"/>
      <c r="V7" s="323"/>
      <c r="W7" s="323"/>
      <c r="X7" s="323"/>
      <c r="Y7" s="323"/>
      <c r="Z7" s="491">
        <f>'APRIL-22'!G7+'MAY-22'!G7+'JUNE-22'!G7+'JULY 22'!G7+'AUG-22'!G7+'SEP-2022'!G7</f>
        <v>203.11230660000001</v>
      </c>
      <c r="AD7" s="606" t="s">
        <v>856</v>
      </c>
      <c r="AE7" s="434">
        <v>194.94915280000004</v>
      </c>
      <c r="AF7" s="434">
        <v>275.33999999999997</v>
      </c>
      <c r="AG7" s="1315">
        <v>341.23</v>
      </c>
      <c r="AH7" s="434">
        <v>341.23</v>
      </c>
      <c r="AI7" s="434">
        <v>403.10200000000003</v>
      </c>
    </row>
    <row r="8" spans="1:35" ht="32.25" customHeight="1" x14ac:dyDescent="0.35">
      <c r="A8" s="1231">
        <v>3</v>
      </c>
      <c r="B8" s="1155" t="s">
        <v>292</v>
      </c>
      <c r="C8" s="1518">
        <v>106.68749520000001</v>
      </c>
      <c r="D8" s="1425">
        <v>150.59</v>
      </c>
      <c r="E8" s="1446">
        <f>'TARGET 23-24'!U5</f>
        <v>0.93967741935483873</v>
      </c>
      <c r="F8" s="1314">
        <v>7.557078913043477</v>
      </c>
      <c r="G8" s="1314">
        <v>7.2274790217391303</v>
      </c>
      <c r="H8" s="1313">
        <f>(G8-E8)/E8*100</f>
        <v>669.14469507007561</v>
      </c>
      <c r="I8" s="517">
        <f>(G8-F8)/F8*100</f>
        <v>-4.3614721388638555</v>
      </c>
      <c r="J8" s="323"/>
      <c r="K8" s="323"/>
      <c r="L8" s="323"/>
      <c r="M8" s="323"/>
      <c r="N8" s="1361" t="s">
        <v>292</v>
      </c>
      <c r="O8" s="264">
        <v>29.843480700000001</v>
      </c>
      <c r="P8" s="264">
        <v>29.848670899999998</v>
      </c>
      <c r="Q8" s="1546">
        <v>1.7391403007483985E-2</v>
      </c>
      <c r="R8" s="264">
        <v>7.557078913043477</v>
      </c>
      <c r="S8" s="264">
        <v>7.2274790217391303</v>
      </c>
      <c r="T8" s="1547">
        <v>-4.3614721388638555</v>
      </c>
      <c r="U8" s="323"/>
      <c r="V8" s="323"/>
      <c r="W8" s="323"/>
      <c r="X8" s="323"/>
      <c r="Y8" s="323"/>
      <c r="Z8" s="491">
        <f>'APRIL-22'!G8+'MAY-22'!G8+'JUNE-22'!G8+'JULY 22'!G8+'AUG-22'!G8+'SEP-2022'!G8</f>
        <v>55.066350600000007</v>
      </c>
      <c r="AD8" s="1361" t="s">
        <v>857</v>
      </c>
      <c r="AE8" s="434">
        <v>85.182228199999997</v>
      </c>
      <c r="AF8" s="434">
        <v>71.674099700000014</v>
      </c>
      <c r="AG8" s="1315">
        <v>102.46000000000001</v>
      </c>
      <c r="AH8" s="434">
        <v>102.46000000000001</v>
      </c>
      <c r="AI8" s="434">
        <v>106.68749520000001</v>
      </c>
    </row>
    <row r="9" spans="1:35" ht="34.5" customHeight="1" x14ac:dyDescent="0.35">
      <c r="A9" s="1230">
        <v>4</v>
      </c>
      <c r="B9" s="1156" t="s">
        <v>293</v>
      </c>
      <c r="C9" s="1518">
        <v>17.701250099999996</v>
      </c>
      <c r="D9" s="1425">
        <f>D39+D40+D41</f>
        <v>19.149999999999999</v>
      </c>
      <c r="E9" s="1425">
        <v>1.595</v>
      </c>
      <c r="F9" s="434">
        <f>F39+F40+F41+F43+F44</f>
        <v>0.70768760000000008</v>
      </c>
      <c r="G9" s="434">
        <f>G39+G40+G41+G43+G44</f>
        <v>1.5420981</v>
      </c>
      <c r="H9" s="1313">
        <f>(G9-E9)/E9*100</f>
        <v>-3.3167335423197462</v>
      </c>
      <c r="I9" s="517">
        <f>(G9-F9)/F9*100</f>
        <v>117.90661585705328</v>
      </c>
      <c r="N9" s="606" t="s">
        <v>293</v>
      </c>
      <c r="O9" s="264">
        <v>2.4500032000000003</v>
      </c>
      <c r="P9" s="264">
        <v>4.3154554000000012</v>
      </c>
      <c r="Q9" s="1546">
        <v>76.140806673232134</v>
      </c>
      <c r="R9" s="264">
        <v>0.70768760000000008</v>
      </c>
      <c r="S9" s="264">
        <v>1.5420981</v>
      </c>
      <c r="T9" s="1546">
        <v>117.90661585705328</v>
      </c>
      <c r="Z9" s="491">
        <f>'APRIL-22'!G9+'MAY-22'!G9+'JUNE-22'!G9+'JULY 22'!G9+'AUG-22'!G9+'SEP-2022'!G9</f>
        <v>7.3723258000000005</v>
      </c>
      <c r="AD9" s="606" t="s">
        <v>858</v>
      </c>
      <c r="AE9" s="434">
        <v>9.3101146999999997</v>
      </c>
      <c r="AF9" s="434">
        <v>5.1459812999999999</v>
      </c>
      <c r="AG9" s="1315">
        <v>16.79</v>
      </c>
      <c r="AH9" s="434">
        <v>16.79</v>
      </c>
      <c r="AI9" s="434">
        <v>17.701250099999996</v>
      </c>
    </row>
    <row r="10" spans="1:35" ht="28.5" customHeight="1" x14ac:dyDescent="0.35">
      <c r="A10" s="1231">
        <v>5</v>
      </c>
      <c r="B10" s="1157" t="s">
        <v>294</v>
      </c>
      <c r="C10" s="1518">
        <f>SUM(C6:C9)</f>
        <v>1551.7066947000001</v>
      </c>
      <c r="D10" s="1425">
        <f>SUM(D6:D9)</f>
        <v>1719.29</v>
      </c>
      <c r="E10" s="1447">
        <f>E6+E7+E8+E9</f>
        <v>15.920483870967741</v>
      </c>
      <c r="F10" s="321">
        <f>SUM(F6:F9)</f>
        <v>114.62650931304347</v>
      </c>
      <c r="G10" s="321">
        <f>SUM(G6:G9)</f>
        <v>132.18150952173914</v>
      </c>
      <c r="H10" s="1162">
        <f>(G10-E10)/E10*100</f>
        <v>730.26062896733026</v>
      </c>
      <c r="I10" s="322">
        <f>(G10-F10)/F10*100</f>
        <v>15.314956648250714</v>
      </c>
      <c r="N10" s="1362" t="s">
        <v>294</v>
      </c>
      <c r="O10" s="265">
        <v>348.10398650000002</v>
      </c>
      <c r="P10" s="265">
        <v>398.47594479999998</v>
      </c>
      <c r="Q10" s="1548">
        <v>14.470376741864735</v>
      </c>
      <c r="R10" s="265">
        <v>114.62650931304347</v>
      </c>
      <c r="S10" s="265">
        <v>132.18150952173914</v>
      </c>
      <c r="T10" s="1548">
        <v>15.314956648250714</v>
      </c>
      <c r="Z10" s="12">
        <f>SUM(Z6:Z9)</f>
        <v>752.12112639999998</v>
      </c>
      <c r="AA10" s="12" t="e">
        <f>#REF!-Z10</f>
        <v>#REF!</v>
      </c>
      <c r="AD10" s="1362" t="s">
        <v>859</v>
      </c>
      <c r="AE10" s="1364">
        <f>SUM(AE6:AE9)</f>
        <v>1162.5814957</v>
      </c>
      <c r="AF10" s="1364">
        <f>SUM(AF6:AF9)</f>
        <v>967.25897796200002</v>
      </c>
      <c r="AG10" s="445">
        <f>SUM(AG6:AG9)</f>
        <v>1411.0700000000002</v>
      </c>
      <c r="AH10" s="321">
        <f>SUM(AH6:AH9)</f>
        <v>1411.0700000000002</v>
      </c>
      <c r="AI10" s="321">
        <f>SUM(AI6:AI9)</f>
        <v>1551.7066947000001</v>
      </c>
    </row>
    <row r="11" spans="1:35" ht="3.75" customHeight="1" x14ac:dyDescent="0.35">
      <c r="A11" s="2349"/>
      <c r="B11" s="2350"/>
      <c r="C11" s="2350"/>
      <c r="D11" s="2350"/>
      <c r="E11" s="2350"/>
      <c r="F11" s="2350"/>
      <c r="G11" s="2350"/>
      <c r="H11" s="2350"/>
      <c r="I11" s="2351"/>
      <c r="N11" s="33"/>
      <c r="O11" s="33"/>
      <c r="P11" s="33"/>
      <c r="Q11" s="1549"/>
      <c r="R11" s="33"/>
      <c r="S11" s="33"/>
      <c r="T11" s="33"/>
      <c r="AD11" s="6"/>
      <c r="AE11" s="6"/>
      <c r="AF11" s="234"/>
      <c r="AG11" s="1297"/>
      <c r="AH11" s="6"/>
      <c r="AI11" s="6"/>
    </row>
    <row r="12" spans="1:35" ht="31.5" customHeight="1" x14ac:dyDescent="0.35">
      <c r="A12" s="1230">
        <v>6.3</v>
      </c>
      <c r="B12" s="1293" t="s">
        <v>778</v>
      </c>
      <c r="C12" s="1518">
        <v>47.027382000000003</v>
      </c>
      <c r="D12" s="1428">
        <v>55.06</v>
      </c>
      <c r="E12" s="1312">
        <f>E46+E47</f>
        <v>0.49645161290322581</v>
      </c>
      <c r="F12" s="1294">
        <f>F46+F47+F48</f>
        <v>3.0124119999999999</v>
      </c>
      <c r="G12" s="1294">
        <f>G46+G47+G48</f>
        <v>3.9394340000000003</v>
      </c>
      <c r="H12" s="1162">
        <f>(G12-E12)/E12*100</f>
        <v>693.51821962313193</v>
      </c>
      <c r="I12" s="316">
        <f>(G12-F12)/F12*100</f>
        <v>30.773413464028177</v>
      </c>
      <c r="N12" s="1293" t="s">
        <v>778</v>
      </c>
      <c r="O12" s="265">
        <v>9.4104959999999984</v>
      </c>
      <c r="P12" s="264">
        <v>13.476033000000001</v>
      </c>
      <c r="Q12" s="1550">
        <v>43.20215427539636</v>
      </c>
      <c r="R12" s="264">
        <v>3.0124119999999999</v>
      </c>
      <c r="S12" s="264">
        <v>3.9394340000000003</v>
      </c>
      <c r="T12" s="1546">
        <f>(S12-R12)/R12*100</f>
        <v>30.773413464028177</v>
      </c>
      <c r="AD12" s="1316" t="s">
        <v>814</v>
      </c>
      <c r="AE12" s="1294">
        <v>77.260000000000005</v>
      </c>
      <c r="AF12" s="1294">
        <v>16.61</v>
      </c>
      <c r="AG12" s="1367">
        <v>62.53</v>
      </c>
      <c r="AH12" s="1294">
        <v>16.611401999999998</v>
      </c>
      <c r="AI12" s="1294">
        <v>47.027382000000003</v>
      </c>
    </row>
    <row r="13" spans="1:35" s="1310" customFormat="1" ht="13.5" customHeight="1" x14ac:dyDescent="0.35">
      <c r="A13" s="1309"/>
      <c r="B13" s="2438" t="s">
        <v>229</v>
      </c>
      <c r="C13" s="2439"/>
      <c r="D13" s="2439"/>
      <c r="E13" s="2439"/>
      <c r="F13" s="2439"/>
      <c r="G13" s="2439"/>
      <c r="H13" s="2439"/>
      <c r="I13" s="2440"/>
    </row>
    <row r="14" spans="1:35" ht="15" x14ac:dyDescent="0.35">
      <c r="A14" s="2373">
        <v>1</v>
      </c>
      <c r="B14" s="2376" t="s">
        <v>278</v>
      </c>
      <c r="C14" s="2377"/>
      <c r="D14" s="2377"/>
      <c r="E14" s="2377"/>
      <c r="F14" s="2377"/>
      <c r="G14" s="2377"/>
      <c r="H14" s="2377"/>
      <c r="I14" s="2378"/>
    </row>
    <row r="15" spans="1:35" ht="24.75" customHeight="1" x14ac:dyDescent="0.4">
      <c r="A15" s="2374"/>
      <c r="B15" s="378" t="s">
        <v>802</v>
      </c>
      <c r="C15" s="1519">
        <v>11.460276500000001</v>
      </c>
      <c r="D15" s="1428">
        <f>'TARGET 23-24'!B26</f>
        <v>12.600000000000001</v>
      </c>
      <c r="E15" s="1249">
        <f>'TARGET 23-24'!Q5</f>
        <v>0.11612903225806452</v>
      </c>
      <c r="F15" s="315">
        <f>E59</f>
        <v>0.77895029999999998</v>
      </c>
      <c r="G15" s="315">
        <f>F59</f>
        <v>1.0881232999999999</v>
      </c>
      <c r="H15" s="316">
        <f>(G15-E15)/E15*100</f>
        <v>836.99506388888881</v>
      </c>
      <c r="I15" s="314">
        <f>(G15-F15)/F15*100</f>
        <v>39.690979000842539</v>
      </c>
      <c r="J15" s="1128">
        <f>373857/10000000</f>
        <v>3.7385700000000001E-2</v>
      </c>
      <c r="K15" s="1128"/>
      <c r="L15" s="1128"/>
      <c r="M15" s="1128"/>
      <c r="N15" s="272" t="s">
        <v>353</v>
      </c>
      <c r="O15" s="272" t="s">
        <v>918</v>
      </c>
      <c r="P15" s="272" t="s">
        <v>919</v>
      </c>
      <c r="Q15" s="1545" t="s">
        <v>13</v>
      </c>
      <c r="R15" s="272" t="s">
        <v>916</v>
      </c>
      <c r="S15" s="272" t="s">
        <v>917</v>
      </c>
      <c r="T15" s="1546" t="s">
        <v>13</v>
      </c>
      <c r="U15" s="1128"/>
      <c r="V15" s="1128"/>
      <c r="W15" s="1128"/>
      <c r="X15" s="1128"/>
      <c r="Z15" s="12" t="e">
        <f>#REF!+#REF!</f>
        <v>#REF!</v>
      </c>
      <c r="AA15" s="12" t="e">
        <f>#REF!+#REF!</f>
        <v>#REF!</v>
      </c>
      <c r="AB15" s="5" t="e">
        <f>(AA15-Z15)/Z15*100</f>
        <v>#REF!</v>
      </c>
    </row>
    <row r="16" spans="1:35" ht="15.75" hidden="1" x14ac:dyDescent="0.4">
      <c r="A16" s="2374"/>
      <c r="B16" s="1281" t="s">
        <v>801</v>
      </c>
      <c r="C16" s="1519">
        <v>126.72018780000001</v>
      </c>
      <c r="D16" s="2379">
        <f>'TARGET 23-24'!C26</f>
        <v>1051.1300000000001</v>
      </c>
      <c r="E16" s="2065">
        <f>'TARGET 23-24'!R5</f>
        <v>9.757741935483871</v>
      </c>
      <c r="F16" s="315">
        <f t="shared" ref="F16:G17" si="0">E60</f>
        <v>7.4693757999999999</v>
      </c>
      <c r="G16" s="315">
        <f t="shared" si="0"/>
        <v>11.984269100000001</v>
      </c>
      <c r="H16" s="2154" t="e">
        <f>#REF!</f>
        <v>#REF!</v>
      </c>
      <c r="I16" s="314">
        <f>(G16-F16)/F16*100</f>
        <v>60.445389559861219</v>
      </c>
      <c r="J16" s="323">
        <f>F16+F17</f>
        <v>71.3127925</v>
      </c>
      <c r="K16" s="323"/>
      <c r="L16" s="323"/>
      <c r="M16" s="323"/>
      <c r="N16" s="272"/>
      <c r="O16" s="272"/>
      <c r="P16" s="272"/>
      <c r="Q16" s="1545"/>
      <c r="R16" s="272"/>
      <c r="S16" s="272"/>
      <c r="T16" s="272"/>
      <c r="U16" s="323"/>
      <c r="V16" s="323"/>
      <c r="W16" s="323"/>
      <c r="X16" s="323"/>
      <c r="Y16" s="323">
        <f>G16+G17</f>
        <v>96.403809100000004</v>
      </c>
    </row>
    <row r="17" spans="1:27" ht="32.25" hidden="1" customHeight="1" x14ac:dyDescent="0.4">
      <c r="A17" s="2375"/>
      <c r="B17" s="320" t="s">
        <v>803</v>
      </c>
      <c r="C17" s="1519">
        <v>886.03548510000007</v>
      </c>
      <c r="D17" s="2380"/>
      <c r="E17" s="2066"/>
      <c r="F17" s="315">
        <f t="shared" si="0"/>
        <v>63.843416699999999</v>
      </c>
      <c r="G17" s="315">
        <f t="shared" si="0"/>
        <v>84.419539999999998</v>
      </c>
      <c r="H17" s="2155"/>
      <c r="I17" s="314">
        <f>(G17-F17)/F17*100</f>
        <v>32.22904469021001</v>
      </c>
      <c r="J17" s="323">
        <f>114680295/10000000</f>
        <v>11.4680295</v>
      </c>
      <c r="K17" s="323"/>
      <c r="L17" s="323"/>
      <c r="M17" s="323"/>
      <c r="N17" s="1191" t="s">
        <v>290</v>
      </c>
      <c r="O17" s="264">
        <v>226.5349564</v>
      </c>
      <c r="P17" s="264">
        <v>272.17181849999997</v>
      </c>
      <c r="Q17" s="1546">
        <v>20.145615857809386</v>
      </c>
      <c r="R17" s="264">
        <v>72.091742799999992</v>
      </c>
      <c r="S17" s="264">
        <v>97.491932399999996</v>
      </c>
      <c r="T17" s="1546">
        <v>35.233146839668301</v>
      </c>
      <c r="U17" s="323"/>
      <c r="V17" s="323"/>
      <c r="W17" s="323"/>
      <c r="X17" s="323"/>
    </row>
    <row r="18" spans="1:27" ht="32.25" customHeight="1" x14ac:dyDescent="0.35">
      <c r="A18" s="1982">
        <v>2</v>
      </c>
      <c r="B18" s="1529" t="s">
        <v>678</v>
      </c>
      <c r="C18" s="2364" t="s">
        <v>680</v>
      </c>
      <c r="D18" s="2364"/>
      <c r="E18" s="2364"/>
      <c r="F18" s="2365" t="s">
        <v>684</v>
      </c>
      <c r="G18" s="2366"/>
      <c r="H18" s="2366"/>
      <c r="I18" s="2367"/>
      <c r="N18" s="606" t="s">
        <v>291</v>
      </c>
      <c r="O18" s="264">
        <v>89.275546200000008</v>
      </c>
      <c r="P18" s="264">
        <v>92.14</v>
      </c>
      <c r="Q18" s="1546">
        <v>3.2085536543040409</v>
      </c>
      <c r="R18" s="264">
        <v>34.269999999999996</v>
      </c>
      <c r="S18" s="264">
        <v>25.92</v>
      </c>
      <c r="T18" s="1547">
        <v>-24.365334111467742</v>
      </c>
    </row>
    <row r="19" spans="1:27" ht="32.25" hidden="1" customHeight="1" x14ac:dyDescent="0.35">
      <c r="A19" s="1983"/>
      <c r="B19" s="1531" t="s">
        <v>230</v>
      </c>
      <c r="C19" s="1532">
        <f>F19</f>
        <v>44763</v>
      </c>
      <c r="D19" s="1532">
        <f>G19</f>
        <v>45108</v>
      </c>
      <c r="E19" s="1531" t="s">
        <v>681</v>
      </c>
      <c r="F19" s="1532">
        <f>F4</f>
        <v>44763</v>
      </c>
      <c r="G19" s="1532">
        <f>G4</f>
        <v>45108</v>
      </c>
      <c r="H19" s="1528" t="s">
        <v>682</v>
      </c>
      <c r="I19" s="1530" t="s">
        <v>681</v>
      </c>
      <c r="N19" s="1361" t="s">
        <v>292</v>
      </c>
      <c r="O19" s="264">
        <v>29.843480700000001</v>
      </c>
      <c r="P19" s="264">
        <v>29.848670899999998</v>
      </c>
      <c r="Q19" s="1546">
        <v>1.7391403007483985E-2</v>
      </c>
      <c r="R19" s="264">
        <v>7.557078913043477</v>
      </c>
      <c r="S19" s="264">
        <v>7.2274790217391303</v>
      </c>
      <c r="T19" s="1547">
        <v>-4.3614721388638555</v>
      </c>
    </row>
    <row r="20" spans="1:27" ht="32.25" hidden="1" customHeight="1" x14ac:dyDescent="0.4">
      <c r="A20" s="1983"/>
      <c r="B20" s="1055" t="s">
        <v>231</v>
      </c>
      <c r="C20" s="85">
        <v>61136</v>
      </c>
      <c r="D20" s="1409">
        <v>34707</v>
      </c>
      <c r="E20" s="314">
        <f>(D20-C20)/C20*100</f>
        <v>-43.229848207275587</v>
      </c>
      <c r="F20" s="315">
        <v>14.76</v>
      </c>
      <c r="G20" s="315">
        <v>10.19</v>
      </c>
      <c r="H20" s="1060">
        <f>G20/G7*100</f>
        <v>39.313271604938265</v>
      </c>
      <c r="I20" s="314">
        <f>(G20-F20)/F20*100</f>
        <v>-30.962059620596211</v>
      </c>
      <c r="N20" s="606" t="s">
        <v>293</v>
      </c>
      <c r="O20" s="264">
        <v>2.4500032000000003</v>
      </c>
      <c r="P20" s="264">
        <v>4.3154554000000012</v>
      </c>
      <c r="Q20" s="1546">
        <v>76.140806673232134</v>
      </c>
      <c r="R20" s="264">
        <v>0.70768760000000008</v>
      </c>
      <c r="S20" s="264">
        <v>1.5420981</v>
      </c>
      <c r="T20" s="1546">
        <v>117.90661585705328</v>
      </c>
    </row>
    <row r="21" spans="1:27" ht="32.25" customHeight="1" x14ac:dyDescent="0.4">
      <c r="A21" s="1983"/>
      <c r="B21" s="1055" t="s">
        <v>232</v>
      </c>
      <c r="C21" s="85">
        <v>88721</v>
      </c>
      <c r="D21" s="1410">
        <v>45852</v>
      </c>
      <c r="E21" s="314">
        <f>(D21-C21)/C21*100</f>
        <v>-48.318887298384823</v>
      </c>
      <c r="F21" s="315">
        <v>8.99</v>
      </c>
      <c r="G21" s="315">
        <v>5.79</v>
      </c>
      <c r="H21" s="1060">
        <f>G21/G7*100</f>
        <v>22.337962962962962</v>
      </c>
      <c r="I21" s="314">
        <f>(G21-F21)/F21*100</f>
        <v>-35.595105672969964</v>
      </c>
      <c r="N21" s="1362" t="s">
        <v>294</v>
      </c>
      <c r="O21" s="265">
        <v>348.10398650000002</v>
      </c>
      <c r="P21" s="265">
        <v>398.47594479999998</v>
      </c>
      <c r="Q21" s="1548">
        <v>14.470376741864735</v>
      </c>
      <c r="R21" s="265">
        <v>114.62650931304347</v>
      </c>
      <c r="S21" s="265">
        <v>132.18150952173914</v>
      </c>
      <c r="T21" s="1548">
        <v>15.314956648250714</v>
      </c>
      <c r="Z21" s="5" t="e">
        <f>(#REF!-#REF!)/#REF!*100</f>
        <v>#REF!</v>
      </c>
    </row>
    <row r="22" spans="1:27" ht="32.25" customHeight="1" x14ac:dyDescent="0.4">
      <c r="A22" s="1983"/>
      <c r="B22" s="1055" t="s">
        <v>233</v>
      </c>
      <c r="C22" s="85">
        <v>20089</v>
      </c>
      <c r="D22" s="1410">
        <v>17648</v>
      </c>
      <c r="E22" s="314">
        <f>(D22-C22)/C22*100</f>
        <v>-12.150928368759022</v>
      </c>
      <c r="F22" s="315">
        <v>1.27</v>
      </c>
      <c r="G22" s="315">
        <v>0.59</v>
      </c>
      <c r="H22" s="1060">
        <f>G22/G7*100</f>
        <v>2.2762345679012341</v>
      </c>
      <c r="I22" s="314">
        <f>(G22-F22)/F22*100</f>
        <v>-53.543307086614178</v>
      </c>
      <c r="J22" s="1486"/>
      <c r="K22" s="1486"/>
      <c r="L22" s="1486"/>
      <c r="M22" s="1486"/>
      <c r="N22" s="1293" t="s">
        <v>778</v>
      </c>
      <c r="O22" s="265">
        <v>9.4104959999999984</v>
      </c>
      <c r="P22" s="264">
        <v>13.476033000000001</v>
      </c>
      <c r="Q22" s="1550">
        <v>43.20215427539636</v>
      </c>
      <c r="R22" s="264">
        <v>3.0124119999999999</v>
      </c>
      <c r="S22" s="264">
        <v>3.9394340000000003</v>
      </c>
      <c r="T22" s="1546">
        <f>(S22-R22)/R22*100</f>
        <v>30.773413464028177</v>
      </c>
      <c r="U22" s="1486"/>
      <c r="V22" s="1486"/>
      <c r="W22" s="1486"/>
      <c r="X22" s="1486"/>
      <c r="AA22" s="5">
        <f>25.63+0.96</f>
        <v>26.59</v>
      </c>
    </row>
    <row r="23" spans="1:27" ht="18.75" customHeight="1" x14ac:dyDescent="0.4">
      <c r="A23" s="1983"/>
      <c r="B23" s="1055" t="s">
        <v>739</v>
      </c>
      <c r="C23" s="85"/>
      <c r="D23" s="1409"/>
      <c r="E23" s="836">
        <v>0</v>
      </c>
      <c r="F23" s="833">
        <v>0</v>
      </c>
      <c r="G23" s="833">
        <v>0</v>
      </c>
      <c r="H23" s="1060">
        <f>G23/G7*100</f>
        <v>0</v>
      </c>
      <c r="I23" s="314">
        <v>0</v>
      </c>
    </row>
    <row r="24" spans="1:27" ht="18.75" customHeight="1" x14ac:dyDescent="0.4">
      <c r="A24" s="1983"/>
      <c r="B24" s="1055" t="s">
        <v>235</v>
      </c>
      <c r="C24" s="85"/>
      <c r="D24" s="1409"/>
      <c r="E24" s="836">
        <v>0</v>
      </c>
      <c r="F24" s="833">
        <v>0</v>
      </c>
      <c r="G24" s="833">
        <v>0</v>
      </c>
      <c r="H24" s="1060">
        <f>G24/G7*100</f>
        <v>0</v>
      </c>
      <c r="I24" s="314">
        <v>0</v>
      </c>
    </row>
    <row r="25" spans="1:27" ht="15.75" x14ac:dyDescent="0.4">
      <c r="A25" s="1984"/>
      <c r="B25" s="1056" t="s">
        <v>693</v>
      </c>
      <c r="C25" s="1520">
        <v>2661</v>
      </c>
      <c r="D25" s="1411"/>
      <c r="E25" s="836">
        <v>0</v>
      </c>
      <c r="F25" s="315">
        <v>0.04</v>
      </c>
      <c r="G25" s="315">
        <v>0.03</v>
      </c>
      <c r="H25" s="1060">
        <f>G25/G7*100</f>
        <v>0.11574074074074073</v>
      </c>
      <c r="I25" s="314" t="s">
        <v>221</v>
      </c>
    </row>
    <row r="26" spans="1:27" s="26" customFormat="1" ht="19.5" customHeight="1" x14ac:dyDescent="0.4">
      <c r="A26" s="1216"/>
      <c r="B26" s="1063" t="s">
        <v>683</v>
      </c>
      <c r="C26" s="1513">
        <f>SUM(C20:C25)</f>
        <v>172607</v>
      </c>
      <c r="D26" s="1412">
        <f>SUM(D20:D25)</f>
        <v>98207</v>
      </c>
      <c r="E26" s="394">
        <f>(D26-C26)/C26*100</f>
        <v>-43.103697996025652</v>
      </c>
      <c r="F26" s="1054">
        <f>SUM(F20:F25)</f>
        <v>25.06</v>
      </c>
      <c r="G26" s="1054" t="e">
        <f>G20+G21+#REF!+G22+G23+G24+G25</f>
        <v>#REF!</v>
      </c>
      <c r="H26" s="1066">
        <f>SUM(H20:H25)</f>
        <v>64.043209876543202</v>
      </c>
      <c r="I26" s="394" t="e">
        <f>(G26-F26)/F26*100</f>
        <v>#REF!</v>
      </c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</row>
    <row r="27" spans="1:27" hidden="1" x14ac:dyDescent="0.4">
      <c r="A27" s="6"/>
      <c r="B27" s="2313" t="s">
        <v>7</v>
      </c>
      <c r="C27" s="2313"/>
      <c r="D27" s="2314" t="s">
        <v>8</v>
      </c>
      <c r="E27" s="2314"/>
      <c r="F27" s="2314" t="s">
        <v>10</v>
      </c>
      <c r="G27" s="2314"/>
      <c r="H27" s="2315" t="s">
        <v>11</v>
      </c>
      <c r="I27" s="2315"/>
    </row>
    <row r="28" spans="1:27" ht="24" hidden="1" customHeight="1" x14ac:dyDescent="0.35">
      <c r="A28" s="135"/>
      <c r="B28" s="2313"/>
      <c r="C28" s="2313"/>
      <c r="D28" s="1413" t="s">
        <v>9</v>
      </c>
      <c r="E28" s="1057">
        <f>G28</f>
        <v>44652</v>
      </c>
      <c r="F28" s="1057">
        <v>44287</v>
      </c>
      <c r="G28" s="1057">
        <v>44652</v>
      </c>
      <c r="H28" s="1065" t="s">
        <v>12</v>
      </c>
      <c r="I28" s="1065" t="s">
        <v>13</v>
      </c>
    </row>
    <row r="29" spans="1:27" ht="15" x14ac:dyDescent="0.35">
      <c r="A29" s="2381">
        <v>3</v>
      </c>
      <c r="B29" s="2021" t="s">
        <v>623</v>
      </c>
      <c r="C29" s="2022"/>
      <c r="D29" s="2022"/>
      <c r="E29" s="2022"/>
      <c r="F29" s="2022"/>
      <c r="G29" s="2022"/>
      <c r="H29" s="2022"/>
      <c r="I29" s="2023"/>
    </row>
    <row r="30" spans="1:27" ht="15.4" x14ac:dyDescent="0.4">
      <c r="A30" s="2382"/>
      <c r="B30" s="378" t="s">
        <v>2</v>
      </c>
      <c r="C30" s="1521">
        <v>24.66</v>
      </c>
      <c r="D30" s="1429">
        <v>22.5</v>
      </c>
      <c r="E30" s="315">
        <f>'TARGET 23-24'!Z5</f>
        <v>0.17903225806451611</v>
      </c>
      <c r="F30" s="313">
        <f>E70</f>
        <v>1.129081</v>
      </c>
      <c r="G30" s="313">
        <f>F70</f>
        <v>1.2811995</v>
      </c>
      <c r="H30" s="314">
        <f>(G30-E30)/E30*100</f>
        <v>615.62494594594602</v>
      </c>
      <c r="I30" s="314">
        <f>(G30-F30)/F30*100</f>
        <v>13.472771218362547</v>
      </c>
    </row>
    <row r="31" spans="1:27" ht="15.4" x14ac:dyDescent="0.4">
      <c r="A31" s="2382"/>
      <c r="B31" s="378" t="s">
        <v>23</v>
      </c>
      <c r="C31" s="1521">
        <v>27.693304099999999</v>
      </c>
      <c r="D31" s="1429">
        <f>'TARGET 23-24'!K26</f>
        <v>37.010000000000005</v>
      </c>
      <c r="E31" s="315">
        <f>'TARGET 23-24'!W5</f>
        <v>0.2661290322580645</v>
      </c>
      <c r="F31" s="313">
        <f t="shared" ref="F31:G32" si="1">E71</f>
        <v>1.8919999999999999</v>
      </c>
      <c r="G31" s="313">
        <f t="shared" si="1"/>
        <v>2.0754999999999999</v>
      </c>
      <c r="H31" s="314">
        <f>(G31-E31)/E31*100</f>
        <v>679.88484848484848</v>
      </c>
      <c r="I31" s="314">
        <f>(G31-F31)/F31*100</f>
        <v>9.6987315010570825</v>
      </c>
      <c r="J31" s="1128"/>
      <c r="K31" s="1128"/>
      <c r="L31" s="1128"/>
      <c r="M31" s="1128"/>
      <c r="N31" s="1128"/>
      <c r="O31" s="1128"/>
      <c r="P31" s="1128"/>
      <c r="Q31" s="1128"/>
      <c r="R31" s="1128"/>
      <c r="S31" s="1128"/>
      <c r="T31" s="1128"/>
      <c r="U31" s="1128"/>
      <c r="V31" s="1128"/>
      <c r="W31" s="1128"/>
      <c r="X31" s="1128"/>
    </row>
    <row r="32" spans="1:27" ht="15.4" x14ac:dyDescent="0.4">
      <c r="A32" s="2382"/>
      <c r="B32" s="378" t="s">
        <v>1</v>
      </c>
      <c r="C32" s="1521">
        <v>1.0446717999999999</v>
      </c>
      <c r="D32" s="1429">
        <f>'TARGET 23-24'!L26</f>
        <v>3.4</v>
      </c>
      <c r="E32" s="315">
        <f>'TARGET 23-24'!X5</f>
        <v>2.6129032258064518E-2</v>
      </c>
      <c r="F32" s="313">
        <f t="shared" si="1"/>
        <v>6.4000000000000001E-2</v>
      </c>
      <c r="G32" s="313">
        <f t="shared" si="1"/>
        <v>9.1999999999999998E-2</v>
      </c>
      <c r="H32" s="314">
        <f>(G32-E32)/E32*100</f>
        <v>252.09876543209876</v>
      </c>
      <c r="I32" s="314">
        <f>(G32-F32)/F32*100</f>
        <v>43.749999999999993</v>
      </c>
    </row>
    <row r="33" spans="1:28" ht="15.4" x14ac:dyDescent="0.4">
      <c r="A33" s="2382"/>
      <c r="B33" s="1055" t="s">
        <v>904</v>
      </c>
      <c r="C33" s="1522">
        <f>C32+C31</f>
        <v>28.737975899999999</v>
      </c>
      <c r="D33" s="1483">
        <f>D32+D31</f>
        <v>40.410000000000004</v>
      </c>
      <c r="E33" s="1483">
        <f>SUM(E31:E32)</f>
        <v>0.29225806451612901</v>
      </c>
      <c r="F33" s="1483">
        <f t="shared" ref="F33:G33" si="2">SUM(F31:F32)</f>
        <v>1.956</v>
      </c>
      <c r="G33" s="1483">
        <f t="shared" si="2"/>
        <v>2.1675</v>
      </c>
      <c r="H33" s="1484">
        <f>(G33-E33)/E33*100</f>
        <v>641.6390728476822</v>
      </c>
      <c r="I33" s="1484">
        <f>(G33-F33)/F33*100</f>
        <v>10.812883435582824</v>
      </c>
    </row>
    <row r="34" spans="1:28" ht="15.4" x14ac:dyDescent="0.4">
      <c r="A34" s="2382"/>
      <c r="B34" s="378" t="s">
        <v>24</v>
      </c>
      <c r="C34" s="1521">
        <v>3.1600820000000001</v>
      </c>
      <c r="D34" s="1429"/>
      <c r="E34" s="315" t="s">
        <v>221</v>
      </c>
      <c r="F34" s="313">
        <f>E73</f>
        <v>0.185917</v>
      </c>
      <c r="G34" s="313">
        <f>F73</f>
        <v>0.199376</v>
      </c>
      <c r="H34" s="517" t="s">
        <v>221</v>
      </c>
      <c r="I34" s="314">
        <f>(G34-F34)/F34*100</f>
        <v>7.2392519242457656</v>
      </c>
    </row>
    <row r="35" spans="1:28" ht="15.4" x14ac:dyDescent="0.4">
      <c r="A35" s="2382"/>
      <c r="B35" s="1278" t="s">
        <v>25</v>
      </c>
      <c r="C35" s="1523">
        <v>6.2230024999999998</v>
      </c>
      <c r="D35" s="1429"/>
      <c r="E35" s="315" t="s">
        <v>221</v>
      </c>
      <c r="F35" s="313" t="e">
        <f t="shared" ref="F35:G37" si="3">E74</f>
        <v>#REF!</v>
      </c>
      <c r="G35" s="313" t="e">
        <f t="shared" si="3"/>
        <v>#REF!</v>
      </c>
      <c r="H35" s="517" t="s">
        <v>221</v>
      </c>
      <c r="I35" s="314">
        <v>0</v>
      </c>
    </row>
    <row r="36" spans="1:28" ht="17.25" customHeight="1" x14ac:dyDescent="0.4">
      <c r="A36" s="2383"/>
      <c r="B36" s="1467" t="s">
        <v>241</v>
      </c>
      <c r="C36" s="1523">
        <v>43.050880200000002</v>
      </c>
      <c r="D36" s="1429"/>
      <c r="E36" s="315" t="s">
        <v>221</v>
      </c>
      <c r="F36" s="313">
        <f t="shared" si="3"/>
        <v>2.6164942999999998</v>
      </c>
      <c r="G36" s="313">
        <f t="shared" si="3"/>
        <v>2.9830711999999999</v>
      </c>
      <c r="H36" s="517" t="s">
        <v>221</v>
      </c>
      <c r="I36" s="314">
        <f>(G36-F36)/F36*100</f>
        <v>14.010231170769227</v>
      </c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</row>
    <row r="37" spans="1:28" ht="15.4" x14ac:dyDescent="0.4">
      <c r="A37" s="1234"/>
      <c r="B37" s="378" t="s">
        <v>260</v>
      </c>
      <c r="C37" s="1521">
        <v>0.85555460000000005</v>
      </c>
      <c r="D37" s="1429"/>
      <c r="E37" s="315" t="s">
        <v>221</v>
      </c>
      <c r="F37" s="313">
        <f t="shared" si="3"/>
        <v>0</v>
      </c>
      <c r="G37" s="313">
        <f>F76</f>
        <v>0</v>
      </c>
      <c r="H37" s="413"/>
      <c r="I37" s="314">
        <v>0</v>
      </c>
    </row>
    <row r="38" spans="1:28" ht="15" x14ac:dyDescent="0.35">
      <c r="A38" s="2387">
        <v>4</v>
      </c>
      <c r="B38" s="2021" t="s">
        <v>861</v>
      </c>
      <c r="C38" s="2022"/>
      <c r="D38" s="2022"/>
      <c r="E38" s="2022"/>
      <c r="F38" s="2022"/>
      <c r="G38" s="2022"/>
      <c r="H38" s="2022"/>
      <c r="I38" s="2023"/>
    </row>
    <row r="39" spans="1:28" ht="15.4" x14ac:dyDescent="0.4">
      <c r="A39" s="2387"/>
      <c r="B39" s="378" t="s">
        <v>27</v>
      </c>
      <c r="C39" s="1521">
        <v>12.02</v>
      </c>
      <c r="D39" s="1429">
        <v>13.95</v>
      </c>
      <c r="E39" s="315">
        <v>1.1624999999999999</v>
      </c>
      <c r="F39" s="313">
        <v>0.5185746</v>
      </c>
      <c r="G39" s="313">
        <v>1.1499999999999999</v>
      </c>
      <c r="H39" s="314">
        <f>(G39-E39)/E39*100</f>
        <v>-1.0752688172042975</v>
      </c>
      <c r="I39" s="314">
        <f>(G39-F39)/F39*100</f>
        <v>121.76172917069211</v>
      </c>
      <c r="J39" s="84">
        <f t="shared" ref="J39:J44" si="4">E39*8</f>
        <v>9.2999999999999989</v>
      </c>
      <c r="Z39" s="5">
        <v>70.17</v>
      </c>
      <c r="AA39" s="11" t="e">
        <f>(#REF!-#REF!)/#REF!*100</f>
        <v>#REF!</v>
      </c>
      <c r="AB39" s="11" t="e">
        <f>(#REF!-Z39)/Z39*100</f>
        <v>#REF!</v>
      </c>
    </row>
    <row r="40" spans="1:28" ht="15.4" x14ac:dyDescent="0.4">
      <c r="A40" s="2387"/>
      <c r="B40" s="378" t="s">
        <v>28</v>
      </c>
      <c r="C40" s="1521">
        <v>1.94</v>
      </c>
      <c r="D40" s="1429">
        <v>1.95</v>
      </c>
      <c r="E40" s="315">
        <v>0.16250000000000001</v>
      </c>
      <c r="F40" s="313">
        <v>0.03</v>
      </c>
      <c r="G40" s="313">
        <v>0.1</v>
      </c>
      <c r="H40" s="314">
        <f>(G40-E40)/E40*100</f>
        <v>-38.46153846153846</v>
      </c>
      <c r="I40" s="314">
        <f>(G40-F40)/F40*100</f>
        <v>233.33333333333334</v>
      </c>
      <c r="J40" s="84">
        <f t="shared" si="4"/>
        <v>1.3</v>
      </c>
      <c r="Z40" s="5">
        <v>3.12</v>
      </c>
      <c r="AA40" s="11" t="e">
        <f>(#REF!-#REF!)/#REF!*100</f>
        <v>#REF!</v>
      </c>
      <c r="AB40" s="11" t="e">
        <f>(#REF!-Z40)/Z40*100</f>
        <v>#REF!</v>
      </c>
    </row>
    <row r="41" spans="1:28" ht="15.4" x14ac:dyDescent="0.4">
      <c r="A41" s="2387"/>
      <c r="B41" s="378" t="s">
        <v>224</v>
      </c>
      <c r="C41" s="1521">
        <v>1.96</v>
      </c>
      <c r="D41" s="1429">
        <v>3.25</v>
      </c>
      <c r="E41" s="315">
        <v>0.27</v>
      </c>
      <c r="F41" s="313">
        <v>7.9338400000000003E-2</v>
      </c>
      <c r="G41" s="313">
        <v>0.03</v>
      </c>
      <c r="H41" s="314">
        <f>(G41-E41)/E41*100</f>
        <v>-88.8888888888889</v>
      </c>
      <c r="I41" s="314">
        <f>(G41-F41)/F41*100</f>
        <v>-62.18728887902958</v>
      </c>
      <c r="J41" s="323">
        <f t="shared" si="4"/>
        <v>2.16</v>
      </c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Z41" s="5">
        <v>0</v>
      </c>
      <c r="AA41" s="11" t="e">
        <f>(#REF!-#REF!)/#REF!*100</f>
        <v>#REF!</v>
      </c>
      <c r="AB41" s="11" t="e">
        <f>(#REF!-Z41)/Z41*100</f>
        <v>#REF!</v>
      </c>
    </row>
    <row r="42" spans="1:28" ht="15.4" hidden="1" x14ac:dyDescent="0.4">
      <c r="A42" s="2387"/>
      <c r="B42" s="378" t="s">
        <v>64</v>
      </c>
      <c r="C42" s="1521">
        <v>0</v>
      </c>
      <c r="D42" s="1429">
        <v>0</v>
      </c>
      <c r="E42" s="315" t="s">
        <v>221</v>
      </c>
      <c r="F42" s="313">
        <v>0</v>
      </c>
      <c r="G42" s="313"/>
      <c r="H42" s="314" t="e">
        <f>(G42-E42)/E42*100</f>
        <v>#VALUE!</v>
      </c>
      <c r="I42" s="314" t="e">
        <f>(G42-F42)/F42*100</f>
        <v>#DIV/0!</v>
      </c>
      <c r="J42" s="84" t="e">
        <f t="shared" si="4"/>
        <v>#VALUE!</v>
      </c>
      <c r="AA42" s="11" t="e">
        <f>(#REF!-#REF!)/#REF!*100</f>
        <v>#REF!</v>
      </c>
      <c r="AB42" s="11" t="e">
        <f>(#REF!-Z42)/Z42*100</f>
        <v>#REF!</v>
      </c>
    </row>
    <row r="43" spans="1:28" ht="15.4" x14ac:dyDescent="0.4">
      <c r="A43" s="2387"/>
      <c r="B43" s="378" t="s">
        <v>4</v>
      </c>
      <c r="C43" s="1521">
        <v>0.211532</v>
      </c>
      <c r="D43" s="1429"/>
      <c r="E43" s="315" t="s">
        <v>221</v>
      </c>
      <c r="F43" s="313">
        <v>6.3045000000000002E-3</v>
      </c>
      <c r="G43" s="313">
        <v>0.21</v>
      </c>
      <c r="H43" s="314"/>
      <c r="I43" s="314" t="s">
        <v>221</v>
      </c>
      <c r="J43" s="84" t="e">
        <f t="shared" si="4"/>
        <v>#VALUE!</v>
      </c>
      <c r="Z43" s="5">
        <v>0.06</v>
      </c>
      <c r="AA43" s="11" t="e">
        <f>(#REF!-#REF!)/#REF!*100</f>
        <v>#REF!</v>
      </c>
      <c r="AB43" s="11" t="e">
        <f>(#REF!-Z43)/Z43*100</f>
        <v>#REF!</v>
      </c>
    </row>
    <row r="44" spans="1:28" ht="15.4" x14ac:dyDescent="0.4">
      <c r="A44" s="780"/>
      <c r="B44" s="378" t="s">
        <v>259</v>
      </c>
      <c r="C44" s="1521">
        <v>1.5697181</v>
      </c>
      <c r="D44" s="1429"/>
      <c r="E44" s="315" t="s">
        <v>221</v>
      </c>
      <c r="F44" s="313">
        <v>7.3470099999999997E-2</v>
      </c>
      <c r="G44" s="313">
        <v>5.2098100000000001E-2</v>
      </c>
      <c r="H44" s="314"/>
      <c r="I44" s="314" t="s">
        <v>221</v>
      </c>
      <c r="J44" s="84" t="e">
        <f t="shared" si="4"/>
        <v>#VALUE!</v>
      </c>
      <c r="Z44" s="172">
        <f>Z39+Z40+Z41+Z43</f>
        <v>73.350000000000009</v>
      </c>
      <c r="AA44" s="11" t="e">
        <f>(#REF!-#REF!)/#REF!*100</f>
        <v>#REF!</v>
      </c>
      <c r="AB44" s="11" t="e">
        <f>(#REF!-Z44)/Z44*100</f>
        <v>#REF!</v>
      </c>
    </row>
    <row r="45" spans="1:28" ht="15" x14ac:dyDescent="0.35">
      <c r="A45" s="2387"/>
      <c r="B45" s="2021" t="s">
        <v>888</v>
      </c>
      <c r="C45" s="2022"/>
      <c r="D45" s="2022"/>
      <c r="E45" s="2022"/>
      <c r="F45" s="2022"/>
      <c r="G45" s="2022"/>
      <c r="H45" s="2022"/>
      <c r="I45" s="2023"/>
    </row>
    <row r="46" spans="1:28" ht="15.4" x14ac:dyDescent="0.4">
      <c r="A46" s="2387"/>
      <c r="B46" s="378" t="s">
        <v>798</v>
      </c>
      <c r="C46" s="1521">
        <v>18.824966</v>
      </c>
      <c r="D46" s="307">
        <f>'TARGET 23-24'!B53</f>
        <v>22.09</v>
      </c>
      <c r="E46" s="315">
        <f>'TARGET 23-24'!E31</f>
        <v>0.19354838709677419</v>
      </c>
      <c r="F46" s="315">
        <f>E65</f>
        <v>1.1925699999999999</v>
      </c>
      <c r="G46" s="315">
        <f>F65</f>
        <v>1.5768899999999999</v>
      </c>
      <c r="H46" s="316">
        <f>(G46-E46)/E46*100</f>
        <v>714.72649999999987</v>
      </c>
      <c r="I46" s="314">
        <f>(G46-F46)/F46*100</f>
        <v>32.226200558457784</v>
      </c>
      <c r="J46" s="84">
        <f>94132</f>
        <v>94132</v>
      </c>
    </row>
    <row r="47" spans="1:28" ht="15.4" x14ac:dyDescent="0.4">
      <c r="A47" s="2387"/>
      <c r="B47" s="1280" t="s">
        <v>799</v>
      </c>
      <c r="C47" s="1524">
        <v>15.344440000000001</v>
      </c>
      <c r="D47" s="2065">
        <f>'TARGET 23-24'!C53</f>
        <v>32.97</v>
      </c>
      <c r="E47" s="2154">
        <f>'TARGET 23-24'!F31</f>
        <v>0.30290322580645163</v>
      </c>
      <c r="F47" s="315">
        <f t="shared" ref="F47:G48" si="5">E66</f>
        <v>0.93575600000000003</v>
      </c>
      <c r="G47" s="315">
        <f t="shared" si="5"/>
        <v>1.2891840000000001</v>
      </c>
      <c r="H47" s="2027" t="e">
        <f>#REF!</f>
        <v>#REF!</v>
      </c>
      <c r="I47" s="314">
        <f>(G47-F47)/F47*100</f>
        <v>37.769247538888351</v>
      </c>
      <c r="J47" s="84">
        <v>31105</v>
      </c>
      <c r="Y47" s="12">
        <f>G47+G48</f>
        <v>2.3625440000000002</v>
      </c>
    </row>
    <row r="48" spans="1:28" ht="16.5" x14ac:dyDescent="0.55000000000000004">
      <c r="A48" s="2387"/>
      <c r="B48" s="320" t="s">
        <v>800</v>
      </c>
      <c r="C48" s="1524">
        <v>12.857975999999999</v>
      </c>
      <c r="D48" s="2066"/>
      <c r="E48" s="2155"/>
      <c r="F48" s="315">
        <f t="shared" si="5"/>
        <v>0.88408600000000004</v>
      </c>
      <c r="G48" s="315">
        <f t="shared" si="5"/>
        <v>1.0733600000000001</v>
      </c>
      <c r="H48" s="2029"/>
      <c r="I48" s="314">
        <f>(G48-F48)/F48*100</f>
        <v>21.40900319652161</v>
      </c>
      <c r="J48" s="1198">
        <v>205039</v>
      </c>
      <c r="K48" s="1198"/>
      <c r="L48" s="1198"/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</row>
    <row r="49" spans="1:34" ht="15.75" customHeight="1" x14ac:dyDescent="0.35">
      <c r="A49" s="2387">
        <v>6</v>
      </c>
      <c r="B49" s="2021" t="s">
        <v>903</v>
      </c>
      <c r="C49" s="2022"/>
      <c r="D49" s="2022"/>
      <c r="E49" s="2022"/>
      <c r="F49" s="2022"/>
      <c r="G49" s="2022"/>
      <c r="H49" s="2022"/>
      <c r="I49" s="2023"/>
    </row>
    <row r="50" spans="1:34" ht="15.4" x14ac:dyDescent="0.4">
      <c r="A50" s="2387"/>
      <c r="B50" s="378" t="s">
        <v>36</v>
      </c>
      <c r="C50" s="1525"/>
      <c r="D50" s="2368">
        <v>0.55000000000000004</v>
      </c>
      <c r="E50" s="2024" t="s">
        <v>221</v>
      </c>
      <c r="F50" s="313">
        <v>197.64</v>
      </c>
      <c r="G50" s="313">
        <v>86.18</v>
      </c>
      <c r="H50" s="2027" t="s">
        <v>221</v>
      </c>
      <c r="I50" s="314">
        <f>(G50-F50)/F50*100</f>
        <v>-56.395466504756122</v>
      </c>
    </row>
    <row r="51" spans="1:34" ht="15.4" x14ac:dyDescent="0.4">
      <c r="A51" s="2387"/>
      <c r="B51" s="378" t="s">
        <v>37</v>
      </c>
      <c r="C51" s="1525"/>
      <c r="D51" s="2369"/>
      <c r="E51" s="2025"/>
      <c r="F51" s="313">
        <v>43.06</v>
      </c>
      <c r="G51" s="313">
        <v>19.239999999999998</v>
      </c>
      <c r="H51" s="2028"/>
      <c r="I51" s="314">
        <f>(G51-F51)/F51*100</f>
        <v>-55.318160705991644</v>
      </c>
    </row>
    <row r="52" spans="1:34" ht="15.4" x14ac:dyDescent="0.4">
      <c r="A52" s="2387"/>
      <c r="B52" s="378" t="s">
        <v>38</v>
      </c>
      <c r="C52" s="1525"/>
      <c r="D52" s="2245"/>
      <c r="E52" s="2026"/>
      <c r="F52" s="313">
        <v>240.7</v>
      </c>
      <c r="G52" s="313">
        <v>105.42</v>
      </c>
      <c r="H52" s="2029"/>
      <c r="I52" s="314">
        <f>(G52-F52)/F52*100</f>
        <v>-56.20274200249272</v>
      </c>
    </row>
    <row r="53" spans="1:34" x14ac:dyDescent="0.35">
      <c r="H53" s="41"/>
      <c r="I53" s="41"/>
    </row>
    <row r="54" spans="1:34" ht="15.4" x14ac:dyDescent="0.4">
      <c r="E54" s="12"/>
      <c r="F54" s="12"/>
      <c r="G54" s="12"/>
      <c r="H54" s="314"/>
      <c r="I54" s="314"/>
      <c r="J54" s="314">
        <f>210288-1860</f>
        <v>208428</v>
      </c>
      <c r="K54" s="1399"/>
      <c r="L54" s="1399"/>
      <c r="M54" s="1399"/>
      <c r="N54" s="1399"/>
      <c r="O54" s="1399"/>
      <c r="P54" s="1399"/>
      <c r="Q54" s="1399"/>
      <c r="R54" s="1399"/>
      <c r="S54" s="1399"/>
      <c r="T54" s="1399"/>
      <c r="U54" s="1399"/>
      <c r="V54" s="1399"/>
      <c r="W54" s="1399"/>
      <c r="X54" s="1399"/>
      <c r="AA54" s="314" t="e">
        <f>(#REF!-#REF!)/#REF!*100</f>
        <v>#REF!</v>
      </c>
    </row>
    <row r="55" spans="1:34" x14ac:dyDescent="0.4">
      <c r="G55" s="1535">
        <v>638434167</v>
      </c>
      <c r="H55" s="1535">
        <v>844195400</v>
      </c>
      <c r="I55" s="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5"/>
    </row>
    <row r="56" spans="1:34" ht="14.25" thickBot="1" x14ac:dyDescent="0.4">
      <c r="G56" s="1536">
        <v>884086</v>
      </c>
      <c r="H56" s="1537">
        <v>1073360</v>
      </c>
    </row>
    <row r="57" spans="1:34" x14ac:dyDescent="0.4">
      <c r="D57" s="1407"/>
      <c r="E57" s="1192">
        <v>44734</v>
      </c>
      <c r="F57" s="1192">
        <v>45100</v>
      </c>
      <c r="H57" s="1192">
        <f>E57</f>
        <v>44734</v>
      </c>
      <c r="I57" s="1192">
        <f>F57</f>
        <v>45100</v>
      </c>
      <c r="Y57" s="84">
        <v>2.94</v>
      </c>
      <c r="AA57" s="26" t="s">
        <v>181</v>
      </c>
    </row>
    <row r="58" spans="1:34" ht="15.75" x14ac:dyDescent="0.4">
      <c r="D58" s="1418" t="s">
        <v>766</v>
      </c>
      <c r="E58" s="33"/>
      <c r="F58" s="33"/>
      <c r="H58" s="1244"/>
      <c r="I58" s="1245"/>
      <c r="Z58" s="26"/>
      <c r="AA58" s="1291" t="e">
        <f>#REF!</f>
        <v>#REF!</v>
      </c>
      <c r="AB58" s="1291" t="e">
        <f>#REF!</f>
        <v>#REF!</v>
      </c>
      <c r="AD58" s="5">
        <v>57578</v>
      </c>
      <c r="AE58" s="5">
        <v>76550</v>
      </c>
    </row>
    <row r="59" spans="1:34" ht="15.75" x14ac:dyDescent="0.55000000000000004">
      <c r="D59" s="1407" t="s">
        <v>94</v>
      </c>
      <c r="E59" s="1193">
        <f t="shared" ref="E59:F61" si="6">H59/10000000</f>
        <v>0.77895029999999998</v>
      </c>
      <c r="F59" s="1193">
        <f t="shared" si="6"/>
        <v>1.0881232999999999</v>
      </c>
      <c r="H59" s="598">
        <f>E151</f>
        <v>7789503</v>
      </c>
      <c r="I59" s="598">
        <f>E114</f>
        <v>10881233</v>
      </c>
      <c r="J59" s="1320"/>
      <c r="K59" s="1320"/>
      <c r="L59" s="1320"/>
      <c r="M59" s="1320"/>
      <c r="N59" s="1320"/>
      <c r="O59" s="1320"/>
      <c r="P59" s="1320"/>
      <c r="Q59" s="1320"/>
      <c r="R59" s="1320"/>
      <c r="S59" s="1320"/>
      <c r="T59" s="1320"/>
      <c r="U59" s="1320"/>
      <c r="V59" s="1320"/>
      <c r="W59" s="1320"/>
      <c r="X59" s="1320"/>
      <c r="Y59" s="1380">
        <v>0.39</v>
      </c>
      <c r="AA59" s="6">
        <v>125940</v>
      </c>
      <c r="AB59" s="6">
        <v>420680</v>
      </c>
      <c r="AD59" s="5">
        <v>53354</v>
      </c>
      <c r="AE59" s="5">
        <v>79370</v>
      </c>
    </row>
    <row r="60" spans="1:34" ht="15.75" x14ac:dyDescent="0.55000000000000004">
      <c r="D60" s="1407" t="s">
        <v>502</v>
      </c>
      <c r="E60" s="1193">
        <f t="shared" si="6"/>
        <v>7.4693757999999999</v>
      </c>
      <c r="F60" s="1193">
        <f t="shared" si="6"/>
        <v>11.984269100000001</v>
      </c>
      <c r="H60" s="598">
        <f>G151</f>
        <v>74693758</v>
      </c>
      <c r="I60" s="598">
        <f>G114</f>
        <v>119842691</v>
      </c>
      <c r="J60" s="1320"/>
      <c r="K60" s="1320"/>
      <c r="L60" s="1320"/>
      <c r="M60" s="1320"/>
      <c r="N60" s="1320"/>
      <c r="O60" s="1320"/>
      <c r="P60" s="1320"/>
      <c r="Q60" s="1320"/>
      <c r="R60" s="1320"/>
      <c r="S60" s="1320"/>
      <c r="T60" s="1320"/>
      <c r="U60" s="1320"/>
      <c r="V60" s="1320"/>
      <c r="W60" s="1320"/>
      <c r="X60" s="1320"/>
      <c r="Y60" s="1320"/>
      <c r="Z60" s="632"/>
      <c r="AA60" s="6">
        <v>149880</v>
      </c>
      <c r="AB60" s="6">
        <v>782160</v>
      </c>
      <c r="AD60" s="41">
        <v>50439</v>
      </c>
      <c r="AE60" s="5">
        <v>78160</v>
      </c>
      <c r="AF60" s="632"/>
      <c r="AG60" s="632"/>
      <c r="AH60" s="632"/>
    </row>
    <row r="61" spans="1:34" ht="16.149999999999999" thickBot="1" x14ac:dyDescent="0.6">
      <c r="D61" s="1407" t="s">
        <v>767</v>
      </c>
      <c r="E61" s="1193">
        <f t="shared" si="6"/>
        <v>63.843416699999999</v>
      </c>
      <c r="F61" s="1193">
        <f t="shared" si="6"/>
        <v>84.419539999999998</v>
      </c>
      <c r="H61" s="1496">
        <f>I151</f>
        <v>638434167</v>
      </c>
      <c r="I61" s="1496">
        <f>I114</f>
        <v>844195400</v>
      </c>
      <c r="J61" s="1215"/>
      <c r="K61" s="1215"/>
      <c r="L61" s="1215"/>
      <c r="M61" s="1215"/>
      <c r="N61" s="1215"/>
      <c r="O61" s="1215"/>
      <c r="P61" s="1215"/>
      <c r="Q61" s="1215"/>
      <c r="R61" s="1215"/>
      <c r="S61" s="1215"/>
      <c r="T61" s="1215"/>
      <c r="U61" s="1215"/>
      <c r="V61" s="1215"/>
      <c r="W61" s="1215"/>
      <c r="X61" s="1215"/>
      <c r="Y61" s="824"/>
      <c r="AA61" s="6">
        <v>127880</v>
      </c>
      <c r="AB61" s="6">
        <v>482050</v>
      </c>
      <c r="AC61" s="1239"/>
      <c r="AD61" s="41">
        <v>45071</v>
      </c>
      <c r="AE61" s="172">
        <v>70290</v>
      </c>
    </row>
    <row r="62" spans="1:34" x14ac:dyDescent="0.35">
      <c r="E62" s="428"/>
      <c r="F62" s="428"/>
      <c r="Y62" s="212"/>
      <c r="AA62" s="6"/>
      <c r="AB62" s="6"/>
      <c r="AC62" s="1239"/>
      <c r="AD62" s="41">
        <v>41360</v>
      </c>
      <c r="AE62" s="172">
        <v>83580</v>
      </c>
    </row>
    <row r="63" spans="1:34" x14ac:dyDescent="0.35">
      <c r="E63" s="428"/>
      <c r="F63" s="428"/>
      <c r="I63" s="82">
        <f>J63/1000000</f>
        <v>0.23699999999999999</v>
      </c>
      <c r="J63" s="84">
        <f>2.37*100000</f>
        <v>237000</v>
      </c>
      <c r="Y63" s="212"/>
      <c r="AA63" s="6"/>
      <c r="AB63" s="6"/>
      <c r="AC63" s="1239"/>
      <c r="AD63" s="41">
        <v>40488</v>
      </c>
      <c r="AE63" s="172">
        <v>94100</v>
      </c>
    </row>
    <row r="64" spans="1:34" ht="15.75" x14ac:dyDescent="0.55000000000000004">
      <c r="D64" s="1418" t="s">
        <v>768</v>
      </c>
      <c r="E64" s="1193"/>
      <c r="F64" s="1193"/>
      <c r="J64" s="755"/>
      <c r="K64" s="755"/>
      <c r="L64" s="755"/>
      <c r="M64" s="755"/>
      <c r="N64" s="755"/>
      <c r="O64" s="755"/>
      <c r="P64" s="755"/>
      <c r="Q64" s="755"/>
      <c r="R64" s="755"/>
      <c r="S64" s="755"/>
      <c r="T64" s="755"/>
      <c r="U64" s="755"/>
      <c r="V64" s="755"/>
      <c r="W64" s="755"/>
      <c r="X64" s="755"/>
      <c r="Y64" s="259"/>
      <c r="Z64" s="26"/>
      <c r="AA64" s="9">
        <f t="shared" ref="AA64:AB64" si="7">SUM(AA59:AA63)</f>
        <v>403700</v>
      </c>
      <c r="AB64" s="9">
        <f t="shared" si="7"/>
        <v>1684890</v>
      </c>
      <c r="AC64" s="1262"/>
      <c r="AD64" s="41">
        <f>SUM(AD58:AD63)</f>
        <v>288290</v>
      </c>
      <c r="AE64" s="41">
        <f>SUM(AE58:AE63)</f>
        <v>482050</v>
      </c>
    </row>
    <row r="65" spans="3:31" ht="15.75" x14ac:dyDescent="0.55000000000000004">
      <c r="D65" s="1407" t="s">
        <v>94</v>
      </c>
      <c r="E65" s="1193">
        <f t="shared" ref="E65:F67" si="8">H65/1000000</f>
        <v>1.1925699999999999</v>
      </c>
      <c r="F65" s="1193">
        <f t="shared" si="8"/>
        <v>1.5768899999999999</v>
      </c>
      <c r="H65" s="598">
        <f>D151</f>
        <v>1192570</v>
      </c>
      <c r="I65" s="598">
        <f>D114</f>
        <v>1576890</v>
      </c>
      <c r="J65" s="323">
        <f t="shared" ref="J65:J67" si="9">H65/100000</f>
        <v>11.925700000000001</v>
      </c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323"/>
      <c r="V65" s="323"/>
      <c r="W65" s="323"/>
      <c r="X65" s="323"/>
      <c r="Y65" s="323">
        <f>I65/100000</f>
        <v>15.7689</v>
      </c>
      <c r="AA65" s="6"/>
      <c r="AB65" s="6"/>
      <c r="AC65" s="1239"/>
      <c r="AD65" s="41">
        <v>50768</v>
      </c>
      <c r="AE65" s="172"/>
    </row>
    <row r="66" spans="3:31" ht="15.75" x14ac:dyDescent="0.55000000000000004">
      <c r="D66" s="1407" t="s">
        <v>502</v>
      </c>
      <c r="E66" s="1193">
        <f t="shared" si="8"/>
        <v>0.93575600000000003</v>
      </c>
      <c r="F66" s="1193">
        <f t="shared" si="8"/>
        <v>1.2891840000000001</v>
      </c>
      <c r="H66" s="598">
        <f>F151</f>
        <v>935756</v>
      </c>
      <c r="I66" s="598">
        <f>F114</f>
        <v>1289184</v>
      </c>
      <c r="J66" s="323">
        <f t="shared" si="9"/>
        <v>9.3575599999999994</v>
      </c>
      <c r="K66" s="323"/>
      <c r="L66" s="323"/>
      <c r="M66" s="323"/>
      <c r="N66" s="323"/>
      <c r="O66" s="323"/>
      <c r="P66" s="323"/>
      <c r="Q66" s="323"/>
      <c r="R66" s="323"/>
      <c r="S66" s="323"/>
      <c r="T66" s="323"/>
      <c r="U66" s="323"/>
      <c r="V66" s="323"/>
      <c r="W66" s="323"/>
      <c r="X66" s="323"/>
      <c r="Y66" s="323">
        <f>I66/100000</f>
        <v>12.89184</v>
      </c>
      <c r="AA66" s="6"/>
      <c r="AB66" s="6"/>
      <c r="AC66" s="1239"/>
      <c r="AD66" s="41">
        <v>45797</v>
      </c>
      <c r="AE66" s="172"/>
    </row>
    <row r="67" spans="3:31" ht="15.75" x14ac:dyDescent="0.55000000000000004">
      <c r="D67" s="1407" t="s">
        <v>767</v>
      </c>
      <c r="E67" s="1193">
        <f t="shared" si="8"/>
        <v>0.88408600000000004</v>
      </c>
      <c r="F67" s="1193">
        <f t="shared" si="8"/>
        <v>1.0733600000000001</v>
      </c>
      <c r="H67" s="1497">
        <f>H151</f>
        <v>884086</v>
      </c>
      <c r="I67" s="1496">
        <f>H114</f>
        <v>1073360</v>
      </c>
      <c r="J67" s="323">
        <f t="shared" si="9"/>
        <v>8.8408599999999993</v>
      </c>
      <c r="K67" s="323"/>
      <c r="L67" s="323"/>
      <c r="M67" s="323"/>
      <c r="N67" s="323"/>
      <c r="O67" s="323"/>
      <c r="P67" s="323"/>
      <c r="Q67" s="323"/>
      <c r="R67" s="323"/>
      <c r="S67" s="323"/>
      <c r="T67" s="323"/>
      <c r="U67" s="323"/>
      <c r="V67" s="323"/>
      <c r="W67" s="323"/>
      <c r="X67" s="323"/>
      <c r="Y67" s="323">
        <f>I67/100000</f>
        <v>10.733599999999999</v>
      </c>
      <c r="AA67" s="6"/>
      <c r="AB67" s="6"/>
      <c r="AC67" s="1239"/>
      <c r="AD67" s="41">
        <v>44590</v>
      </c>
      <c r="AE67" s="172"/>
    </row>
    <row r="68" spans="3:31" x14ac:dyDescent="0.35">
      <c r="E68" s="428"/>
      <c r="F68" s="323"/>
      <c r="H68" s="1224"/>
      <c r="I68" s="1225"/>
      <c r="Y68" s="212"/>
      <c r="AA68" s="6"/>
      <c r="AB68" s="6"/>
      <c r="AC68" s="1239"/>
      <c r="AD68" s="5">
        <v>45433</v>
      </c>
      <c r="AE68" s="172"/>
    </row>
    <row r="69" spans="3:31" x14ac:dyDescent="0.35">
      <c r="E69" s="428"/>
      <c r="F69" s="323"/>
      <c r="H69" s="1224"/>
      <c r="I69" s="1225"/>
      <c r="Y69" s="212"/>
      <c r="AA69" s="6"/>
      <c r="AB69" s="6"/>
      <c r="AC69" s="1239"/>
      <c r="AD69" s="5">
        <v>46734</v>
      </c>
      <c r="AE69" s="172"/>
    </row>
    <row r="70" spans="3:31" ht="14.25" x14ac:dyDescent="0.45">
      <c r="D70" s="1418" t="s">
        <v>436</v>
      </c>
      <c r="E70" s="134">
        <f>H70</f>
        <v>1.129081</v>
      </c>
      <c r="F70" s="134">
        <f>I70</f>
        <v>1.2811995</v>
      </c>
      <c r="H70" s="1372">
        <f>J70/10000000</f>
        <v>1.129081</v>
      </c>
      <c r="I70" s="1372">
        <f>Y70/10000000</f>
        <v>1.2811995</v>
      </c>
      <c r="J70" s="1533">
        <v>11290810</v>
      </c>
      <c r="K70" s="1533"/>
      <c r="L70" s="1533"/>
      <c r="M70" s="1533"/>
      <c r="N70" s="1533"/>
      <c r="O70" s="1533"/>
      <c r="P70" s="1533"/>
      <c r="Q70" s="1533"/>
      <c r="R70" s="1533"/>
      <c r="S70" s="1533"/>
      <c r="T70" s="1533"/>
      <c r="U70" s="1533"/>
      <c r="V70" s="1533"/>
      <c r="W70" s="1533"/>
      <c r="X70" s="1533"/>
      <c r="Y70" s="122">
        <v>12811995</v>
      </c>
      <c r="AA70" s="6"/>
      <c r="AB70" s="6"/>
      <c r="AC70" s="1239"/>
      <c r="AD70" s="5">
        <v>48251</v>
      </c>
    </row>
    <row r="71" spans="3:31" x14ac:dyDescent="0.4">
      <c r="C71" s="5">
        <f>66.07-3.11</f>
        <v>62.959999999999994</v>
      </c>
      <c r="D71" s="1418" t="s">
        <v>769</v>
      </c>
      <c r="E71" s="134">
        <f>J78/100</f>
        <v>1.8919999999999999</v>
      </c>
      <c r="F71" s="134">
        <f>Y78/100</f>
        <v>2.0754999999999999</v>
      </c>
      <c r="H71" s="1263"/>
      <c r="I71" s="1263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134"/>
      <c r="Z71" s="26"/>
      <c r="AA71" s="9">
        <f>SUM(AA66:AA70)</f>
        <v>0</v>
      </c>
      <c r="AB71" s="9">
        <f>SUM(AB66:AB70)</f>
        <v>0</v>
      </c>
      <c r="AC71" s="1262"/>
      <c r="AD71" s="41">
        <f>SUM(AD65:AD70)</f>
        <v>281573</v>
      </c>
    </row>
    <row r="72" spans="3:31" x14ac:dyDescent="0.4">
      <c r="D72" s="1418" t="s">
        <v>125</v>
      </c>
      <c r="E72" s="283">
        <f>J76/100</f>
        <v>6.4000000000000001E-2</v>
      </c>
      <c r="F72" s="283">
        <f>Y76/100</f>
        <v>9.1999999999999998E-2</v>
      </c>
      <c r="H72" s="1263"/>
      <c r="I72" s="1263"/>
      <c r="J72" s="283"/>
      <c r="K72" s="283"/>
      <c r="L72" s="283"/>
      <c r="M72" s="283"/>
      <c r="N72" s="283"/>
      <c r="O72" s="283"/>
      <c r="P72" s="283"/>
      <c r="Q72" s="283"/>
      <c r="R72" s="283"/>
      <c r="S72" s="283"/>
      <c r="T72" s="283"/>
      <c r="U72" s="283"/>
      <c r="V72" s="283"/>
      <c r="W72" s="283"/>
      <c r="X72" s="283"/>
      <c r="Y72" s="283"/>
      <c r="AC72" s="1239"/>
    </row>
    <row r="73" spans="3:31" ht="14.25" x14ac:dyDescent="0.45">
      <c r="D73" s="1418" t="s">
        <v>196</v>
      </c>
      <c r="E73" s="134">
        <f>H73</f>
        <v>0.185917</v>
      </c>
      <c r="F73" s="134">
        <f t="shared" ref="E73:F75" si="10">I73</f>
        <v>0.199376</v>
      </c>
      <c r="H73" s="1372">
        <f>J73/10000000</f>
        <v>0.185917</v>
      </c>
      <c r="I73" s="1372">
        <f>Y73/10000000</f>
        <v>0.199376</v>
      </c>
      <c r="J73" s="598">
        <f>J151</f>
        <v>1859170</v>
      </c>
      <c r="K73" s="598"/>
      <c r="L73" s="598"/>
      <c r="M73" s="598"/>
      <c r="N73" s="598"/>
      <c r="O73" s="598"/>
      <c r="P73" s="598"/>
      <c r="Q73" s="598"/>
      <c r="R73" s="598"/>
      <c r="S73" s="598"/>
      <c r="T73" s="598"/>
      <c r="U73" s="598"/>
      <c r="V73" s="598"/>
      <c r="W73" s="598"/>
      <c r="X73" s="598"/>
      <c r="Y73" s="210">
        <f>J114</f>
        <v>1993760</v>
      </c>
    </row>
    <row r="74" spans="3:31" ht="15.75" x14ac:dyDescent="0.55000000000000004">
      <c r="D74" s="1418" t="s">
        <v>123</v>
      </c>
      <c r="E74" s="134" t="e">
        <f>H74</f>
        <v>#REF!</v>
      </c>
      <c r="F74" s="134" t="e">
        <f t="shared" si="10"/>
        <v>#REF!</v>
      </c>
      <c r="H74" s="1372" t="e">
        <f t="shared" ref="H74:H75" si="11">J74/10000000</f>
        <v>#REF!</v>
      </c>
      <c r="I74" s="1372" t="e">
        <f>Y74/10000000</f>
        <v>#REF!</v>
      </c>
      <c r="J74" s="210" t="e">
        <f>#REF!</f>
        <v>#REF!</v>
      </c>
      <c r="K74" s="210"/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1498" t="e">
        <f>#REF!</f>
        <v>#REF!</v>
      </c>
    </row>
    <row r="75" spans="3:31" ht="15.75" x14ac:dyDescent="0.55000000000000004">
      <c r="D75" s="1418" t="s">
        <v>435</v>
      </c>
      <c r="E75" s="134">
        <f t="shared" si="10"/>
        <v>2.6164942999999998</v>
      </c>
      <c r="F75" s="134">
        <f>I75</f>
        <v>2.9830711999999999</v>
      </c>
      <c r="H75" s="1372">
        <f t="shared" si="11"/>
        <v>2.6164942999999998</v>
      </c>
      <c r="I75" s="1372">
        <f>Y75/10000000</f>
        <v>2.9830711999999999</v>
      </c>
      <c r="J75" s="1498">
        <f>Y151</f>
        <v>26164943</v>
      </c>
      <c r="K75" s="1498"/>
      <c r="L75" s="1498"/>
      <c r="M75" s="1498"/>
      <c r="N75" s="1498"/>
      <c r="O75" s="1498"/>
      <c r="P75" s="1498"/>
      <c r="Q75" s="1498"/>
      <c r="R75" s="1498"/>
      <c r="S75" s="1498"/>
      <c r="T75" s="1498"/>
      <c r="U75" s="1498"/>
      <c r="V75" s="1498"/>
      <c r="W75" s="1498"/>
      <c r="X75" s="1498"/>
      <c r="Y75" s="1499">
        <f>Y114</f>
        <v>29830712</v>
      </c>
    </row>
    <row r="76" spans="3:31" x14ac:dyDescent="0.35">
      <c r="H76" s="1224"/>
      <c r="I76" s="1225"/>
      <c r="J76" s="85">
        <v>6.4</v>
      </c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134">
        <v>9.1999999999999993</v>
      </c>
    </row>
    <row r="77" spans="3:31" x14ac:dyDescent="0.35">
      <c r="E77" s="428"/>
      <c r="F77" s="428"/>
      <c r="J77" s="85">
        <v>195.6</v>
      </c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>
        <v>216.75</v>
      </c>
    </row>
    <row r="78" spans="3:31" x14ac:dyDescent="0.35">
      <c r="E78" s="428"/>
      <c r="F78" s="428"/>
      <c r="J78" s="85">
        <f>J77-J76</f>
        <v>189.2</v>
      </c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134">
        <f>Y77-Y76</f>
        <v>207.55</v>
      </c>
    </row>
    <row r="79" spans="3:31" x14ac:dyDescent="0.35">
      <c r="E79" s="428"/>
      <c r="F79" s="428"/>
    </row>
    <row r="80" spans="3:31" x14ac:dyDescent="0.35">
      <c r="D80" s="1417" t="s">
        <v>164</v>
      </c>
      <c r="E80" s="428" t="s">
        <v>710</v>
      </c>
      <c r="F80" s="84" t="s">
        <v>164</v>
      </c>
      <c r="G80" s="428" t="s">
        <v>710</v>
      </c>
      <c r="H80" s="84" t="s">
        <v>164</v>
      </c>
      <c r="I80" s="428" t="s">
        <v>710</v>
      </c>
      <c r="J80" s="84" t="s">
        <v>196</v>
      </c>
    </row>
    <row r="81" spans="3:25" x14ac:dyDescent="0.35">
      <c r="D81" s="1417">
        <v>23</v>
      </c>
      <c r="E81" s="84">
        <v>23</v>
      </c>
      <c r="F81" s="84">
        <v>23</v>
      </c>
      <c r="G81" s="84">
        <v>23</v>
      </c>
      <c r="H81" s="84">
        <v>23</v>
      </c>
      <c r="I81" s="84">
        <v>23</v>
      </c>
      <c r="J81" s="84">
        <v>23</v>
      </c>
      <c r="Y81" s="1292">
        <v>23</v>
      </c>
    </row>
    <row r="82" spans="3:25" x14ac:dyDescent="0.35">
      <c r="D82" s="2437" t="s">
        <v>795</v>
      </c>
      <c r="E82" s="2437"/>
      <c r="F82" s="2437" t="s">
        <v>796</v>
      </c>
      <c r="G82" s="2437"/>
      <c r="H82" s="2437" t="s">
        <v>797</v>
      </c>
      <c r="I82" s="2437"/>
      <c r="J82" s="5" t="s">
        <v>196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 t="s">
        <v>882</v>
      </c>
    </row>
    <row r="83" spans="3:25" ht="16.149999999999999" thickBot="1" x14ac:dyDescent="0.6">
      <c r="C83" s="1239">
        <v>45108</v>
      </c>
      <c r="D83" s="1449"/>
      <c r="E83" s="476"/>
      <c r="F83" s="7"/>
      <c r="G83" s="7"/>
      <c r="H83" s="910"/>
      <c r="I83" s="755"/>
      <c r="J83" s="210"/>
      <c r="K83" s="212"/>
      <c r="L83" s="212"/>
      <c r="M83" s="212"/>
      <c r="N83" s="212"/>
      <c r="O83" s="212"/>
      <c r="P83" s="212"/>
      <c r="Q83" s="212"/>
      <c r="R83" s="212"/>
      <c r="S83" s="212"/>
      <c r="T83" s="212"/>
      <c r="U83" s="212"/>
      <c r="V83" s="212"/>
      <c r="W83" s="212"/>
      <c r="X83" s="212"/>
      <c r="Y83" s="755"/>
    </row>
    <row r="84" spans="3:25" x14ac:dyDescent="0.35">
      <c r="C84" s="1239">
        <v>45109</v>
      </c>
      <c r="D84" s="1451"/>
      <c r="E84" s="476"/>
      <c r="F84" s="7"/>
      <c r="G84" s="7"/>
      <c r="H84" s="7"/>
      <c r="I84" s="210"/>
      <c r="J84" s="210"/>
      <c r="K84" s="210"/>
      <c r="L84" s="210"/>
      <c r="M84" s="210"/>
      <c r="N84" s="210"/>
      <c r="O84" s="210"/>
      <c r="P84" s="210"/>
      <c r="Q84" s="210"/>
      <c r="R84" s="210"/>
      <c r="S84" s="210"/>
      <c r="T84" s="210"/>
      <c r="U84" s="210"/>
      <c r="V84" s="210"/>
      <c r="W84" s="210"/>
      <c r="X84" s="210"/>
      <c r="Y84" s="85"/>
    </row>
    <row r="85" spans="3:25" x14ac:dyDescent="0.35">
      <c r="C85" s="1239">
        <v>45110</v>
      </c>
      <c r="D85" s="1451"/>
      <c r="E85" s="476"/>
      <c r="F85" s="7"/>
      <c r="G85" s="7"/>
      <c r="H85" s="7"/>
      <c r="I85" s="210"/>
      <c r="J85" s="210"/>
      <c r="K85" s="210"/>
      <c r="L85" s="210"/>
      <c r="M85" s="210"/>
      <c r="N85" s="210"/>
      <c r="O85" s="210"/>
      <c r="P85" s="210"/>
      <c r="Q85" s="210"/>
      <c r="R85" s="210"/>
      <c r="S85" s="210"/>
      <c r="T85" s="210"/>
      <c r="U85" s="210"/>
      <c r="V85" s="210"/>
      <c r="W85" s="210"/>
      <c r="X85" s="210"/>
      <c r="Y85" s="85"/>
    </row>
    <row r="86" spans="3:25" x14ac:dyDescent="0.35">
      <c r="C86" s="1239">
        <v>45111</v>
      </c>
      <c r="D86" s="1451"/>
      <c r="E86" s="476"/>
      <c r="F86" s="7"/>
      <c r="G86" s="7"/>
      <c r="H86" s="7"/>
      <c r="I86" s="210"/>
      <c r="J86" s="210"/>
      <c r="K86" s="210"/>
      <c r="L86" s="210"/>
      <c r="M86" s="210"/>
      <c r="N86" s="210"/>
      <c r="O86" s="210"/>
      <c r="P86" s="210"/>
      <c r="Q86" s="210"/>
      <c r="R86" s="210"/>
      <c r="S86" s="210"/>
      <c r="T86" s="210"/>
      <c r="U86" s="210"/>
      <c r="V86" s="210"/>
      <c r="W86" s="210"/>
      <c r="X86" s="210"/>
      <c r="Y86" s="85"/>
    </row>
    <row r="87" spans="3:25" x14ac:dyDescent="0.35">
      <c r="C87" s="1239">
        <v>45112</v>
      </c>
      <c r="D87" s="1451"/>
      <c r="E87" s="476"/>
      <c r="F87" s="7"/>
      <c r="G87" s="7"/>
      <c r="H87" s="7"/>
      <c r="I87" s="210"/>
      <c r="J87" s="210"/>
      <c r="K87" s="210"/>
      <c r="L87" s="210"/>
      <c r="M87" s="210"/>
      <c r="N87" s="210"/>
      <c r="O87" s="210"/>
      <c r="P87" s="210"/>
      <c r="Q87" s="210"/>
      <c r="R87" s="210"/>
      <c r="S87" s="210"/>
      <c r="T87" s="210"/>
      <c r="U87" s="210"/>
      <c r="V87" s="210"/>
      <c r="W87" s="210"/>
      <c r="X87" s="210"/>
      <c r="Y87" s="85"/>
    </row>
    <row r="88" spans="3:25" x14ac:dyDescent="0.35">
      <c r="C88" s="1239">
        <v>45113</v>
      </c>
      <c r="D88" s="1451"/>
      <c r="E88" s="476"/>
      <c r="F88" s="6"/>
      <c r="G88" s="6"/>
      <c r="H88" s="31"/>
      <c r="I88" s="79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</row>
    <row r="89" spans="3:25" x14ac:dyDescent="0.35">
      <c r="C89" s="1239">
        <v>45114</v>
      </c>
      <c r="D89" s="1451"/>
      <c r="E89" s="476"/>
      <c r="F89" s="6"/>
      <c r="G89" s="6"/>
      <c r="H89" s="1461"/>
      <c r="I89" s="1460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</row>
    <row r="90" spans="3:25" x14ac:dyDescent="0.35">
      <c r="C90" s="1239">
        <v>45115</v>
      </c>
      <c r="D90" s="1451"/>
      <c r="E90" s="476"/>
      <c r="F90" s="6"/>
      <c r="G90" s="6"/>
      <c r="H90" s="31"/>
      <c r="I90" s="79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</row>
    <row r="91" spans="3:25" x14ac:dyDescent="0.35">
      <c r="C91" s="1239">
        <v>45116</v>
      </c>
      <c r="D91" s="1451"/>
      <c r="E91" s="476"/>
      <c r="F91" s="6"/>
      <c r="G91" s="6"/>
      <c r="H91" s="31"/>
      <c r="I91" s="79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</row>
    <row r="92" spans="3:25" ht="15.75" x14ac:dyDescent="0.55000000000000004">
      <c r="C92" s="1239">
        <v>45117</v>
      </c>
      <c r="D92" s="1451">
        <v>641870</v>
      </c>
      <c r="E92" s="476">
        <v>4540379</v>
      </c>
      <c r="F92" s="6">
        <v>529988</v>
      </c>
      <c r="G92" s="6">
        <v>48952846</v>
      </c>
      <c r="H92" s="1453"/>
      <c r="I92" s="1453"/>
      <c r="J92" s="85">
        <v>822630</v>
      </c>
      <c r="Y92" s="755"/>
    </row>
    <row r="93" spans="3:25" ht="16.149999999999999" thickBot="1" x14ac:dyDescent="0.6">
      <c r="C93" s="1239">
        <v>45118</v>
      </c>
      <c r="D93" s="1451"/>
      <c r="E93" s="476"/>
      <c r="F93" s="6"/>
      <c r="G93" s="6"/>
      <c r="H93" s="824"/>
      <c r="I93" s="755"/>
      <c r="J93" s="85"/>
      <c r="Y93" s="755"/>
    </row>
    <row r="94" spans="3:25" ht="15.75" x14ac:dyDescent="0.35">
      <c r="C94" s="1239">
        <v>45119</v>
      </c>
      <c r="D94" s="1451"/>
      <c r="E94" s="476"/>
      <c r="F94" s="6"/>
      <c r="G94" s="6"/>
      <c r="H94" s="1255"/>
      <c r="I94" s="1453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</row>
    <row r="95" spans="3:25" x14ac:dyDescent="0.35">
      <c r="C95" s="1239">
        <v>45120</v>
      </c>
      <c r="D95" s="1451"/>
      <c r="E95" s="476"/>
      <c r="F95" s="6"/>
      <c r="G95" s="6"/>
      <c r="H95" s="31"/>
      <c r="I95" s="79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</row>
    <row r="96" spans="3:25" ht="16.149999999999999" thickBot="1" x14ac:dyDescent="0.6">
      <c r="C96" s="1239">
        <v>45121</v>
      </c>
      <c r="D96" s="1451"/>
      <c r="E96" s="476"/>
      <c r="F96" s="6"/>
      <c r="G96" s="6"/>
      <c r="H96" s="1131"/>
      <c r="I96" s="1131"/>
      <c r="J96" s="85"/>
      <c r="Y96" s="824"/>
    </row>
    <row r="97" spans="3:25" x14ac:dyDescent="0.35">
      <c r="C97" s="1239">
        <v>45122</v>
      </c>
      <c r="D97" s="1451"/>
      <c r="E97" s="476"/>
      <c r="F97" s="6"/>
      <c r="G97" s="6"/>
      <c r="H97" s="31"/>
      <c r="I97" s="79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</row>
    <row r="98" spans="3:25" ht="15.75" x14ac:dyDescent="0.55000000000000004">
      <c r="C98" s="1239">
        <v>45123</v>
      </c>
      <c r="D98" s="1451"/>
      <c r="E98" s="476"/>
      <c r="F98" s="6"/>
      <c r="G98" s="6"/>
      <c r="H98" s="828"/>
      <c r="I98" s="1453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</row>
    <row r="99" spans="3:25" ht="15.75" x14ac:dyDescent="0.55000000000000004">
      <c r="C99" s="1239">
        <v>45124</v>
      </c>
      <c r="D99" s="1451"/>
      <c r="E99" s="476"/>
      <c r="F99" s="6"/>
      <c r="G99" s="6"/>
      <c r="H99" s="755"/>
      <c r="I99" s="755"/>
      <c r="J99" s="85"/>
      <c r="Y99" s="755"/>
    </row>
    <row r="100" spans="3:25" ht="16.149999999999999" thickBot="1" x14ac:dyDescent="0.6">
      <c r="C100" s="1239">
        <v>45125</v>
      </c>
      <c r="D100" s="1451"/>
      <c r="E100" s="476"/>
      <c r="F100" s="6"/>
      <c r="G100" s="6"/>
      <c r="H100" s="824"/>
      <c r="I100" s="755"/>
      <c r="J100" s="85"/>
      <c r="Y100" s="755"/>
    </row>
    <row r="101" spans="3:25" x14ac:dyDescent="0.35">
      <c r="C101" s="1239">
        <v>45126</v>
      </c>
      <c r="D101" s="234"/>
      <c r="E101" s="476"/>
      <c r="F101" s="6"/>
      <c r="G101" s="6"/>
      <c r="H101" s="31"/>
      <c r="I101" s="79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</row>
    <row r="102" spans="3:25" ht="15.75" x14ac:dyDescent="0.55000000000000004">
      <c r="C102" s="1239">
        <v>45127</v>
      </c>
      <c r="D102" s="1451">
        <v>656380</v>
      </c>
      <c r="E102" s="476">
        <v>4392143</v>
      </c>
      <c r="F102" s="6">
        <v>529879</v>
      </c>
      <c r="G102" s="6">
        <v>48432112</v>
      </c>
      <c r="H102" s="828"/>
      <c r="I102" s="828"/>
      <c r="J102" s="85">
        <v>778310</v>
      </c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28"/>
    </row>
    <row r="103" spans="3:25" ht="16.149999999999999" thickBot="1" x14ac:dyDescent="0.6">
      <c r="C103" s="1239">
        <v>45128</v>
      </c>
      <c r="D103" s="1478">
        <v>51894</v>
      </c>
      <c r="E103" s="1479">
        <v>324242</v>
      </c>
      <c r="F103" s="32">
        <v>42993</v>
      </c>
      <c r="G103" s="32">
        <v>4208162</v>
      </c>
      <c r="H103" s="1537">
        <v>1073360</v>
      </c>
      <c r="I103" s="1535">
        <v>844195400</v>
      </c>
      <c r="J103" s="85">
        <v>65490</v>
      </c>
      <c r="Y103" s="755">
        <v>29830712</v>
      </c>
    </row>
    <row r="104" spans="3:25" x14ac:dyDescent="0.35">
      <c r="C104" s="1239">
        <v>45129</v>
      </c>
      <c r="D104" s="1451">
        <v>47435</v>
      </c>
      <c r="E104" s="476">
        <v>379584</v>
      </c>
      <c r="F104" s="6">
        <v>39716</v>
      </c>
      <c r="G104" s="6">
        <v>4367775</v>
      </c>
      <c r="H104" s="31"/>
      <c r="I104" s="79"/>
      <c r="J104" s="85">
        <v>86430</v>
      </c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</row>
    <row r="105" spans="3:25" x14ac:dyDescent="0.35">
      <c r="C105" s="1239">
        <v>45130</v>
      </c>
      <c r="D105" s="1451">
        <v>52269</v>
      </c>
      <c r="E105" s="476">
        <v>485545</v>
      </c>
      <c r="F105" s="476">
        <v>45126</v>
      </c>
      <c r="G105" s="6">
        <v>4941893</v>
      </c>
      <c r="H105" s="31"/>
      <c r="I105" s="79"/>
      <c r="J105" s="85">
        <v>92490</v>
      </c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</row>
    <row r="106" spans="3:25" x14ac:dyDescent="0.35">
      <c r="C106" s="1239">
        <v>45131</v>
      </c>
      <c r="D106" s="1541">
        <v>72322</v>
      </c>
      <c r="E106" s="1538">
        <v>416283</v>
      </c>
      <c r="F106" s="222">
        <v>56118</v>
      </c>
      <c r="G106" s="222">
        <v>4526204</v>
      </c>
      <c r="H106" s="222"/>
      <c r="I106" s="1542"/>
      <c r="J106" s="1542">
        <v>77830</v>
      </c>
      <c r="K106" s="1542"/>
      <c r="L106" s="1542"/>
      <c r="M106" s="1542"/>
      <c r="N106" s="1542"/>
      <c r="O106" s="1542"/>
      <c r="P106" s="1542"/>
      <c r="Q106" s="1542"/>
      <c r="R106" s="1542"/>
      <c r="S106" s="1542"/>
      <c r="T106" s="1542"/>
      <c r="U106" s="1542"/>
      <c r="V106" s="1542"/>
      <c r="W106" s="1542"/>
      <c r="X106" s="1542"/>
      <c r="Y106" s="1542">
        <v>0</v>
      </c>
    </row>
    <row r="107" spans="3:25" x14ac:dyDescent="0.35">
      <c r="C107" s="1239">
        <v>45132</v>
      </c>
      <c r="D107" s="1539">
        <v>54720</v>
      </c>
      <c r="E107" s="1540">
        <v>343057</v>
      </c>
      <c r="F107" s="1540">
        <v>45364</v>
      </c>
      <c r="G107" s="1540">
        <v>4413699</v>
      </c>
      <c r="H107" s="1540"/>
      <c r="I107" s="1540"/>
      <c r="J107" s="1540">
        <v>70580</v>
      </c>
      <c r="K107" s="1540"/>
      <c r="L107" s="1540"/>
      <c r="M107" s="1540"/>
      <c r="N107" s="1540"/>
      <c r="O107" s="1540"/>
      <c r="P107" s="1540"/>
      <c r="Q107" s="1540"/>
      <c r="R107" s="1540"/>
      <c r="S107" s="1540"/>
      <c r="T107" s="1540"/>
      <c r="U107" s="1540"/>
      <c r="V107" s="1540"/>
      <c r="W107" s="1540"/>
      <c r="X107" s="1540"/>
      <c r="Y107" s="1540"/>
    </row>
    <row r="108" spans="3:25" x14ac:dyDescent="0.35">
      <c r="C108" s="1239">
        <v>45133</v>
      </c>
      <c r="D108" s="1407"/>
      <c r="E108" s="476"/>
      <c r="F108" s="6"/>
      <c r="G108" s="6"/>
      <c r="H108" s="31"/>
      <c r="I108" s="79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</row>
    <row r="109" spans="3:25" x14ac:dyDescent="0.35">
      <c r="C109" s="1239">
        <v>45134</v>
      </c>
      <c r="D109" s="1407"/>
      <c r="E109" s="476"/>
      <c r="F109" s="6"/>
      <c r="G109" s="6"/>
      <c r="H109" s="31"/>
      <c r="I109" s="79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</row>
    <row r="110" spans="3:25" ht="16.149999999999999" thickBot="1" x14ac:dyDescent="0.6">
      <c r="C110" s="1239">
        <v>45135</v>
      </c>
      <c r="D110" s="1407"/>
      <c r="E110" s="476"/>
      <c r="F110" s="6"/>
      <c r="G110" s="6"/>
      <c r="H110" s="824"/>
      <c r="I110" s="910"/>
      <c r="J110" s="85"/>
      <c r="Y110" s="755"/>
    </row>
    <row r="111" spans="3:25" x14ac:dyDescent="0.35">
      <c r="C111" s="1239">
        <v>45136</v>
      </c>
      <c r="D111" s="1407"/>
      <c r="E111" s="476"/>
      <c r="F111" s="6"/>
      <c r="G111" s="6"/>
      <c r="H111" s="31"/>
      <c r="I111" s="79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</row>
    <row r="112" spans="3:25" x14ac:dyDescent="0.35">
      <c r="C112" s="1239">
        <v>45137</v>
      </c>
      <c r="D112" s="1407"/>
      <c r="E112" s="476"/>
      <c r="F112" s="6"/>
      <c r="G112" s="6"/>
      <c r="H112" s="31"/>
      <c r="I112" s="79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</row>
    <row r="113" spans="1:35" x14ac:dyDescent="0.35">
      <c r="C113" s="1239">
        <v>45138</v>
      </c>
      <c r="D113" s="1455"/>
      <c r="E113" s="277"/>
      <c r="F113" s="44"/>
      <c r="G113" s="44"/>
      <c r="H113" s="1456"/>
      <c r="I113" s="278"/>
      <c r="J113" s="1448"/>
      <c r="K113" s="1448"/>
      <c r="L113" s="1448"/>
      <c r="M113" s="1448"/>
      <c r="N113" s="1448"/>
      <c r="O113" s="1448"/>
      <c r="P113" s="1448"/>
      <c r="Q113" s="1448"/>
      <c r="R113" s="1448"/>
      <c r="S113" s="1448"/>
      <c r="T113" s="1448"/>
      <c r="U113" s="1448"/>
      <c r="V113" s="1448"/>
      <c r="W113" s="1448"/>
      <c r="X113" s="1448"/>
      <c r="Y113" s="1448"/>
    </row>
    <row r="114" spans="1:35" x14ac:dyDescent="0.35">
      <c r="C114" s="6" t="s">
        <v>548</v>
      </c>
      <c r="D114" s="1462">
        <f>SUM(D83:D113)</f>
        <v>1576890</v>
      </c>
      <c r="E114" s="1481">
        <f>SUM(E83:E113)</f>
        <v>10881233</v>
      </c>
      <c r="F114" s="1462">
        <f t="shared" ref="F114:I114" si="12">SUM(F83:F113)</f>
        <v>1289184</v>
      </c>
      <c r="G114" s="1462">
        <f t="shared" si="12"/>
        <v>119842691</v>
      </c>
      <c r="H114" s="1462">
        <f>SUM(H83:H113)</f>
        <v>1073360</v>
      </c>
      <c r="I114" s="1462">
        <f t="shared" si="12"/>
        <v>844195400</v>
      </c>
      <c r="J114" s="1462">
        <f>SUM(J83:J113)</f>
        <v>1993760</v>
      </c>
      <c r="K114" s="1462"/>
      <c r="L114" s="1462"/>
      <c r="M114" s="1462"/>
      <c r="N114" s="1462"/>
      <c r="O114" s="1462"/>
      <c r="P114" s="1462"/>
      <c r="Q114" s="1462"/>
      <c r="R114" s="1462"/>
      <c r="S114" s="1462"/>
      <c r="T114" s="1462"/>
      <c r="U114" s="1462"/>
      <c r="V114" s="1462"/>
      <c r="W114" s="1462"/>
      <c r="X114" s="1462"/>
      <c r="Y114" s="1462">
        <f>SUM(Y83:Y113)</f>
        <v>29830712</v>
      </c>
    </row>
    <row r="115" spans="1:35" x14ac:dyDescent="0.35">
      <c r="D115" s="1420">
        <f>D114/23</f>
        <v>68560.434782608689</v>
      </c>
      <c r="E115" s="1420">
        <f t="shared" ref="E115:G115" si="13">E114/23</f>
        <v>473097.08695652173</v>
      </c>
      <c r="F115" s="1420">
        <f t="shared" si="13"/>
        <v>56051.478260869568</v>
      </c>
      <c r="G115" s="1420">
        <f t="shared" si="13"/>
        <v>5210551.7826086953</v>
      </c>
      <c r="H115" s="1420">
        <f>H114/23</f>
        <v>46667.82608695652</v>
      </c>
      <c r="I115" s="1420">
        <f t="shared" ref="I115" si="14">I114/23</f>
        <v>36704147.826086953</v>
      </c>
      <c r="J115" s="1420">
        <f t="shared" ref="J115" si="15">J114/23</f>
        <v>86685.217391304352</v>
      </c>
      <c r="K115" s="1420"/>
      <c r="L115" s="1420"/>
      <c r="M115" s="1420"/>
      <c r="N115" s="1420"/>
      <c r="O115" s="1420"/>
      <c r="P115" s="1420"/>
      <c r="Q115" s="1420"/>
      <c r="R115" s="1420"/>
      <c r="S115" s="1420"/>
      <c r="T115" s="1420"/>
      <c r="U115" s="1420"/>
      <c r="V115" s="1420"/>
      <c r="W115" s="1420"/>
      <c r="X115" s="1420"/>
      <c r="Y115" s="1420">
        <f t="shared" ref="Y115" si="16">Y114/23</f>
        <v>1296987.4782608696</v>
      </c>
    </row>
    <row r="116" spans="1:35" x14ac:dyDescent="0.35">
      <c r="D116" s="1420">
        <f>D115*25</f>
        <v>1714010.8695652173</v>
      </c>
      <c r="E116" s="1420">
        <f t="shared" ref="E116:G116" si="17">E115*25</f>
        <v>11827427.173913043</v>
      </c>
      <c r="F116" s="1420">
        <f t="shared" si="17"/>
        <v>1401286.9565217393</v>
      </c>
      <c r="G116" s="1420">
        <f t="shared" si="17"/>
        <v>130263794.56521738</v>
      </c>
      <c r="H116" s="1420">
        <f>H115*25</f>
        <v>1166695.6521739131</v>
      </c>
      <c r="I116" s="1420">
        <f t="shared" ref="I116" si="18">I115*25</f>
        <v>917603695.65217388</v>
      </c>
      <c r="J116" s="1420">
        <f t="shared" ref="J116" si="19">J115*25</f>
        <v>2167130.4347826089</v>
      </c>
      <c r="K116" s="1420"/>
      <c r="L116" s="1420"/>
      <c r="M116" s="1420"/>
      <c r="N116" s="1420"/>
      <c r="O116" s="1420"/>
      <c r="P116" s="1420"/>
      <c r="Q116" s="1420"/>
      <c r="R116" s="1420"/>
      <c r="S116" s="1420"/>
      <c r="T116" s="1420"/>
      <c r="U116" s="1420"/>
      <c r="V116" s="1420"/>
      <c r="W116" s="1420"/>
      <c r="X116" s="1420"/>
      <c r="Y116" s="1420">
        <f t="shared" ref="Y116" si="20">Y115*25</f>
        <v>32424686.956521742</v>
      </c>
    </row>
    <row r="117" spans="1:35" s="172" customFormat="1" x14ac:dyDescent="0.35">
      <c r="A117" s="1235"/>
      <c r="B117" s="300"/>
      <c r="C117" s="6"/>
      <c r="D117" s="1407" t="s">
        <v>164</v>
      </c>
      <c r="E117" s="264" t="s">
        <v>710</v>
      </c>
      <c r="F117" s="85" t="s">
        <v>164</v>
      </c>
      <c r="G117" s="264" t="s">
        <v>710</v>
      </c>
      <c r="H117" s="85" t="s">
        <v>164</v>
      </c>
      <c r="I117" s="264" t="s">
        <v>710</v>
      </c>
      <c r="J117" s="85" t="s">
        <v>196</v>
      </c>
      <c r="K117" s="1488"/>
      <c r="L117" s="1488"/>
      <c r="M117" s="1488"/>
      <c r="N117" s="1488"/>
      <c r="O117" s="1488"/>
      <c r="P117" s="1488"/>
      <c r="Q117" s="1488"/>
      <c r="R117" s="1488"/>
      <c r="S117" s="1488"/>
      <c r="T117" s="1488"/>
      <c r="U117" s="1488"/>
      <c r="V117" s="1488"/>
      <c r="W117" s="1488"/>
      <c r="X117" s="1488"/>
      <c r="Y117" s="1488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1:35" s="172" customFormat="1" x14ac:dyDescent="0.35">
      <c r="A118" s="1235"/>
      <c r="B118" s="300"/>
      <c r="C118" s="6"/>
      <c r="D118" s="1407">
        <v>22</v>
      </c>
      <c r="E118" s="85">
        <v>22</v>
      </c>
      <c r="F118" s="85">
        <v>22</v>
      </c>
      <c r="G118" s="85">
        <v>22</v>
      </c>
      <c r="H118" s="85">
        <v>22</v>
      </c>
      <c r="I118" s="85">
        <v>22</v>
      </c>
      <c r="J118" s="85">
        <v>22</v>
      </c>
      <c r="K118" s="1488"/>
      <c r="L118" s="1488"/>
      <c r="M118" s="1488"/>
      <c r="N118" s="1488"/>
      <c r="O118" s="1488"/>
      <c r="P118" s="1488"/>
      <c r="Q118" s="1488"/>
      <c r="R118" s="1488"/>
      <c r="S118" s="1488"/>
      <c r="T118" s="1488"/>
      <c r="U118" s="1488"/>
      <c r="V118" s="1488"/>
      <c r="W118" s="1488"/>
      <c r="X118" s="1488"/>
      <c r="Y118" s="1489">
        <v>22</v>
      </c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35" s="172" customFormat="1" x14ac:dyDescent="0.35">
      <c r="A119" s="1235"/>
      <c r="B119" s="300"/>
      <c r="C119" s="6"/>
      <c r="D119" s="1934" t="s">
        <v>795</v>
      </c>
      <c r="E119" s="1934"/>
      <c r="F119" s="1934" t="s">
        <v>796</v>
      </c>
      <c r="G119" s="1934"/>
      <c r="H119" s="1934" t="s">
        <v>797</v>
      </c>
      <c r="I119" s="1934"/>
      <c r="J119" s="6" t="s">
        <v>196</v>
      </c>
      <c r="K119" s="1490"/>
      <c r="L119" s="1490"/>
      <c r="M119" s="1490"/>
      <c r="N119" s="1490"/>
      <c r="O119" s="1490"/>
      <c r="P119" s="1490"/>
      <c r="Q119" s="1490"/>
      <c r="R119" s="1490"/>
      <c r="S119" s="1490"/>
      <c r="T119" s="1490"/>
      <c r="U119" s="1490"/>
      <c r="V119" s="1490"/>
      <c r="W119" s="1490"/>
      <c r="X119" s="1490"/>
      <c r="Y119" s="1490" t="s">
        <v>435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35" s="172" customFormat="1" ht="16.149999999999999" thickBot="1" x14ac:dyDescent="0.6">
      <c r="A120" s="1235"/>
      <c r="B120" s="300"/>
      <c r="D120" s="1449"/>
      <c r="E120" s="476"/>
      <c r="F120" s="6"/>
      <c r="G120" s="6"/>
      <c r="H120" s="755"/>
      <c r="I120" s="755"/>
      <c r="J120" s="85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24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35" s="172" customFormat="1" x14ac:dyDescent="0.35">
      <c r="A121" s="1235"/>
      <c r="B121" s="300"/>
      <c r="C121" s="1261">
        <v>44743</v>
      </c>
      <c r="D121" s="1451"/>
      <c r="E121" s="476"/>
      <c r="F121" s="6"/>
      <c r="G121" s="6"/>
      <c r="H121" s="31"/>
      <c r="I121" s="79"/>
      <c r="J121" s="85"/>
      <c r="K121" s="1488"/>
      <c r="L121" s="1488"/>
      <c r="M121" s="1488"/>
      <c r="N121" s="1488"/>
      <c r="O121" s="1488"/>
      <c r="P121" s="1488"/>
      <c r="Q121" s="1488"/>
      <c r="R121" s="1488"/>
      <c r="S121" s="1488"/>
      <c r="T121" s="1488"/>
      <c r="U121" s="1488"/>
      <c r="V121" s="1488"/>
      <c r="W121" s="1488"/>
      <c r="X121" s="1488"/>
      <c r="Y121" s="1488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35" s="172" customFormat="1" x14ac:dyDescent="0.35">
      <c r="A122" s="1235"/>
      <c r="B122" s="300"/>
      <c r="C122" s="1261">
        <v>44744</v>
      </c>
      <c r="D122" s="1451"/>
      <c r="E122" s="476"/>
      <c r="F122" s="6"/>
      <c r="G122" s="6"/>
      <c r="H122" s="31"/>
      <c r="I122" s="79"/>
      <c r="J122" s="85"/>
      <c r="K122" s="1488"/>
      <c r="L122" s="1488"/>
      <c r="M122" s="1488"/>
      <c r="N122" s="1488"/>
      <c r="O122" s="1488"/>
      <c r="P122" s="1488"/>
      <c r="Q122" s="1488"/>
      <c r="R122" s="1488"/>
      <c r="S122" s="1488"/>
      <c r="T122" s="1488"/>
      <c r="U122" s="1488"/>
      <c r="V122" s="1488"/>
      <c r="W122" s="1488"/>
      <c r="X122" s="1488"/>
      <c r="Y122" s="1488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35" s="172" customFormat="1" x14ac:dyDescent="0.35">
      <c r="A123" s="1235"/>
      <c r="B123" s="300"/>
      <c r="C123" s="1261">
        <v>44745</v>
      </c>
      <c r="D123" s="1451"/>
      <c r="E123" s="476"/>
      <c r="F123" s="6"/>
      <c r="G123" s="6"/>
      <c r="H123" s="31"/>
      <c r="I123" s="79"/>
      <c r="J123" s="85"/>
      <c r="K123" s="1488"/>
      <c r="L123" s="1488"/>
      <c r="M123" s="1488"/>
      <c r="N123" s="1488"/>
      <c r="O123" s="1488"/>
      <c r="P123" s="1488"/>
      <c r="Q123" s="1488"/>
      <c r="R123" s="1488"/>
      <c r="S123" s="1488"/>
      <c r="T123" s="1488"/>
      <c r="U123" s="1488"/>
      <c r="V123" s="1488"/>
      <c r="W123" s="1488"/>
      <c r="X123" s="1488"/>
      <c r="Y123" s="1488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35" s="172" customFormat="1" x14ac:dyDescent="0.35">
      <c r="A124" s="1235"/>
      <c r="B124" s="300"/>
      <c r="C124" s="1261">
        <v>44746</v>
      </c>
      <c r="D124" s="1451"/>
      <c r="E124" s="476"/>
      <c r="F124" s="6"/>
      <c r="G124" s="6"/>
      <c r="H124" s="31"/>
      <c r="I124" s="79"/>
      <c r="J124" s="85"/>
      <c r="K124" s="1488"/>
      <c r="L124" s="1488"/>
      <c r="M124" s="1488"/>
      <c r="N124" s="1488"/>
      <c r="O124" s="1488"/>
      <c r="P124" s="1488"/>
      <c r="Q124" s="1488"/>
      <c r="R124" s="1488"/>
      <c r="S124" s="1488"/>
      <c r="T124" s="1488"/>
      <c r="U124" s="1488"/>
      <c r="V124" s="1488"/>
      <c r="W124" s="1488"/>
      <c r="X124" s="1488"/>
      <c r="Y124" s="1488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 s="172" customFormat="1" x14ac:dyDescent="0.35">
      <c r="A125" s="1235"/>
      <c r="B125" s="300"/>
      <c r="C125" s="1261">
        <v>44747</v>
      </c>
      <c r="D125" s="1451"/>
      <c r="E125" s="476"/>
      <c r="F125" s="6"/>
      <c r="G125" s="6"/>
      <c r="H125" s="31"/>
      <c r="I125" s="79"/>
      <c r="J125" s="85"/>
      <c r="K125" s="1488"/>
      <c r="L125" s="1488"/>
      <c r="M125" s="1488"/>
      <c r="N125" s="1488"/>
      <c r="O125" s="1488"/>
      <c r="P125" s="1488"/>
      <c r="Q125" s="1488"/>
      <c r="R125" s="1488"/>
      <c r="S125" s="1488"/>
      <c r="T125" s="1488"/>
      <c r="U125" s="1488"/>
      <c r="V125" s="1488"/>
      <c r="W125" s="1488"/>
      <c r="X125" s="1488"/>
      <c r="Y125" s="1488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35" s="172" customFormat="1" ht="15.4" thickBot="1" x14ac:dyDescent="0.55000000000000004">
      <c r="A126" s="1235"/>
      <c r="B126" s="300"/>
      <c r="C126" s="1261">
        <v>44748</v>
      </c>
      <c r="D126" s="1451"/>
      <c r="E126" s="476"/>
      <c r="F126" s="6"/>
      <c r="G126" s="6"/>
      <c r="H126" s="7"/>
      <c r="I126" s="1319"/>
      <c r="J126" s="85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1491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35" s="172" customFormat="1" x14ac:dyDescent="0.35">
      <c r="A127" s="1235"/>
      <c r="B127" s="300"/>
      <c r="C127" s="1261">
        <v>44749</v>
      </c>
      <c r="D127" s="1451"/>
      <c r="E127" s="476"/>
      <c r="F127" s="6"/>
      <c r="G127" s="6"/>
      <c r="H127" s="31"/>
      <c r="I127" s="79"/>
      <c r="J127" s="85"/>
      <c r="K127" s="1488"/>
      <c r="L127" s="1488"/>
      <c r="M127" s="1488"/>
      <c r="N127" s="1488"/>
      <c r="O127" s="1488"/>
      <c r="P127" s="1488"/>
      <c r="Q127" s="1488"/>
      <c r="R127" s="1488"/>
      <c r="S127" s="1488"/>
      <c r="T127" s="1488"/>
      <c r="U127" s="1488"/>
      <c r="V127" s="1488"/>
      <c r="W127" s="1488"/>
      <c r="X127" s="1488"/>
      <c r="Y127" s="1488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35" s="172" customFormat="1" x14ac:dyDescent="0.35">
      <c r="A128" s="1235"/>
      <c r="B128" s="300"/>
      <c r="C128" s="1261">
        <v>44750</v>
      </c>
      <c r="D128" s="1451"/>
      <c r="E128" s="476"/>
      <c r="F128" s="6"/>
      <c r="G128" s="6"/>
      <c r="H128" s="31"/>
      <c r="I128" s="79"/>
      <c r="J128" s="85"/>
      <c r="K128" s="1488"/>
      <c r="L128" s="1488"/>
      <c r="M128" s="1488"/>
      <c r="N128" s="1488"/>
      <c r="O128" s="1488"/>
      <c r="P128" s="1488"/>
      <c r="Q128" s="1488"/>
      <c r="R128" s="1488"/>
      <c r="S128" s="1488"/>
      <c r="T128" s="1488"/>
      <c r="U128" s="1488"/>
      <c r="V128" s="1488"/>
      <c r="W128" s="1488"/>
      <c r="X128" s="1488"/>
      <c r="Y128" s="1488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 s="172" customFormat="1" ht="15.75" x14ac:dyDescent="0.55000000000000004">
      <c r="A129" s="1235"/>
      <c r="B129" s="300"/>
      <c r="C129" s="1261">
        <v>44751</v>
      </c>
      <c r="D129" s="1451"/>
      <c r="E129" s="476"/>
      <c r="F129" s="6"/>
      <c r="G129" s="6"/>
      <c r="H129" s="755"/>
      <c r="I129" s="1459"/>
      <c r="J129" s="85"/>
      <c r="K129" s="1488"/>
      <c r="L129" s="1488"/>
      <c r="M129" s="1488"/>
      <c r="N129" s="1488"/>
      <c r="O129" s="1488"/>
      <c r="P129" s="1488"/>
      <c r="Q129" s="1488"/>
      <c r="R129" s="1488"/>
      <c r="S129" s="1488"/>
      <c r="T129" s="1488"/>
      <c r="U129" s="1488"/>
      <c r="V129" s="1488"/>
      <c r="W129" s="1488"/>
      <c r="X129" s="1488"/>
      <c r="Y129" s="1488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 s="172" customFormat="1" ht="16.149999999999999" thickBot="1" x14ac:dyDescent="0.4">
      <c r="A130" s="1235"/>
      <c r="B130" s="300"/>
      <c r="C130" s="1261">
        <v>44752</v>
      </c>
      <c r="D130" s="1451">
        <v>481120</v>
      </c>
      <c r="E130" s="476">
        <v>3207522</v>
      </c>
      <c r="F130" s="6">
        <v>380446</v>
      </c>
      <c r="G130" s="6">
        <v>29014007</v>
      </c>
      <c r="H130" s="824"/>
      <c r="I130" s="824"/>
      <c r="J130" s="85">
        <v>784400</v>
      </c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24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 s="172" customFormat="1" ht="15.75" x14ac:dyDescent="0.55000000000000004">
      <c r="A131" s="1235"/>
      <c r="B131" s="300"/>
      <c r="C131" s="1261">
        <v>44753</v>
      </c>
      <c r="D131" s="1451"/>
      <c r="E131" s="476"/>
      <c r="F131" s="6"/>
      <c r="G131" s="6"/>
      <c r="H131" s="828"/>
      <c r="I131" s="828"/>
      <c r="J131" s="85"/>
      <c r="K131" s="1488"/>
      <c r="L131" s="1488"/>
      <c r="M131" s="1488"/>
      <c r="N131" s="1488"/>
      <c r="O131" s="1488"/>
      <c r="P131" s="1488"/>
      <c r="Q131" s="1488"/>
      <c r="R131" s="1488"/>
      <c r="S131" s="1488"/>
      <c r="T131" s="1488"/>
      <c r="U131" s="1488"/>
      <c r="V131" s="1488"/>
      <c r="W131" s="1488"/>
      <c r="X131" s="1488"/>
      <c r="Y131" s="1488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 s="172" customFormat="1" x14ac:dyDescent="0.35">
      <c r="A132" s="1235"/>
      <c r="B132" s="300"/>
      <c r="C132" s="1261">
        <v>44754</v>
      </c>
      <c r="D132" s="1451"/>
      <c r="E132" s="476"/>
      <c r="F132" s="6"/>
      <c r="G132" s="6"/>
      <c r="H132" s="31"/>
      <c r="I132" s="79"/>
      <c r="J132" s="85"/>
      <c r="K132" s="1488"/>
      <c r="L132" s="1488"/>
      <c r="M132" s="1488"/>
      <c r="N132" s="1488"/>
      <c r="O132" s="1488"/>
      <c r="P132" s="1488"/>
      <c r="Q132" s="1488"/>
      <c r="R132" s="1488"/>
      <c r="S132" s="1488"/>
      <c r="T132" s="1488"/>
      <c r="U132" s="1488"/>
      <c r="V132" s="1488"/>
      <c r="W132" s="1488"/>
      <c r="X132" s="1488"/>
      <c r="Y132" s="1488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 s="172" customFormat="1" ht="15.75" x14ac:dyDescent="0.55000000000000004">
      <c r="A133" s="1235"/>
      <c r="B133" s="300"/>
      <c r="C133" s="1261">
        <v>44755</v>
      </c>
      <c r="D133" s="1452"/>
      <c r="E133" s="476"/>
      <c r="F133" s="6"/>
      <c r="G133" s="6"/>
      <c r="H133" s="828"/>
      <c r="I133" s="1255"/>
      <c r="J133" s="85"/>
      <c r="K133" s="1488"/>
      <c r="L133" s="1488"/>
      <c r="M133" s="1488"/>
      <c r="N133" s="1488"/>
      <c r="O133" s="1488"/>
      <c r="P133" s="1488"/>
      <c r="Q133" s="1488"/>
      <c r="R133" s="1488"/>
      <c r="S133" s="1488"/>
      <c r="T133" s="1488"/>
      <c r="U133" s="1488"/>
      <c r="V133" s="1488"/>
      <c r="W133" s="1488"/>
      <c r="X133" s="1488"/>
      <c r="Y133" s="1492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 s="172" customFormat="1" x14ac:dyDescent="0.35">
      <c r="A134" s="1235"/>
      <c r="B134" s="300"/>
      <c r="C134" s="1261">
        <v>44756</v>
      </c>
      <c r="D134" s="1452"/>
      <c r="E134" s="476"/>
      <c r="F134" s="6"/>
      <c r="G134" s="6"/>
      <c r="H134" s="31"/>
      <c r="I134" s="79"/>
      <c r="J134" s="85"/>
      <c r="K134" s="1488"/>
      <c r="L134" s="1488"/>
      <c r="M134" s="1488"/>
      <c r="N134" s="1488"/>
      <c r="O134" s="1488"/>
      <c r="P134" s="1488"/>
      <c r="Q134" s="1488"/>
      <c r="R134" s="1488"/>
      <c r="S134" s="1488"/>
      <c r="T134" s="1488"/>
      <c r="U134" s="1488"/>
      <c r="V134" s="1488"/>
      <c r="W134" s="1488"/>
      <c r="X134" s="1488"/>
      <c r="Y134" s="1488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 s="172" customFormat="1" ht="15.75" x14ac:dyDescent="0.55000000000000004">
      <c r="A135" s="1235"/>
      <c r="B135" s="300"/>
      <c r="C135" s="1261">
        <v>44757</v>
      </c>
      <c r="D135" s="1452"/>
      <c r="E135" s="476"/>
      <c r="F135" s="6"/>
      <c r="G135" s="6"/>
      <c r="H135" s="828"/>
      <c r="I135" s="828"/>
      <c r="J135" s="85"/>
      <c r="K135" s="1488"/>
      <c r="L135" s="1488"/>
      <c r="M135" s="1488"/>
      <c r="N135" s="1488"/>
      <c r="O135" s="1488"/>
      <c r="P135" s="1488"/>
      <c r="Q135" s="1488"/>
      <c r="R135" s="1488"/>
      <c r="S135" s="1488"/>
      <c r="T135" s="1488"/>
      <c r="U135" s="1488"/>
      <c r="V135" s="1488"/>
      <c r="W135" s="1488"/>
      <c r="X135" s="1488"/>
      <c r="Y135" s="1488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 s="172" customFormat="1" x14ac:dyDescent="0.35">
      <c r="A136" s="1235"/>
      <c r="B136" s="300"/>
      <c r="C136" s="1261">
        <v>44758</v>
      </c>
      <c r="D136" s="1452"/>
      <c r="E136" s="476"/>
      <c r="F136" s="6"/>
      <c r="G136" s="6"/>
      <c r="H136" s="31"/>
      <c r="I136" s="79"/>
      <c r="J136" s="85"/>
      <c r="K136" s="1488"/>
      <c r="L136" s="1488"/>
      <c r="M136" s="1488"/>
      <c r="N136" s="1488"/>
      <c r="O136" s="1488"/>
      <c r="P136" s="1488"/>
      <c r="Q136" s="1488"/>
      <c r="R136" s="1488"/>
      <c r="S136" s="1488"/>
      <c r="T136" s="1488"/>
      <c r="U136" s="1488"/>
      <c r="V136" s="1488"/>
      <c r="W136" s="1488"/>
      <c r="X136" s="1488"/>
      <c r="Y136" s="1488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 s="172" customFormat="1" ht="16.149999999999999" thickBot="1" x14ac:dyDescent="0.6">
      <c r="A137" s="1235"/>
      <c r="B137" s="300"/>
      <c r="C137" s="1261">
        <v>44759</v>
      </c>
      <c r="D137" s="1452"/>
      <c r="E137" s="476"/>
      <c r="F137" s="6"/>
      <c r="G137" s="6"/>
      <c r="H137" s="824"/>
      <c r="I137" s="755"/>
      <c r="J137" s="85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75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 s="172" customFormat="1" x14ac:dyDescent="0.35">
      <c r="A138" s="1235"/>
      <c r="B138" s="300"/>
      <c r="C138" s="1261">
        <v>44760</v>
      </c>
      <c r="D138" s="1452"/>
      <c r="E138" s="476"/>
      <c r="F138" s="6"/>
      <c r="G138" s="6"/>
      <c r="H138" s="31"/>
      <c r="I138" s="79"/>
      <c r="J138" s="85"/>
      <c r="K138" s="1488"/>
      <c r="L138" s="1488"/>
      <c r="M138" s="1488"/>
      <c r="N138" s="1488"/>
      <c r="O138" s="1488"/>
      <c r="P138" s="1488"/>
      <c r="Q138" s="1488"/>
      <c r="R138" s="1488"/>
      <c r="S138" s="1488"/>
      <c r="T138" s="1488"/>
      <c r="U138" s="1488"/>
      <c r="V138" s="1488"/>
      <c r="W138" s="1488"/>
      <c r="X138" s="1488"/>
      <c r="Y138" s="1488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 s="172" customFormat="1" x14ac:dyDescent="0.35">
      <c r="A139" s="1235"/>
      <c r="B139" s="300"/>
      <c r="C139" s="1261">
        <v>44761</v>
      </c>
      <c r="D139" s="1451"/>
      <c r="E139" s="210"/>
      <c r="F139" s="7"/>
      <c r="G139" s="7"/>
      <c r="H139" s="210"/>
      <c r="I139" s="1243"/>
      <c r="J139" s="210"/>
      <c r="K139" s="1544"/>
      <c r="L139" s="1544"/>
      <c r="M139" s="1544"/>
      <c r="N139" s="1544"/>
      <c r="O139" s="1544"/>
      <c r="P139" s="1544"/>
      <c r="Q139" s="1544"/>
      <c r="R139" s="1544"/>
      <c r="S139" s="1544"/>
      <c r="T139" s="1544"/>
      <c r="U139" s="1544"/>
      <c r="V139" s="1544"/>
      <c r="W139" s="1544"/>
      <c r="X139" s="1544"/>
      <c r="Y139" s="1488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 s="172" customFormat="1" ht="16.149999999999999" thickBot="1" x14ac:dyDescent="0.6">
      <c r="A140" s="1235"/>
      <c r="B140" s="300"/>
      <c r="C140" s="1261">
        <v>44762</v>
      </c>
      <c r="D140" s="1407">
        <v>473588</v>
      </c>
      <c r="E140" s="33">
        <v>2842812</v>
      </c>
      <c r="F140" s="6">
        <v>362593</v>
      </c>
      <c r="G140" s="6">
        <v>29418147</v>
      </c>
      <c r="H140" s="910"/>
      <c r="I140" s="824"/>
      <c r="J140" s="85">
        <v>700060</v>
      </c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75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 s="172" customFormat="1" ht="15.75" x14ac:dyDescent="0.55000000000000004">
      <c r="A141" s="1235"/>
      <c r="B141" s="300"/>
      <c r="C141" s="1261">
        <v>44763</v>
      </c>
      <c r="D141" s="1407">
        <v>46614</v>
      </c>
      <c r="E141" s="33">
        <v>278133</v>
      </c>
      <c r="F141" s="6">
        <v>35307</v>
      </c>
      <c r="G141" s="6">
        <v>2660560</v>
      </c>
      <c r="H141" s="828"/>
      <c r="I141" s="1255"/>
      <c r="J141" s="85">
        <v>67580</v>
      </c>
      <c r="K141" s="1488"/>
      <c r="L141" s="1488"/>
      <c r="M141" s="1488"/>
      <c r="N141" s="1488"/>
      <c r="O141" s="1488"/>
      <c r="P141" s="1488"/>
      <c r="Q141" s="1488"/>
      <c r="R141" s="1488"/>
      <c r="S141" s="1488"/>
      <c r="T141" s="1488"/>
      <c r="U141" s="1488"/>
      <c r="V141" s="1488"/>
      <c r="W141" s="1488"/>
      <c r="X141" s="1488"/>
      <c r="Y141" s="1494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 s="172" customFormat="1" x14ac:dyDescent="0.35">
      <c r="A142" s="1235"/>
      <c r="B142" s="300"/>
      <c r="C142" s="1261">
        <v>44764</v>
      </c>
      <c r="D142" s="1407">
        <v>38432</v>
      </c>
      <c r="E142" s="33">
        <v>238637</v>
      </c>
      <c r="F142" s="6">
        <v>32354</v>
      </c>
      <c r="G142" s="6">
        <v>2640828</v>
      </c>
      <c r="H142" s="31"/>
      <c r="I142" s="79"/>
      <c r="J142" s="85">
        <v>62240</v>
      </c>
      <c r="K142" s="1488"/>
      <c r="L142" s="1488"/>
      <c r="M142" s="1488"/>
      <c r="N142" s="1488"/>
      <c r="O142" s="1488"/>
      <c r="P142" s="1488"/>
      <c r="Q142" s="1488"/>
      <c r="R142" s="1488"/>
      <c r="S142" s="1488"/>
      <c r="T142" s="1488"/>
      <c r="U142" s="1488"/>
      <c r="V142" s="1488"/>
      <c r="W142" s="1488"/>
      <c r="X142" s="1488"/>
      <c r="Y142" s="1488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 s="172" customFormat="1" ht="16.149999999999999" thickBot="1" x14ac:dyDescent="0.6">
      <c r="A143" s="1235"/>
      <c r="B143" s="300"/>
      <c r="C143" s="1261">
        <v>44765</v>
      </c>
      <c r="D143" s="1454">
        <v>52269</v>
      </c>
      <c r="E143" s="1243">
        <v>485545</v>
      </c>
      <c r="F143" s="1246">
        <v>45126</v>
      </c>
      <c r="G143" s="1246">
        <v>4941893</v>
      </c>
      <c r="H143" s="1536">
        <v>884086</v>
      </c>
      <c r="I143" s="1535">
        <v>638434167</v>
      </c>
      <c r="J143" s="1243">
        <v>92490</v>
      </c>
      <c r="K143" s="1228"/>
      <c r="L143" s="1228"/>
      <c r="M143" s="1228"/>
      <c r="N143" s="1228"/>
      <c r="O143" s="1228"/>
      <c r="P143" s="1228"/>
      <c r="Q143" s="1228"/>
      <c r="R143" s="1228"/>
      <c r="S143" s="1228"/>
      <c r="T143" s="1228"/>
      <c r="U143" s="1228"/>
      <c r="V143" s="1228"/>
      <c r="W143" s="1228"/>
      <c r="X143" s="1228"/>
      <c r="Y143" s="755">
        <v>26164943</v>
      </c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 s="172" customFormat="1" x14ac:dyDescent="0.35">
      <c r="A144" s="1235"/>
      <c r="B144" s="300"/>
      <c r="C144" s="1261">
        <v>44766</v>
      </c>
      <c r="D144" s="1407">
        <v>41665</v>
      </c>
      <c r="E144" s="33">
        <v>397862</v>
      </c>
      <c r="F144" s="6">
        <v>34901</v>
      </c>
      <c r="G144" s="6">
        <v>3063871</v>
      </c>
      <c r="H144" s="31"/>
      <c r="I144" s="79"/>
      <c r="J144" s="85">
        <v>82750</v>
      </c>
      <c r="K144" s="1488"/>
      <c r="L144" s="1488"/>
      <c r="M144" s="1488"/>
      <c r="N144" s="1488"/>
      <c r="O144" s="1488"/>
      <c r="P144" s="1488"/>
      <c r="Q144" s="1488"/>
      <c r="R144" s="1488"/>
      <c r="S144" s="1488"/>
      <c r="T144" s="1488"/>
      <c r="U144" s="1488"/>
      <c r="V144" s="1488"/>
      <c r="W144" s="1488"/>
      <c r="X144" s="1488"/>
      <c r="Y144" s="1488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3:25" x14ac:dyDescent="0.35">
      <c r="C145" s="1261">
        <v>44767</v>
      </c>
      <c r="D145" s="1407">
        <v>58882</v>
      </c>
      <c r="E145" s="33">
        <v>338992</v>
      </c>
      <c r="F145" s="6">
        <v>45029</v>
      </c>
      <c r="G145" s="6">
        <v>2954452</v>
      </c>
      <c r="H145" s="31"/>
      <c r="I145" s="79"/>
      <c r="J145" s="85">
        <v>69650</v>
      </c>
      <c r="K145" s="1488"/>
      <c r="L145" s="1488"/>
      <c r="M145" s="1488"/>
      <c r="N145" s="1488"/>
      <c r="O145" s="1488"/>
      <c r="P145" s="1488"/>
      <c r="Q145" s="1488"/>
      <c r="R145" s="1488"/>
      <c r="S145" s="1488"/>
      <c r="T145" s="1488"/>
      <c r="U145" s="1488"/>
      <c r="V145" s="1488"/>
      <c r="W145" s="1488"/>
      <c r="X145" s="1488"/>
      <c r="Y145" s="1488"/>
    </row>
    <row r="146" spans="3:25" x14ac:dyDescent="0.35">
      <c r="C146" s="1261">
        <v>44768</v>
      </c>
      <c r="D146" s="1407"/>
      <c r="E146" s="33"/>
      <c r="F146" s="6"/>
      <c r="G146" s="6"/>
      <c r="H146" s="31"/>
      <c r="I146" s="79"/>
      <c r="J146" s="85"/>
      <c r="K146" s="1488"/>
      <c r="L146" s="1488"/>
      <c r="M146" s="1488"/>
      <c r="N146" s="1488"/>
      <c r="O146" s="1488"/>
      <c r="P146" s="1488"/>
      <c r="Q146" s="1488"/>
      <c r="R146" s="1488"/>
      <c r="S146" s="1488"/>
      <c r="T146" s="1488"/>
      <c r="U146" s="1488"/>
      <c r="V146" s="1488"/>
      <c r="W146" s="1488"/>
      <c r="X146" s="1488"/>
      <c r="Y146" s="1488"/>
    </row>
    <row r="147" spans="3:25" x14ac:dyDescent="0.35">
      <c r="C147" s="1261">
        <v>44769</v>
      </c>
      <c r="D147" s="1407"/>
      <c r="E147" s="33"/>
      <c r="F147" s="6"/>
      <c r="G147" s="6"/>
      <c r="H147" s="31"/>
      <c r="I147" s="79"/>
      <c r="J147" s="85"/>
      <c r="K147" s="1488"/>
      <c r="L147" s="1488"/>
      <c r="M147" s="1488"/>
      <c r="N147" s="1488"/>
      <c r="O147" s="1488"/>
      <c r="P147" s="1488"/>
      <c r="Q147" s="1488"/>
      <c r="R147" s="1488"/>
      <c r="S147" s="1488"/>
      <c r="T147" s="1488"/>
      <c r="U147" s="1488"/>
      <c r="V147" s="1488"/>
      <c r="W147" s="1488"/>
      <c r="X147" s="1488"/>
      <c r="Y147" s="1488"/>
    </row>
    <row r="148" spans="3:25" x14ac:dyDescent="0.35">
      <c r="C148" s="1261">
        <v>44770</v>
      </c>
      <c r="D148" s="1407"/>
      <c r="E148" s="33"/>
      <c r="F148" s="6"/>
      <c r="G148" s="6"/>
      <c r="H148" s="31"/>
      <c r="I148" s="79"/>
      <c r="J148" s="85"/>
      <c r="K148" s="1488"/>
      <c r="L148" s="1488"/>
      <c r="M148" s="1488"/>
      <c r="N148" s="1488"/>
      <c r="O148" s="1488"/>
      <c r="P148" s="1488"/>
      <c r="Q148" s="1488"/>
      <c r="R148" s="1488"/>
      <c r="S148" s="1488"/>
      <c r="T148" s="1488"/>
      <c r="U148" s="1488"/>
      <c r="V148" s="1488"/>
      <c r="W148" s="1488"/>
      <c r="X148" s="1488"/>
      <c r="Y148" s="1488"/>
    </row>
    <row r="149" spans="3:25" x14ac:dyDescent="0.35">
      <c r="C149" s="1261">
        <v>44771</v>
      </c>
      <c r="D149" s="1407"/>
      <c r="E149" s="33"/>
      <c r="F149" s="6"/>
      <c r="G149" s="6"/>
      <c r="H149" s="31"/>
      <c r="I149" s="79"/>
      <c r="J149" s="85"/>
      <c r="K149" s="1488"/>
      <c r="L149" s="1488"/>
      <c r="M149" s="1488"/>
      <c r="N149" s="1488"/>
      <c r="O149" s="1488"/>
      <c r="P149" s="1488"/>
      <c r="Q149" s="1488"/>
      <c r="R149" s="1488"/>
      <c r="S149" s="1488"/>
      <c r="T149" s="1488"/>
      <c r="U149" s="1488"/>
      <c r="V149" s="1488"/>
      <c r="W149" s="1488"/>
      <c r="X149" s="1488"/>
      <c r="Y149" s="1488"/>
    </row>
    <row r="150" spans="3:25" x14ac:dyDescent="0.35">
      <c r="C150" s="1261">
        <v>44772</v>
      </c>
      <c r="D150" s="1407"/>
      <c r="E150" s="33"/>
      <c r="F150" s="6"/>
      <c r="G150" s="6"/>
      <c r="H150" s="31"/>
      <c r="I150" s="79"/>
      <c r="J150" s="85"/>
      <c r="K150" s="1488"/>
      <c r="L150" s="1488"/>
      <c r="M150" s="1488"/>
      <c r="N150" s="1488"/>
      <c r="O150" s="1488"/>
      <c r="P150" s="1488"/>
      <c r="Q150" s="1488"/>
      <c r="R150" s="1488"/>
      <c r="S150" s="1488"/>
      <c r="T150" s="1488"/>
      <c r="U150" s="1488"/>
      <c r="V150" s="1488"/>
      <c r="W150" s="1488"/>
      <c r="X150" s="1488"/>
      <c r="Y150" s="1488"/>
    </row>
    <row r="151" spans="3:25" x14ac:dyDescent="0.35">
      <c r="C151" s="1261">
        <v>44773</v>
      </c>
      <c r="D151" s="1462">
        <f>SUM(D120:D150)</f>
        <v>1192570</v>
      </c>
      <c r="E151" s="1462">
        <f t="shared" ref="E151:Y151" si="21">SUM(E120:E150)</f>
        <v>7789503</v>
      </c>
      <c r="F151" s="1462">
        <f t="shared" si="21"/>
        <v>935756</v>
      </c>
      <c r="G151" s="1462">
        <f t="shared" si="21"/>
        <v>74693758</v>
      </c>
      <c r="H151" s="1462">
        <f t="shared" si="21"/>
        <v>884086</v>
      </c>
      <c r="I151" s="1462">
        <f t="shared" si="21"/>
        <v>638434167</v>
      </c>
      <c r="J151" s="1462">
        <f t="shared" si="21"/>
        <v>1859170</v>
      </c>
      <c r="K151" s="1462"/>
      <c r="L151" s="1462"/>
      <c r="M151" s="1462"/>
      <c r="N151" s="1462"/>
      <c r="O151" s="1462"/>
      <c r="P151" s="1462"/>
      <c r="Q151" s="1462"/>
      <c r="R151" s="1462"/>
      <c r="S151" s="1462"/>
      <c r="T151" s="1462"/>
      <c r="U151" s="1462"/>
      <c r="V151" s="1462"/>
      <c r="W151" s="1462"/>
      <c r="X151" s="1462"/>
      <c r="Y151" s="1462">
        <f t="shared" si="21"/>
        <v>26164943</v>
      </c>
    </row>
  </sheetData>
  <mergeCells count="47">
    <mergeCell ref="D82:E82"/>
    <mergeCell ref="F82:G82"/>
    <mergeCell ref="H82:I82"/>
    <mergeCell ref="D119:E119"/>
    <mergeCell ref="F119:G119"/>
    <mergeCell ref="H119:I119"/>
    <mergeCell ref="A49:A52"/>
    <mergeCell ref="B49:I49"/>
    <mergeCell ref="D50:D52"/>
    <mergeCell ref="E50:E52"/>
    <mergeCell ref="H50:H52"/>
    <mergeCell ref="A38:A43"/>
    <mergeCell ref="B38:I38"/>
    <mergeCell ref="A45:A48"/>
    <mergeCell ref="B45:I45"/>
    <mergeCell ref="D47:D48"/>
    <mergeCell ref="E47:E48"/>
    <mergeCell ref="H47:H48"/>
    <mergeCell ref="A29:A36"/>
    <mergeCell ref="B29:I29"/>
    <mergeCell ref="B27:C28"/>
    <mergeCell ref="D27:E27"/>
    <mergeCell ref="F27:G27"/>
    <mergeCell ref="H27:I27"/>
    <mergeCell ref="H16:H17"/>
    <mergeCell ref="A18:A25"/>
    <mergeCell ref="C18:E18"/>
    <mergeCell ref="F18:I18"/>
    <mergeCell ref="A11:I11"/>
    <mergeCell ref="B13:I13"/>
    <mergeCell ref="A14:A17"/>
    <mergeCell ref="B14:I14"/>
    <mergeCell ref="D16:D17"/>
    <mergeCell ref="E16:E17"/>
    <mergeCell ref="A1:I1"/>
    <mergeCell ref="AD2:AI2"/>
    <mergeCell ref="A3:A5"/>
    <mergeCell ref="B3:B5"/>
    <mergeCell ref="D3:E3"/>
    <mergeCell ref="F3:G3"/>
    <mergeCell ref="H3:I3"/>
    <mergeCell ref="A2:I2"/>
    <mergeCell ref="H4:H5"/>
    <mergeCell ref="I4:I5"/>
    <mergeCell ref="D5:E5"/>
    <mergeCell ref="AD3:AI3"/>
    <mergeCell ref="R3:S3"/>
  </mergeCells>
  <pageMargins left="0.7" right="0.7" top="0.75" bottom="0.75" header="0.3" footer="0.3"/>
  <pageSetup paperSize="9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622F5-750E-48D0-A3EB-3ECB7AFC5E48}">
  <sheetPr>
    <pageSetUpPr fitToPage="1"/>
  </sheetPr>
  <dimension ref="A1:P34"/>
  <sheetViews>
    <sheetView topLeftCell="A10" workbookViewId="0">
      <selection activeCell="K25" sqref="K25"/>
    </sheetView>
  </sheetViews>
  <sheetFormatPr defaultRowHeight="14.25" x14ac:dyDescent="0.45"/>
  <cols>
    <col min="1" max="1" width="11.1328125" bestFit="1" customWidth="1"/>
    <col min="2" max="2" width="11.1328125" customWidth="1"/>
    <col min="3" max="3" width="9.265625" bestFit="1" customWidth="1"/>
    <col min="4" max="4" width="10.59765625" bestFit="1" customWidth="1"/>
  </cols>
  <sheetData>
    <row r="1" spans="1:16" ht="23.65" thickBot="1" x14ac:dyDescent="0.75">
      <c r="A1" s="2610" t="s">
        <v>1020</v>
      </c>
      <c r="B1" s="2610"/>
      <c r="C1" s="2610"/>
      <c r="D1" s="2610"/>
      <c r="E1" s="2610"/>
      <c r="F1" s="2610"/>
      <c r="G1" s="2610"/>
      <c r="H1" s="2610"/>
      <c r="I1" s="2610"/>
      <c r="J1" s="2610"/>
      <c r="K1" s="2610"/>
      <c r="L1" s="2610"/>
      <c r="M1" s="2610"/>
      <c r="N1" s="2610"/>
      <c r="O1" s="2610"/>
      <c r="P1" s="2610"/>
    </row>
    <row r="2" spans="1:16" ht="14.65" thickBot="1" x14ac:dyDescent="0.5">
      <c r="A2" s="2613" t="s">
        <v>127</v>
      </c>
      <c r="B2" s="2618" t="s">
        <v>368</v>
      </c>
      <c r="C2" s="2619"/>
      <c r="D2" s="2619"/>
      <c r="E2" s="2619"/>
      <c r="F2" s="2620"/>
      <c r="G2" s="2618" t="s">
        <v>920</v>
      </c>
      <c r="H2" s="2619"/>
      <c r="I2" s="2619"/>
      <c r="J2" s="2619"/>
      <c r="K2" s="2620"/>
      <c r="L2" s="2618" t="s">
        <v>447</v>
      </c>
      <c r="M2" s="2619"/>
      <c r="N2" s="2619"/>
      <c r="O2" s="2619"/>
      <c r="P2" s="2620"/>
    </row>
    <row r="3" spans="1:16" ht="14.65" thickBot="1" x14ac:dyDescent="0.5">
      <c r="A3" s="2614"/>
      <c r="B3" s="1562" t="s">
        <v>194</v>
      </c>
      <c r="C3" s="1562" t="s">
        <v>701</v>
      </c>
      <c r="D3" s="1562" t="s">
        <v>907</v>
      </c>
      <c r="E3" s="1562" t="s">
        <v>922</v>
      </c>
      <c r="F3" s="1562" t="s">
        <v>923</v>
      </c>
      <c r="G3" s="1562" t="s">
        <v>194</v>
      </c>
      <c r="H3" s="1562" t="s">
        <v>701</v>
      </c>
      <c r="I3" s="1562" t="s">
        <v>907</v>
      </c>
      <c r="J3" s="1582" t="s">
        <v>922</v>
      </c>
      <c r="K3" s="1562" t="s">
        <v>923</v>
      </c>
      <c r="L3" s="1562" t="s">
        <v>194</v>
      </c>
      <c r="M3" s="1562" t="s">
        <v>701</v>
      </c>
      <c r="N3" s="1562" t="s">
        <v>907</v>
      </c>
      <c r="O3" s="1562" t="s">
        <v>922</v>
      </c>
      <c r="P3" s="1563" t="s">
        <v>923</v>
      </c>
    </row>
    <row r="4" spans="1:16" ht="21.75" customHeight="1" x14ac:dyDescent="0.45">
      <c r="A4" s="799" t="s">
        <v>131</v>
      </c>
      <c r="B4" s="400">
        <v>1.1624999999999999</v>
      </c>
      <c r="C4" s="1553">
        <f>'actual fig'!T20/10000000</f>
        <v>0.56375010000000003</v>
      </c>
      <c r="D4" s="1553">
        <f>'ACTUAL- 23-24'!O20/10000000</f>
        <v>0.73698850000000005</v>
      </c>
      <c r="E4" s="1555">
        <f>(D4-B4)/B4*100</f>
        <v>-36.603139784946222</v>
      </c>
      <c r="F4" s="1580">
        <f>(D4-C4)/C4*100</f>
        <v>30.72964421647109</v>
      </c>
      <c r="G4" s="400">
        <v>0.16250000000000001</v>
      </c>
      <c r="H4" s="1553">
        <f>'actual fig'!U20/10000000</f>
        <v>2.2256100000000001E-2</v>
      </c>
      <c r="I4" s="1553">
        <f>'ACTUAL- 23-24'!P20/10000000</f>
        <v>0.1442686</v>
      </c>
      <c r="J4" s="1581">
        <f>(I4-G4)/G4*100</f>
        <v>-11.219323076923082</v>
      </c>
      <c r="K4" s="1579">
        <f>(I4-H4)/H4*100</f>
        <v>548.22048786624794</v>
      </c>
      <c r="L4" s="400">
        <v>0.27083333333333331</v>
      </c>
      <c r="M4" s="1553">
        <f>'actual fig'!V20/10000000</f>
        <v>3.2181599999999998E-2</v>
      </c>
      <c r="N4" s="1553">
        <f>'ACTUAL- 23-24'!Q20/10000000</f>
        <v>4.6314800000000003E-2</v>
      </c>
      <c r="O4" s="1581">
        <f>(N4-L4)/L4*100</f>
        <v>-82.899150769230772</v>
      </c>
      <c r="P4" s="1579">
        <f>(N4-M4)/M4*100</f>
        <v>43.917020906356449</v>
      </c>
    </row>
    <row r="5" spans="1:16" ht="21.75" customHeight="1" x14ac:dyDescent="0.45">
      <c r="A5" s="787" t="s">
        <v>132</v>
      </c>
      <c r="B5" s="400">
        <v>1.1624999999999999</v>
      </c>
      <c r="C5" s="1553">
        <f>'actual fig'!T21/10000000</f>
        <v>0.45281149999999998</v>
      </c>
      <c r="D5" s="1553">
        <f>'ACTUAL- 23-24'!O21/10000000</f>
        <v>1.0164221</v>
      </c>
      <c r="E5" s="1555">
        <f t="shared" ref="E5:E16" si="0">(D5-B5)/B5*100</f>
        <v>-12.565840860215044</v>
      </c>
      <c r="F5" s="1580">
        <f t="shared" ref="F5:F16" si="1">(D5-C5)/C5*100</f>
        <v>124.46914444531556</v>
      </c>
      <c r="G5" s="400">
        <v>0.16250000000000001</v>
      </c>
      <c r="H5" s="1553">
        <f>'actual fig'!U21/10000000</f>
        <v>1.67677E-2</v>
      </c>
      <c r="I5" s="1553">
        <f>'ACTUAL- 23-24'!P21/10000000</f>
        <v>6.1580500000000003E-2</v>
      </c>
      <c r="J5" s="1581">
        <f t="shared" ref="J5:J16" si="2">(I5-G5)/G5*100</f>
        <v>-62.104307692307692</v>
      </c>
      <c r="K5" s="1579">
        <f t="shared" ref="K5:K16" si="3">(I5-H5)/H5*100</f>
        <v>267.25668994555008</v>
      </c>
      <c r="L5" s="400">
        <v>0.27083333333333331</v>
      </c>
      <c r="M5" s="1553">
        <f>'actual fig'!V21/10000000</f>
        <v>0</v>
      </c>
      <c r="N5" s="1553">
        <f>'ACTUAL- 23-24'!Q21/10000000</f>
        <v>0.13616039999999999</v>
      </c>
      <c r="O5" s="1581">
        <f t="shared" ref="O5:O16" si="4">(N5-L5)/L5*100</f>
        <v>-49.725390769230771</v>
      </c>
      <c r="P5" s="1579" t="e">
        <f t="shared" ref="P5:P16" si="5">(N5-M5)/M5*100</f>
        <v>#DIV/0!</v>
      </c>
    </row>
    <row r="6" spans="1:16" ht="21.75" customHeight="1" x14ac:dyDescent="0.45">
      <c r="A6" s="787" t="s">
        <v>133</v>
      </c>
      <c r="B6" s="400">
        <v>1.1624999999999999</v>
      </c>
      <c r="C6" s="1553">
        <f>'actual fig'!T22/10000000</f>
        <v>0.99820699999999996</v>
      </c>
      <c r="D6" s="1553">
        <f>'ACTUAL- 23-24'!O22/10000000</f>
        <v>1.0995942999999999</v>
      </c>
      <c r="E6" s="1555">
        <f t="shared" si="0"/>
        <v>-5.4112430107526848</v>
      </c>
      <c r="F6" s="1580">
        <f t="shared" si="1"/>
        <v>10.156941395922885</v>
      </c>
      <c r="G6" s="400">
        <v>0.16250000000000001</v>
      </c>
      <c r="H6" s="1553">
        <f>'actual fig'!U22/10000000</f>
        <v>4.2574899999999999E-2</v>
      </c>
      <c r="I6" s="1553">
        <f>'ACTUAL- 23-24'!P22/10000000</f>
        <v>0.47974169999999999</v>
      </c>
      <c r="J6" s="1581">
        <f t="shared" si="2"/>
        <v>195.22566153846151</v>
      </c>
      <c r="K6" s="1579">
        <f t="shared" si="3"/>
        <v>1026.8181487214297</v>
      </c>
      <c r="L6" s="400">
        <v>0.27083333333333331</v>
      </c>
      <c r="M6" s="1553">
        <f>'actual fig'!V22/10000000</f>
        <v>2.3478599999999999E-2</v>
      </c>
      <c r="N6" s="1553">
        <f>'ACTUAL- 23-24'!Q22/10000000</f>
        <v>0.14486599999999999</v>
      </c>
      <c r="O6" s="1581">
        <f t="shared" si="4"/>
        <v>-46.511015384615384</v>
      </c>
      <c r="P6" s="1579">
        <f t="shared" si="5"/>
        <v>517.01293944272652</v>
      </c>
    </row>
    <row r="7" spans="1:16" ht="21.75" customHeight="1" x14ac:dyDescent="0.45">
      <c r="A7" s="787" t="s">
        <v>51</v>
      </c>
      <c r="B7" s="400">
        <v>1.1624999999999999</v>
      </c>
      <c r="C7" s="1553">
        <f>'actual fig'!T23/10000000</f>
        <v>0.5185746</v>
      </c>
      <c r="D7" s="1553">
        <f>'ACTUAL- 23-24'!O23/10000000</f>
        <v>1.401062</v>
      </c>
      <c r="E7" s="1555">
        <f t="shared" si="0"/>
        <v>20.521462365591415</v>
      </c>
      <c r="F7" s="1580">
        <f t="shared" si="1"/>
        <v>170.17559286552023</v>
      </c>
      <c r="G7" s="400">
        <v>0.16250000000000001</v>
      </c>
      <c r="H7" s="1553">
        <f>'actual fig'!U23/10000000</f>
        <v>3.1687399999999998E-2</v>
      </c>
      <c r="I7" s="1553">
        <f>'ACTUAL- 23-24'!P23/10000000</f>
        <v>0.1430362</v>
      </c>
      <c r="J7" s="1581">
        <f t="shared" si="2"/>
        <v>-11.977723076923079</v>
      </c>
      <c r="K7" s="1579">
        <f t="shared" si="3"/>
        <v>351.39771644249771</v>
      </c>
      <c r="L7" s="400">
        <v>0.27083333333333331</v>
      </c>
      <c r="M7" s="1553">
        <f>'actual fig'!V23/10000000</f>
        <v>7.9338400000000003E-2</v>
      </c>
      <c r="N7" s="1553">
        <f>'ACTUAL- 23-24'!Q23/10000000</f>
        <v>4.1395500000000002E-2</v>
      </c>
      <c r="O7" s="1581">
        <f t="shared" si="4"/>
        <v>-84.715507692307696</v>
      </c>
      <c r="P7" s="1579">
        <f t="shared" si="5"/>
        <v>-47.824130559728964</v>
      </c>
    </row>
    <row r="8" spans="1:16" x14ac:dyDescent="0.45">
      <c r="A8" s="787" t="s">
        <v>134</v>
      </c>
      <c r="B8" s="400">
        <v>1.1624999999999999</v>
      </c>
      <c r="C8" s="1553">
        <f>'actual fig'!T24/10000000</f>
        <v>0.85950380000000004</v>
      </c>
      <c r="D8" s="1553">
        <f>'ACTUAL- 23-24'!O24/10000000</f>
        <v>1.3437513000000001</v>
      </c>
      <c r="E8" s="1555">
        <f t="shared" si="0"/>
        <v>15.591509677419376</v>
      </c>
      <c r="F8" s="1556">
        <f t="shared" si="1"/>
        <v>56.340355912329883</v>
      </c>
      <c r="G8" s="400">
        <v>0.16250000000000001</v>
      </c>
      <c r="H8" s="1553">
        <f>'actual fig'!U24/10000000</f>
        <v>9.0284100000000006E-2</v>
      </c>
      <c r="I8" s="1553">
        <f>'ACTUAL- 23-24'!P24/10000000</f>
        <v>6.7934499999999995E-2</v>
      </c>
      <c r="J8" s="1553">
        <f t="shared" si="2"/>
        <v>-58.194153846153853</v>
      </c>
      <c r="K8" s="1557">
        <f t="shared" si="3"/>
        <v>-24.754746406067081</v>
      </c>
      <c r="L8" s="400">
        <v>0.27083333333333331</v>
      </c>
      <c r="M8" s="1553">
        <f>'actual fig'!V24/10000000</f>
        <v>6.6659200000000002E-2</v>
      </c>
      <c r="N8" s="1553">
        <f>'ACTUAL- 23-24'!Q24/10000000</f>
        <v>0.35313480000000003</v>
      </c>
      <c r="O8" s="1553">
        <f t="shared" si="4"/>
        <v>30.388233846153867</v>
      </c>
      <c r="P8" s="1557">
        <f t="shared" si="5"/>
        <v>429.76153329172871</v>
      </c>
    </row>
    <row r="9" spans="1:16" x14ac:dyDescent="0.45">
      <c r="A9" s="787" t="s">
        <v>135</v>
      </c>
      <c r="B9" s="400">
        <v>1.1624999999999999</v>
      </c>
      <c r="C9" s="1553">
        <f>'actual fig'!T25/10000000</f>
        <v>1.7060818</v>
      </c>
      <c r="D9" s="1553">
        <f>'ACTUAL- 23-24'!O25/10000000</f>
        <v>0.78629590000000005</v>
      </c>
      <c r="E9" s="1555">
        <f t="shared" ref="E9" si="6">(D9-B9)/B9*100</f>
        <v>-32.36164301075268</v>
      </c>
      <c r="F9" s="1556">
        <f t="shared" ref="F9" si="7">(D9-C9)/C9*100</f>
        <v>-53.912180529679176</v>
      </c>
      <c r="G9" s="400">
        <v>0.16250000000000001</v>
      </c>
      <c r="H9" s="1553">
        <f>'actual fig'!U25/10000000</f>
        <v>0.3620062</v>
      </c>
      <c r="I9" s="1553">
        <f>'ACTUAL- 23-24'!P25/10000000</f>
        <v>0.53544069999999999</v>
      </c>
      <c r="J9" s="1553">
        <f t="shared" ref="J9" si="8">(I9-G9)/G9*100</f>
        <v>229.50196923076925</v>
      </c>
      <c r="K9" s="1557">
        <f t="shared" ref="K9" si="9">(I9-H9)/H9*100</f>
        <v>47.909262327551296</v>
      </c>
      <c r="L9" s="400">
        <v>0.27083333333333331</v>
      </c>
      <c r="M9" s="1553">
        <f>'actual fig'!V25/10000000</f>
        <v>0.4819407</v>
      </c>
      <c r="N9" s="1553">
        <f>'ACTUAL- 23-24'!Q25/10000000</f>
        <v>0.1088359</v>
      </c>
      <c r="O9" s="1553">
        <f t="shared" ref="O9" si="10">(N9-L9)/L9*100</f>
        <v>-59.814436923076933</v>
      </c>
      <c r="P9" s="1557">
        <f t="shared" ref="P9" si="11">(N9-M9)/M9*100</f>
        <v>-77.417159414010897</v>
      </c>
    </row>
    <row r="10" spans="1:16" s="89" customFormat="1" x14ac:dyDescent="0.45">
      <c r="A10" s="787" t="s">
        <v>136</v>
      </c>
      <c r="B10" s="400">
        <v>1.1624999999999999</v>
      </c>
      <c r="C10" s="1553">
        <f>'actual fig'!T26/10000000</f>
        <v>0.70853259999999996</v>
      </c>
      <c r="D10" s="1553">
        <f>'ACTUAL- 23-24'!O26/10000000</f>
        <v>0.50067609999999996</v>
      </c>
      <c r="E10" s="1555">
        <f t="shared" ref="E10:E11" si="12">(D10-B10)/B10*100</f>
        <v>-56.931088172043012</v>
      </c>
      <c r="F10" s="1556">
        <f t="shared" ref="F10:F11" si="13">(D10-C10)/C10*100</f>
        <v>-29.336194269677922</v>
      </c>
      <c r="G10" s="400">
        <v>0.16250000000000001</v>
      </c>
      <c r="H10" s="1553">
        <f>'actual fig'!U26/10000000</f>
        <v>8.3276799999999998E-2</v>
      </c>
      <c r="I10" s="1553">
        <f>'ACTUAL- 23-24'!P26/10000000</f>
        <v>7.7361799999999994E-2</v>
      </c>
      <c r="J10" s="1553">
        <f t="shared" ref="J10:J11" si="14">(I10-G10)/G10*100</f>
        <v>-52.392738461538471</v>
      </c>
      <c r="K10" s="1557">
        <f t="shared" ref="K10" si="15">(I10-H10)/H10*100</f>
        <v>-7.1028185521057523</v>
      </c>
      <c r="L10" s="400">
        <v>0.27083333333333331</v>
      </c>
      <c r="M10" s="1553">
        <f>'actual fig'!V26/10000000</f>
        <v>0.1203597</v>
      </c>
      <c r="N10" s="1553">
        <f>'ACTUAL- 23-24'!Q26/10000000</f>
        <v>0.1586052</v>
      </c>
      <c r="O10" s="1553">
        <f t="shared" ref="O10:O11" si="16">(N10-L10)/L10*100</f>
        <v>-41.438079999999992</v>
      </c>
      <c r="P10" s="1557">
        <f t="shared" ref="P10:P11" si="17">(N10-M10)/M10*100</f>
        <v>31.7760014356965</v>
      </c>
    </row>
    <row r="11" spans="1:16" x14ac:dyDescent="0.45">
      <c r="A11" s="787" t="s">
        <v>137</v>
      </c>
      <c r="B11" s="400">
        <v>1.1624999999999999</v>
      </c>
      <c r="C11" s="1553">
        <f>'actual fig'!T27/10000000</f>
        <v>1.2100426</v>
      </c>
      <c r="D11" s="1553">
        <f>'ACTUAL- 23-24'!O27/10000000</f>
        <v>1.3363186</v>
      </c>
      <c r="E11" s="1555">
        <f t="shared" si="12"/>
        <v>14.952137634408617</v>
      </c>
      <c r="F11" s="1556">
        <f t="shared" si="13"/>
        <v>10.435665653424108</v>
      </c>
      <c r="G11" s="400">
        <v>0.16250000000000001</v>
      </c>
      <c r="H11" s="1553">
        <f>'actual fig'!U27/10000000</f>
        <v>0.1550318</v>
      </c>
      <c r="I11" s="1553">
        <f>'ACTUAL- 23-24'!P27/10000000</f>
        <v>8.97892E-2</v>
      </c>
      <c r="J11" s="1553">
        <f t="shared" si="14"/>
        <v>-44.745107692307698</v>
      </c>
      <c r="K11" s="1557">
        <f>(I11-H11)/H11*100</f>
        <v>-42.083366122305229</v>
      </c>
      <c r="L11" s="400">
        <v>0.27083333333333331</v>
      </c>
      <c r="M11" s="1553">
        <f>'actual fig'!V27/10000000</f>
        <v>0.44543159999999998</v>
      </c>
      <c r="N11" s="1553">
        <f>'ACTUAL- 23-24'!Q27/10000000</f>
        <v>0.14057620000000001</v>
      </c>
      <c r="O11" s="1553">
        <f t="shared" si="16"/>
        <v>-48.094941538461534</v>
      </c>
      <c r="P11" s="1557">
        <f t="shared" si="17"/>
        <v>-68.440451912257686</v>
      </c>
    </row>
    <row r="12" spans="1:16" x14ac:dyDescent="0.45">
      <c r="A12" s="1373" t="str">
        <f>'OTHER COG'!A12</f>
        <v>UPTO NOV.</v>
      </c>
      <c r="B12" s="647">
        <f>SUM(B4:B11)</f>
        <v>9.2999999999999989</v>
      </c>
      <c r="C12" s="647">
        <f t="shared" ref="C12:D12" si="18">SUM(C4:C11)</f>
        <v>7.0175040000000006</v>
      </c>
      <c r="D12" s="647">
        <f t="shared" si="18"/>
        <v>8.2211087999999997</v>
      </c>
      <c r="E12" s="1708">
        <f>(D12-B12)/B12*100</f>
        <v>-11.600980645161284</v>
      </c>
      <c r="F12" s="1711">
        <f>(D12-C12)/C12*100</f>
        <v>17.151465820325846</v>
      </c>
      <c r="G12" s="647">
        <f>SUM(G4:G11)</f>
        <v>1.3</v>
      </c>
      <c r="H12" s="647">
        <f>SUM(H4:H11)</f>
        <v>0.80388499999999996</v>
      </c>
      <c r="I12" s="647">
        <f>SUM(I4:I11)</f>
        <v>1.5991531999999999</v>
      </c>
      <c r="J12" s="1708">
        <f>(I12-G12)/G12*100</f>
        <v>23.011784615384606</v>
      </c>
      <c r="K12" s="1711">
        <f>(I12-H12)/H12*100</f>
        <v>98.928105388208508</v>
      </c>
      <c r="L12" s="647">
        <f>SUM(L4:L11)</f>
        <v>2.1666666666666665</v>
      </c>
      <c r="M12" s="647">
        <f t="shared" ref="M12" si="19">SUM(M4:M11)</f>
        <v>1.2493897999999999</v>
      </c>
      <c r="N12" s="647">
        <f>SUM(N4:N11)</f>
        <v>1.1298888</v>
      </c>
      <c r="O12" s="1708">
        <f>(N12-L12)/L12*100</f>
        <v>-47.851286153846154</v>
      </c>
      <c r="P12" s="1711">
        <f>(N12-M12)/M12*100</f>
        <v>-9.5647491279342809</v>
      </c>
    </row>
    <row r="13" spans="1:16" x14ac:dyDescent="0.45">
      <c r="A13" s="787" t="s">
        <v>138</v>
      </c>
      <c r="B13" s="400">
        <v>1.1624999999999999</v>
      </c>
      <c r="C13" s="1553">
        <f>'actual fig'!T28/10000000</f>
        <v>1.0860209000000001</v>
      </c>
      <c r="D13" s="1553">
        <f>'ACTUAL- 23-24'!O28/10000000</f>
        <v>1.2633582999999999</v>
      </c>
      <c r="E13" s="1607">
        <f t="shared" si="0"/>
        <v>8.6759827956989319</v>
      </c>
      <c r="F13" s="1608">
        <f t="shared" si="1"/>
        <v>16.329096428991363</v>
      </c>
      <c r="G13" s="400">
        <v>0.16250000000000001</v>
      </c>
      <c r="H13" s="1553">
        <f>'actual fig'!U28/10000000</f>
        <v>0.48726639999999999</v>
      </c>
      <c r="I13" s="1553">
        <f>'ACTUAL- 23-24'!P28/10000000</f>
        <v>0.54881800000000003</v>
      </c>
      <c r="J13" s="1611">
        <f t="shared" si="2"/>
        <v>237.73415384615387</v>
      </c>
      <c r="K13" s="1612">
        <f t="shared" si="3"/>
        <v>12.632022236706664</v>
      </c>
      <c r="L13" s="400">
        <v>0.27083333333333331</v>
      </c>
      <c r="M13" s="1553">
        <f>'actual fig'!V28/10000000</f>
        <v>0.26688269999999997</v>
      </c>
      <c r="N13" s="1553">
        <f>'ACTUAL- 23-24'!Q28/10000000</f>
        <v>0.10845630000000001</v>
      </c>
      <c r="O13" s="1611">
        <f t="shared" si="4"/>
        <v>-59.95459692307692</v>
      </c>
      <c r="P13" s="1612">
        <f t="shared" si="5"/>
        <v>-59.36180951406741</v>
      </c>
    </row>
    <row r="14" spans="1:16" x14ac:dyDescent="0.45">
      <c r="A14" s="787" t="s">
        <v>139</v>
      </c>
      <c r="B14" s="400">
        <v>1.1624999999999999</v>
      </c>
      <c r="C14" s="1553">
        <f>'actual fig'!T29/10000000</f>
        <v>0.85167700000000002</v>
      </c>
      <c r="D14" s="1553">
        <f>'ACTUAL- 23-24'!O29/10000000</f>
        <v>1.0028045999999999</v>
      </c>
      <c r="E14" s="1607">
        <f t="shared" si="0"/>
        <v>-13.737238709677415</v>
      </c>
      <c r="F14" s="1608">
        <f t="shared" si="1"/>
        <v>17.744708381229024</v>
      </c>
      <c r="G14" s="400">
        <v>0.16250000000000001</v>
      </c>
      <c r="H14" s="1553">
        <f>'actual fig'!U29/10000000</f>
        <v>8.8081499999999993E-2</v>
      </c>
      <c r="I14" s="1553">
        <f>'ACTUAL- 23-24'!P29/10000000</f>
        <v>4.1536700000000003E-2</v>
      </c>
      <c r="J14" s="1611">
        <f t="shared" si="2"/>
        <v>-74.438953846153851</v>
      </c>
      <c r="K14" s="1612">
        <f t="shared" si="3"/>
        <v>-52.842878470507429</v>
      </c>
      <c r="L14" s="400">
        <v>0.27083333333333331</v>
      </c>
      <c r="M14" s="1553">
        <f>'actual fig'!V29/10000000</f>
        <v>9.7651100000000005E-2</v>
      </c>
      <c r="N14" s="1553">
        <f>'ACTUAL- 23-24'!Q29/10000000</f>
        <v>0.10113129999999999</v>
      </c>
      <c r="O14" s="1611">
        <f t="shared" si="4"/>
        <v>-62.659212307692314</v>
      </c>
      <c r="P14" s="1612">
        <f t="shared" si="5"/>
        <v>3.5639127465025879</v>
      </c>
    </row>
    <row r="15" spans="1:16" x14ac:dyDescent="0.45">
      <c r="A15" s="787" t="s">
        <v>140</v>
      </c>
      <c r="B15" s="400">
        <v>1.1624999999999999</v>
      </c>
      <c r="C15" s="1553">
        <f>'actual fig'!T30/10000000</f>
        <v>1.6537408</v>
      </c>
      <c r="D15" s="1553">
        <f>'ACTUAL- 23-24'!O30/10000000</f>
        <v>1.16757</v>
      </c>
      <c r="E15" s="1607">
        <f t="shared" si="0"/>
        <v>0.43612903225807576</v>
      </c>
      <c r="F15" s="1608">
        <f t="shared" si="1"/>
        <v>-29.398246690170556</v>
      </c>
      <c r="G15" s="400">
        <v>0.16250000000000001</v>
      </c>
      <c r="H15" s="1553">
        <f>'actual fig'!U30/10000000</f>
        <v>0.1100289</v>
      </c>
      <c r="I15" s="1553">
        <f>'ACTUAL- 23-24'!P30/10000000</f>
        <v>6.4928E-2</v>
      </c>
      <c r="J15" s="1611">
        <f t="shared" si="2"/>
        <v>-60.044307692307697</v>
      </c>
      <c r="K15" s="1612">
        <f t="shared" si="3"/>
        <v>-40.990048978041223</v>
      </c>
      <c r="L15" s="400">
        <v>0.27083333333333331</v>
      </c>
      <c r="M15" s="1553">
        <f>'actual fig'!V30/10000000</f>
        <v>0.1516779</v>
      </c>
      <c r="N15" s="1553">
        <f>'ACTUAL- 23-24'!Q30/10000000</f>
        <v>0.65083519999999995</v>
      </c>
      <c r="O15" s="1611">
        <f t="shared" si="4"/>
        <v>140.30838153846156</v>
      </c>
      <c r="P15" s="1612">
        <f t="shared" si="5"/>
        <v>329.09032891410016</v>
      </c>
    </row>
    <row r="16" spans="1:16" ht="14.65" thickBot="1" x14ac:dyDescent="0.5">
      <c r="A16" s="1558" t="s">
        <v>141</v>
      </c>
      <c r="B16" s="1561">
        <v>1.1624999999999999</v>
      </c>
      <c r="C16" s="1560">
        <f>'actual fig'!T31/10000000</f>
        <v>1.4105460000000001</v>
      </c>
      <c r="D16" s="1560">
        <f>'ACTUAL- 23-24'!O31/10000000</f>
        <v>0</v>
      </c>
      <c r="E16" s="1609">
        <f t="shared" si="0"/>
        <v>-100</v>
      </c>
      <c r="F16" s="1610">
        <f t="shared" si="1"/>
        <v>-100</v>
      </c>
      <c r="G16" s="1561">
        <v>0.16250000000000001</v>
      </c>
      <c r="H16" s="1560">
        <f>'actual fig'!U31/10000000</f>
        <v>0.45446779999999998</v>
      </c>
      <c r="I16" s="1560">
        <f>'ACTUAL- 23-24'!P31/10000000</f>
        <v>0</v>
      </c>
      <c r="J16" s="1613">
        <f t="shared" si="2"/>
        <v>-100</v>
      </c>
      <c r="K16" s="1614">
        <f t="shared" si="3"/>
        <v>-100</v>
      </c>
      <c r="L16" s="1561">
        <v>0.27083333333333331</v>
      </c>
      <c r="M16" s="1560">
        <f>'actual fig'!V31/10000000</f>
        <v>0.1972632</v>
      </c>
      <c r="N16" s="1560">
        <f>'ACTUAL- 23-24'!Q31/10000000</f>
        <v>0</v>
      </c>
      <c r="O16" s="1613">
        <f t="shared" si="4"/>
        <v>-100</v>
      </c>
      <c r="P16" s="1614">
        <f t="shared" si="5"/>
        <v>-100</v>
      </c>
    </row>
    <row r="17" spans="1:16" ht="14.65" thickBot="1" x14ac:dyDescent="0.5">
      <c r="A17" s="1729" t="s">
        <v>63</v>
      </c>
      <c r="B17" s="1717">
        <f>B4+B5+B6+B7+B8+B9+B10+B11+B13+B14+B15+B16</f>
        <v>13.949999999999998</v>
      </c>
      <c r="C17" s="1717">
        <f>C4+C5+C6+C7+C8+C9+C10+C11+C13+C14+C15+C16</f>
        <v>12.0194887</v>
      </c>
      <c r="D17" s="1717"/>
      <c r="E17" s="1730"/>
      <c r="F17" s="1731"/>
      <c r="G17" s="1717">
        <f>G4+G5+G6+G7+G8+G9+G10+G11+G13+G14+G15+G16</f>
        <v>1.9500000000000004</v>
      </c>
      <c r="H17" s="1717">
        <f>H4+H5+H6+H7+H8+H9+H10+H11+H13+H14+H15+H16</f>
        <v>1.9437295999999999</v>
      </c>
      <c r="I17" s="1717">
        <v>2.77</v>
      </c>
      <c r="J17" s="1717">
        <f>(I17-G17)/G17*100</f>
        <v>42.051282051282023</v>
      </c>
      <c r="K17" s="1717">
        <f>(I17-H17)/H17*100</f>
        <v>42.50953424797359</v>
      </c>
      <c r="L17" s="1717">
        <f>L4+L5+L6+L7+L8+L9+L10+L11+L13+L14+L15+L16</f>
        <v>3.2500000000000004</v>
      </c>
      <c r="M17" s="1717">
        <f>M4+M5+M6+M7+M8+M9+M10+M11+M13+M14+M15+M16</f>
        <v>1.9628646999999999</v>
      </c>
      <c r="N17" s="1726"/>
      <c r="O17" s="1726"/>
      <c r="P17" s="1732"/>
    </row>
    <row r="18" spans="1:16" ht="14.65" thickBot="1" x14ac:dyDescent="0.5"/>
    <row r="19" spans="1:16" x14ac:dyDescent="0.45">
      <c r="A19" s="2611" t="s">
        <v>127</v>
      </c>
      <c r="B19" s="2615" t="s">
        <v>448</v>
      </c>
      <c r="C19" s="2616"/>
      <c r="D19" s="2617"/>
      <c r="E19" s="2615" t="s">
        <v>276</v>
      </c>
      <c r="F19" s="2616"/>
      <c r="G19" s="2617"/>
      <c r="H19" s="2615" t="s">
        <v>921</v>
      </c>
      <c r="I19" s="2616"/>
      <c r="J19" s="2616"/>
      <c r="K19" s="2616"/>
      <c r="L19" s="2617"/>
    </row>
    <row r="20" spans="1:16" ht="14.65" thickBot="1" x14ac:dyDescent="0.5">
      <c r="A20" s="2612"/>
      <c r="B20" s="1551" t="s">
        <v>701</v>
      </c>
      <c r="C20" s="1552" t="s">
        <v>907</v>
      </c>
      <c r="D20" s="1584" t="s">
        <v>847</v>
      </c>
      <c r="E20" s="1551" t="s">
        <v>701</v>
      </c>
      <c r="F20" s="1552" t="s">
        <v>907</v>
      </c>
      <c r="G20" s="1584" t="s">
        <v>847</v>
      </c>
      <c r="H20" s="1551" t="s">
        <v>194</v>
      </c>
      <c r="I20" s="1552" t="s">
        <v>701</v>
      </c>
      <c r="J20" s="1552" t="s">
        <v>907</v>
      </c>
      <c r="K20" s="1583" t="s">
        <v>922</v>
      </c>
      <c r="L20" s="1584" t="s">
        <v>923</v>
      </c>
    </row>
    <row r="21" spans="1:16" ht="23.25" customHeight="1" x14ac:dyDescent="0.45">
      <c r="A21" s="1569" t="s">
        <v>131</v>
      </c>
      <c r="B21" s="1564">
        <f>'actual fig'!W20/10000000</f>
        <v>0</v>
      </c>
      <c r="C21" s="1554">
        <f>'ACTUAL- 23-24'!R20/10000000</f>
        <v>0.2153795</v>
      </c>
      <c r="D21" s="1587" t="s">
        <v>221</v>
      </c>
      <c r="E21" s="1564">
        <f>'actual fig'!X20/10000000</f>
        <v>0.13725979999999999</v>
      </c>
      <c r="F21" s="1554">
        <f>'ACTUAL- 23-24'!S20/10000000</f>
        <v>9.0668899999999997E-2</v>
      </c>
      <c r="G21" s="1589">
        <f>(F21-E21)/E21*100</f>
        <v>-33.943587270271408</v>
      </c>
      <c r="H21" s="1803">
        <f t="shared" ref="H21:H28" si="20">B4+G4+L4</f>
        <v>1.5958333333333332</v>
      </c>
      <c r="I21" s="1555">
        <f t="shared" ref="I21:J28" si="21">C4+H4+M4+B21+E21</f>
        <v>0.75544760000000011</v>
      </c>
      <c r="J21" s="1555">
        <f t="shared" si="21"/>
        <v>1.2336203000000001</v>
      </c>
      <c r="K21" s="1581">
        <f>(J21-H21)/H21*100</f>
        <v>-22.697422454308082</v>
      </c>
      <c r="L21" s="1579">
        <f>(J21-I21)/I21*100</f>
        <v>63.296607203464539</v>
      </c>
    </row>
    <row r="22" spans="1:16" ht="23.25" customHeight="1" x14ac:dyDescent="0.45">
      <c r="A22" s="1570" t="s">
        <v>132</v>
      </c>
      <c r="B22" s="1565">
        <f>'actual fig'!W21/10000000</f>
        <v>1.83158E-2</v>
      </c>
      <c r="C22" s="252">
        <f>'ACTUAL- 23-24'!R21/10000000</f>
        <v>2.0658999999999999E-3</v>
      </c>
      <c r="D22" s="1588">
        <f t="shared" ref="D22:D33" si="22">(C22-B22)/B22*100</f>
        <v>-88.720667401915293</v>
      </c>
      <c r="E22" s="1565">
        <f>'actual fig'!X21/10000000</f>
        <v>6.3799599999999998E-2</v>
      </c>
      <c r="F22" s="252">
        <f>'ACTUAL- 23-24'!S21/10000000</f>
        <v>9.6396300000000004E-2</v>
      </c>
      <c r="G22" s="1590">
        <f t="shared" ref="G22:G34" si="23">(F22-E22)/E22*100</f>
        <v>51.092326597658932</v>
      </c>
      <c r="H22" s="1804">
        <f t="shared" si="20"/>
        <v>1.5958333333333332</v>
      </c>
      <c r="I22" s="644">
        <f t="shared" si="21"/>
        <v>0.55169459999999992</v>
      </c>
      <c r="J22" s="644">
        <f t="shared" si="21"/>
        <v>1.3126252000000003</v>
      </c>
      <c r="K22" s="1585">
        <f t="shared" ref="K22:K33" si="24">(J22-H22)/H22*100</f>
        <v>-17.746723759791099</v>
      </c>
      <c r="L22" s="1586">
        <f t="shared" ref="L22:L33" si="25">(J22-I22)/I22*100</f>
        <v>137.92605546619461</v>
      </c>
    </row>
    <row r="23" spans="1:16" ht="23.25" customHeight="1" x14ac:dyDescent="0.45">
      <c r="A23" s="1570" t="s">
        <v>133</v>
      </c>
      <c r="B23" s="1565">
        <f>'actual fig'!W22/10000000</f>
        <v>0</v>
      </c>
      <c r="C23" s="252">
        <f>'ACTUAL- 23-24'!R22/10000000</f>
        <v>0</v>
      </c>
      <c r="D23" s="1588" t="s">
        <v>221</v>
      </c>
      <c r="E23" s="1565">
        <f>'actual fig'!X22/10000000</f>
        <v>7.7316300000000004E-2</v>
      </c>
      <c r="F23" s="252">
        <f>'ACTUAL- 23-24'!S22/10000000</f>
        <v>5.2098100000000001E-2</v>
      </c>
      <c r="G23" s="1590">
        <f t="shared" si="23"/>
        <v>-32.61692553834056</v>
      </c>
      <c r="H23" s="1804">
        <f t="shared" si="20"/>
        <v>1.5958333333333332</v>
      </c>
      <c r="I23" s="644">
        <f t="shared" si="21"/>
        <v>1.1415768000000002</v>
      </c>
      <c r="J23" s="644">
        <f t="shared" si="21"/>
        <v>1.7763000999999998</v>
      </c>
      <c r="K23" s="1585">
        <f t="shared" si="24"/>
        <v>11.308622454308091</v>
      </c>
      <c r="L23" s="1586">
        <f t="shared" si="25"/>
        <v>55.60057807762032</v>
      </c>
    </row>
    <row r="24" spans="1:16" ht="23.25" customHeight="1" x14ac:dyDescent="0.45">
      <c r="A24" s="1570" t="s">
        <v>51</v>
      </c>
      <c r="B24" s="1565">
        <f>'actual fig'!W23/10000000</f>
        <v>6.3045000000000002E-3</v>
      </c>
      <c r="C24" s="252">
        <f>'ACTUAL- 23-24'!R23/10000000</f>
        <v>0.21088190000000001</v>
      </c>
      <c r="D24" s="1588">
        <f>(C24-B24)/B24*100</f>
        <v>3244.9425013878981</v>
      </c>
      <c r="E24" s="1565">
        <f>'actual fig'!X23/10000000</f>
        <v>7.3470099999999997E-2</v>
      </c>
      <c r="F24" s="252">
        <f>'ACTUAL- 23-24'!S23/10000000</f>
        <v>6.5864199999999998E-2</v>
      </c>
      <c r="G24" s="1590">
        <f t="shared" si="23"/>
        <v>-10.352374639479187</v>
      </c>
      <c r="H24" s="1804">
        <f t="shared" si="20"/>
        <v>1.5958333333333332</v>
      </c>
      <c r="I24" s="644">
        <f t="shared" si="21"/>
        <v>0.70937500000000009</v>
      </c>
      <c r="J24" s="644">
        <f t="shared" si="21"/>
        <v>1.8622398</v>
      </c>
      <c r="K24" s="1585">
        <f t="shared" si="24"/>
        <v>16.693877806788521</v>
      </c>
      <c r="L24" s="1586">
        <f t="shared" si="25"/>
        <v>162.51838590308367</v>
      </c>
    </row>
    <row r="25" spans="1:16" x14ac:dyDescent="0.45">
      <c r="A25" s="1570" t="s">
        <v>134</v>
      </c>
      <c r="B25" s="1624">
        <f>'actual fig'!W24/10000000</f>
        <v>0</v>
      </c>
      <c r="C25" s="1623">
        <f>'ACTUAL- 23-24'!R24/10000000</f>
        <v>2.1172000000000001E-3</v>
      </c>
      <c r="D25" s="1615" t="e">
        <f t="shared" si="22"/>
        <v>#DIV/0!</v>
      </c>
      <c r="E25" s="1565">
        <f>'actual fig'!X24/10000000</f>
        <v>0.24945800000000001</v>
      </c>
      <c r="F25" s="252">
        <f>'ACTUAL- 23-24'!S24/10000000</f>
        <v>9.0672799999999998E-2</v>
      </c>
      <c r="G25" s="1567">
        <f t="shared" si="23"/>
        <v>-63.652077704463281</v>
      </c>
      <c r="H25" s="1804">
        <f t="shared" si="20"/>
        <v>1.5958333333333332</v>
      </c>
      <c r="I25" s="644">
        <f t="shared" si="21"/>
        <v>1.2659050999999999</v>
      </c>
      <c r="J25" s="644">
        <f t="shared" si="21"/>
        <v>1.8576106000000001</v>
      </c>
      <c r="K25" s="400">
        <f t="shared" si="24"/>
        <v>16.403797389033958</v>
      </c>
      <c r="L25" s="1568">
        <f t="shared" si="25"/>
        <v>46.741694934320137</v>
      </c>
    </row>
    <row r="26" spans="1:16" x14ac:dyDescent="0.45">
      <c r="A26" s="1570" t="s">
        <v>135</v>
      </c>
      <c r="B26" s="1565">
        <f>'actual fig'!W25/10000000</f>
        <v>0.1800002</v>
      </c>
      <c r="C26" s="252">
        <f>'ACTUAL- 23-24'!R25/10000000</f>
        <v>0</v>
      </c>
      <c r="D26" s="1566">
        <f t="shared" si="22"/>
        <v>-100</v>
      </c>
      <c r="E26" s="1565">
        <f>'actual fig'!X25/10000000</f>
        <v>0.21738859999999999</v>
      </c>
      <c r="F26" s="252">
        <f>'ACTUAL- 23-24'!S25/10000000</f>
        <v>0.1462215</v>
      </c>
      <c r="G26" s="1567">
        <f t="shared" si="23"/>
        <v>-32.737273251679241</v>
      </c>
      <c r="H26" s="1804">
        <f t="shared" si="20"/>
        <v>1.5958333333333332</v>
      </c>
      <c r="I26" s="644">
        <f t="shared" si="21"/>
        <v>2.9474174999999998</v>
      </c>
      <c r="J26" s="644">
        <f t="shared" si="21"/>
        <v>1.576794</v>
      </c>
      <c r="K26" s="400">
        <f t="shared" ref="K26" si="26">(J26-H26)/H26*100</f>
        <v>-1.1930652741514269</v>
      </c>
      <c r="L26" s="1568">
        <f t="shared" ref="L26" si="27">(J26-I26)/I26*100</f>
        <v>-46.50252297138087</v>
      </c>
    </row>
    <row r="27" spans="1:16" s="89" customFormat="1" x14ac:dyDescent="0.45">
      <c r="A27" s="1570" t="s">
        <v>136</v>
      </c>
      <c r="B27" s="1565">
        <f>'actual fig'!W26/10000000</f>
        <v>0</v>
      </c>
      <c r="C27" s="252">
        <f>'ACTUAL- 23-24'!R26/10000000</f>
        <v>0.20277770000000001</v>
      </c>
      <c r="D27" s="1566" t="e">
        <f t="shared" si="22"/>
        <v>#DIV/0!</v>
      </c>
      <c r="E27" s="1565">
        <f>'actual fig'!X26/10000000</f>
        <v>7.92606E-2</v>
      </c>
      <c r="F27" s="252">
        <f>'ACTUAL- 23-24'!S26/10000000</f>
        <v>0.132359</v>
      </c>
      <c r="G27" s="1567">
        <f t="shared" si="23"/>
        <v>66.992175179092769</v>
      </c>
      <c r="H27" s="1804">
        <f t="shared" si="20"/>
        <v>1.5958333333333332</v>
      </c>
      <c r="I27" s="644">
        <f t="shared" si="21"/>
        <v>0.99142969999999997</v>
      </c>
      <c r="J27" s="644">
        <f t="shared" si="21"/>
        <v>1.0717797999999998</v>
      </c>
      <c r="K27" s="400">
        <f t="shared" ref="K27:K28" si="28">(J27-H27)/H27*100</f>
        <v>-32.838863707571811</v>
      </c>
      <c r="L27" s="1568">
        <f t="shared" ref="L27:L28" si="29">(J27-I27)/I27*100</f>
        <v>8.1044677196981159</v>
      </c>
    </row>
    <row r="28" spans="1:16" x14ac:dyDescent="0.45">
      <c r="A28" s="1570" t="s">
        <v>137</v>
      </c>
      <c r="B28" s="1565">
        <f>'actual fig'!W27/10000000</f>
        <v>5.5114999999999999E-3</v>
      </c>
      <c r="C28" s="252">
        <f>'ACTUAL- 23-24'!R27/10000000</f>
        <v>0</v>
      </c>
      <c r="D28" s="1566">
        <f t="shared" si="22"/>
        <v>-100</v>
      </c>
      <c r="E28" s="1565">
        <f>'actual fig'!X27/10000000</f>
        <v>0.3161118</v>
      </c>
      <c r="F28" s="252">
        <f>'ACTUAL- 23-24'!S27/10000000</f>
        <v>8.5708000000000006E-2</v>
      </c>
      <c r="G28" s="1567">
        <f t="shared" si="23"/>
        <v>-72.886807768643877</v>
      </c>
      <c r="H28" s="1804">
        <f t="shared" si="20"/>
        <v>1.5958333333333332</v>
      </c>
      <c r="I28" s="644">
        <f t="shared" si="21"/>
        <v>2.1321292999999999</v>
      </c>
      <c r="J28" s="644">
        <f t="shared" si="21"/>
        <v>1.6523919999999999</v>
      </c>
      <c r="K28" s="400">
        <f t="shared" si="28"/>
        <v>3.5441462140992157</v>
      </c>
      <c r="L28" s="1568">
        <f t="shared" si="29"/>
        <v>-22.500384943821185</v>
      </c>
    </row>
    <row r="29" spans="1:16" x14ac:dyDescent="0.45">
      <c r="A29" s="1712" t="str">
        <f>A12</f>
        <v>UPTO NOV.</v>
      </c>
      <c r="B29" s="1713">
        <f>SUM(B21:B28)</f>
        <v>0.21013200000000001</v>
      </c>
      <c r="C29" s="1713">
        <f>SUM(C21:C28)</f>
        <v>0.63322220000000007</v>
      </c>
      <c r="D29" s="1714">
        <f>(C29-B29)/B29*100</f>
        <v>201.34496411779264</v>
      </c>
      <c r="E29" s="1713">
        <f>SUM(E21:E28)</f>
        <v>1.2140648000000001</v>
      </c>
      <c r="F29" s="1713">
        <f>SUM(F21:F28)</f>
        <v>0.75998880000000002</v>
      </c>
      <c r="G29" s="1714">
        <f>(F29-E29)/E29*100</f>
        <v>-37.401298513884932</v>
      </c>
      <c r="H29" s="1713">
        <f>SUM(H21:H28)</f>
        <v>12.766666666666666</v>
      </c>
      <c r="I29" s="1713">
        <f>SUM(I21:I28)</f>
        <v>10.4949756</v>
      </c>
      <c r="J29" s="1713">
        <f>SUM(J21:J28)</f>
        <v>12.3433618</v>
      </c>
      <c r="K29" s="1713">
        <f>SUM(K21:K28)</f>
        <v>-26.525631331592628</v>
      </c>
      <c r="L29" s="1711">
        <f>(J29-I29)/I29*100</f>
        <v>17.612105739435925</v>
      </c>
    </row>
    <row r="30" spans="1:16" x14ac:dyDescent="0.45">
      <c r="A30" s="1570" t="s">
        <v>138</v>
      </c>
      <c r="B30" s="1565">
        <f>'actual fig'!W28/10000000</f>
        <v>0</v>
      </c>
      <c r="C30" s="252">
        <f>'ACTUAL- 23-24'!R28/10000000</f>
        <v>1.6489E-3</v>
      </c>
      <c r="D30" s="1615" t="e">
        <f t="shared" si="22"/>
        <v>#DIV/0!</v>
      </c>
      <c r="E30" s="1565">
        <f>'actual fig'!X28/10000000</f>
        <v>0.1373993</v>
      </c>
      <c r="F30" s="252">
        <f>'ACTUAL- 23-24'!S28/10000000</f>
        <v>6.7354700000000003E-2</v>
      </c>
      <c r="G30" s="1617">
        <f t="shared" si="23"/>
        <v>-50.978862337726603</v>
      </c>
      <c r="H30" s="1804">
        <f>B13+G13+L13</f>
        <v>1.5958333333333332</v>
      </c>
      <c r="I30" s="644">
        <f t="shared" ref="I30:J33" si="30">C13+H13+M13+B30+E30</f>
        <v>1.9775693000000001</v>
      </c>
      <c r="J30" s="644">
        <f t="shared" si="30"/>
        <v>1.9896362000000001</v>
      </c>
      <c r="K30" s="1619">
        <f t="shared" si="24"/>
        <v>24.676942036553541</v>
      </c>
      <c r="L30" s="1620">
        <f t="shared" si="25"/>
        <v>0.61018847733932713</v>
      </c>
    </row>
    <row r="31" spans="1:16" x14ac:dyDescent="0.45">
      <c r="A31" s="1570" t="s">
        <v>139</v>
      </c>
      <c r="B31" s="1565">
        <f>'actual fig'!W29/10000000</f>
        <v>1.4E-3</v>
      </c>
      <c r="C31" s="252">
        <f>'ACTUAL- 23-24'!R29/10000000</f>
        <v>0</v>
      </c>
      <c r="D31" s="1615">
        <f t="shared" si="22"/>
        <v>-100</v>
      </c>
      <c r="E31" s="1565">
        <f>'actual fig'!X29/10000000</f>
        <v>5.7693300000000003E-2</v>
      </c>
      <c r="F31" s="252">
        <f>'ACTUAL- 23-24'!S29/10000000</f>
        <v>0.18918080000000001</v>
      </c>
      <c r="G31" s="1617">
        <f t="shared" si="23"/>
        <v>227.90774665342423</v>
      </c>
      <c r="H31" s="1804">
        <f>B14+G14+L14</f>
        <v>1.5958333333333332</v>
      </c>
      <c r="I31" s="644">
        <f t="shared" si="30"/>
        <v>1.0965029000000002</v>
      </c>
      <c r="J31" s="644">
        <f t="shared" si="30"/>
        <v>1.3346533999999999</v>
      </c>
      <c r="K31" s="1619">
        <f t="shared" si="24"/>
        <v>-16.366366579634466</v>
      </c>
      <c r="L31" s="1620">
        <f t="shared" si="25"/>
        <v>21.719094404583853</v>
      </c>
    </row>
    <row r="32" spans="1:16" x14ac:dyDescent="0.45">
      <c r="A32" s="1570" t="s">
        <v>140</v>
      </c>
      <c r="B32" s="1565">
        <f>'actual fig'!W30/10000000</f>
        <v>0</v>
      </c>
      <c r="C32" s="252">
        <f>'ACTUAL- 23-24'!R30/10000000</f>
        <v>0.250025</v>
      </c>
      <c r="D32" s="1615" t="e">
        <f t="shared" si="22"/>
        <v>#DIV/0!</v>
      </c>
      <c r="E32" s="1565">
        <f>'actual fig'!X30/10000000</f>
        <v>7.7865299999999998E-2</v>
      </c>
      <c r="F32" s="252">
        <f>'ACTUAL- 23-24'!S30/10000000</f>
        <v>0.14009640000000001</v>
      </c>
      <c r="G32" s="1617">
        <f t="shared" si="23"/>
        <v>79.921479786246266</v>
      </c>
      <c r="H32" s="1804">
        <f>B15+G15+L15</f>
        <v>1.5958333333333332</v>
      </c>
      <c r="I32" s="644">
        <f t="shared" si="30"/>
        <v>1.9933129000000001</v>
      </c>
      <c r="J32" s="644">
        <f t="shared" si="30"/>
        <v>2.2734546</v>
      </c>
      <c r="K32" s="1619">
        <f t="shared" si="24"/>
        <v>42.461907049608364</v>
      </c>
      <c r="L32" s="1620">
        <f t="shared" si="25"/>
        <v>14.054075504151903</v>
      </c>
    </row>
    <row r="33" spans="1:12" ht="14.65" thickBot="1" x14ac:dyDescent="0.5">
      <c r="A33" s="1571" t="s">
        <v>141</v>
      </c>
      <c r="B33" s="1572">
        <f>'actual fig'!W31/10000000</f>
        <v>0</v>
      </c>
      <c r="C33" s="1573">
        <f>'ACTUAL- 23-24'!R31/10000000</f>
        <v>0</v>
      </c>
      <c r="D33" s="1616" t="e">
        <f t="shared" si="22"/>
        <v>#DIV/0!</v>
      </c>
      <c r="E33" s="1572">
        <f>'actual fig'!X31/10000000</f>
        <v>8.2695400000000002E-2</v>
      </c>
      <c r="F33" s="1573">
        <f>'ACTUAL- 23-24'!S31/10000000</f>
        <v>0</v>
      </c>
      <c r="G33" s="1618">
        <f t="shared" si="23"/>
        <v>-100</v>
      </c>
      <c r="H33" s="1805">
        <f>B16+G16+L16</f>
        <v>1.5958333333333332</v>
      </c>
      <c r="I33" s="1559">
        <f t="shared" si="30"/>
        <v>2.1449723999999999</v>
      </c>
      <c r="J33" s="1559">
        <f t="shared" si="30"/>
        <v>0</v>
      </c>
      <c r="K33" s="1621">
        <f t="shared" si="24"/>
        <v>-100</v>
      </c>
      <c r="L33" s="1622">
        <f t="shared" si="25"/>
        <v>-100</v>
      </c>
    </row>
    <row r="34" spans="1:12" ht="14.65" thickBot="1" x14ac:dyDescent="0.5">
      <c r="A34" s="1716" t="s">
        <v>63</v>
      </c>
      <c r="B34" s="1717">
        <f>B21+B22+B23+B24+B25+B26+B27+B28+B30+B31+B32+B33</f>
        <v>0.21153200000000003</v>
      </c>
      <c r="C34" s="1718"/>
      <c r="D34" s="1719"/>
      <c r="E34" s="1717">
        <f>E21+E22+E23+E24+E25+E26+E27+E28+E30+E31+E32+E33</f>
        <v>1.5697181</v>
      </c>
      <c r="F34" s="1720"/>
      <c r="G34" s="1733">
        <f t="shared" si="23"/>
        <v>-100</v>
      </c>
      <c r="H34" s="1717">
        <f>H21+H22+H23+H24+H25+H26+H27+H28+H30+H31+H32+H33</f>
        <v>19.149999999999999</v>
      </c>
      <c r="I34" s="1717">
        <f>I21+I22+I23+I24+I25+I26+I27+I28+I30+I31+I32+I33</f>
        <v>17.7073331</v>
      </c>
      <c r="J34" s="1726"/>
      <c r="K34" s="1727"/>
      <c r="L34" s="1728"/>
    </row>
  </sheetData>
  <mergeCells count="9">
    <mergeCell ref="A1:P1"/>
    <mergeCell ref="A19:A20"/>
    <mergeCell ref="A2:A3"/>
    <mergeCell ref="B19:D19"/>
    <mergeCell ref="E19:G19"/>
    <mergeCell ref="B2:F2"/>
    <mergeCell ref="G2:K2"/>
    <mergeCell ref="L2:P2"/>
    <mergeCell ref="H19:L19"/>
  </mergeCells>
  <pageMargins left="0.24" right="0.16" top="0.35" bottom="0.2" header="0.3" footer="0.2"/>
  <pageSetup paperSize="9" scale="94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2537-B3F5-4F16-A278-ED8A84FE83A6}">
  <sheetPr>
    <pageSetUpPr fitToPage="1"/>
  </sheetPr>
  <dimension ref="A1:AH42"/>
  <sheetViews>
    <sheetView zoomScale="110" zoomScaleNormal="110" workbookViewId="0">
      <selection activeCell="G9" sqref="G9"/>
    </sheetView>
  </sheetViews>
  <sheetFormatPr defaultRowHeight="14.25" x14ac:dyDescent="0.45"/>
  <cols>
    <col min="1" max="1" width="11.1328125" bestFit="1" customWidth="1"/>
    <col min="2" max="6" width="9.1328125" customWidth="1"/>
    <col min="23" max="23" width="11.3984375" bestFit="1" customWidth="1"/>
    <col min="24" max="25" width="10.265625" bestFit="1" customWidth="1"/>
    <col min="30" max="30" width="10.265625" bestFit="1" customWidth="1"/>
    <col min="31" max="31" width="12.265625" bestFit="1" customWidth="1"/>
  </cols>
  <sheetData>
    <row r="1" spans="1:32" ht="18.399999999999999" thickBot="1" x14ac:dyDescent="0.6">
      <c r="A1" s="2199" t="s">
        <v>939</v>
      </c>
      <c r="B1" s="2199"/>
      <c r="C1" s="2199"/>
      <c r="D1" s="2199"/>
      <c r="E1" s="2199"/>
      <c r="F1" s="2199"/>
      <c r="G1" s="2199"/>
      <c r="H1" s="2199"/>
      <c r="I1" s="2199"/>
      <c r="J1" s="2199"/>
      <c r="K1" s="2199"/>
      <c r="L1" s="2199"/>
      <c r="M1" s="2199"/>
      <c r="N1" s="2199"/>
      <c r="O1" s="2199"/>
      <c r="P1" s="2199"/>
    </row>
    <row r="2" spans="1:32" ht="14.65" thickBot="1" x14ac:dyDescent="0.5">
      <c r="A2" s="2613" t="s">
        <v>127</v>
      </c>
      <c r="B2" s="2618" t="s">
        <v>936</v>
      </c>
      <c r="C2" s="2619"/>
      <c r="D2" s="2619"/>
      <c r="E2" s="2619"/>
      <c r="F2" s="2620"/>
      <c r="G2" s="2618" t="s">
        <v>124</v>
      </c>
      <c r="H2" s="2619"/>
      <c r="I2" s="2619"/>
      <c r="J2" s="2619"/>
      <c r="K2" s="2620"/>
      <c r="L2" s="2618" t="s">
        <v>489</v>
      </c>
      <c r="M2" s="2619"/>
      <c r="N2" s="2619"/>
      <c r="O2" s="2619"/>
      <c r="P2" s="2620"/>
      <c r="Q2" s="2618" t="s">
        <v>938</v>
      </c>
      <c r="R2" s="2619"/>
      <c r="S2" s="2619"/>
      <c r="T2" s="2619"/>
      <c r="U2" s="2620"/>
      <c r="W2" s="98"/>
      <c r="X2" s="2308" t="s">
        <v>124</v>
      </c>
      <c r="Y2" s="2308"/>
      <c r="Z2" s="98"/>
      <c r="AA2" s="2308" t="s">
        <v>489</v>
      </c>
      <c r="AB2" s="2308"/>
      <c r="AC2" s="98"/>
      <c r="AD2" s="98" t="s">
        <v>964</v>
      </c>
      <c r="AE2" s="98"/>
      <c r="AF2" s="98"/>
    </row>
    <row r="3" spans="1:32" ht="14.65" thickBot="1" x14ac:dyDescent="0.5">
      <c r="A3" s="2614"/>
      <c r="B3" s="1562" t="s">
        <v>194</v>
      </c>
      <c r="C3" s="1562" t="s">
        <v>701</v>
      </c>
      <c r="D3" s="1562" t="s">
        <v>907</v>
      </c>
      <c r="E3" s="1562" t="s">
        <v>922</v>
      </c>
      <c r="F3" s="1562" t="s">
        <v>923</v>
      </c>
      <c r="G3" s="1562" t="s">
        <v>194</v>
      </c>
      <c r="H3" s="1562" t="s">
        <v>701</v>
      </c>
      <c r="I3" s="1562" t="s">
        <v>907</v>
      </c>
      <c r="J3" s="1582" t="s">
        <v>922</v>
      </c>
      <c r="K3" s="1562" t="s">
        <v>923</v>
      </c>
      <c r="L3" s="1562" t="s">
        <v>194</v>
      </c>
      <c r="M3" s="1562" t="s">
        <v>701</v>
      </c>
      <c r="N3" s="1562" t="s">
        <v>907</v>
      </c>
      <c r="O3" s="1562" t="s">
        <v>922</v>
      </c>
      <c r="P3" s="1563" t="s">
        <v>923</v>
      </c>
      <c r="Q3" s="1562" t="s">
        <v>194</v>
      </c>
      <c r="R3" s="1562" t="s">
        <v>701</v>
      </c>
      <c r="S3" s="1562" t="s">
        <v>907</v>
      </c>
      <c r="T3" s="1562" t="s">
        <v>922</v>
      </c>
      <c r="U3" s="1563" t="s">
        <v>923</v>
      </c>
      <c r="W3" s="226" t="s">
        <v>131</v>
      </c>
      <c r="X3" s="98">
        <v>22019820</v>
      </c>
      <c r="Y3" s="98">
        <f>'ACTUAL- 23-24'!Q3</f>
        <v>19914996</v>
      </c>
      <c r="Z3" s="124">
        <f>(Y3-X3)/X3*100</f>
        <v>-9.5587702351790345</v>
      </c>
      <c r="AA3" s="98">
        <v>1181508</v>
      </c>
      <c r="AB3" s="98">
        <f>'ACTUAL- 23-24'!R3</f>
        <v>1022027</v>
      </c>
      <c r="AC3" s="124">
        <f>(AB3-AA3)/AA3*100</f>
        <v>-13.498088883020682</v>
      </c>
      <c r="AD3" s="98">
        <f>X3+AA3</f>
        <v>23201328</v>
      </c>
      <c r="AE3" s="98">
        <f>Y3+AB3</f>
        <v>20937023</v>
      </c>
      <c r="AF3" s="124">
        <f>(AE3-AD3)/AD3*100</f>
        <v>-9.7593767046438025</v>
      </c>
    </row>
    <row r="4" spans="1:32" x14ac:dyDescent="0.45">
      <c r="A4" s="799" t="s">
        <v>131</v>
      </c>
      <c r="B4" s="400">
        <v>1.85</v>
      </c>
      <c r="C4" s="1553">
        <f>'actual fig'!U4/10000000</f>
        <v>2.4827865</v>
      </c>
      <c r="D4" s="1553">
        <f>'ACTUAL- 23-24'!P3/10000000</f>
        <v>2.8013569999999999</v>
      </c>
      <c r="E4" s="1555">
        <f>(D4-B4)/B4*100</f>
        <v>51.424702702702682</v>
      </c>
      <c r="F4" s="1637">
        <f>(D4-C4)/C4*100</f>
        <v>12.831167722234667</v>
      </c>
      <c r="G4" s="644">
        <v>2.94</v>
      </c>
      <c r="H4" s="1553">
        <f>'actual fig'!V4/10000000</f>
        <v>2.2019820000000001</v>
      </c>
      <c r="I4" s="1553">
        <f>'ACTUAL- 23-24'!Q3/10000000</f>
        <v>1.9914996</v>
      </c>
      <c r="J4" s="1635">
        <f>(I4-G4)/G4*100</f>
        <v>-32.261918367346937</v>
      </c>
      <c r="K4" s="1579">
        <f>(I4-H4)/H4*100</f>
        <v>-9.5587702351790362</v>
      </c>
      <c r="L4" s="400">
        <v>0.39</v>
      </c>
      <c r="M4" s="1553">
        <f>'actual fig'!W4/10000000</f>
        <v>0.1181508</v>
      </c>
      <c r="N4" s="1553">
        <f>'ACTUAL- 23-24'!R3/10000000</f>
        <v>0.10220269999999999</v>
      </c>
      <c r="O4" s="1635">
        <f>(N4-L4)/L4*100</f>
        <v>-73.794179487179491</v>
      </c>
      <c r="P4" s="1579">
        <f>(N4-M4)/M4*100</f>
        <v>-13.498088883020687</v>
      </c>
      <c r="Q4" s="400">
        <f>G4+L4</f>
        <v>3.33</v>
      </c>
      <c r="R4" s="1553">
        <f>H4+M4</f>
        <v>2.3201328000000001</v>
      </c>
      <c r="S4" s="1553">
        <f>I4+N4</f>
        <v>2.0937022999999999</v>
      </c>
      <c r="T4" s="1635">
        <f>(S4-Q4)/Q4*100</f>
        <v>-37.126057057057061</v>
      </c>
      <c r="U4" s="1579">
        <f>(S4-R4)/R4*100</f>
        <v>-9.7593767046438114</v>
      </c>
      <c r="W4" s="226" t="s">
        <v>132</v>
      </c>
      <c r="X4" s="98">
        <v>27853635</v>
      </c>
      <c r="Y4" s="98">
        <f>'ACTUAL- 23-24'!Q4</f>
        <v>21723061</v>
      </c>
      <c r="Z4" s="124">
        <f t="shared" ref="Z4:Z15" si="0">(Y4-X4)/X4*100</f>
        <v>-22.009960279870114</v>
      </c>
      <c r="AA4" s="98">
        <v>1088869</v>
      </c>
      <c r="AB4" s="98">
        <f>'ACTUAL- 23-24'!R4</f>
        <v>1215575</v>
      </c>
      <c r="AC4" s="124">
        <f t="shared" ref="AC4:AC15" si="1">(AB4-AA4)/AA4*100</f>
        <v>11.636477849952566</v>
      </c>
      <c r="AD4" s="98">
        <f t="shared" ref="AD4:AD15" si="2">X4+AA4</f>
        <v>28942504</v>
      </c>
      <c r="AE4" s="98">
        <f t="shared" ref="AE4:AE15" si="3">Y4+AB4</f>
        <v>22938636</v>
      </c>
      <c r="AF4" s="124">
        <f t="shared" ref="AF4:AF15" si="4">(AE4-AD4)/AD4*100</f>
        <v>-20.744120826587775</v>
      </c>
    </row>
    <row r="5" spans="1:32" x14ac:dyDescent="0.45">
      <c r="A5" s="787" t="s">
        <v>132</v>
      </c>
      <c r="B5" s="400">
        <v>1.85</v>
      </c>
      <c r="C5" s="1553">
        <f>'actual fig'!U5/10000000</f>
        <v>2.5457795000000001</v>
      </c>
      <c r="D5" s="1553">
        <f>'ACTUAL- 23-24'!P4/10000000</f>
        <v>2.7613979999999998</v>
      </c>
      <c r="E5" s="1555">
        <f t="shared" ref="E5:E16" si="5">(D5-B5)/B5*100</f>
        <v>49.264756756756739</v>
      </c>
      <c r="F5" s="1637">
        <f t="shared" ref="F5:F16" si="6">(D5-C5)/C5*100</f>
        <v>8.4696455447142895</v>
      </c>
      <c r="G5" s="644">
        <v>3.73</v>
      </c>
      <c r="H5" s="1553">
        <f>'actual fig'!V5/10000000</f>
        <v>2.7853634999999999</v>
      </c>
      <c r="I5" s="1553">
        <f>'ACTUAL- 23-24'!Q4/10000000</f>
        <v>2.1723061000000001</v>
      </c>
      <c r="J5" s="1635">
        <f t="shared" ref="J5:J16" si="7">(I5-G5)/G5*100</f>
        <v>-41.761230563002677</v>
      </c>
      <c r="K5" s="1579">
        <f t="shared" ref="K5:K16" si="8">(I5-H5)/H5*100</f>
        <v>-22.009960279870107</v>
      </c>
      <c r="L5" s="400">
        <v>0.36</v>
      </c>
      <c r="M5" s="1553">
        <f>'actual fig'!W5/10000000</f>
        <v>0.10888689999999999</v>
      </c>
      <c r="N5" s="1553">
        <f>'ACTUAL- 23-24'!R4/10000000</f>
        <v>0.1215575</v>
      </c>
      <c r="O5" s="1635">
        <f t="shared" ref="O5:O16" si="9">(N5-L5)/L5*100</f>
        <v>-66.234027777777783</v>
      </c>
      <c r="P5" s="1579">
        <f t="shared" ref="P5:P16" si="10">(N5-M5)/M5*100</f>
        <v>11.63647784995257</v>
      </c>
      <c r="Q5" s="400">
        <f t="shared" ref="Q5:Q8" si="11">G5+L5</f>
        <v>4.09</v>
      </c>
      <c r="R5" s="1553">
        <f t="shared" ref="R5:R11" si="12">H5+M5</f>
        <v>2.8942503999999998</v>
      </c>
      <c r="S5" s="1553">
        <f t="shared" ref="S5:S11" si="13">I5+N5</f>
        <v>2.2938636000000003</v>
      </c>
      <c r="T5" s="1635">
        <f t="shared" ref="T5:T8" si="14">(S5-Q5)/Q5*100</f>
        <v>-43.915315403422973</v>
      </c>
      <c r="U5" s="1579">
        <f t="shared" ref="U5:U8" si="15">(S5-R5)/R5*100</f>
        <v>-20.744120826587757</v>
      </c>
      <c r="W5" s="226" t="s">
        <v>133</v>
      </c>
      <c r="X5" s="98">
        <v>24922324</v>
      </c>
      <c r="Y5" s="98">
        <f>'ACTUAL- 23-24'!Q5</f>
        <v>24424983</v>
      </c>
      <c r="Z5" s="124">
        <f t="shared" si="0"/>
        <v>-1.9955642980967585</v>
      </c>
      <c r="AA5" s="98">
        <v>917283</v>
      </c>
      <c r="AB5" s="98">
        <f>'ACTUAL- 23-24'!R5</f>
        <v>1000381</v>
      </c>
      <c r="AC5" s="124">
        <f t="shared" si="1"/>
        <v>9.0591453237441435</v>
      </c>
      <c r="AD5" s="98">
        <f t="shared" si="2"/>
        <v>25839607</v>
      </c>
      <c r="AE5" s="98">
        <f t="shared" si="3"/>
        <v>25425364</v>
      </c>
      <c r="AF5" s="124">
        <f t="shared" si="4"/>
        <v>-1.6031319671386643</v>
      </c>
    </row>
    <row r="6" spans="1:32" x14ac:dyDescent="0.45">
      <c r="A6" s="787" t="s">
        <v>133</v>
      </c>
      <c r="B6" s="400">
        <v>2.15</v>
      </c>
      <c r="C6" s="1553">
        <f>'actual fig'!U6/10000000</f>
        <v>2.0496884999999998</v>
      </c>
      <c r="D6" s="1553">
        <f>'ACTUAL- 23-24'!P5/10000000</f>
        <v>2.6578195999999998</v>
      </c>
      <c r="E6" s="1555">
        <f t="shared" si="5"/>
        <v>23.619516279069767</v>
      </c>
      <c r="F6" s="1637">
        <f t="shared" si="6"/>
        <v>29.669440014909586</v>
      </c>
      <c r="G6" s="644">
        <v>3.33</v>
      </c>
      <c r="H6" s="1553">
        <f>'actual fig'!V6/10000000</f>
        <v>2.4922323999999998</v>
      </c>
      <c r="I6" s="1553">
        <f>'ACTUAL- 23-24'!Q5/10000000</f>
        <v>2.4424983</v>
      </c>
      <c r="J6" s="1635">
        <f t="shared" si="7"/>
        <v>-26.651702702702707</v>
      </c>
      <c r="K6" s="1579">
        <f t="shared" si="8"/>
        <v>-1.9955642980967501</v>
      </c>
      <c r="L6" s="400">
        <v>0.28999999999999998</v>
      </c>
      <c r="M6" s="1553">
        <f>'actual fig'!W6/10000000</f>
        <v>9.1728299999999999E-2</v>
      </c>
      <c r="N6" s="1553">
        <f>'ACTUAL- 23-24'!R5/10000000</f>
        <v>0.1000381</v>
      </c>
      <c r="O6" s="1635">
        <f t="shared" si="9"/>
        <v>-65.504103448275856</v>
      </c>
      <c r="P6" s="1579">
        <f t="shared" si="10"/>
        <v>9.0591453237441506</v>
      </c>
      <c r="Q6" s="400">
        <f t="shared" si="11"/>
        <v>3.62</v>
      </c>
      <c r="R6" s="1553">
        <f t="shared" si="12"/>
        <v>2.5839607</v>
      </c>
      <c r="S6" s="1553">
        <f t="shared" si="13"/>
        <v>2.5425363999999999</v>
      </c>
      <c r="T6" s="1635">
        <f t="shared" si="14"/>
        <v>-29.764187845303873</v>
      </c>
      <c r="U6" s="1579">
        <f t="shared" si="15"/>
        <v>-1.6031319671386675</v>
      </c>
      <c r="W6" s="226" t="s">
        <v>51</v>
      </c>
      <c r="X6" s="98">
        <v>28321035</v>
      </c>
      <c r="Y6" s="98">
        <f>'ACTUAL- 23-24'!Q6</f>
        <v>29642007</v>
      </c>
      <c r="Z6" s="124">
        <f t="shared" si="0"/>
        <v>4.6642786889674053</v>
      </c>
      <c r="AA6" s="98">
        <v>955586</v>
      </c>
      <c r="AB6" s="98">
        <f>'ACTUAL- 23-24'!R6</f>
        <v>1056911</v>
      </c>
      <c r="AC6" s="124">
        <f t="shared" si="1"/>
        <v>10.603441239197728</v>
      </c>
      <c r="AD6" s="98">
        <f t="shared" si="2"/>
        <v>29276621</v>
      </c>
      <c r="AE6" s="98">
        <f t="shared" si="3"/>
        <v>30698918</v>
      </c>
      <c r="AF6" s="124">
        <f t="shared" si="4"/>
        <v>4.85813236438727</v>
      </c>
    </row>
    <row r="7" spans="1:32" x14ac:dyDescent="0.45">
      <c r="A7" s="787" t="s">
        <v>51</v>
      </c>
      <c r="B7" s="400">
        <v>1.55</v>
      </c>
      <c r="C7" s="1553">
        <f>'actual fig'!U7/10000000</f>
        <v>1.5327085</v>
      </c>
      <c r="D7" s="1553">
        <f>'ACTUAL- 23-24'!P6/10000000</f>
        <v>2.0247700000000002</v>
      </c>
      <c r="E7" s="1555">
        <f t="shared" si="5"/>
        <v>30.630322580645171</v>
      </c>
      <c r="F7" s="1637">
        <f t="shared" si="6"/>
        <v>32.104049791594427</v>
      </c>
      <c r="G7" s="644">
        <v>3.78</v>
      </c>
      <c r="H7" s="1553">
        <f>'actual fig'!V7/10000000</f>
        <v>2.8321035000000001</v>
      </c>
      <c r="I7" s="1553">
        <f>'ACTUAL- 23-24'!Q6/10000000</f>
        <v>2.9642007000000001</v>
      </c>
      <c r="J7" s="1635">
        <f t="shared" si="7"/>
        <v>-21.581992063492056</v>
      </c>
      <c r="K7" s="1579">
        <f t="shared" si="8"/>
        <v>4.6642786889674062</v>
      </c>
      <c r="L7" s="400">
        <v>0.33</v>
      </c>
      <c r="M7" s="1553">
        <f>'actual fig'!W7/10000000</f>
        <v>9.5558599999999994E-2</v>
      </c>
      <c r="N7" s="1553">
        <f>'ACTUAL- 23-24'!R6/10000000</f>
        <v>0.1056911</v>
      </c>
      <c r="O7" s="1635">
        <f t="shared" si="9"/>
        <v>-67.972393939393953</v>
      </c>
      <c r="P7" s="1579">
        <f t="shared" si="10"/>
        <v>10.603441239197732</v>
      </c>
      <c r="Q7" s="400">
        <f t="shared" si="11"/>
        <v>4.1099999999999994</v>
      </c>
      <c r="R7" s="1553">
        <f t="shared" si="12"/>
        <v>2.9276621</v>
      </c>
      <c r="S7" s="1553">
        <f t="shared" si="13"/>
        <v>3.0698918000000002</v>
      </c>
      <c r="T7" s="1635">
        <f t="shared" si="14"/>
        <v>-25.306768856447675</v>
      </c>
      <c r="U7" s="1579">
        <f t="shared" si="15"/>
        <v>4.8581323643872745</v>
      </c>
      <c r="W7" s="226" t="s">
        <v>134</v>
      </c>
      <c r="X7" s="98">
        <v>23697997</v>
      </c>
      <c r="Y7" s="98">
        <f>'ACTUAL- 23-24'!Q7</f>
        <v>30820250</v>
      </c>
      <c r="Z7" s="124">
        <f t="shared" si="0"/>
        <v>30.054240449097868</v>
      </c>
      <c r="AA7" s="98">
        <v>776220</v>
      </c>
      <c r="AB7" s="98">
        <f>'ACTUAL- 23-24'!R7</f>
        <v>883438.56</v>
      </c>
      <c r="AC7" s="124">
        <f t="shared" si="1"/>
        <v>13.812908711447793</v>
      </c>
      <c r="AD7" s="98">
        <f t="shared" si="2"/>
        <v>24474217</v>
      </c>
      <c r="AE7" s="98">
        <f t="shared" si="3"/>
        <v>31703688.559999999</v>
      </c>
      <c r="AF7" s="124">
        <f t="shared" si="4"/>
        <v>29.539133202913089</v>
      </c>
    </row>
    <row r="8" spans="1:32" x14ac:dyDescent="0.45">
      <c r="A8" s="787" t="s">
        <v>134</v>
      </c>
      <c r="B8" s="400">
        <v>1.55</v>
      </c>
      <c r="C8" s="1553">
        <f>'actual fig'!U8/10000000</f>
        <v>1.5254665000000001</v>
      </c>
      <c r="D8" s="1553">
        <f>'ACTUAL- 23-24'!P7/10000000</f>
        <v>1.9527635000000001</v>
      </c>
      <c r="E8" s="1555">
        <f t="shared" si="5"/>
        <v>25.984741935483875</v>
      </c>
      <c r="F8" s="1638">
        <f t="shared" si="6"/>
        <v>28.010906827518014</v>
      </c>
      <c r="G8" s="644">
        <v>3.17</v>
      </c>
      <c r="H8" s="1553">
        <f>'actual fig'!V8/10000000</f>
        <v>2.3697997000000002</v>
      </c>
      <c r="I8" s="1553">
        <f>'ACTUAL- 23-24'!Q7/10000000</f>
        <v>3.0820249999999998</v>
      </c>
      <c r="J8" s="1636">
        <f t="shared" si="7"/>
        <v>-2.7752365930599412</v>
      </c>
      <c r="K8" s="1557">
        <f t="shared" si="8"/>
        <v>30.054240449097851</v>
      </c>
      <c r="L8" s="400">
        <v>0.26</v>
      </c>
      <c r="M8" s="1553">
        <f>'actual fig'!W8/10000000</f>
        <v>7.7621999999999997E-2</v>
      </c>
      <c r="N8" s="1553">
        <f>'ACTUAL- 23-24'!R7/10000000</f>
        <v>8.8343856000000012E-2</v>
      </c>
      <c r="O8" s="1636">
        <f t="shared" si="9"/>
        <v>-66.021593846153849</v>
      </c>
      <c r="P8" s="1557">
        <f t="shared" si="10"/>
        <v>13.812908711447806</v>
      </c>
      <c r="Q8" s="400">
        <f t="shared" si="11"/>
        <v>3.4299999999999997</v>
      </c>
      <c r="R8" s="1553">
        <f t="shared" si="12"/>
        <v>2.4474217</v>
      </c>
      <c r="S8" s="1553">
        <f t="shared" si="13"/>
        <v>3.1703688559999996</v>
      </c>
      <c r="T8" s="1636">
        <f t="shared" si="14"/>
        <v>-7.5694211078717242</v>
      </c>
      <c r="U8" s="1557">
        <f t="shared" si="15"/>
        <v>29.539133202913071</v>
      </c>
      <c r="W8" s="226" t="s">
        <v>135</v>
      </c>
      <c r="X8" s="98">
        <v>27555812</v>
      </c>
      <c r="Y8" s="98">
        <f>'ACTUAL- 23-24'!Q8</f>
        <v>25351788</v>
      </c>
      <c r="Z8" s="124">
        <f t="shared" si="0"/>
        <v>-7.9983997568280705</v>
      </c>
      <c r="AA8" s="98">
        <v>795773</v>
      </c>
      <c r="AB8" s="98">
        <f>'ACTUAL- 23-24'!R8</f>
        <v>901568</v>
      </c>
      <c r="AC8" s="124">
        <f t="shared" si="1"/>
        <v>13.294620450806951</v>
      </c>
      <c r="AD8" s="98">
        <f t="shared" si="2"/>
        <v>28351585</v>
      </c>
      <c r="AE8" s="98">
        <f t="shared" si="3"/>
        <v>26253356</v>
      </c>
      <c r="AF8" s="124">
        <f t="shared" si="4"/>
        <v>-7.4007467307383346</v>
      </c>
    </row>
    <row r="9" spans="1:32" x14ac:dyDescent="0.45">
      <c r="A9" s="787" t="s">
        <v>135</v>
      </c>
      <c r="B9" s="400">
        <v>1.9</v>
      </c>
      <c r="C9" s="1553">
        <f>'actual fig'!U9/10000000</f>
        <v>1.9427920000000001</v>
      </c>
      <c r="D9" s="1553">
        <f>'ACTUAL- 23-24'!P8/10000000</f>
        <v>1.9763465</v>
      </c>
      <c r="E9" s="1555">
        <f t="shared" ref="E9:E10" si="16">(D9-B9)/B9*100</f>
        <v>4.0182368421052681</v>
      </c>
      <c r="F9" s="1638">
        <f t="shared" ref="F9:F10" si="17">(D9-C9)/C9*100</f>
        <v>1.7271277625190924</v>
      </c>
      <c r="G9" s="644">
        <v>3.69</v>
      </c>
      <c r="H9" s="1553">
        <f>'actual fig'!V9/10000000</f>
        <v>2.7555812</v>
      </c>
      <c r="I9" s="1553">
        <f>'ACTUAL- 23-24'!Q8/10000000</f>
        <v>2.5351788000000002</v>
      </c>
      <c r="J9" s="1636">
        <f t="shared" ref="J9:J10" si="18">(I9-G9)/G9*100</f>
        <v>-31.29596747967479</v>
      </c>
      <c r="K9" s="1557">
        <f t="shared" ref="K9:K10" si="19">(I9-H9)/H9*100</f>
        <v>-7.9983997568280616</v>
      </c>
      <c r="L9" s="400">
        <v>0.26</v>
      </c>
      <c r="M9" s="1553">
        <f>'actual fig'!W9/10000000</f>
        <v>7.9577300000000004E-2</v>
      </c>
      <c r="N9" s="1553">
        <f>'ACTUAL- 23-24'!R8/10000000</f>
        <v>9.0156799999999995E-2</v>
      </c>
      <c r="O9" s="1636">
        <f t="shared" ref="O9" si="20">(N9-L9)/L9*100</f>
        <v>-65.324307692307698</v>
      </c>
      <c r="P9" s="1557">
        <f t="shared" ref="P9" si="21">(N9-M9)/M9*100</f>
        <v>13.29462045080694</v>
      </c>
      <c r="Q9" s="400">
        <f>G9+L9</f>
        <v>3.95</v>
      </c>
      <c r="R9" s="1553">
        <f t="shared" si="12"/>
        <v>2.8351584999999999</v>
      </c>
      <c r="S9" s="1553">
        <f t="shared" si="13"/>
        <v>2.6253356000000001</v>
      </c>
      <c r="T9" s="1636">
        <f t="shared" ref="T9" si="22">(S9-Q9)/Q9*100</f>
        <v>-33.535807594936713</v>
      </c>
      <c r="U9" s="1557">
        <f t="shared" ref="U9" si="23">(S9-R9)/R9*100</f>
        <v>-7.4007467307383283</v>
      </c>
      <c r="W9" s="98" t="s">
        <v>136</v>
      </c>
      <c r="X9" s="98">
        <v>23469667</v>
      </c>
      <c r="Y9" s="98">
        <f>'ACTUAL- 23-24'!Q9</f>
        <v>25169741</v>
      </c>
      <c r="Z9" s="124">
        <f t="shared" si="0"/>
        <v>7.2437073776973486</v>
      </c>
      <c r="AA9" s="98">
        <v>726290</v>
      </c>
      <c r="AB9" s="98">
        <f>'ACTUAL- 23-24'!R9</f>
        <v>1043504</v>
      </c>
      <c r="AC9" s="124">
        <f t="shared" si="1"/>
        <v>43.675942116785308</v>
      </c>
      <c r="AD9" s="98">
        <f t="shared" si="2"/>
        <v>24195957</v>
      </c>
      <c r="AE9" s="98">
        <f t="shared" si="3"/>
        <v>26213245</v>
      </c>
      <c r="AF9" s="124">
        <f t="shared" si="4"/>
        <v>8.3372937057211658</v>
      </c>
    </row>
    <row r="10" spans="1:32" s="89" customFormat="1" x14ac:dyDescent="0.45">
      <c r="A10" s="787" t="s">
        <v>136</v>
      </c>
      <c r="B10" s="400">
        <v>2.2000000000000002</v>
      </c>
      <c r="C10" s="1553">
        <f>'actual fig'!U10/10000000</f>
        <v>2.6353895999999999</v>
      </c>
      <c r="D10" s="1553">
        <f>'ACTUAL- 23-24'!P9/10000000</f>
        <v>2.6593659999999999</v>
      </c>
      <c r="E10" s="1555">
        <f t="shared" si="16"/>
        <v>20.880272727272715</v>
      </c>
      <c r="F10" s="1638">
        <f t="shared" si="17"/>
        <v>0.90978578651141406</v>
      </c>
      <c r="G10" s="644">
        <v>3.14</v>
      </c>
      <c r="H10" s="1553">
        <f>'actual fig'!V10/10000000</f>
        <v>2.3469666999999999</v>
      </c>
      <c r="I10" s="1553">
        <f>'ACTUAL- 23-24'!Q9/10000000</f>
        <v>2.5169741000000001</v>
      </c>
      <c r="J10" s="1636">
        <f t="shared" si="18"/>
        <v>-19.841589171974523</v>
      </c>
      <c r="K10" s="1557">
        <f t="shared" si="19"/>
        <v>7.2437073776973602</v>
      </c>
      <c r="L10" s="400">
        <v>0.23</v>
      </c>
      <c r="M10" s="1553">
        <f>'actual fig'!W10/10000000</f>
        <v>7.2628999999999999E-2</v>
      </c>
      <c r="N10" s="1553">
        <f>'ACTUAL- 23-24'!R9/10000000</f>
        <v>0.1043504</v>
      </c>
      <c r="O10" s="1636">
        <f t="shared" ref="O10" si="24">(N10-L10)/L10*100</f>
        <v>-54.630260869565227</v>
      </c>
      <c r="P10" s="1557">
        <f t="shared" ref="P10" si="25">(N10-M10)/M10*100</f>
        <v>43.675942116785308</v>
      </c>
      <c r="Q10" s="400">
        <f t="shared" ref="Q10:Q16" si="26">G10+L10</f>
        <v>3.37</v>
      </c>
      <c r="R10" s="1553">
        <f t="shared" si="12"/>
        <v>2.4195956999999999</v>
      </c>
      <c r="S10" s="1553">
        <f t="shared" si="13"/>
        <v>2.6213245000000001</v>
      </c>
      <c r="T10" s="1636">
        <f t="shared" ref="T10" si="27">(S10-Q10)/Q10*100</f>
        <v>-22.215890207715134</v>
      </c>
      <c r="U10" s="1557">
        <f t="shared" ref="U10" si="28">(S10-R10)/R10*100</f>
        <v>8.3372937057211729</v>
      </c>
      <c r="W10" s="226" t="s">
        <v>210</v>
      </c>
      <c r="X10" s="98">
        <f>SUM(X3:X9)</f>
        <v>177840290</v>
      </c>
      <c r="Y10" s="98">
        <f>SUM(Y3:Y9)</f>
        <v>177046826</v>
      </c>
      <c r="Z10" s="124">
        <f>(Y10-X10)/X10*100</f>
        <v>-0.4461666138758546</v>
      </c>
      <c r="AA10" s="98">
        <f>SUM(AA3:AA9)</f>
        <v>6441529</v>
      </c>
      <c r="AB10" s="98">
        <f>SUM(AB3:AB9)</f>
        <v>7123404.5600000005</v>
      </c>
      <c r="AC10" s="124">
        <f>(AB10-AA10)/AA10*100</f>
        <v>10.585616551598239</v>
      </c>
      <c r="AD10" s="98">
        <f>SUM(AD3:AD9)</f>
        <v>184281819</v>
      </c>
      <c r="AE10" s="98">
        <f>SUM(AE3:AE9)</f>
        <v>184170230.56</v>
      </c>
      <c r="AF10" s="124">
        <f>(AE10-AD10)/AD10*100</f>
        <v>-6.0553146591198787E-2</v>
      </c>
    </row>
    <row r="11" spans="1:32" x14ac:dyDescent="0.45">
      <c r="A11" s="787" t="s">
        <v>137</v>
      </c>
      <c r="B11" s="400">
        <v>2.4</v>
      </c>
      <c r="C11" s="1553">
        <f>'actual fig'!U11/10000000</f>
        <v>1.9604565</v>
      </c>
      <c r="D11" s="1553">
        <f>'ACTUAL- 23-24'!P10/10000000</f>
        <v>3.0935823999999998</v>
      </c>
      <c r="E11" s="1555">
        <f t="shared" ref="E11" si="29">(D11-B11)/B11*100</f>
        <v>28.899266666666669</v>
      </c>
      <c r="F11" s="1638">
        <f t="shared" ref="F11" si="30">(D11-C11)/C11*100</f>
        <v>57.799084039865193</v>
      </c>
      <c r="G11" s="644">
        <v>3.19</v>
      </c>
      <c r="H11" s="1553">
        <f>'actual fig'!V11/10000000</f>
        <v>2.3856622000000001</v>
      </c>
      <c r="I11" s="1553">
        <f>'ACTUAL- 23-24'!Q10/10000000</f>
        <v>2.2530515000000002</v>
      </c>
      <c r="J11" s="1636">
        <f t="shared" ref="J11" si="31">(I11-G11)/G11*100</f>
        <v>-29.37142633228839</v>
      </c>
      <c r="K11" s="1557">
        <f t="shared" ref="K11" si="32">(I11-H11)/H11*100</f>
        <v>-5.558653693720756</v>
      </c>
      <c r="L11" s="400">
        <v>0.28999999999999998</v>
      </c>
      <c r="M11" s="1553">
        <f>'actual fig'!W11/10000000</f>
        <v>8.53714E-2</v>
      </c>
      <c r="N11" s="1553">
        <f>'ACTUAL- 23-24'!R10/10000000</f>
        <v>8.6453600000000005E-2</v>
      </c>
      <c r="O11" s="1636">
        <f t="shared" ref="O11" si="33">(N11-L11)/L11*100</f>
        <v>-70.18841379310345</v>
      </c>
      <c r="P11" s="1557">
        <f t="shared" ref="P11" si="34">(N11-M11)/M11*100</f>
        <v>1.2676376397716393</v>
      </c>
      <c r="Q11" s="400">
        <f t="shared" si="26"/>
        <v>3.48</v>
      </c>
      <c r="R11" s="1553">
        <f t="shared" si="12"/>
        <v>2.4710336000000002</v>
      </c>
      <c r="S11" s="1553">
        <f t="shared" si="13"/>
        <v>2.3395051000000002</v>
      </c>
      <c r="T11" s="1636">
        <f t="shared" ref="T11" si="35">(S11-Q11)/Q11*100</f>
        <v>-32.772841954022979</v>
      </c>
      <c r="U11" s="1557">
        <f t="shared" ref="U11" si="36">(S11-R11)/R11*100</f>
        <v>-5.3228130932740019</v>
      </c>
      <c r="W11" s="226" t="s">
        <v>137</v>
      </c>
      <c r="X11" s="98">
        <v>23856622</v>
      </c>
      <c r="Y11" s="98"/>
      <c r="Z11" s="124">
        <f t="shared" si="0"/>
        <v>-100</v>
      </c>
      <c r="AA11" s="98">
        <v>853714</v>
      </c>
      <c r="AB11" s="98"/>
      <c r="AC11" s="124">
        <f t="shared" si="1"/>
        <v>-100</v>
      </c>
      <c r="AD11" s="98">
        <f t="shared" si="2"/>
        <v>24710336</v>
      </c>
      <c r="AE11" s="98">
        <f t="shared" si="3"/>
        <v>0</v>
      </c>
      <c r="AF11" s="124">
        <f t="shared" si="4"/>
        <v>-100</v>
      </c>
    </row>
    <row r="12" spans="1:32" x14ac:dyDescent="0.45">
      <c r="A12" s="1373" t="s">
        <v>1021</v>
      </c>
      <c r="B12" s="647">
        <f>SUM(B4:B11)</f>
        <v>15.450000000000001</v>
      </c>
      <c r="C12" s="647">
        <f t="shared" ref="C12" si="37">SUM(C4:C11)</f>
        <v>16.675067600000002</v>
      </c>
      <c r="D12" s="647">
        <f>SUM(D4:D11)</f>
        <v>19.927402999999998</v>
      </c>
      <c r="E12" s="1708">
        <f>(D12-B12)/B12*100</f>
        <v>28.979954692556614</v>
      </c>
      <c r="F12" s="1709">
        <f>(D12-C12)/C12*100</f>
        <v>19.504181200440808</v>
      </c>
      <c r="G12" s="647">
        <f>SUM(G4:G11)</f>
        <v>26.970000000000002</v>
      </c>
      <c r="H12" s="647">
        <f t="shared" ref="H12" si="38">SUM(H4:H11)</f>
        <v>20.169691199999999</v>
      </c>
      <c r="I12" s="647">
        <f>SUM(I4:I11)</f>
        <v>19.957734100000003</v>
      </c>
      <c r="J12" s="1708">
        <f>(I12-G12)/G12*100</f>
        <v>-26.000244345569147</v>
      </c>
      <c r="K12" s="1709">
        <f>(I12-H12)/H12*100</f>
        <v>-1.0508693360659671</v>
      </c>
      <c r="L12" s="647">
        <f>SUM(L4:L11)</f>
        <v>2.41</v>
      </c>
      <c r="M12" s="647">
        <f t="shared" ref="M12" si="39">SUM(M4:M11)</f>
        <v>0.7295242999999999</v>
      </c>
      <c r="N12" s="647">
        <f>SUM(N4:N11)</f>
        <v>0.79879405599999997</v>
      </c>
      <c r="O12" s="1708">
        <f>(N12-L12)/L12*100</f>
        <v>-66.85501842323653</v>
      </c>
      <c r="P12" s="1709">
        <f>(N12-M12)/M12*100</f>
        <v>9.4951951566246784</v>
      </c>
      <c r="Q12" s="647">
        <f>SUM(Q4:Q11)</f>
        <v>29.38</v>
      </c>
      <c r="R12" s="647">
        <f t="shared" ref="R12" si="40">SUM(R4:R11)</f>
        <v>20.899215499999997</v>
      </c>
      <c r="S12" s="647">
        <f>SUM(S4:S11)</f>
        <v>20.756528155999998</v>
      </c>
      <c r="T12" s="1708">
        <f>(S12-Q12)/Q12*100</f>
        <v>-29.351503893805315</v>
      </c>
      <c r="U12" s="1710">
        <f>(S12-R12)/R12*100</f>
        <v>-0.68274019185073587</v>
      </c>
      <c r="W12" s="226" t="s">
        <v>138</v>
      </c>
      <c r="X12" s="98">
        <v>20981466</v>
      </c>
      <c r="Y12" s="98"/>
      <c r="Z12" s="124">
        <f t="shared" si="0"/>
        <v>-100</v>
      </c>
      <c r="AA12" s="98">
        <v>835642</v>
      </c>
      <c r="AB12" s="98"/>
      <c r="AC12" s="124">
        <f t="shared" si="1"/>
        <v>-100</v>
      </c>
      <c r="AD12" s="98">
        <f t="shared" si="2"/>
        <v>21817108</v>
      </c>
      <c r="AE12" s="98">
        <f t="shared" si="3"/>
        <v>0</v>
      </c>
      <c r="AF12" s="124">
        <f t="shared" si="4"/>
        <v>-100</v>
      </c>
    </row>
    <row r="13" spans="1:32" x14ac:dyDescent="0.45">
      <c r="A13" s="787" t="s">
        <v>138</v>
      </c>
      <c r="B13" s="400">
        <v>1.6</v>
      </c>
      <c r="C13" s="1553">
        <f>'actual fig'!U12/10000000</f>
        <v>1.6995965</v>
      </c>
      <c r="D13" s="1553"/>
      <c r="E13" s="1607">
        <f t="shared" si="5"/>
        <v>-100</v>
      </c>
      <c r="F13" s="1608">
        <f t="shared" si="6"/>
        <v>-100</v>
      </c>
      <c r="G13" s="400">
        <v>2.81</v>
      </c>
      <c r="H13" s="1553">
        <f>'actual fig'!V12/10000000</f>
        <v>2.0981466000000002</v>
      </c>
      <c r="I13" s="1553"/>
      <c r="J13" s="1611">
        <f t="shared" si="7"/>
        <v>-100</v>
      </c>
      <c r="K13" s="1612">
        <f t="shared" si="8"/>
        <v>-100</v>
      </c>
      <c r="L13" s="400">
        <v>0.26</v>
      </c>
      <c r="M13" s="1553">
        <f>'actual fig'!W12/10000000</f>
        <v>8.3564200000000005E-2</v>
      </c>
      <c r="N13" s="1553"/>
      <c r="O13" s="1611">
        <f t="shared" si="9"/>
        <v>-100</v>
      </c>
      <c r="P13" s="1612">
        <f t="shared" si="10"/>
        <v>-100</v>
      </c>
      <c r="Q13" s="400">
        <f t="shared" si="26"/>
        <v>3.0700000000000003</v>
      </c>
      <c r="R13" s="1553">
        <f>H13+M13</f>
        <v>2.1817108000000003</v>
      </c>
      <c r="S13" s="1553"/>
      <c r="T13" s="1611">
        <f t="shared" ref="T13:T16" si="41">(S13-Q13)/Q13*100</f>
        <v>-100</v>
      </c>
      <c r="U13" s="1612">
        <f t="shared" ref="U13:U16" si="42">(S13-R13)/R13*100</f>
        <v>-100</v>
      </c>
      <c r="W13" s="226" t="s">
        <v>872</v>
      </c>
      <c r="X13" s="98">
        <v>17544238</v>
      </c>
      <c r="Y13" s="98"/>
      <c r="Z13" s="124">
        <f t="shared" si="0"/>
        <v>-100</v>
      </c>
      <c r="AA13" s="98">
        <v>832819</v>
      </c>
      <c r="AB13" s="98"/>
      <c r="AC13" s="124">
        <f t="shared" si="1"/>
        <v>-100</v>
      </c>
      <c r="AD13" s="98">
        <f t="shared" si="2"/>
        <v>18377057</v>
      </c>
      <c r="AE13" s="98">
        <f t="shared" si="3"/>
        <v>0</v>
      </c>
      <c r="AF13" s="124">
        <f t="shared" si="4"/>
        <v>-100</v>
      </c>
    </row>
    <row r="14" spans="1:32" x14ac:dyDescent="0.45">
      <c r="A14" s="787" t="s">
        <v>139</v>
      </c>
      <c r="B14" s="400">
        <v>1.8</v>
      </c>
      <c r="C14" s="1553">
        <f>'actual fig'!U13/10000000</f>
        <v>2.0217269999999998</v>
      </c>
      <c r="D14" s="1553"/>
      <c r="E14" s="1607">
        <f t="shared" si="5"/>
        <v>-100</v>
      </c>
      <c r="F14" s="1608">
        <f t="shared" si="6"/>
        <v>-100</v>
      </c>
      <c r="G14" s="400">
        <v>2.34</v>
      </c>
      <c r="H14" s="1553">
        <f>'actual fig'!V13/10000000</f>
        <v>1.7544238000000001</v>
      </c>
      <c r="I14" s="1553"/>
      <c r="J14" s="1611">
        <f t="shared" si="7"/>
        <v>-100</v>
      </c>
      <c r="K14" s="1612">
        <f t="shared" si="8"/>
        <v>-100</v>
      </c>
      <c r="L14" s="400">
        <v>0.26</v>
      </c>
      <c r="M14" s="1553">
        <f>'actual fig'!W13/10000000</f>
        <v>8.3281900000000006E-2</v>
      </c>
      <c r="N14" s="1553"/>
      <c r="O14" s="1611">
        <f t="shared" si="9"/>
        <v>-100</v>
      </c>
      <c r="P14" s="1612">
        <f t="shared" si="10"/>
        <v>-100</v>
      </c>
      <c r="Q14" s="400">
        <f t="shared" si="26"/>
        <v>2.5999999999999996</v>
      </c>
      <c r="R14" s="1553">
        <f t="shared" ref="R14:R16" si="43">H14+M14</f>
        <v>1.8377057000000001</v>
      </c>
      <c r="S14" s="1553"/>
      <c r="T14" s="1611">
        <f t="shared" si="41"/>
        <v>-100</v>
      </c>
      <c r="U14" s="1612">
        <f t="shared" si="42"/>
        <v>-100</v>
      </c>
      <c r="W14" s="226" t="s">
        <v>140</v>
      </c>
      <c r="X14" s="98">
        <v>16119236</v>
      </c>
      <c r="Y14" s="98"/>
      <c r="Z14" s="124">
        <f t="shared" si="0"/>
        <v>-100</v>
      </c>
      <c r="AA14" s="98">
        <v>650815</v>
      </c>
      <c r="AB14" s="98"/>
      <c r="AC14" s="124">
        <f t="shared" si="1"/>
        <v>-100</v>
      </c>
      <c r="AD14" s="98">
        <f t="shared" si="2"/>
        <v>16770051</v>
      </c>
      <c r="AE14" s="98">
        <f t="shared" si="3"/>
        <v>0</v>
      </c>
      <c r="AF14" s="124">
        <f t="shared" si="4"/>
        <v>-100</v>
      </c>
    </row>
    <row r="15" spans="1:32" x14ac:dyDescent="0.45">
      <c r="A15" s="787" t="s">
        <v>140</v>
      </c>
      <c r="B15" s="400">
        <v>1.8</v>
      </c>
      <c r="C15" s="1553">
        <f>'actual fig'!U14/10000000</f>
        <v>2.1288459999999998</v>
      </c>
      <c r="D15" s="1553"/>
      <c r="E15" s="1607">
        <f t="shared" si="5"/>
        <v>-100</v>
      </c>
      <c r="F15" s="1608">
        <f t="shared" si="6"/>
        <v>-100</v>
      </c>
      <c r="G15" s="400">
        <v>2.14</v>
      </c>
      <c r="H15" s="1553">
        <f>'actual fig'!V14/10000000</f>
        <v>1.6119235999999999</v>
      </c>
      <c r="I15" s="1553"/>
      <c r="J15" s="1611">
        <f t="shared" si="7"/>
        <v>-100</v>
      </c>
      <c r="K15" s="1612">
        <f t="shared" si="8"/>
        <v>-100</v>
      </c>
      <c r="L15" s="400">
        <v>0.2</v>
      </c>
      <c r="M15" s="1553">
        <f>'actual fig'!W14/10000000</f>
        <v>6.50815E-2</v>
      </c>
      <c r="N15" s="1553"/>
      <c r="O15" s="1611">
        <f t="shared" si="9"/>
        <v>-100</v>
      </c>
      <c r="P15" s="1612">
        <f t="shared" si="10"/>
        <v>-100</v>
      </c>
      <c r="Q15" s="400">
        <f t="shared" si="26"/>
        <v>2.3400000000000003</v>
      </c>
      <c r="R15" s="1553">
        <f t="shared" si="43"/>
        <v>1.6770050999999999</v>
      </c>
      <c r="S15" s="1553"/>
      <c r="T15" s="1611">
        <f t="shared" si="41"/>
        <v>-100</v>
      </c>
      <c r="U15" s="1612">
        <f t="shared" si="42"/>
        <v>-100</v>
      </c>
      <c r="W15" s="226" t="s">
        <v>141</v>
      </c>
      <c r="X15" s="98">
        <v>20591189</v>
      </c>
      <c r="Y15" s="98"/>
      <c r="Z15" s="124">
        <f t="shared" si="0"/>
        <v>-100</v>
      </c>
      <c r="AA15" s="98">
        <v>832199</v>
      </c>
      <c r="AB15" s="98"/>
      <c r="AC15" s="124">
        <f t="shared" si="1"/>
        <v>-100</v>
      </c>
      <c r="AD15" s="98">
        <f t="shared" si="2"/>
        <v>21423388</v>
      </c>
      <c r="AE15" s="98">
        <f t="shared" si="3"/>
        <v>0</v>
      </c>
      <c r="AF15" s="124">
        <f t="shared" si="4"/>
        <v>-100</v>
      </c>
    </row>
    <row r="16" spans="1:32" ht="14.65" thickBot="1" x14ac:dyDescent="0.5">
      <c r="A16" s="1558" t="s">
        <v>141</v>
      </c>
      <c r="B16" s="400">
        <v>1.85</v>
      </c>
      <c r="C16" s="1553">
        <f>'actual fig'!U15/10000000</f>
        <v>2.1327530000000001</v>
      </c>
      <c r="D16" s="1560"/>
      <c r="E16" s="1609">
        <f t="shared" si="5"/>
        <v>-100</v>
      </c>
      <c r="F16" s="1610">
        <f t="shared" si="6"/>
        <v>-100</v>
      </c>
      <c r="G16" s="1561">
        <v>2.75</v>
      </c>
      <c r="H16" s="1553">
        <f>'actual fig'!V15/10000000</f>
        <v>2.0591189000000001</v>
      </c>
      <c r="I16" s="1560"/>
      <c r="J16" s="1613">
        <f t="shared" si="7"/>
        <v>-100</v>
      </c>
      <c r="K16" s="1614">
        <f t="shared" si="8"/>
        <v>-100</v>
      </c>
      <c r="L16" s="1561">
        <v>0.27</v>
      </c>
      <c r="M16" s="1553">
        <f>'actual fig'!W15/10000000</f>
        <v>8.3219899999999999E-2</v>
      </c>
      <c r="N16" s="1560"/>
      <c r="O16" s="1613">
        <f t="shared" si="9"/>
        <v>-100</v>
      </c>
      <c r="P16" s="1614">
        <f t="shared" si="10"/>
        <v>-100</v>
      </c>
      <c r="Q16" s="400">
        <f t="shared" si="26"/>
        <v>3.02</v>
      </c>
      <c r="R16" s="1553">
        <f t="shared" si="43"/>
        <v>2.1423388000000001</v>
      </c>
      <c r="S16" s="1560"/>
      <c r="T16" s="1613">
        <f t="shared" si="41"/>
        <v>-100</v>
      </c>
      <c r="U16" s="1614">
        <f t="shared" si="42"/>
        <v>-100</v>
      </c>
      <c r="W16" s="89"/>
      <c r="Z16" s="216"/>
      <c r="AC16" s="216"/>
      <c r="AF16" s="216"/>
    </row>
    <row r="17" spans="1:34" ht="14.65" thickBot="1" x14ac:dyDescent="0.5">
      <c r="A17" s="1729" t="s">
        <v>63</v>
      </c>
      <c r="B17" s="1717">
        <f>B4+B5+B6+B7+B8+B9+B10+B11+B13+B14+B15+B16</f>
        <v>22.500000000000004</v>
      </c>
      <c r="C17" s="1717">
        <f>C4+C5+C6+C7+C8+C9+C10+C11+C13+C14+C15+C16</f>
        <v>24.657990099999999</v>
      </c>
      <c r="D17" s="1717">
        <f>D4+D5+D6+D7+D8+D9+D10+D11+D13+D14+D15+D16</f>
        <v>19.927402999999998</v>
      </c>
      <c r="E17" s="1730"/>
      <c r="F17" s="1731"/>
      <c r="G17" s="1717">
        <f>G4+G5+G6+G7+G8+G9+G10+G11+G13+G14+G15+G16</f>
        <v>37.010000000000005</v>
      </c>
      <c r="H17" s="1717">
        <f>H4+H5+H6+H7+H8+H9+H10+H11+H13+H14+H15+H16</f>
        <v>27.693304100000002</v>
      </c>
      <c r="I17" s="1726"/>
      <c r="J17" s="1726"/>
      <c r="K17" s="1732"/>
      <c r="L17" s="1717">
        <f>L4+L5+L6+L7+L8+L9+L10+L11+L13+L14+L15+L16</f>
        <v>3.4</v>
      </c>
      <c r="M17" s="1717">
        <f>M4+M5+M6+M7+M8+M9+M10+M11+M13+M14+M15+M16</f>
        <v>1.0446717999999999</v>
      </c>
      <c r="N17" s="1726"/>
      <c r="O17" s="1726"/>
      <c r="P17" s="1732"/>
      <c r="Q17" s="1717">
        <f>Q4+Q5+Q6+Q7+Q8+Q9+Q10+Q11+Q13+Q14+Q15+Q16</f>
        <v>40.410000000000011</v>
      </c>
      <c r="R17" s="1717">
        <f>R4+R5+R6+R7+R8+R9+R10+R11+R13+R14+R15+R16</f>
        <v>28.737975899999999</v>
      </c>
      <c r="S17" s="1726"/>
      <c r="T17" s="1726"/>
      <c r="U17" s="1732"/>
      <c r="W17" s="89"/>
      <c r="Z17" s="216"/>
      <c r="AC17" s="216"/>
      <c r="AF17" s="216"/>
    </row>
    <row r="18" spans="1:34" ht="14.65" thickBot="1" x14ac:dyDescent="0.5">
      <c r="Q18" s="1815"/>
      <c r="W18" s="89"/>
      <c r="Z18" s="216"/>
      <c r="AC18" s="216"/>
      <c r="AF18" s="216"/>
    </row>
    <row r="19" spans="1:34" x14ac:dyDescent="0.45">
      <c r="A19" s="2611" t="s">
        <v>127</v>
      </c>
      <c r="B19" s="2615" t="s">
        <v>937</v>
      </c>
      <c r="C19" s="2616"/>
      <c r="D19" s="2617"/>
      <c r="E19" s="2615" t="s">
        <v>123</v>
      </c>
      <c r="F19" s="2616"/>
      <c r="G19" s="2626"/>
      <c r="H19" s="2615" t="s">
        <v>948</v>
      </c>
      <c r="I19" s="2616"/>
      <c r="J19" s="2617"/>
      <c r="K19" s="2615" t="s">
        <v>266</v>
      </c>
      <c r="L19" s="2616"/>
      <c r="M19" s="2617"/>
      <c r="N19" s="1654" t="s">
        <v>904</v>
      </c>
      <c r="O19" s="1652"/>
      <c r="P19" s="1652"/>
      <c r="Q19" s="1652"/>
      <c r="R19" s="1653"/>
      <c r="W19" s="98"/>
      <c r="X19" s="2308" t="s">
        <v>124</v>
      </c>
      <c r="Y19" s="2308"/>
      <c r="Z19" s="2625" t="s">
        <v>847</v>
      </c>
      <c r="AA19" s="2308" t="s">
        <v>489</v>
      </c>
      <c r="AB19" s="2308"/>
      <c r="AC19" s="2625" t="s">
        <v>847</v>
      </c>
      <c r="AD19" s="2623" t="s">
        <v>964</v>
      </c>
      <c r="AE19" s="2624"/>
      <c r="AF19" s="2625" t="s">
        <v>847</v>
      </c>
    </row>
    <row r="20" spans="1:34" ht="14.65" thickBot="1" x14ac:dyDescent="0.5">
      <c r="A20" s="2612"/>
      <c r="B20" s="1551" t="s">
        <v>701</v>
      </c>
      <c r="C20" s="1552" t="s">
        <v>907</v>
      </c>
      <c r="D20" s="1584" t="s">
        <v>847</v>
      </c>
      <c r="E20" s="1551" t="s">
        <v>701</v>
      </c>
      <c r="F20" s="1552" t="s">
        <v>907</v>
      </c>
      <c r="G20" s="1625" t="s">
        <v>847</v>
      </c>
      <c r="H20" s="1655" t="s">
        <v>701</v>
      </c>
      <c r="I20" s="226" t="s">
        <v>907</v>
      </c>
      <c r="J20" s="1656" t="s">
        <v>847</v>
      </c>
      <c r="K20" s="1715" t="s">
        <v>701</v>
      </c>
      <c r="L20" s="1639" t="s">
        <v>907</v>
      </c>
      <c r="M20" s="1584" t="s">
        <v>847</v>
      </c>
      <c r="N20" s="1631" t="s">
        <v>194</v>
      </c>
      <c r="O20" s="1552" t="s">
        <v>701</v>
      </c>
      <c r="P20" s="1552" t="s">
        <v>907</v>
      </c>
      <c r="Q20" s="1583" t="s">
        <v>922</v>
      </c>
      <c r="R20" s="1584" t="s">
        <v>923</v>
      </c>
      <c r="W20" s="98"/>
      <c r="X20" s="98" t="s">
        <v>195</v>
      </c>
      <c r="Y20" s="98" t="s">
        <v>227</v>
      </c>
      <c r="Z20" s="2625"/>
      <c r="AA20" s="98" t="s">
        <v>195</v>
      </c>
      <c r="AB20" s="98" t="s">
        <v>227</v>
      </c>
      <c r="AC20" s="2625"/>
      <c r="AD20" s="98" t="s">
        <v>195</v>
      </c>
      <c r="AE20" s="98" t="s">
        <v>227</v>
      </c>
      <c r="AF20" s="2625"/>
    </row>
    <row r="21" spans="1:34" x14ac:dyDescent="0.45">
      <c r="A21" s="1569" t="s">
        <v>131</v>
      </c>
      <c r="B21" s="1564">
        <f>'actual fig'!T4/10000000</f>
        <v>3.3609646999999998</v>
      </c>
      <c r="C21" s="1554">
        <f>'ACTUAL- 23-24'!O3/10000000</f>
        <v>3.8000508000000002</v>
      </c>
      <c r="D21" s="1587" t="s">
        <v>221</v>
      </c>
      <c r="E21" s="1564">
        <f>'actual fig'!X4/10000000</f>
        <v>6.8647399999999997E-2</v>
      </c>
      <c r="F21" s="1554">
        <f>'ACTUAL- 23-24'!S3/10000000</f>
        <v>0.76478869999999999</v>
      </c>
      <c r="G21" s="1626">
        <f>(F21-E21)/E21*100</f>
        <v>1014.0825435486267</v>
      </c>
      <c r="H21" s="1565">
        <f>'actual fig'!Y4/10000000</f>
        <v>0.27210800000000002</v>
      </c>
      <c r="I21" s="252">
        <f>'ACTUAL- 23-24'!T3/10000000</f>
        <v>0.268424</v>
      </c>
      <c r="J21" s="1589">
        <f t="shared" ref="J21:J34" si="44">(I21-H21)/H21*100</f>
        <v>-1.3538741970100183</v>
      </c>
      <c r="K21" s="1565">
        <f>'actual fig'!Z4/10000000</f>
        <v>7.2273299999999999E-2</v>
      </c>
      <c r="L21" s="252">
        <f>'ACTUAL- 23-24'!U3/10000000</f>
        <v>8.0080700000000005E-2</v>
      </c>
      <c r="M21" s="1589">
        <f>(L21-K21)/K21*100</f>
        <v>10.802606218340669</v>
      </c>
      <c r="N21" s="1632">
        <f>'TARGET 23-24'!F4</f>
        <v>11.35</v>
      </c>
      <c r="O21" s="644">
        <f t="shared" ref="O21:P28" si="45">C4+H4+M4+B21+E21+H21+K21</f>
        <v>8.5769127000000012</v>
      </c>
      <c r="P21" s="644">
        <f t="shared" si="45"/>
        <v>9.8084035000000007</v>
      </c>
      <c r="Q21" s="1581">
        <f>(P21-N21)/N21*100</f>
        <v>-13.582348017621138</v>
      </c>
      <c r="R21" s="1579">
        <f>(P21-O21)/O21*100</f>
        <v>14.358206071049311</v>
      </c>
      <c r="W21" s="226" t="s">
        <v>131</v>
      </c>
      <c r="X21" s="252">
        <f t="shared" ref="X21:Y25" si="46">X3/10000000</f>
        <v>2.2019820000000001</v>
      </c>
      <c r="Y21" s="252">
        <f t="shared" si="46"/>
        <v>1.9914996</v>
      </c>
      <c r="Z21" s="1704">
        <f>(Y21-X21)/X21*100</f>
        <v>-9.5587702351790362</v>
      </c>
      <c r="AA21" s="103">
        <f t="shared" ref="AA21:AB25" si="47">AA3/10000000</f>
        <v>0.1181508</v>
      </c>
      <c r="AB21" s="103">
        <f t="shared" si="47"/>
        <v>0.10220269999999999</v>
      </c>
      <c r="AC21" s="1704">
        <f>(AB21-AA21)/AA21*100</f>
        <v>-13.498088883020687</v>
      </c>
      <c r="AD21" s="103">
        <f t="shared" ref="AD21:AE25" si="48">AD3/10000000</f>
        <v>2.3201328000000001</v>
      </c>
      <c r="AE21" s="103">
        <f t="shared" si="48"/>
        <v>2.0937022999999999</v>
      </c>
      <c r="AF21" s="1704">
        <f>(AE21-AD21)/AD21*100</f>
        <v>-9.7593767046438114</v>
      </c>
    </row>
    <row r="22" spans="1:34" x14ac:dyDescent="0.45">
      <c r="A22" s="1570" t="s">
        <v>132</v>
      </c>
      <c r="B22" s="1564">
        <f>'actual fig'!T5/10000000</f>
        <v>3.7502597999999998</v>
      </c>
      <c r="C22" s="1554">
        <f>'ACTUAL- 23-24'!O4/10000000</f>
        <v>4.2475021999999996</v>
      </c>
      <c r="D22" s="1588">
        <f t="shared" ref="D22:D33" si="49">(C22-B22)/B22*100</f>
        <v>13.258878758212958</v>
      </c>
      <c r="E22" s="1564">
        <f>'actual fig'!X5/10000000</f>
        <v>5.1638000000000003E-2</v>
      </c>
      <c r="F22" s="1554">
        <f>'ACTUAL- 23-24'!S4/10000000</f>
        <v>0.3136891</v>
      </c>
      <c r="G22" s="1627">
        <f t="shared" ref="G22:G34" si="50">(F22-E22)/E22*100</f>
        <v>507.47724543940495</v>
      </c>
      <c r="H22" s="1565">
        <f>'actual fig'!Y5/10000000</f>
        <v>0.303392</v>
      </c>
      <c r="I22" s="252">
        <f>'ACTUAL- 23-24'!T4/10000000</f>
        <v>0.31269200000000003</v>
      </c>
      <c r="J22" s="1589">
        <f t="shared" si="44"/>
        <v>3.0653412087332659</v>
      </c>
      <c r="K22" s="1565">
        <f>'actual fig'!Z5/10000000</f>
        <v>8.1125600000000006E-2</v>
      </c>
      <c r="L22" s="252">
        <f>'ACTUAL- 23-24'!U4/10000000</f>
        <v>1.9042900000000001E-2</v>
      </c>
      <c r="M22" s="1590">
        <f t="shared" ref="M22:M34" si="51">(L22-K22)/K22*100</f>
        <v>-76.526645103395225</v>
      </c>
      <c r="N22" s="1633">
        <f>'TARGET 23-24'!F5</f>
        <v>15.18</v>
      </c>
      <c r="O22" s="644">
        <f t="shared" si="45"/>
        <v>9.6264453000000003</v>
      </c>
      <c r="P22" s="644">
        <f t="shared" si="45"/>
        <v>9.9481877999999995</v>
      </c>
      <c r="Q22" s="1585">
        <f t="shared" ref="Q22:Q33" si="52">(P22-N22)/N22*100</f>
        <v>-34.46516600790514</v>
      </c>
      <c r="R22" s="1586">
        <f t="shared" ref="R22:R33" si="53">(P22-O22)/O22*100</f>
        <v>3.3422773409411999</v>
      </c>
      <c r="W22" s="226" t="s">
        <v>132</v>
      </c>
      <c r="X22" s="252">
        <f t="shared" si="46"/>
        <v>2.7853634999999999</v>
      </c>
      <c r="Y22" s="252">
        <f t="shared" si="46"/>
        <v>2.1723061000000001</v>
      </c>
      <c r="Z22" s="1704">
        <f t="shared" ref="Z22:Z26" si="54">(Y22-X22)/X22*100</f>
        <v>-22.009960279870107</v>
      </c>
      <c r="AA22" s="103">
        <f t="shared" si="47"/>
        <v>0.10888689999999999</v>
      </c>
      <c r="AB22" s="103">
        <f t="shared" si="47"/>
        <v>0.1215575</v>
      </c>
      <c r="AC22" s="1704">
        <f t="shared" ref="AC22:AC26" si="55">(AB22-AA22)/AA22*100</f>
        <v>11.63647784995257</v>
      </c>
      <c r="AD22" s="103">
        <f t="shared" si="48"/>
        <v>2.8942503999999998</v>
      </c>
      <c r="AE22" s="103">
        <f t="shared" si="48"/>
        <v>2.2938635999999999</v>
      </c>
      <c r="AF22" s="1704">
        <f t="shared" ref="AF22:AF26" si="56">(AE22-AD22)/AD22*100</f>
        <v>-20.744120826587771</v>
      </c>
    </row>
    <row r="23" spans="1:34" x14ac:dyDescent="0.45">
      <c r="A23" s="1570" t="s">
        <v>133</v>
      </c>
      <c r="B23" s="1564">
        <f>'actual fig'!T6/10000000</f>
        <v>3.3116533000000001</v>
      </c>
      <c r="C23" s="1554">
        <f>'ACTUAL- 23-24'!O5/10000000</f>
        <v>3.7221085</v>
      </c>
      <c r="D23" s="1588" t="s">
        <v>221</v>
      </c>
      <c r="E23" s="1564">
        <f>'actual fig'!X6/10000000</f>
        <v>3.3313066999999998</v>
      </c>
      <c r="F23" s="1554">
        <f>'ACTUAL- 23-24'!S5/10000000</f>
        <v>0.77930279999999996</v>
      </c>
      <c r="G23" s="1627">
        <f t="shared" si="50"/>
        <v>-76.606693103339893</v>
      </c>
      <c r="H23" s="1565">
        <f>'actual fig'!Y6/10000000</f>
        <v>0.30458299999999999</v>
      </c>
      <c r="I23" s="252">
        <f>'ACTUAL- 23-24'!T5/10000000</f>
        <v>0.28077200000000002</v>
      </c>
      <c r="J23" s="1589">
        <f t="shared" si="44"/>
        <v>-7.8175735349641879</v>
      </c>
      <c r="K23" s="1565">
        <f>'actual fig'!Z6/10000000</f>
        <v>5.8930499999999997E-2</v>
      </c>
      <c r="L23" s="252">
        <f>'ACTUAL- 23-24'!U5/10000000</f>
        <v>0.1200512</v>
      </c>
      <c r="M23" s="1590">
        <f t="shared" si="51"/>
        <v>103.71658139673005</v>
      </c>
      <c r="N23" s="1633">
        <f>'TARGET 23-24'!F7</f>
        <v>16.22</v>
      </c>
      <c r="O23" s="644">
        <f t="shared" si="45"/>
        <v>11.640122699999999</v>
      </c>
      <c r="P23" s="644">
        <f t="shared" si="45"/>
        <v>10.102590500000002</v>
      </c>
      <c r="Q23" s="1585">
        <f t="shared" si="52"/>
        <v>-37.715225030826126</v>
      </c>
      <c r="R23" s="1586">
        <f t="shared" si="53"/>
        <v>-13.208900280750457</v>
      </c>
      <c r="W23" s="226" t="s">
        <v>133</v>
      </c>
      <c r="X23" s="252">
        <f t="shared" si="46"/>
        <v>2.4922323999999998</v>
      </c>
      <c r="Y23" s="252">
        <f t="shared" si="46"/>
        <v>2.4424983</v>
      </c>
      <c r="Z23" s="1704">
        <f t="shared" si="54"/>
        <v>-1.9955642980967501</v>
      </c>
      <c r="AA23" s="103">
        <f t="shared" si="47"/>
        <v>9.1728299999999999E-2</v>
      </c>
      <c r="AB23" s="103">
        <f t="shared" si="47"/>
        <v>0.1000381</v>
      </c>
      <c r="AC23" s="1704">
        <f t="shared" si="55"/>
        <v>9.0591453237441506</v>
      </c>
      <c r="AD23" s="103">
        <f t="shared" si="48"/>
        <v>2.5839607</v>
      </c>
      <c r="AE23" s="103">
        <f t="shared" si="48"/>
        <v>2.5425363999999999</v>
      </c>
      <c r="AF23" s="1704">
        <f t="shared" si="56"/>
        <v>-1.6031319671386675</v>
      </c>
    </row>
    <row r="24" spans="1:34" x14ac:dyDescent="0.45">
      <c r="A24" s="1570" t="s">
        <v>51</v>
      </c>
      <c r="B24" s="1564">
        <f>'actual fig'!T7/10000000</f>
        <v>3.2202381999999998</v>
      </c>
      <c r="C24" s="1554">
        <f>'ACTUAL- 23-24'!O6/10000000</f>
        <v>3.7468536000000001</v>
      </c>
      <c r="D24" s="1588">
        <f>(C24-B24)/B24*100</f>
        <v>16.353305789615199</v>
      </c>
      <c r="E24" s="1564">
        <f>'actual fig'!X7/10000000</f>
        <v>1.0650203</v>
      </c>
      <c r="F24" s="1554">
        <f>'ACTUAL- 23-24'!S6/10000000</f>
        <v>5.3470200000000002E-2</v>
      </c>
      <c r="G24" s="1627">
        <f t="shared" si="50"/>
        <v>-94.979419641109189</v>
      </c>
      <c r="H24" s="1565">
        <f>'actual fig'!Y7/10000000</f>
        <v>0.227191</v>
      </c>
      <c r="I24" s="252">
        <f>'ACTUAL- 23-24'!T6/10000000</f>
        <v>0.24233099999999999</v>
      </c>
      <c r="J24" s="1589">
        <f t="shared" si="44"/>
        <v>6.6639963730957597</v>
      </c>
      <c r="K24" s="1565">
        <f>'actual fig'!Z7/10000000</f>
        <v>9.68218E-2</v>
      </c>
      <c r="L24" s="252">
        <f>'ACTUAL- 23-24'!U6/10000000</f>
        <v>9.6362100000000006E-2</v>
      </c>
      <c r="M24" s="1590">
        <f t="shared" si="51"/>
        <v>-0.47478976841991521</v>
      </c>
      <c r="N24" s="1633">
        <f>'TARGET 23-24'!F9</f>
        <v>12.19</v>
      </c>
      <c r="O24" s="644">
        <f t="shared" si="45"/>
        <v>9.0696419000000006</v>
      </c>
      <c r="P24" s="644">
        <f t="shared" si="45"/>
        <v>9.2336787000000005</v>
      </c>
      <c r="Q24" s="1585">
        <f t="shared" si="52"/>
        <v>-24.252020508613612</v>
      </c>
      <c r="R24" s="1586">
        <f t="shared" si="53"/>
        <v>1.8086359065620865</v>
      </c>
      <c r="W24" s="226" t="s">
        <v>51</v>
      </c>
      <c r="X24" s="252">
        <f t="shared" si="46"/>
        <v>2.8321035000000001</v>
      </c>
      <c r="Y24" s="252">
        <f t="shared" si="46"/>
        <v>2.9642007000000001</v>
      </c>
      <c r="Z24" s="1704">
        <f t="shared" si="54"/>
        <v>4.6642786889674062</v>
      </c>
      <c r="AA24" s="103">
        <f t="shared" si="47"/>
        <v>9.5558599999999994E-2</v>
      </c>
      <c r="AB24" s="103">
        <f t="shared" si="47"/>
        <v>0.1056911</v>
      </c>
      <c r="AC24" s="1704">
        <f t="shared" si="55"/>
        <v>10.603441239197732</v>
      </c>
      <c r="AD24" s="103">
        <f t="shared" si="48"/>
        <v>2.9276621</v>
      </c>
      <c r="AE24" s="103">
        <f t="shared" si="48"/>
        <v>3.0698918000000002</v>
      </c>
      <c r="AF24" s="1704">
        <f t="shared" si="56"/>
        <v>4.8581323643872745</v>
      </c>
    </row>
    <row r="25" spans="1:34" x14ac:dyDescent="0.45">
      <c r="A25" s="1570" t="s">
        <v>134</v>
      </c>
      <c r="B25" s="1564">
        <f>'actual fig'!T8/10000000</f>
        <v>3.5373359999999998</v>
      </c>
      <c r="C25" s="1554">
        <f>'ACTUAL- 23-24'!O7/10000000</f>
        <v>4.0654925999999998</v>
      </c>
      <c r="D25" s="1615">
        <f t="shared" si="49"/>
        <v>14.930914111636554</v>
      </c>
      <c r="E25" s="1564">
        <f>'actual fig'!X8/10000000</f>
        <v>3.63459E-2</v>
      </c>
      <c r="F25" s="1554">
        <f>'ACTUAL- 23-24'!S7/10000000</f>
        <v>0</v>
      </c>
      <c r="G25" s="1628">
        <f t="shared" si="50"/>
        <v>-100</v>
      </c>
      <c r="H25" s="1565">
        <f>'actual fig'!Y8/10000000</f>
        <v>0.21881</v>
      </c>
      <c r="I25" s="252">
        <f>'ACTUAL- 23-24'!T7/10000000</f>
        <v>0.25286999999999998</v>
      </c>
      <c r="J25" s="1589">
        <f t="shared" si="44"/>
        <v>15.566016178419623</v>
      </c>
      <c r="K25" s="1565">
        <f>'actual fig'!Z8/10000000</f>
        <v>6.4195500000000003E-2</v>
      </c>
      <c r="L25" s="252">
        <f>'ACTUAL- 23-24'!U7/10000000</f>
        <v>9.8277299999999998E-2</v>
      </c>
      <c r="M25" s="1567">
        <f t="shared" si="51"/>
        <v>53.090637194195843</v>
      </c>
      <c r="N25" s="1633">
        <f>'TARGET 23-24'!F11</f>
        <v>10.85</v>
      </c>
      <c r="O25" s="644">
        <f t="shared" si="45"/>
        <v>7.8295756000000001</v>
      </c>
      <c r="P25" s="644">
        <f t="shared" si="45"/>
        <v>9.5397722559999973</v>
      </c>
      <c r="Q25" s="400">
        <f t="shared" si="52"/>
        <v>-12.075831741935506</v>
      </c>
      <c r="R25" s="1568">
        <f t="shared" si="53"/>
        <v>21.842775948162469</v>
      </c>
      <c r="W25" s="226" t="s">
        <v>134</v>
      </c>
      <c r="X25" s="252">
        <f t="shared" si="46"/>
        <v>2.3697997000000002</v>
      </c>
      <c r="Y25" s="252">
        <f t="shared" si="46"/>
        <v>3.0820249999999998</v>
      </c>
      <c r="Z25" s="1704">
        <f t="shared" si="54"/>
        <v>30.054240449097851</v>
      </c>
      <c r="AA25" s="103">
        <f t="shared" si="47"/>
        <v>7.7621999999999997E-2</v>
      </c>
      <c r="AB25" s="103">
        <f t="shared" si="47"/>
        <v>8.8343856000000012E-2</v>
      </c>
      <c r="AC25" s="1704">
        <f t="shared" si="55"/>
        <v>13.812908711447806</v>
      </c>
      <c r="AD25" s="103">
        <f t="shared" si="48"/>
        <v>2.4474217</v>
      </c>
      <c r="AE25" s="103">
        <f t="shared" si="48"/>
        <v>3.1703688560000001</v>
      </c>
      <c r="AF25" s="1704">
        <f t="shared" si="56"/>
        <v>29.539133202913092</v>
      </c>
    </row>
    <row r="26" spans="1:34" x14ac:dyDescent="0.45">
      <c r="A26" s="1570" t="s">
        <v>135</v>
      </c>
      <c r="B26" s="1565">
        <f>'actual fig'!T9/10000000</f>
        <v>3.2844408999999999</v>
      </c>
      <c r="C26" s="1554">
        <f>'ACTUAL- 23-24'!O8/10000000</f>
        <v>3.9471948000000001</v>
      </c>
      <c r="D26" s="1566">
        <f t="shared" si="49"/>
        <v>20.178591126422774</v>
      </c>
      <c r="E26" s="1565">
        <f>'actual fig'!X9/10000000</f>
        <v>0</v>
      </c>
      <c r="F26" s="252">
        <f>'ACTUAL- 23-24'!S8/10000000</f>
        <v>2.4784544999999998</v>
      </c>
      <c r="G26" s="1628" t="e">
        <f t="shared" si="50"/>
        <v>#DIV/0!</v>
      </c>
      <c r="H26" s="1565">
        <f>'actual fig'!Y9/10000000</f>
        <v>0.23116800000000001</v>
      </c>
      <c r="I26" s="252">
        <f>'ACTUAL- 23-24'!T8/10000000</f>
        <v>0.24491499999999999</v>
      </c>
      <c r="J26" s="1589">
        <f t="shared" si="44"/>
        <v>5.9467573366555841</v>
      </c>
      <c r="K26" s="1565">
        <f>'actual fig'!Z9/10000000</f>
        <v>6.8002099999999996E-2</v>
      </c>
      <c r="L26" s="252">
        <f>'ACTUAL- 23-24'!U8/10000000</f>
        <v>7.8483600000000001E-2</v>
      </c>
      <c r="M26" s="1567">
        <f t="shared" si="51"/>
        <v>15.413494583255524</v>
      </c>
      <c r="N26" s="1633">
        <f>'TARGET 23-24'!F13</f>
        <v>14.16</v>
      </c>
      <c r="O26" s="644">
        <f t="shared" si="45"/>
        <v>8.3615614999999988</v>
      </c>
      <c r="P26" s="644">
        <f t="shared" si="45"/>
        <v>11.35073</v>
      </c>
      <c r="Q26" s="400">
        <f t="shared" si="52"/>
        <v>-19.83947740112994</v>
      </c>
      <c r="R26" s="1568">
        <f t="shared" si="53"/>
        <v>35.748926800335106</v>
      </c>
      <c r="W26" s="226" t="s">
        <v>135</v>
      </c>
      <c r="X26" s="252">
        <f t="shared" ref="X26:Y28" si="57">X8/10000000</f>
        <v>2.7555812</v>
      </c>
      <c r="Y26" s="252">
        <f t="shared" si="57"/>
        <v>2.5351788000000002</v>
      </c>
      <c r="Z26" s="1704">
        <f t="shared" si="54"/>
        <v>-7.9983997568280616</v>
      </c>
      <c r="AA26" s="103">
        <f t="shared" ref="AA26:AB28" si="58">AA8/10000000</f>
        <v>7.9577300000000004E-2</v>
      </c>
      <c r="AB26" s="103">
        <f t="shared" si="58"/>
        <v>9.0156799999999995E-2</v>
      </c>
      <c r="AC26" s="1704">
        <f t="shared" si="55"/>
        <v>13.29462045080694</v>
      </c>
      <c r="AD26" s="103">
        <f t="shared" ref="AD26:AE28" si="59">AD8/10000000</f>
        <v>2.8351584999999999</v>
      </c>
      <c r="AE26" s="103">
        <f t="shared" si="59"/>
        <v>2.6253356000000001</v>
      </c>
      <c r="AF26" s="1704">
        <f t="shared" si="56"/>
        <v>-7.4007467307383283</v>
      </c>
    </row>
    <row r="27" spans="1:34" s="89" customFormat="1" x14ac:dyDescent="0.45">
      <c r="A27" s="1570" t="s">
        <v>136</v>
      </c>
      <c r="B27" s="1565">
        <f>'actual fig'!T10/10000000</f>
        <v>4.0486316000000002</v>
      </c>
      <c r="C27" s="1554">
        <f>'ACTUAL- 23-24'!O9/10000000</f>
        <v>4.1278838999999996</v>
      </c>
      <c r="D27" s="1566">
        <f t="shared" si="49"/>
        <v>1.9575083097212249</v>
      </c>
      <c r="E27" s="1565">
        <f>'actual fig'!X10/10000000</f>
        <v>5.3535399999999997E-2</v>
      </c>
      <c r="F27" s="252">
        <f>'ACTUAL- 23-24'!S9/10000000</f>
        <v>7.3787800000000001E-2</v>
      </c>
      <c r="G27" s="1628">
        <f t="shared" si="50"/>
        <v>37.829921883464039</v>
      </c>
      <c r="H27" s="1565">
        <f>'actual fig'!Y10/10000000</f>
        <v>0.36619699999999999</v>
      </c>
      <c r="I27" s="252">
        <f>'ACTUAL- 23-24'!T9/10000000</f>
        <v>0.26215500000000003</v>
      </c>
      <c r="J27" s="1589">
        <f t="shared" si="44"/>
        <v>-28.411483436510942</v>
      </c>
      <c r="K27" s="1565">
        <f>'actual fig'!Z10/10000000</f>
        <v>4.8728599999999997E-2</v>
      </c>
      <c r="L27" s="252">
        <f>'ACTUAL- 23-24'!U9/10000000</f>
        <v>0.13925699999999999</v>
      </c>
      <c r="M27" s="1567">
        <f t="shared" si="51"/>
        <v>185.78083507426851</v>
      </c>
      <c r="N27" s="1633">
        <f>'TARGET 23-24'!F15</f>
        <v>14.23</v>
      </c>
      <c r="O27" s="644">
        <f t="shared" si="45"/>
        <v>9.5720778999999983</v>
      </c>
      <c r="P27" s="644">
        <f t="shared" si="45"/>
        <v>9.8837741999999995</v>
      </c>
      <c r="Q27" s="400">
        <f t="shared" ref="Q27" si="60">(P27-N27)/N27*100</f>
        <v>-30.542697118763186</v>
      </c>
      <c r="R27" s="1568">
        <f t="shared" ref="R27" si="61">(P27-O27)/O27*100</f>
        <v>3.25630759858318</v>
      </c>
      <c r="W27" s="98" t="s">
        <v>136</v>
      </c>
      <c r="X27" s="252">
        <f t="shared" si="57"/>
        <v>2.3469666999999999</v>
      </c>
      <c r="Y27" s="252">
        <f t="shared" si="57"/>
        <v>2.5169741000000001</v>
      </c>
      <c r="Z27" s="1704"/>
      <c r="AA27" s="103">
        <f t="shared" si="58"/>
        <v>7.2628999999999999E-2</v>
      </c>
      <c r="AB27" s="103">
        <f t="shared" si="58"/>
        <v>0.1043504</v>
      </c>
      <c r="AC27" s="1704"/>
      <c r="AD27" s="103">
        <f t="shared" si="59"/>
        <v>2.4195956999999999</v>
      </c>
      <c r="AE27" s="103">
        <f t="shared" si="59"/>
        <v>2.6213245000000001</v>
      </c>
      <c r="AF27" s="1704"/>
    </row>
    <row r="28" spans="1:34" x14ac:dyDescent="0.45">
      <c r="A28" s="1570" t="s">
        <v>137</v>
      </c>
      <c r="B28" s="1565">
        <f>'actual fig'!T11/10000000</f>
        <v>3.5810947999999998</v>
      </c>
      <c r="C28" s="1554">
        <f>'ACTUAL- 23-24'!O10/10000000</f>
        <v>5.0726461</v>
      </c>
      <c r="D28" s="1566">
        <f t="shared" si="49"/>
        <v>41.650706929065393</v>
      </c>
      <c r="E28" s="1565">
        <f>'actual fig'!X11/10000000</f>
        <v>0.29328559999999998</v>
      </c>
      <c r="F28" s="252">
        <f>'ACTUAL- 23-24'!S10/10000000</f>
        <v>0.32627830000000002</v>
      </c>
      <c r="G28" s="1628">
        <f t="shared" si="50"/>
        <v>11.249341938369986</v>
      </c>
      <c r="H28" s="1565">
        <f>'actual fig'!Y11/10000000</f>
        <v>0.26006499999999999</v>
      </c>
      <c r="I28" s="252">
        <f>'ACTUAL- 23-24'!T10/10000000</f>
        <v>0.30792700000000001</v>
      </c>
      <c r="J28" s="1589">
        <f t="shared" si="44"/>
        <v>18.403860573318216</v>
      </c>
      <c r="K28" s="1565">
        <f>'actual fig'!Z11/10000000</f>
        <v>7.1962899999999996E-2</v>
      </c>
      <c r="L28" s="252">
        <f>'ACTUAL- 23-24'!U10/10000000</f>
        <v>8.5561700000000004E-2</v>
      </c>
      <c r="M28" s="1567">
        <f t="shared" si="51"/>
        <v>18.896959405471442</v>
      </c>
      <c r="N28" s="1633">
        <f>'TARGET 23-24'!F17</f>
        <v>11.51</v>
      </c>
      <c r="O28" s="644">
        <f t="shared" si="45"/>
        <v>8.6378984000000028</v>
      </c>
      <c r="P28" s="644">
        <f>D11+I11+N11+C28+F28+I28+L28</f>
        <v>11.225500599999998</v>
      </c>
      <c r="Q28" s="400">
        <f t="shared" ref="Q28" si="62">(P28-N28)/N28*100</f>
        <v>-2.4717584708948861</v>
      </c>
      <c r="R28" s="1568">
        <f t="shared" ref="R28" si="63">(P28-O28)/O28*100</f>
        <v>29.95638615059416</v>
      </c>
      <c r="W28" s="226" t="s">
        <v>210</v>
      </c>
      <c r="X28" s="252">
        <f t="shared" si="57"/>
        <v>17.784029</v>
      </c>
      <c r="Y28" s="252">
        <f t="shared" si="57"/>
        <v>17.704682600000002</v>
      </c>
      <c r="Z28" s="1704"/>
      <c r="AA28" s="103">
        <f t="shared" si="58"/>
        <v>0.64415290000000003</v>
      </c>
      <c r="AB28" s="103">
        <f t="shared" si="58"/>
        <v>0.71234045600000007</v>
      </c>
      <c r="AC28" s="1704"/>
      <c r="AD28" s="103">
        <f t="shared" si="59"/>
        <v>18.428181899999998</v>
      </c>
      <c r="AE28" s="103">
        <f t="shared" si="59"/>
        <v>18.417023056000001</v>
      </c>
      <c r="AF28" s="1704"/>
    </row>
    <row r="29" spans="1:34" x14ac:dyDescent="0.45">
      <c r="A29" s="1712" t="str">
        <f>A12</f>
        <v>UPTO NOV.</v>
      </c>
      <c r="B29" s="647">
        <f>SUM(B21:B28)</f>
        <v>28.094619299999998</v>
      </c>
      <c r="C29" s="647">
        <f>SUM(C21:C28)</f>
        <v>32.729732500000004</v>
      </c>
      <c r="D29" s="1714">
        <f>(C29-B29)/B29*100</f>
        <v>16.498223914356462</v>
      </c>
      <c r="E29" s="647">
        <f>SUM(E21:E28)</f>
        <v>4.8997792999999996</v>
      </c>
      <c r="F29" s="647">
        <f>SUM(F21:F28)</f>
        <v>4.7897713999999993</v>
      </c>
      <c r="G29" s="1714">
        <f>(F29-E29)/E29*100</f>
        <v>-2.2451603075265099</v>
      </c>
      <c r="H29" s="647">
        <f>SUM(H21:H28)</f>
        <v>2.1835139999999997</v>
      </c>
      <c r="I29" s="647">
        <f>SUM(I21:I28)</f>
        <v>2.1720859999999997</v>
      </c>
      <c r="J29" s="1714">
        <f>(I29-H29)/H29*100</f>
        <v>-0.52337653891845881</v>
      </c>
      <c r="K29" s="647">
        <f>SUM(K21:K28)</f>
        <v>0.56204030000000005</v>
      </c>
      <c r="L29" s="647">
        <f>SUM(L21:L28)</f>
        <v>0.71711649999999993</v>
      </c>
      <c r="M29" s="1714">
        <f>(L29-K29)/K29*100</f>
        <v>27.591651345997764</v>
      </c>
      <c r="N29" s="647">
        <f>SUM(N21:N28)</f>
        <v>105.69</v>
      </c>
      <c r="O29" s="645">
        <f>SUM(O21:O28)</f>
        <v>73.314235999999994</v>
      </c>
      <c r="P29" s="647">
        <f>SUM(P21:P28)</f>
        <v>81.092637556</v>
      </c>
      <c r="Q29" s="647">
        <f>SUM(Q21:Q28)</f>
        <v>-174.94452429768953</v>
      </c>
      <c r="R29" s="1709">
        <f>(P29-O29)/O29*100</f>
        <v>10.609674164782957</v>
      </c>
      <c r="AF29" s="1705"/>
    </row>
    <row r="30" spans="1:34" x14ac:dyDescent="0.45">
      <c r="A30" s="1570" t="s">
        <v>138</v>
      </c>
      <c r="B30" s="1565">
        <f>'actual fig'!T12/10000000</f>
        <v>4.1403211000000004</v>
      </c>
      <c r="C30" s="252"/>
      <c r="D30" s="1615">
        <f t="shared" si="49"/>
        <v>-100</v>
      </c>
      <c r="E30" s="1565">
        <f>'actual fig'!X12/10000000</f>
        <v>0.73338990000000004</v>
      </c>
      <c r="F30" s="252">
        <f>'ACTUAL- 23-24'!S11/10000000</f>
        <v>8.5415000000000005E-2</v>
      </c>
      <c r="G30" s="1629">
        <f t="shared" si="50"/>
        <v>-88.353398376497964</v>
      </c>
      <c r="H30" s="1565">
        <f>'actual fig'!Y12/10000000</f>
        <v>0.258797</v>
      </c>
      <c r="I30" s="98"/>
      <c r="J30" s="1589">
        <f t="shared" si="44"/>
        <v>-100</v>
      </c>
      <c r="K30" s="1565">
        <f>'actual fig'!Z12/10000000</f>
        <v>6.5824199999999999E-2</v>
      </c>
      <c r="L30" s="98"/>
      <c r="M30" s="1617">
        <f t="shared" si="51"/>
        <v>-100</v>
      </c>
      <c r="N30" s="1633">
        <f>'TARGET 23-24'!F19</f>
        <v>11.86</v>
      </c>
      <c r="O30" s="644">
        <f>'actual fig'!AA12/10000000</f>
        <v>9.0796395000000008</v>
      </c>
      <c r="P30" s="644">
        <f>D13+I13+N13+C30+F30</f>
        <v>8.5415000000000005E-2</v>
      </c>
      <c r="Q30" s="1619">
        <f t="shared" si="52"/>
        <v>-99.279806070826311</v>
      </c>
      <c r="R30" s="1620">
        <f t="shared" si="53"/>
        <v>-99.059268817886448</v>
      </c>
    </row>
    <row r="31" spans="1:34" x14ac:dyDescent="0.45">
      <c r="A31" s="1570" t="s">
        <v>139</v>
      </c>
      <c r="B31" s="1565">
        <f>'actual fig'!T13/10000000</f>
        <v>3.8319396999999999</v>
      </c>
      <c r="C31" s="252"/>
      <c r="D31" s="1615">
        <f t="shared" si="49"/>
        <v>-100</v>
      </c>
      <c r="E31" s="1565">
        <f>'actual fig'!X13/10000000</f>
        <v>0</v>
      </c>
      <c r="F31" s="252">
        <f>'ACTUAL- 23-24'!S12/10000000</f>
        <v>1.3921684999999999</v>
      </c>
      <c r="G31" s="1629" t="e">
        <f t="shared" si="50"/>
        <v>#DIV/0!</v>
      </c>
      <c r="H31" s="1565">
        <f>'actual fig'!Y13/10000000</f>
        <v>0.24177399999999999</v>
      </c>
      <c r="I31" s="98"/>
      <c r="J31" s="1589">
        <f t="shared" si="44"/>
        <v>-100</v>
      </c>
      <c r="K31" s="1565">
        <f>'actual fig'!Z13/10000000</f>
        <v>4.6567900000000002E-2</v>
      </c>
      <c r="L31" s="98"/>
      <c r="M31" s="1617">
        <f t="shared" si="51"/>
        <v>-100</v>
      </c>
      <c r="N31" s="1633">
        <f>'TARGET 23-24'!F21</f>
        <v>11.18</v>
      </c>
      <c r="O31" s="644">
        <f>'actual fig'!AA13/10000000</f>
        <v>7.9797143000000004</v>
      </c>
      <c r="P31" s="644">
        <f>D14+I14+N14+C31+F31</f>
        <v>1.3921684999999999</v>
      </c>
      <c r="Q31" s="1619">
        <f t="shared" si="52"/>
        <v>-87.54768783542039</v>
      </c>
      <c r="R31" s="1620">
        <f t="shared" si="53"/>
        <v>-82.55365483448449</v>
      </c>
      <c r="W31" s="98"/>
      <c r="X31" s="2605" t="s">
        <v>907</v>
      </c>
      <c r="Y31" s="2605"/>
      <c r="Z31" s="2621" t="s">
        <v>701</v>
      </c>
      <c r="AA31" s="2622"/>
      <c r="AB31" s="2621" t="s">
        <v>83</v>
      </c>
      <c r="AC31" s="2622"/>
      <c r="AD31" s="2621" t="s">
        <v>1005</v>
      </c>
      <c r="AE31" s="2622"/>
      <c r="AF31" s="2623" t="s">
        <v>83</v>
      </c>
      <c r="AG31" s="2624"/>
    </row>
    <row r="32" spans="1:34" x14ac:dyDescent="0.45">
      <c r="A32" s="1570" t="s">
        <v>140</v>
      </c>
      <c r="B32" s="1565">
        <f>'actual fig'!T14/10000000</f>
        <v>3.4085730999999999</v>
      </c>
      <c r="C32" s="252"/>
      <c r="D32" s="1615">
        <f t="shared" si="49"/>
        <v>-100</v>
      </c>
      <c r="E32" s="1565">
        <f>'actual fig'!X14/10000000</f>
        <v>5.11618E-2</v>
      </c>
      <c r="F32" s="252">
        <f>'ACTUAL- 23-24'!S13/10000000</f>
        <v>1.9848999999999999E-2</v>
      </c>
      <c r="G32" s="1629">
        <f t="shared" si="50"/>
        <v>-61.203476030944969</v>
      </c>
      <c r="H32" s="1565">
        <f>'actual fig'!Y14/10000000</f>
        <v>0.232293</v>
      </c>
      <c r="I32" s="98"/>
      <c r="J32" s="1589">
        <f t="shared" si="44"/>
        <v>-100</v>
      </c>
      <c r="K32" s="1565">
        <f>'actual fig'!Z14/10000000</f>
        <v>5.1228900000000001E-2</v>
      </c>
      <c r="L32" s="98"/>
      <c r="M32" s="1617">
        <f t="shared" si="51"/>
        <v>-100</v>
      </c>
      <c r="N32" s="1633">
        <f>'TARGET 23-24'!F23</f>
        <v>10.06</v>
      </c>
      <c r="O32" s="644">
        <f>'actual fig'!AA14/10000000</f>
        <v>7.5491079000000001</v>
      </c>
      <c r="P32" s="644">
        <f>D15+I15+N15+C32+F32</f>
        <v>1.9848999999999999E-2</v>
      </c>
      <c r="Q32" s="1619">
        <f t="shared" si="52"/>
        <v>-99.802693836978136</v>
      </c>
      <c r="R32" s="1620">
        <f t="shared" si="53"/>
        <v>-99.737068270013737</v>
      </c>
      <c r="W32" s="98"/>
      <c r="X32" s="650" t="s">
        <v>124</v>
      </c>
      <c r="Y32" s="650" t="s">
        <v>489</v>
      </c>
      <c r="Z32" s="650" t="s">
        <v>124</v>
      </c>
      <c r="AA32" s="650" t="s">
        <v>489</v>
      </c>
      <c r="AB32" s="650" t="s">
        <v>124</v>
      </c>
      <c r="AC32" s="650" t="s">
        <v>489</v>
      </c>
      <c r="AD32" s="650" t="s">
        <v>124</v>
      </c>
      <c r="AE32" s="650" t="s">
        <v>489</v>
      </c>
      <c r="AF32" s="98" t="s">
        <v>124</v>
      </c>
      <c r="AG32" s="98" t="s">
        <v>489</v>
      </c>
      <c r="AH32" s="1797"/>
    </row>
    <row r="33" spans="1:34" ht="14.65" thickBot="1" x14ac:dyDescent="0.5">
      <c r="A33" s="1571" t="s">
        <v>141</v>
      </c>
      <c r="B33" s="1565">
        <f>'actual fig'!T15/10000000</f>
        <v>3.5754269999999999</v>
      </c>
      <c r="C33" s="1573"/>
      <c r="D33" s="1616">
        <f t="shared" si="49"/>
        <v>-100</v>
      </c>
      <c r="E33" s="1565">
        <f>'actual fig'!X15/10000000</f>
        <v>0.53867149999999997</v>
      </c>
      <c r="F33" s="252">
        <f>'ACTUAL- 23-24'!S14/10000000</f>
        <v>0</v>
      </c>
      <c r="G33" s="1630">
        <f t="shared" si="50"/>
        <v>-100</v>
      </c>
      <c r="H33" s="1565">
        <f>'actual fig'!Y15/10000000</f>
        <v>0.243704</v>
      </c>
      <c r="I33" s="98"/>
      <c r="J33" s="1589">
        <f t="shared" si="44"/>
        <v>-100</v>
      </c>
      <c r="K33" s="1565">
        <f>'actual fig'!Z15/10000000</f>
        <v>0.12989329999999999</v>
      </c>
      <c r="L33" s="98"/>
      <c r="M33" s="1618">
        <f t="shared" si="51"/>
        <v>-100</v>
      </c>
      <c r="N33" s="1634">
        <f>'TARGET 23-24'!F25</f>
        <v>11.8</v>
      </c>
      <c r="O33" s="644">
        <f>'actual fig'!AA15/10000000</f>
        <v>8.7627875999999993</v>
      </c>
      <c r="P33" s="1559">
        <f>D16+I16+N16+C33+F33</f>
        <v>0</v>
      </c>
      <c r="Q33" s="1621">
        <f t="shared" si="52"/>
        <v>-100</v>
      </c>
      <c r="R33" s="1622">
        <f t="shared" si="53"/>
        <v>-100</v>
      </c>
      <c r="W33" s="226" t="s">
        <v>131</v>
      </c>
      <c r="X33" s="400">
        <f>Y21</f>
        <v>1.9914996</v>
      </c>
      <c r="Y33" s="400">
        <f>AB21</f>
        <v>0.10220269999999999</v>
      </c>
      <c r="Z33" s="1808">
        <f t="shared" ref="Z33:Z39" si="64">X21</f>
        <v>2.2019820000000001</v>
      </c>
      <c r="AA33" s="1808">
        <f t="shared" ref="AA33:AA39" si="65">AA21</f>
        <v>0.1181508</v>
      </c>
      <c r="AB33" s="1808">
        <f>SUMIF('TARGET 23-24'!$J$4:$J$26,'OTHER COG'!W33,'TARGET 23-24'!$K$4:$K$26)</f>
        <v>2.94</v>
      </c>
      <c r="AC33" s="1808">
        <f>SUMIF('TARGET 23-24'!$J$4:$J$26,'OTHER COG'!W33,'TARGET 23-24'!$L$4:$L$26)</f>
        <v>0.39</v>
      </c>
      <c r="AD33" s="1808">
        <f>(X33-Z33)/Z33*100</f>
        <v>-9.5587702351790362</v>
      </c>
      <c r="AE33" s="1808">
        <f>(Y33-AA33)/AA33*100</f>
        <v>-13.498088883020687</v>
      </c>
      <c r="AF33" s="1704">
        <f>(X33-AB33)/AB33*100</f>
        <v>-32.261918367346937</v>
      </c>
      <c r="AG33" s="1704">
        <f>(Y33-AC33)/AC33*100</f>
        <v>-73.794179487179491</v>
      </c>
      <c r="AH33" s="1704"/>
    </row>
    <row r="34" spans="1:34" ht="14.65" thickBot="1" x14ac:dyDescent="0.5">
      <c r="A34" s="1716" t="s">
        <v>63</v>
      </c>
      <c r="B34" s="1717">
        <f>B21+B22+B23+B24+B25+B26+B27+B28+B30+B31+B32+B33</f>
        <v>43.050880199999995</v>
      </c>
      <c r="C34" s="1718"/>
      <c r="D34" s="1719"/>
      <c r="E34" s="1717">
        <f>E21+E22+E23+E24+E25+E26+E27+E28+E30+E31+E32+E33</f>
        <v>6.2230024999999998</v>
      </c>
      <c r="F34" s="1720"/>
      <c r="G34" s="1721">
        <f t="shared" si="50"/>
        <v>-100</v>
      </c>
      <c r="H34" s="1717">
        <f>H21+H22+H23+H24+H25+H26+H27+H28+H30+H31+H32+H33</f>
        <v>3.1600819999999996</v>
      </c>
      <c r="I34" s="1717">
        <f>I21+I22+I23+I24+I25+I26+I27+I28+I30+I31+I32+I33</f>
        <v>2.1720859999999997</v>
      </c>
      <c r="J34" s="1722">
        <f t="shared" si="44"/>
        <v>-31.264884898556428</v>
      </c>
      <c r="K34" s="1723">
        <f>K21+K22+K23+K24+K25+K26+K27+K28+K30+K31+K32+K33</f>
        <v>0.85555460000000005</v>
      </c>
      <c r="L34" s="1723">
        <f>L21+L22+L23+L24+L25+L26+L27+L28+L30+L31+L32+L33</f>
        <v>0.71711649999999993</v>
      </c>
      <c r="M34" s="1724">
        <f t="shared" si="51"/>
        <v>-16.181094695768113</v>
      </c>
      <c r="N34" s="1725">
        <f>N21+N22+N23+N24+N25+N26+N27+N28+N30+N31+N32+N33</f>
        <v>150.59</v>
      </c>
      <c r="O34" s="1717">
        <f>O21+O22+O23+O24+O25+O26+O27+O28+O30+O31+O32+O33</f>
        <v>106.68548529999998</v>
      </c>
      <c r="P34" s="1726"/>
      <c r="Q34" s="1727"/>
      <c r="R34" s="1728"/>
      <c r="W34" s="226" t="s">
        <v>132</v>
      </c>
      <c r="X34" s="400">
        <f t="shared" ref="X34:X39" si="66">Y22</f>
        <v>2.1723061000000001</v>
      </c>
      <c r="Y34" s="400">
        <f t="shared" ref="Y34:Y39" si="67">AB22</f>
        <v>0.1215575</v>
      </c>
      <c r="Z34" s="1808">
        <f t="shared" si="64"/>
        <v>2.7853634999999999</v>
      </c>
      <c r="AA34" s="1808">
        <f t="shared" si="65"/>
        <v>0.10888689999999999</v>
      </c>
      <c r="AB34" s="1808">
        <f>SUMIF('TARGET 23-24'!$J$4:$J$26,'OTHER COG'!W34,'TARGET 23-24'!$K$4:$K$26)</f>
        <v>3.73</v>
      </c>
      <c r="AC34" s="1808">
        <f>SUMIF('TARGET 23-24'!$J$4:$J$26,'OTHER COG'!W34,'TARGET 23-24'!$L$4:$L$26)</f>
        <v>0.36</v>
      </c>
      <c r="AD34" s="1808">
        <f t="shared" ref="AD34:AD41" si="68">(X34-Z34)/Z34*100</f>
        <v>-22.009960279870107</v>
      </c>
      <c r="AE34" s="1808">
        <f t="shared" ref="AE34:AE41" si="69">(Y34-AA34)/AA34*100</f>
        <v>11.63647784995257</v>
      </c>
      <c r="AF34" s="1704">
        <f t="shared" ref="AF34:AF41" si="70">(X34-AB34)/AB34*100</f>
        <v>-41.761230563002677</v>
      </c>
      <c r="AG34" s="1704">
        <f t="shared" ref="AG34:AG41" si="71">(Y34-AC34)/AC34*100</f>
        <v>-66.234027777777783</v>
      </c>
      <c r="AH34" s="1704"/>
    </row>
    <row r="35" spans="1:34" x14ac:dyDescent="0.45">
      <c r="W35" s="226" t="s">
        <v>133</v>
      </c>
      <c r="X35" s="400">
        <f t="shared" si="66"/>
        <v>2.4424983</v>
      </c>
      <c r="Y35" s="400">
        <f t="shared" si="67"/>
        <v>0.1000381</v>
      </c>
      <c r="Z35" s="1808">
        <f t="shared" si="64"/>
        <v>2.4922323999999998</v>
      </c>
      <c r="AA35" s="1808">
        <f t="shared" si="65"/>
        <v>9.1728299999999999E-2</v>
      </c>
      <c r="AB35" s="1808">
        <f>SUMIF('TARGET 23-24'!$J$4:$J$26,'OTHER COG'!W35,'TARGET 23-24'!$K$4:$K$26)</f>
        <v>3.33</v>
      </c>
      <c r="AC35" s="1808">
        <f>SUMIF('TARGET 23-24'!$J$4:$J$26,'OTHER COG'!W35,'TARGET 23-24'!$L$4:$L$26)</f>
        <v>0.28999999999999998</v>
      </c>
      <c r="AD35" s="1808">
        <f t="shared" si="68"/>
        <v>-1.9955642980967501</v>
      </c>
      <c r="AE35" s="1808">
        <f t="shared" si="69"/>
        <v>9.0591453237441506</v>
      </c>
      <c r="AF35" s="1704">
        <f t="shared" si="70"/>
        <v>-26.651702702702707</v>
      </c>
      <c r="AG35" s="1704">
        <f t="shared" si="71"/>
        <v>-65.504103448275856</v>
      </c>
      <c r="AH35" s="1704"/>
    </row>
    <row r="36" spans="1:34" x14ac:dyDescent="0.45">
      <c r="W36" s="226" t="s">
        <v>51</v>
      </c>
      <c r="X36" s="400">
        <f t="shared" si="66"/>
        <v>2.9642007000000001</v>
      </c>
      <c r="Y36" s="400">
        <f t="shared" si="67"/>
        <v>0.1056911</v>
      </c>
      <c r="Z36" s="1808">
        <f t="shared" si="64"/>
        <v>2.8321035000000001</v>
      </c>
      <c r="AA36" s="1808">
        <f t="shared" si="65"/>
        <v>9.5558599999999994E-2</v>
      </c>
      <c r="AB36" s="1808">
        <f>SUMIF('TARGET 23-24'!$J$4:$J$26,'OTHER COG'!W36,'TARGET 23-24'!$K$4:$K$26)</f>
        <v>3.78</v>
      </c>
      <c r="AC36" s="1808">
        <f>SUMIF('TARGET 23-24'!$J$4:$J$26,'OTHER COG'!W36,'TARGET 23-24'!$L$4:$L$26)</f>
        <v>0.33</v>
      </c>
      <c r="AD36" s="1808">
        <f t="shared" si="68"/>
        <v>4.6642786889674062</v>
      </c>
      <c r="AE36" s="1808">
        <f t="shared" si="69"/>
        <v>10.603441239197732</v>
      </c>
      <c r="AF36" s="1704">
        <f t="shared" si="70"/>
        <v>-21.581992063492056</v>
      </c>
      <c r="AG36" s="1704">
        <f t="shared" si="71"/>
        <v>-67.972393939393953</v>
      </c>
      <c r="AH36" s="1704"/>
    </row>
    <row r="37" spans="1:34" x14ac:dyDescent="0.45">
      <c r="W37" s="226" t="s">
        <v>134</v>
      </c>
      <c r="X37" s="400">
        <f t="shared" si="66"/>
        <v>3.0820249999999998</v>
      </c>
      <c r="Y37" s="400">
        <f t="shared" si="67"/>
        <v>8.8343856000000012E-2</v>
      </c>
      <c r="Z37" s="1808">
        <f t="shared" si="64"/>
        <v>2.3697997000000002</v>
      </c>
      <c r="AA37" s="1808">
        <f t="shared" si="65"/>
        <v>7.7621999999999997E-2</v>
      </c>
      <c r="AB37" s="1808">
        <f>SUMIF('TARGET 23-24'!$J$4:$J$26,'OTHER COG'!W37,'TARGET 23-24'!$K$4:$K$26)</f>
        <v>3.17</v>
      </c>
      <c r="AC37" s="1808">
        <f>SUMIF('TARGET 23-24'!$J$4:$J$26,'OTHER COG'!W37,'TARGET 23-24'!$L$4:$L$26)</f>
        <v>0.26</v>
      </c>
      <c r="AD37" s="1808">
        <f t="shared" si="68"/>
        <v>30.054240449097851</v>
      </c>
      <c r="AE37" s="1808">
        <f t="shared" si="69"/>
        <v>13.812908711447806</v>
      </c>
      <c r="AF37" s="1704">
        <f t="shared" si="70"/>
        <v>-2.7752365930599412</v>
      </c>
      <c r="AG37" s="1704">
        <f t="shared" si="71"/>
        <v>-66.021593846153849</v>
      </c>
      <c r="AH37" s="1704"/>
    </row>
    <row r="38" spans="1:34" x14ac:dyDescent="0.45">
      <c r="W38" s="226" t="s">
        <v>135</v>
      </c>
      <c r="X38" s="400">
        <f t="shared" si="66"/>
        <v>2.5351788000000002</v>
      </c>
      <c r="Y38" s="400">
        <f t="shared" si="67"/>
        <v>9.0156799999999995E-2</v>
      </c>
      <c r="Z38" s="1808">
        <f t="shared" si="64"/>
        <v>2.7555812</v>
      </c>
      <c r="AA38" s="1808">
        <f t="shared" si="65"/>
        <v>7.9577300000000004E-2</v>
      </c>
      <c r="AB38" s="1808">
        <f>SUMIF('TARGET 23-24'!$J$4:$J$26,'OTHER COG'!W38,'TARGET 23-24'!$K$4:$K$26)</f>
        <v>3.69</v>
      </c>
      <c r="AC38" s="1808">
        <f>SUMIF('TARGET 23-24'!$J$4:$J$26,'OTHER COG'!W38,'TARGET 23-24'!$L$4:$L$26)</f>
        <v>0.26</v>
      </c>
      <c r="AD38" s="1808">
        <f t="shared" si="68"/>
        <v>-7.9983997568280616</v>
      </c>
      <c r="AE38" s="1808">
        <f t="shared" si="69"/>
        <v>13.29462045080694</v>
      </c>
      <c r="AF38" s="1704">
        <f t="shared" si="70"/>
        <v>-31.29596747967479</v>
      </c>
      <c r="AG38" s="1704">
        <f t="shared" si="71"/>
        <v>-65.324307692307698</v>
      </c>
      <c r="AH38" s="1704"/>
    </row>
    <row r="39" spans="1:34" x14ac:dyDescent="0.45">
      <c r="W39" s="98" t="s">
        <v>136</v>
      </c>
      <c r="X39" s="400">
        <f t="shared" si="66"/>
        <v>2.5169741000000001</v>
      </c>
      <c r="Y39" s="400">
        <f t="shared" si="67"/>
        <v>0.1043504</v>
      </c>
      <c r="Z39" s="1808">
        <f t="shared" si="64"/>
        <v>2.3469666999999999</v>
      </c>
      <c r="AA39" s="1808">
        <f t="shared" si="65"/>
        <v>7.2628999999999999E-2</v>
      </c>
      <c r="AB39" s="1808">
        <f>SUMIF('TARGET 23-24'!$J$4:$J$26,'OTHER COG'!W39,'TARGET 23-24'!$K$4:$K$26)</f>
        <v>3.14</v>
      </c>
      <c r="AC39" s="1808">
        <f>SUMIF('TARGET 23-24'!$J$4:$J$26,'OTHER COG'!W39,'TARGET 23-24'!$L$4:$L$26)</f>
        <v>0.23</v>
      </c>
      <c r="AD39" s="1808">
        <f t="shared" si="68"/>
        <v>7.2437073776973602</v>
      </c>
      <c r="AE39" s="1808">
        <f t="shared" si="69"/>
        <v>43.675942116785308</v>
      </c>
      <c r="AF39" s="1704">
        <f t="shared" si="70"/>
        <v>-19.841589171974523</v>
      </c>
      <c r="AG39" s="1704">
        <f t="shared" si="71"/>
        <v>-54.630260869565227</v>
      </c>
      <c r="AH39" s="1704"/>
    </row>
    <row r="40" spans="1:34" ht="28.5" x14ac:dyDescent="0.45">
      <c r="W40" s="1807" t="s">
        <v>1006</v>
      </c>
      <c r="X40" s="400">
        <f>'NOV-2023'!G32</f>
        <v>2.2530515000000002</v>
      </c>
      <c r="Y40" s="400">
        <f>'NOV-2023'!G33</f>
        <v>8.6453600000000005E-2</v>
      </c>
      <c r="Z40" s="1808">
        <f>'NOV-2023'!F32</f>
        <v>2.3856622000000001</v>
      </c>
      <c r="AA40" s="1808">
        <f>'NOV-2023'!F33</f>
        <v>8.53714E-2</v>
      </c>
      <c r="AB40" s="1808">
        <f>'NOV-2023'!E32</f>
        <v>3.19</v>
      </c>
      <c r="AC40" s="1808">
        <f>'NOV-2023'!E33</f>
        <v>0.28999999999999998</v>
      </c>
      <c r="AD40" s="1808">
        <f t="shared" si="68"/>
        <v>-5.558653693720756</v>
      </c>
      <c r="AE40" s="1808">
        <f t="shared" si="69"/>
        <v>1.2676376397716393</v>
      </c>
      <c r="AF40" s="1704">
        <f t="shared" ref="AF40" si="72">(X40-AB40)/AB40*100</f>
        <v>-29.37142633228839</v>
      </c>
      <c r="AG40" s="1704">
        <f t="shared" ref="AG40" si="73">(Y40-AC40)/AC40*100</f>
        <v>-70.18841379310345</v>
      </c>
      <c r="AH40" s="1704"/>
    </row>
    <row r="41" spans="1:34" ht="28.5" x14ac:dyDescent="0.45">
      <c r="W41" s="1092" t="s">
        <v>1007</v>
      </c>
      <c r="X41" s="400">
        <f>SUM(X33:X40)</f>
        <v>19.957734100000003</v>
      </c>
      <c r="Y41" s="400">
        <f t="shared" ref="Y41:AC41" si="74">SUM(Y33:Y40)</f>
        <v>0.79879405599999997</v>
      </c>
      <c r="Z41" s="400">
        <f t="shared" si="74"/>
        <v>20.169691199999999</v>
      </c>
      <c r="AA41" s="400">
        <f t="shared" si="74"/>
        <v>0.7295242999999999</v>
      </c>
      <c r="AB41" s="400">
        <f t="shared" si="74"/>
        <v>26.970000000000002</v>
      </c>
      <c r="AC41" s="400">
        <f t="shared" si="74"/>
        <v>2.41</v>
      </c>
      <c r="AD41" s="1808">
        <f t="shared" si="68"/>
        <v>-1.0508693360659671</v>
      </c>
      <c r="AE41" s="1808">
        <f t="shared" si="69"/>
        <v>9.4951951566246784</v>
      </c>
      <c r="AF41" s="1704">
        <f t="shared" si="70"/>
        <v>-26.000244345569147</v>
      </c>
      <c r="AG41" s="1704">
        <f t="shared" si="71"/>
        <v>-66.85501842323653</v>
      </c>
    </row>
    <row r="42" spans="1:34" x14ac:dyDescent="0.45">
      <c r="W42" s="226" t="s">
        <v>63</v>
      </c>
      <c r="X42" s="2627">
        <f>X41+Y41</f>
        <v>20.756528156000002</v>
      </c>
      <c r="Y42" s="2627"/>
      <c r="Z42" s="2627">
        <f>Z41+AA41</f>
        <v>20.8992155</v>
      </c>
      <c r="AA42" s="2627"/>
      <c r="AB42" s="2627">
        <f>AB41+AC41</f>
        <v>29.380000000000003</v>
      </c>
      <c r="AC42" s="2627"/>
      <c r="AD42" s="2627">
        <f>(X42-Z42)/Z42*100</f>
        <v>-0.68274019185073587</v>
      </c>
      <c r="AE42" s="2627"/>
      <c r="AF42" s="2628">
        <f>(X42-AB42)/AB42*100</f>
        <v>-29.351503893805308</v>
      </c>
      <c r="AG42" s="2628"/>
    </row>
  </sheetData>
  <mergeCells count="29">
    <mergeCell ref="X42:Y42"/>
    <mergeCell ref="Z42:AA42"/>
    <mergeCell ref="AB42:AC42"/>
    <mergeCell ref="AD42:AE42"/>
    <mergeCell ref="AF42:AG42"/>
    <mergeCell ref="Q2:U2"/>
    <mergeCell ref="K19:M19"/>
    <mergeCell ref="A1:P1"/>
    <mergeCell ref="A2:A3"/>
    <mergeCell ref="B2:F2"/>
    <mergeCell ref="G2:K2"/>
    <mergeCell ref="L2:P2"/>
    <mergeCell ref="A19:A20"/>
    <mergeCell ref="B19:D19"/>
    <mergeCell ref="E19:G19"/>
    <mergeCell ref="H19:J19"/>
    <mergeCell ref="X2:Y2"/>
    <mergeCell ref="AA2:AB2"/>
    <mergeCell ref="X19:Y19"/>
    <mergeCell ref="AA19:AB19"/>
    <mergeCell ref="Z19:Z20"/>
    <mergeCell ref="AD31:AE31"/>
    <mergeCell ref="AF31:AG31"/>
    <mergeCell ref="X31:Y31"/>
    <mergeCell ref="AB31:AC31"/>
    <mergeCell ref="AC19:AC20"/>
    <mergeCell ref="AF19:AF20"/>
    <mergeCell ref="AD19:AE19"/>
    <mergeCell ref="Z31:AA31"/>
  </mergeCells>
  <phoneticPr fontId="166" type="noConversion"/>
  <pageMargins left="0.24" right="0.16" top="0.75" bottom="0.75" header="0.3" footer="0.3"/>
  <pageSetup paperSize="9" scale="4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127</vt:i4>
      </vt:variant>
      <vt:variant>
        <vt:lpstr>Named Ranges</vt:lpstr>
      </vt:variant>
      <vt:variant>
        <vt:i4>16</vt:i4>
      </vt:variant>
    </vt:vector>
  </HeadingPairs>
  <TitlesOfParts>
    <vt:vector size="143" baseType="lpstr">
      <vt:lpstr>apr-19</vt:lpstr>
      <vt:lpstr>Sheet8</vt:lpstr>
      <vt:lpstr>may-19</vt:lpstr>
      <vt:lpstr>up to May-19</vt:lpstr>
      <vt:lpstr>jun-18</vt:lpstr>
      <vt:lpstr>UP TO JUNE-19</vt:lpstr>
      <vt:lpstr>UP TO JULY-19</vt:lpstr>
      <vt:lpstr>aug-18</vt:lpstr>
      <vt:lpstr>UPTO AUG</vt:lpstr>
      <vt:lpstr>sept-18</vt:lpstr>
      <vt:lpstr>UP TO SEP 2019</vt:lpstr>
      <vt:lpstr>oct-18</vt:lpstr>
      <vt:lpstr>Sheet1</vt:lpstr>
      <vt:lpstr>nov-19</vt:lpstr>
      <vt:lpstr>dec-18</vt:lpstr>
      <vt:lpstr>UPTO DEC</vt:lpstr>
      <vt:lpstr>jan-20</vt:lpstr>
      <vt:lpstr>feb-19</vt:lpstr>
      <vt:lpstr>upto feb2020</vt:lpstr>
      <vt:lpstr>mar-18</vt:lpstr>
      <vt:lpstr>total -19-20</vt:lpstr>
      <vt:lpstr>TARGET 2019-20</vt:lpstr>
      <vt:lpstr>NEW TOPSHEET</vt:lpstr>
      <vt:lpstr>Sheet2</vt:lpstr>
      <vt:lpstr>PF</vt:lpstr>
      <vt:lpstr>Sheet4</vt:lpstr>
      <vt:lpstr>Sheet5</vt:lpstr>
      <vt:lpstr>july-19</vt:lpstr>
      <vt:lpstr>APRIL 2020</vt:lpstr>
      <vt:lpstr>MAY 2020</vt:lpstr>
      <vt:lpstr>UPTO MAY 2020</vt:lpstr>
      <vt:lpstr>JUNE-2020</vt:lpstr>
      <vt:lpstr>UPTO JUNE 2020</vt:lpstr>
      <vt:lpstr>JULY-2020</vt:lpstr>
      <vt:lpstr>UPTO JULY 2020</vt:lpstr>
      <vt:lpstr>AUG-2020</vt:lpstr>
      <vt:lpstr>UPTO AUG 2020</vt:lpstr>
      <vt:lpstr>SEP-2020</vt:lpstr>
      <vt:lpstr>UPTO SEP 2020</vt:lpstr>
      <vt:lpstr>OCT-2020</vt:lpstr>
      <vt:lpstr>UPTO OCT-2020</vt:lpstr>
      <vt:lpstr>UPTO NOV-20</vt:lpstr>
      <vt:lpstr>DEC-20</vt:lpstr>
      <vt:lpstr>UPTO DEC-2020</vt:lpstr>
      <vt:lpstr>TARGET-2021</vt:lpstr>
      <vt:lpstr>JAN-2021</vt:lpstr>
      <vt:lpstr>SUB -NONSUB</vt:lpstr>
      <vt:lpstr>UPTO JAN2021</vt:lpstr>
      <vt:lpstr>APRIL-21</vt:lpstr>
      <vt:lpstr>MAY-21</vt:lpstr>
      <vt:lpstr>UPTO MAY-2021</vt:lpstr>
      <vt:lpstr>JUNE-21</vt:lpstr>
      <vt:lpstr>UPTO JUNE-2021</vt:lpstr>
      <vt:lpstr>PROJECTION</vt:lpstr>
      <vt:lpstr>UPTO JULY 2021</vt:lpstr>
      <vt:lpstr>Sheet3</vt:lpstr>
      <vt:lpstr>UPTO AUG 2021</vt:lpstr>
      <vt:lpstr>UPTO SEPT 2021</vt:lpstr>
      <vt:lpstr>SEPTEMBER 2021</vt:lpstr>
      <vt:lpstr>NOV-20</vt:lpstr>
      <vt:lpstr>UPTO DEC-2021</vt:lpstr>
      <vt:lpstr>UPTO JAN -22</vt:lpstr>
      <vt:lpstr>FEB-21</vt:lpstr>
      <vt:lpstr>UPTO FEB-21</vt:lpstr>
      <vt:lpstr>Sheet6</vt:lpstr>
      <vt:lpstr>march-21</vt:lpstr>
      <vt:lpstr>TARGET SHEET 2021-22</vt:lpstr>
      <vt:lpstr>UPTO MARCH 21</vt:lpstr>
      <vt:lpstr>REVISED TARGET</vt:lpstr>
      <vt:lpstr>UPTO MAY-22</vt:lpstr>
      <vt:lpstr>MM </vt:lpstr>
      <vt:lpstr>UPTOJUNE</vt:lpstr>
      <vt:lpstr>JULY-2021</vt:lpstr>
      <vt:lpstr>AUG-2021</vt:lpstr>
      <vt:lpstr>UPTO OCT 2021</vt:lpstr>
      <vt:lpstr>OCTOBER-2021</vt:lpstr>
      <vt:lpstr>UPTO NOV2021</vt:lpstr>
      <vt:lpstr>NOVEMBER-2021</vt:lpstr>
      <vt:lpstr>DEC 2021</vt:lpstr>
      <vt:lpstr>JUNE-22</vt:lpstr>
      <vt:lpstr>JANUARY-2022</vt:lpstr>
      <vt:lpstr>DEC-2023 (2)</vt:lpstr>
      <vt:lpstr>UPTO FEB-22</vt:lpstr>
      <vt:lpstr>FEB -2022</vt:lpstr>
      <vt:lpstr>MARCH 2022</vt:lpstr>
      <vt:lpstr>Sheet9</vt:lpstr>
      <vt:lpstr>target FY 22-23</vt:lpstr>
      <vt:lpstr>Sheet7</vt:lpstr>
      <vt:lpstr>SR.DCM</vt:lpstr>
      <vt:lpstr>MARCH -23 </vt:lpstr>
      <vt:lpstr>APRIL-2023 (2)</vt:lpstr>
      <vt:lpstr>UPTO MARCH 22</vt:lpstr>
      <vt:lpstr>COMP</vt:lpstr>
      <vt:lpstr>PROJECTION-1</vt:lpstr>
      <vt:lpstr>APRIL-22</vt:lpstr>
      <vt:lpstr>APRIL-2023</vt:lpstr>
      <vt:lpstr>MAY-22</vt:lpstr>
      <vt:lpstr>MAY-2023</vt:lpstr>
      <vt:lpstr>JUNE-23</vt:lpstr>
      <vt:lpstr>JULY 22</vt:lpstr>
      <vt:lpstr>JULY-23</vt:lpstr>
      <vt:lpstr>AUG-22</vt:lpstr>
      <vt:lpstr>AUGUST -23</vt:lpstr>
      <vt:lpstr>SEP-2022</vt:lpstr>
      <vt:lpstr>SEP-23</vt:lpstr>
      <vt:lpstr>OCT-2022</vt:lpstr>
      <vt:lpstr>OCT-23</vt:lpstr>
      <vt:lpstr>BOOK LINK</vt:lpstr>
      <vt:lpstr>NOV-2023</vt:lpstr>
      <vt:lpstr>DEC-22</vt:lpstr>
      <vt:lpstr>DEC-2023</vt:lpstr>
      <vt:lpstr>JAN-2024</vt:lpstr>
      <vt:lpstr>JAN-23</vt:lpstr>
      <vt:lpstr>FEB -23</vt:lpstr>
      <vt:lpstr>MARCH 2024</vt:lpstr>
      <vt:lpstr>FEB-2024</vt:lpstr>
      <vt:lpstr>ACTUAL- 23-24</vt:lpstr>
      <vt:lpstr>TARGET 23-24</vt:lpstr>
      <vt:lpstr>NOV -22</vt:lpstr>
      <vt:lpstr>EMU ANALYSIS</vt:lpstr>
      <vt:lpstr>actual fig</vt:lpstr>
      <vt:lpstr>Meeting data</vt:lpstr>
      <vt:lpstr>KPI</vt:lpstr>
      <vt:lpstr>Sheet11</vt:lpstr>
      <vt:lpstr>Sheet10</vt:lpstr>
      <vt:lpstr>SUNDRY</vt:lpstr>
      <vt:lpstr>OTHER COG</vt:lpstr>
      <vt:lpstr>'apr-19'!Print_Area</vt:lpstr>
      <vt:lpstr>'APRIL 2020'!Print_Area</vt:lpstr>
      <vt:lpstr>'aug-18'!Print_Area</vt:lpstr>
      <vt:lpstr>'dec-18'!Print_Area</vt:lpstr>
      <vt:lpstr>'feb-19'!Print_Area</vt:lpstr>
      <vt:lpstr>'jan-20'!Print_Area</vt:lpstr>
      <vt:lpstr>'july-19'!Print_Area</vt:lpstr>
      <vt:lpstr>'jun-18'!Print_Area</vt:lpstr>
      <vt:lpstr>'mar-18'!Print_Area</vt:lpstr>
      <vt:lpstr>'MAY 2020'!Print_Area</vt:lpstr>
      <vt:lpstr>'may-19'!Print_Area</vt:lpstr>
      <vt:lpstr>'nov-19'!Print_Area</vt:lpstr>
      <vt:lpstr>'oct-18'!Print_Area</vt:lpstr>
      <vt:lpstr>'sept-18'!Print_Area</vt:lpstr>
      <vt:lpstr>'total -19-20'!Print_Area</vt:lpstr>
      <vt:lpstr>'UPTO FEB-21'!Print_Area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2024-03-08T14:30:05Z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2024-03-04T09:33:35Z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b64ab969-cad7-425d-904f-c5e271aac6dd</vt:lpwstr>
  </property>
  <property fmtid="{D5CDD505-2E9C-101B-9397-08002B2CF9AE}" pid="7" name="MSIP_Label_defa4170-0d19-0005-0004-bc88714345d2_ActionId">
    <vt:lpwstr>809cb638-cfe8-4c5b-8617-605929fc1f8f</vt:lpwstr>
  </property>
  <property fmtid="{D5CDD505-2E9C-101B-9397-08002B2CF9AE}" pid="8" name="MSIP_Label_defa4170-0d19-0005-0004-bc88714345d2_ContentBits">
    <vt:lpwstr>0</vt:lpwstr>
  </property>
</Properties>
</file>